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Tunji\Downloads\files\"/>
    </mc:Choice>
  </mc:AlternateContent>
  <xr:revisionPtr revIDLastSave="0" documentId="8_{2D073835-B66F-4548-862A-711D735D1615}" xr6:coauthVersionLast="47" xr6:coauthVersionMax="47" xr10:uidLastSave="{00000000-0000-0000-0000-000000000000}"/>
  <bookViews>
    <workbookView xWindow="-120" yWindow="-120" windowWidth="20730" windowHeight="11040" tabRatio="500" activeTab="1" xr2:uid="{00000000-000D-0000-FFFF-FFFF00000000}"/>
  </bookViews>
  <sheets>
    <sheet name="README" sheetId="1" r:id="rId1"/>
    <sheet name="Dashboard" sheetId="2" r:id="rId2"/>
    <sheet name="Financial_Model" sheetId="3" r:id="rId3"/>
    <sheet name="Savings_Tracker" sheetId="4" r:id="rId4"/>
    <sheet name="Site_Performance" sheetId="5" r:id="rId5"/>
    <sheet name="Ops_Analysis" sheetId="6" r:id="rId6"/>
    <sheet name="Supplier_Analysis" sheetId="7" r:id="rId7"/>
    <sheet name="Pivot_Analysis" sheetId="8" r:id="rId8"/>
    <sheet name="Actual_Pivot" sheetId="9" r:id="rId9"/>
    <sheet name="Data_Quality" sheetId="10" r:id="rId10"/>
    <sheet name="Cleaned_Procurement" sheetId="11" r:id="rId11"/>
    <sheet name="Procurement_Raw" sheetId="12" r:id="rId12"/>
    <sheet name="Fleet_Raw" sheetId="13" r:id="rId13"/>
    <sheet name="Workforce_Raw" sheetId="14" r:id="rId14"/>
    <sheet name="Agency_Raw" sheetId="15" r:id="rId15"/>
    <sheet name="Finance_Raw" sheetId="16" r:id="rId16"/>
    <sheet name="Sites" sheetId="17" r:id="rId17"/>
    <sheet name="Category_Targets" sheetId="18" r:id="rId18"/>
    <sheet name="Supplier_Lookup" sheetId="19" r:id="rId19"/>
    <sheet name="Dash_Calc" sheetId="20" r:id="rId20"/>
    <sheet name="Formula_Audit" sheetId="21" r:id="rId21"/>
    <sheet name="VBA_Code" sheetId="22" r:id="rId22"/>
    <sheet name="Methodology" sheetId="23" r:id="rId23"/>
  </sheets>
  <definedNames>
    <definedName name="critCategory">Dash_Calc!$H$7</definedName>
    <definedName name="critRegion">Dash_Calc!$H$5</definedName>
    <definedName name="dEnd">Dash_Calc!$H$10</definedName>
    <definedName name="dStart">Dash_Calc!$H$9</definedName>
    <definedName name="lstCategory">Dash_Calc!$B$5:$B$13</definedName>
    <definedName name="lstMonth">Dash_Calc!$C$5:$C$17</definedName>
    <definedName name="lstRegion">Dash_Calc!$A$5:$A$9</definedName>
    <definedName name="lstScenario">Dash_Calc!$E$5:$E$8</definedName>
    <definedName name="_xlnm.Print_Area" localSheetId="1">Dashboard!$A$1:$Q$96</definedName>
    <definedName name="selCategory">Dashboard!$G$6</definedName>
    <definedName name="selMonth">Dashboard!$K$6</definedName>
    <definedName name="selRegion">Dashboard!$C$6</definedName>
    <definedName name="selScenario">Dashboard!$O$6</definedName>
  </definedName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W28" i="20" l="1"/>
  <c r="W27" i="20"/>
  <c r="W26" i="20"/>
  <c r="W25" i="20"/>
  <c r="W24" i="20"/>
  <c r="W23" i="20"/>
  <c r="W22" i="20"/>
  <c r="W21" i="20"/>
  <c r="W20" i="20"/>
  <c r="W19" i="20"/>
  <c r="W18" i="20"/>
  <c r="W17" i="20"/>
  <c r="W16" i="20"/>
  <c r="W15" i="20"/>
  <c r="W14" i="20"/>
  <c r="W13" i="20"/>
  <c r="AS12" i="20"/>
  <c r="W12" i="20"/>
  <c r="AS11" i="20"/>
  <c r="W11" i="20"/>
  <c r="H11" i="20"/>
  <c r="AS10" i="20"/>
  <c r="W10" i="20"/>
  <c r="T10" i="20"/>
  <c r="AS9" i="20"/>
  <c r="W9" i="20"/>
  <c r="H9" i="20"/>
  <c r="AS8" i="20"/>
  <c r="AK8" i="20"/>
  <c r="W8" i="20"/>
  <c r="H8" i="20"/>
  <c r="H48" i="20" s="1"/>
  <c r="AS7" i="20"/>
  <c r="W7" i="20"/>
  <c r="T7" i="20"/>
  <c r="H7" i="20"/>
  <c r="AS6" i="20"/>
  <c r="AL6" i="20"/>
  <c r="W6" i="20"/>
  <c r="H6" i="20"/>
  <c r="AS5" i="20"/>
  <c r="W5" i="20"/>
  <c r="T5" i="20"/>
  <c r="H5" i="20"/>
  <c r="H4" i="20"/>
  <c r="H47" i="20" s="1"/>
  <c r="M1801" i="11"/>
  <c r="L1801" i="11"/>
  <c r="K1801" i="11"/>
  <c r="J1801" i="11"/>
  <c r="I1801" i="11"/>
  <c r="H1801" i="11"/>
  <c r="G1801" i="11"/>
  <c r="F1801" i="11"/>
  <c r="Q1801" i="11" s="1"/>
  <c r="E1801" i="11"/>
  <c r="P1801" i="11" s="1"/>
  <c r="D1801" i="11"/>
  <c r="C1801" i="11"/>
  <c r="B1801" i="11"/>
  <c r="T1801" i="11" s="1"/>
  <c r="A1801" i="11"/>
  <c r="S1801" i="11" s="1"/>
  <c r="M1800" i="11"/>
  <c r="L1800" i="11"/>
  <c r="K1800" i="11"/>
  <c r="J1800" i="11"/>
  <c r="I1800" i="11"/>
  <c r="H1800" i="11"/>
  <c r="G1800" i="11"/>
  <c r="F1800" i="11"/>
  <c r="Q1800" i="11" s="1"/>
  <c r="E1800" i="11"/>
  <c r="V1800" i="11" s="1"/>
  <c r="D1800" i="11"/>
  <c r="C1800" i="11"/>
  <c r="B1800" i="11"/>
  <c r="T1800" i="11" s="1"/>
  <c r="A1800" i="11"/>
  <c r="S1800" i="11" s="1"/>
  <c r="S1799" i="11"/>
  <c r="M1799" i="11"/>
  <c r="L1799" i="11"/>
  <c r="K1799" i="11"/>
  <c r="J1799" i="11"/>
  <c r="I1799" i="11"/>
  <c r="H1799" i="11"/>
  <c r="G1799" i="11"/>
  <c r="F1799" i="11"/>
  <c r="Q1799" i="11" s="1"/>
  <c r="E1799" i="11"/>
  <c r="P1799" i="11" s="1"/>
  <c r="D1799" i="11"/>
  <c r="C1799" i="11"/>
  <c r="B1799" i="11"/>
  <c r="T1799" i="11" s="1"/>
  <c r="A1799" i="11"/>
  <c r="Q1798" i="11"/>
  <c r="M1798" i="11"/>
  <c r="L1798" i="11"/>
  <c r="K1798" i="11"/>
  <c r="J1798" i="11"/>
  <c r="I1798" i="11"/>
  <c r="H1798" i="11"/>
  <c r="G1798" i="11"/>
  <c r="F1798" i="11"/>
  <c r="E1798" i="11"/>
  <c r="D1798" i="11"/>
  <c r="C1798" i="11"/>
  <c r="B1798" i="11"/>
  <c r="T1798" i="11" s="1"/>
  <c r="A1798" i="11"/>
  <c r="S1798" i="11" s="1"/>
  <c r="S1797" i="11"/>
  <c r="M1797" i="11"/>
  <c r="L1797" i="11"/>
  <c r="K1797" i="11"/>
  <c r="J1797" i="11"/>
  <c r="I1797" i="11"/>
  <c r="H1797" i="11"/>
  <c r="G1797" i="11"/>
  <c r="F1797" i="11"/>
  <c r="Q1797" i="11" s="1"/>
  <c r="E1797" i="11"/>
  <c r="P1797" i="11" s="1"/>
  <c r="D1797" i="11"/>
  <c r="C1797" i="11"/>
  <c r="B1797" i="11"/>
  <c r="T1797" i="11" s="1"/>
  <c r="A1797" i="11"/>
  <c r="Q1796" i="11"/>
  <c r="M1796" i="11"/>
  <c r="L1796" i="11"/>
  <c r="K1796" i="11"/>
  <c r="J1796" i="11"/>
  <c r="I1796" i="11"/>
  <c r="H1796" i="11"/>
  <c r="G1796" i="11"/>
  <c r="F1796" i="11"/>
  <c r="E1796" i="11"/>
  <c r="D1796" i="11"/>
  <c r="C1796" i="11"/>
  <c r="B1796" i="11"/>
  <c r="T1796" i="11" s="1"/>
  <c r="A1796" i="11"/>
  <c r="S1796" i="11" s="1"/>
  <c r="T1795" i="11"/>
  <c r="Q1795" i="11"/>
  <c r="P1795" i="11"/>
  <c r="M1795" i="11"/>
  <c r="L1795" i="11"/>
  <c r="K1795" i="11"/>
  <c r="J1795" i="11"/>
  <c r="I1795" i="11"/>
  <c r="H1795" i="11"/>
  <c r="G1795" i="11"/>
  <c r="F1795" i="11"/>
  <c r="E1795" i="11"/>
  <c r="D1795" i="11"/>
  <c r="C1795" i="11"/>
  <c r="B1795" i="11"/>
  <c r="A1795" i="11"/>
  <c r="S1795" i="11" s="1"/>
  <c r="S1794" i="11"/>
  <c r="P1794" i="11"/>
  <c r="M1794" i="11"/>
  <c r="L1794" i="11"/>
  <c r="K1794" i="11"/>
  <c r="J1794" i="11"/>
  <c r="I1794" i="11"/>
  <c r="H1794" i="11"/>
  <c r="G1794" i="11"/>
  <c r="F1794" i="11"/>
  <c r="E1794" i="11"/>
  <c r="D1794" i="11"/>
  <c r="C1794" i="11"/>
  <c r="B1794" i="11"/>
  <c r="T1794" i="11" s="1"/>
  <c r="A1794" i="11"/>
  <c r="T1793" i="11"/>
  <c r="Q1793" i="11"/>
  <c r="P1793" i="11"/>
  <c r="M1793" i="11"/>
  <c r="L1793" i="11"/>
  <c r="K1793" i="11"/>
  <c r="J1793" i="11"/>
  <c r="I1793" i="11"/>
  <c r="H1793" i="11"/>
  <c r="G1793" i="11"/>
  <c r="F1793" i="11"/>
  <c r="E1793" i="11"/>
  <c r="D1793" i="11"/>
  <c r="C1793" i="11"/>
  <c r="B1793" i="11"/>
  <c r="A1793" i="11"/>
  <c r="S1793" i="11" s="1"/>
  <c r="S1792" i="11"/>
  <c r="P1792" i="11"/>
  <c r="M1792" i="11"/>
  <c r="L1792" i="11"/>
  <c r="K1792" i="11"/>
  <c r="J1792" i="11"/>
  <c r="I1792" i="11"/>
  <c r="H1792" i="11"/>
  <c r="G1792" i="11"/>
  <c r="F1792" i="11"/>
  <c r="E1792" i="11"/>
  <c r="D1792" i="11"/>
  <c r="C1792" i="11"/>
  <c r="B1792" i="11"/>
  <c r="T1792" i="11" s="1"/>
  <c r="A1792" i="11"/>
  <c r="T1791" i="11"/>
  <c r="Q1791" i="11"/>
  <c r="P1791" i="11"/>
  <c r="M1791" i="11"/>
  <c r="L1791" i="11"/>
  <c r="K1791" i="11"/>
  <c r="J1791" i="11"/>
  <c r="I1791" i="11"/>
  <c r="H1791" i="11"/>
  <c r="G1791" i="11"/>
  <c r="F1791" i="11"/>
  <c r="E1791" i="11"/>
  <c r="D1791" i="11"/>
  <c r="C1791" i="11"/>
  <c r="B1791" i="11"/>
  <c r="A1791" i="11"/>
  <c r="S1791" i="11" s="1"/>
  <c r="S1790" i="11"/>
  <c r="P1790" i="11"/>
  <c r="M1790" i="11"/>
  <c r="L1790" i="11"/>
  <c r="K1790" i="11"/>
  <c r="J1790" i="11"/>
  <c r="I1790" i="11"/>
  <c r="H1790" i="11"/>
  <c r="G1790" i="11"/>
  <c r="F1790" i="11"/>
  <c r="E1790" i="11"/>
  <c r="D1790" i="11"/>
  <c r="C1790" i="11"/>
  <c r="B1790" i="11"/>
  <c r="T1790" i="11" s="1"/>
  <c r="A1790" i="11"/>
  <c r="T1789" i="11"/>
  <c r="Q1789" i="11"/>
  <c r="P1789" i="11"/>
  <c r="M1789" i="11"/>
  <c r="L1789" i="11"/>
  <c r="K1789" i="11"/>
  <c r="J1789" i="11"/>
  <c r="I1789" i="11"/>
  <c r="H1789" i="11"/>
  <c r="G1789" i="11"/>
  <c r="F1789" i="11"/>
  <c r="E1789" i="11"/>
  <c r="D1789" i="11"/>
  <c r="C1789" i="11"/>
  <c r="B1789" i="11"/>
  <c r="A1789" i="11"/>
  <c r="S1789" i="11" s="1"/>
  <c r="S1788" i="11"/>
  <c r="P1788" i="11"/>
  <c r="M1788" i="11"/>
  <c r="L1788" i="11"/>
  <c r="K1788" i="11"/>
  <c r="J1788" i="11"/>
  <c r="I1788" i="11"/>
  <c r="H1788" i="11"/>
  <c r="G1788" i="11"/>
  <c r="F1788" i="11"/>
  <c r="E1788" i="11"/>
  <c r="D1788" i="11"/>
  <c r="C1788" i="11"/>
  <c r="B1788" i="11"/>
  <c r="T1788" i="11" s="1"/>
  <c r="A1788" i="11"/>
  <c r="T1787" i="11"/>
  <c r="Q1787" i="11"/>
  <c r="P1787" i="11"/>
  <c r="M1787" i="11"/>
  <c r="L1787" i="11"/>
  <c r="K1787" i="11"/>
  <c r="J1787" i="11"/>
  <c r="I1787" i="11"/>
  <c r="H1787" i="11"/>
  <c r="G1787" i="11"/>
  <c r="F1787" i="11"/>
  <c r="E1787" i="11"/>
  <c r="D1787" i="11"/>
  <c r="C1787" i="11"/>
  <c r="B1787" i="11"/>
  <c r="A1787" i="11"/>
  <c r="S1787" i="11" s="1"/>
  <c r="S1786" i="11"/>
  <c r="P1786" i="11"/>
  <c r="M1786" i="11"/>
  <c r="L1786" i="11"/>
  <c r="K1786" i="11"/>
  <c r="J1786" i="11"/>
  <c r="I1786" i="11"/>
  <c r="H1786" i="11"/>
  <c r="G1786" i="11"/>
  <c r="F1786" i="11"/>
  <c r="E1786" i="11"/>
  <c r="D1786" i="11"/>
  <c r="C1786" i="11"/>
  <c r="B1786" i="11"/>
  <c r="T1786" i="11" s="1"/>
  <c r="A1786" i="11"/>
  <c r="T1785" i="11"/>
  <c r="Q1785" i="11"/>
  <c r="P1785" i="11"/>
  <c r="M1785" i="11"/>
  <c r="L1785" i="11"/>
  <c r="K1785" i="11"/>
  <c r="J1785" i="11"/>
  <c r="I1785" i="11"/>
  <c r="H1785" i="11"/>
  <c r="G1785" i="11"/>
  <c r="F1785" i="11"/>
  <c r="E1785" i="11"/>
  <c r="D1785" i="11"/>
  <c r="C1785" i="11"/>
  <c r="B1785" i="11"/>
  <c r="A1785" i="11"/>
  <c r="S1785" i="11" s="1"/>
  <c r="S1784" i="11"/>
  <c r="P1784" i="11"/>
  <c r="M1784" i="11"/>
  <c r="L1784" i="11"/>
  <c r="K1784" i="11"/>
  <c r="J1784" i="11"/>
  <c r="I1784" i="11"/>
  <c r="H1784" i="11"/>
  <c r="G1784" i="11"/>
  <c r="F1784" i="11"/>
  <c r="E1784" i="11"/>
  <c r="D1784" i="11"/>
  <c r="C1784" i="11"/>
  <c r="B1784" i="11"/>
  <c r="T1784" i="11" s="1"/>
  <c r="A1784" i="11"/>
  <c r="T1783" i="11"/>
  <c r="Q1783" i="11"/>
  <c r="P1783" i="11"/>
  <c r="M1783" i="11"/>
  <c r="L1783" i="11"/>
  <c r="K1783" i="11"/>
  <c r="J1783" i="11"/>
  <c r="I1783" i="11"/>
  <c r="H1783" i="11"/>
  <c r="G1783" i="11"/>
  <c r="F1783" i="11"/>
  <c r="E1783" i="11"/>
  <c r="D1783" i="11"/>
  <c r="C1783" i="11"/>
  <c r="B1783" i="11"/>
  <c r="A1783" i="11"/>
  <c r="S1783" i="11" s="1"/>
  <c r="S1782" i="11"/>
  <c r="P1782" i="11"/>
  <c r="M1782" i="11"/>
  <c r="L1782" i="11"/>
  <c r="K1782" i="11"/>
  <c r="J1782" i="11"/>
  <c r="I1782" i="11"/>
  <c r="H1782" i="11"/>
  <c r="G1782" i="11"/>
  <c r="F1782" i="11"/>
  <c r="E1782" i="11"/>
  <c r="D1782" i="11"/>
  <c r="C1782" i="11"/>
  <c r="B1782" i="11"/>
  <c r="T1782" i="11" s="1"/>
  <c r="A1782" i="11"/>
  <c r="T1781" i="11"/>
  <c r="Q1781" i="11"/>
  <c r="P1781" i="11"/>
  <c r="M1781" i="11"/>
  <c r="L1781" i="11"/>
  <c r="K1781" i="11"/>
  <c r="J1781" i="11"/>
  <c r="I1781" i="11"/>
  <c r="H1781" i="11"/>
  <c r="G1781" i="11"/>
  <c r="F1781" i="11"/>
  <c r="E1781" i="11"/>
  <c r="D1781" i="11"/>
  <c r="C1781" i="11"/>
  <c r="B1781" i="11"/>
  <c r="A1781" i="11"/>
  <c r="S1781" i="11" s="1"/>
  <c r="S1780" i="11"/>
  <c r="P1780" i="11"/>
  <c r="M1780" i="11"/>
  <c r="L1780" i="11"/>
  <c r="K1780" i="11"/>
  <c r="J1780" i="11"/>
  <c r="I1780" i="11"/>
  <c r="H1780" i="11"/>
  <c r="G1780" i="11"/>
  <c r="F1780" i="11"/>
  <c r="E1780" i="11"/>
  <c r="D1780" i="11"/>
  <c r="C1780" i="11"/>
  <c r="B1780" i="11"/>
  <c r="T1780" i="11" s="1"/>
  <c r="A1780" i="11"/>
  <c r="T1779" i="11"/>
  <c r="Q1779" i="11"/>
  <c r="P1779" i="11"/>
  <c r="M1779" i="11"/>
  <c r="L1779" i="11"/>
  <c r="K1779" i="11"/>
  <c r="J1779" i="11"/>
  <c r="I1779" i="11"/>
  <c r="H1779" i="11"/>
  <c r="G1779" i="11"/>
  <c r="F1779" i="11"/>
  <c r="E1779" i="11"/>
  <c r="D1779" i="11"/>
  <c r="C1779" i="11"/>
  <c r="B1779" i="11"/>
  <c r="A1779" i="11"/>
  <c r="S1779" i="11" s="1"/>
  <c r="S1778" i="11"/>
  <c r="P1778" i="11"/>
  <c r="M1778" i="11"/>
  <c r="L1778" i="11"/>
  <c r="K1778" i="11"/>
  <c r="J1778" i="11"/>
  <c r="I1778" i="11"/>
  <c r="H1778" i="11"/>
  <c r="G1778" i="11"/>
  <c r="F1778" i="11"/>
  <c r="E1778" i="11"/>
  <c r="D1778" i="11"/>
  <c r="C1778" i="11"/>
  <c r="B1778" i="11"/>
  <c r="T1778" i="11" s="1"/>
  <c r="A1778" i="11"/>
  <c r="T1777" i="11"/>
  <c r="Q1777" i="11"/>
  <c r="P1777" i="11"/>
  <c r="M1777" i="11"/>
  <c r="L1777" i="11"/>
  <c r="K1777" i="11"/>
  <c r="J1777" i="11"/>
  <c r="I1777" i="11"/>
  <c r="H1777" i="11"/>
  <c r="G1777" i="11"/>
  <c r="F1777" i="11"/>
  <c r="E1777" i="11"/>
  <c r="D1777" i="11"/>
  <c r="C1777" i="11"/>
  <c r="B1777" i="11"/>
  <c r="A1777" i="11"/>
  <c r="S1777" i="11" s="1"/>
  <c r="S1776" i="11"/>
  <c r="P1776" i="11"/>
  <c r="M1776" i="11"/>
  <c r="L1776" i="11"/>
  <c r="K1776" i="11"/>
  <c r="J1776" i="11"/>
  <c r="I1776" i="11"/>
  <c r="H1776" i="11"/>
  <c r="G1776" i="11"/>
  <c r="F1776" i="11"/>
  <c r="E1776" i="11"/>
  <c r="D1776" i="11"/>
  <c r="C1776" i="11"/>
  <c r="B1776" i="11"/>
  <c r="T1776" i="11" s="1"/>
  <c r="A1776" i="11"/>
  <c r="T1775" i="11"/>
  <c r="Q1775" i="11"/>
  <c r="P1775" i="11"/>
  <c r="M1775" i="11"/>
  <c r="L1775" i="11"/>
  <c r="K1775" i="11"/>
  <c r="J1775" i="11"/>
  <c r="I1775" i="11"/>
  <c r="H1775" i="11"/>
  <c r="G1775" i="11"/>
  <c r="F1775" i="11"/>
  <c r="E1775" i="11"/>
  <c r="D1775" i="11"/>
  <c r="C1775" i="11"/>
  <c r="B1775" i="11"/>
  <c r="A1775" i="11"/>
  <c r="S1775" i="11" s="1"/>
  <c r="S1774" i="11"/>
  <c r="P1774" i="11"/>
  <c r="M1774" i="11"/>
  <c r="L1774" i="11"/>
  <c r="K1774" i="11"/>
  <c r="J1774" i="11"/>
  <c r="I1774" i="11"/>
  <c r="H1774" i="11"/>
  <c r="G1774" i="11"/>
  <c r="F1774" i="11"/>
  <c r="E1774" i="11"/>
  <c r="D1774" i="11"/>
  <c r="C1774" i="11"/>
  <c r="B1774" i="11"/>
  <c r="T1774" i="11" s="1"/>
  <c r="A1774" i="11"/>
  <c r="T1773" i="11"/>
  <c r="Q1773" i="11"/>
  <c r="P1773" i="11"/>
  <c r="M1773" i="11"/>
  <c r="L1773" i="11"/>
  <c r="K1773" i="11"/>
  <c r="J1773" i="11"/>
  <c r="I1773" i="11"/>
  <c r="H1773" i="11"/>
  <c r="G1773" i="11"/>
  <c r="F1773" i="11"/>
  <c r="E1773" i="11"/>
  <c r="D1773" i="11"/>
  <c r="C1773" i="11"/>
  <c r="B1773" i="11"/>
  <c r="A1773" i="11"/>
  <c r="S1773" i="11" s="1"/>
  <c r="S1772" i="11"/>
  <c r="P1772" i="11"/>
  <c r="M1772" i="11"/>
  <c r="L1772" i="11"/>
  <c r="K1772" i="11"/>
  <c r="J1772" i="11"/>
  <c r="I1772" i="11"/>
  <c r="H1772" i="11"/>
  <c r="G1772" i="11"/>
  <c r="F1772" i="11"/>
  <c r="E1772" i="11"/>
  <c r="D1772" i="11"/>
  <c r="C1772" i="11"/>
  <c r="B1772" i="11"/>
  <c r="T1772" i="11" s="1"/>
  <c r="A1772" i="11"/>
  <c r="Q1771" i="11"/>
  <c r="P1771" i="11"/>
  <c r="M1771" i="11"/>
  <c r="L1771" i="11"/>
  <c r="K1771" i="11"/>
  <c r="J1771" i="11"/>
  <c r="I1771" i="11"/>
  <c r="H1771" i="11"/>
  <c r="G1771" i="11"/>
  <c r="F1771" i="11"/>
  <c r="E1771" i="11"/>
  <c r="D1771" i="11"/>
  <c r="C1771" i="11"/>
  <c r="B1771" i="11"/>
  <c r="T1771" i="11" s="1"/>
  <c r="A1771" i="11"/>
  <c r="S1771" i="11" s="1"/>
  <c r="S1770" i="11"/>
  <c r="P1770" i="11"/>
  <c r="M1770" i="11"/>
  <c r="L1770" i="11"/>
  <c r="K1770" i="11"/>
  <c r="J1770" i="11"/>
  <c r="I1770" i="11"/>
  <c r="H1770" i="11"/>
  <c r="G1770" i="11"/>
  <c r="F1770" i="11"/>
  <c r="E1770" i="11"/>
  <c r="D1770" i="11"/>
  <c r="C1770" i="11"/>
  <c r="B1770" i="11"/>
  <c r="A1770" i="11"/>
  <c r="P1769" i="11"/>
  <c r="M1769" i="11"/>
  <c r="L1769" i="11"/>
  <c r="K1769" i="11"/>
  <c r="J1769" i="11"/>
  <c r="I1769" i="11"/>
  <c r="H1769" i="11"/>
  <c r="G1769" i="11"/>
  <c r="F1769" i="11"/>
  <c r="Q1769" i="11" s="1"/>
  <c r="E1769" i="11"/>
  <c r="D1769" i="11"/>
  <c r="C1769" i="11"/>
  <c r="B1769" i="11"/>
  <c r="T1769" i="11" s="1"/>
  <c r="A1769" i="11"/>
  <c r="S1769" i="11" s="1"/>
  <c r="S1768" i="11"/>
  <c r="P1768" i="11"/>
  <c r="M1768" i="11"/>
  <c r="L1768" i="11"/>
  <c r="K1768" i="11"/>
  <c r="J1768" i="11"/>
  <c r="I1768" i="11"/>
  <c r="H1768" i="11"/>
  <c r="G1768" i="11"/>
  <c r="F1768" i="11"/>
  <c r="E1768" i="11"/>
  <c r="D1768" i="11"/>
  <c r="C1768" i="11"/>
  <c r="B1768" i="11"/>
  <c r="T1768" i="11" s="1"/>
  <c r="A1768" i="11"/>
  <c r="P1767" i="11"/>
  <c r="M1767" i="11"/>
  <c r="L1767" i="11"/>
  <c r="K1767" i="11"/>
  <c r="J1767" i="11"/>
  <c r="I1767" i="11"/>
  <c r="H1767" i="11"/>
  <c r="G1767" i="11"/>
  <c r="F1767" i="11"/>
  <c r="Q1767" i="11" s="1"/>
  <c r="E1767" i="11"/>
  <c r="D1767" i="11"/>
  <c r="C1767" i="11"/>
  <c r="B1767" i="11"/>
  <c r="T1767" i="11" s="1"/>
  <c r="A1767" i="11"/>
  <c r="S1767" i="11" s="1"/>
  <c r="S1766" i="11"/>
  <c r="P1766" i="11"/>
  <c r="M1766" i="11"/>
  <c r="L1766" i="11"/>
  <c r="K1766" i="11"/>
  <c r="J1766" i="11"/>
  <c r="I1766" i="11"/>
  <c r="H1766" i="11"/>
  <c r="G1766" i="11"/>
  <c r="F1766" i="11"/>
  <c r="E1766" i="11"/>
  <c r="D1766" i="11"/>
  <c r="C1766" i="11"/>
  <c r="B1766" i="11"/>
  <c r="T1766" i="11" s="1"/>
  <c r="A1766" i="11"/>
  <c r="T1765" i="11"/>
  <c r="P1765" i="11"/>
  <c r="M1765" i="11"/>
  <c r="L1765" i="11"/>
  <c r="K1765" i="11"/>
  <c r="J1765" i="11"/>
  <c r="I1765" i="11"/>
  <c r="H1765" i="11"/>
  <c r="G1765" i="11"/>
  <c r="F1765" i="11"/>
  <c r="Q1765" i="11" s="1"/>
  <c r="E1765" i="11"/>
  <c r="V1765" i="11" s="1"/>
  <c r="D1765" i="11"/>
  <c r="C1765" i="11"/>
  <c r="B1765" i="11"/>
  <c r="A1765" i="11"/>
  <c r="S1765" i="11" s="1"/>
  <c r="S1764" i="11"/>
  <c r="P1764" i="11"/>
  <c r="M1764" i="11"/>
  <c r="L1764" i="11"/>
  <c r="K1764" i="11"/>
  <c r="J1764" i="11"/>
  <c r="I1764" i="11"/>
  <c r="H1764" i="11"/>
  <c r="G1764" i="11"/>
  <c r="F1764" i="11"/>
  <c r="E1764" i="11"/>
  <c r="D1764" i="11"/>
  <c r="C1764" i="11"/>
  <c r="B1764" i="11"/>
  <c r="T1764" i="11" s="1"/>
  <c r="A1764" i="11"/>
  <c r="T1763" i="11"/>
  <c r="P1763" i="11"/>
  <c r="M1763" i="11"/>
  <c r="L1763" i="11"/>
  <c r="K1763" i="11"/>
  <c r="J1763" i="11"/>
  <c r="I1763" i="11"/>
  <c r="H1763" i="11"/>
  <c r="G1763" i="11"/>
  <c r="F1763" i="11"/>
  <c r="Q1763" i="11" s="1"/>
  <c r="E1763" i="11"/>
  <c r="D1763" i="11"/>
  <c r="C1763" i="11"/>
  <c r="B1763" i="11"/>
  <c r="A1763" i="11"/>
  <c r="S1763" i="11" s="1"/>
  <c r="S1762" i="11"/>
  <c r="P1762" i="11"/>
  <c r="M1762" i="11"/>
  <c r="L1762" i="11"/>
  <c r="K1762" i="11"/>
  <c r="J1762" i="11"/>
  <c r="I1762" i="11"/>
  <c r="H1762" i="11"/>
  <c r="G1762" i="11"/>
  <c r="F1762" i="11"/>
  <c r="E1762" i="11"/>
  <c r="D1762" i="11"/>
  <c r="C1762" i="11"/>
  <c r="B1762" i="11"/>
  <c r="A1762" i="11"/>
  <c r="P1761" i="11"/>
  <c r="M1761" i="11"/>
  <c r="L1761" i="11"/>
  <c r="K1761" i="11"/>
  <c r="J1761" i="11"/>
  <c r="I1761" i="11"/>
  <c r="H1761" i="11"/>
  <c r="G1761" i="11"/>
  <c r="F1761" i="11"/>
  <c r="Q1761" i="11" s="1"/>
  <c r="E1761" i="11"/>
  <c r="D1761" i="11"/>
  <c r="C1761" i="11"/>
  <c r="B1761" i="11"/>
  <c r="T1761" i="11" s="1"/>
  <c r="A1761" i="11"/>
  <c r="S1761" i="11" s="1"/>
  <c r="S1760" i="11"/>
  <c r="P1760" i="11"/>
  <c r="M1760" i="11"/>
  <c r="L1760" i="11"/>
  <c r="K1760" i="11"/>
  <c r="J1760" i="11"/>
  <c r="I1760" i="11"/>
  <c r="H1760" i="11"/>
  <c r="G1760" i="11"/>
  <c r="F1760" i="11"/>
  <c r="E1760" i="11"/>
  <c r="D1760" i="11"/>
  <c r="C1760" i="11"/>
  <c r="B1760" i="11"/>
  <c r="T1760" i="11" s="1"/>
  <c r="A1760" i="11"/>
  <c r="P1759" i="11"/>
  <c r="M1759" i="11"/>
  <c r="L1759" i="11"/>
  <c r="K1759" i="11"/>
  <c r="J1759" i="11"/>
  <c r="I1759" i="11"/>
  <c r="H1759" i="11"/>
  <c r="G1759" i="11"/>
  <c r="F1759" i="11"/>
  <c r="Q1759" i="11" s="1"/>
  <c r="E1759" i="11"/>
  <c r="V1759" i="11" s="1"/>
  <c r="D1759" i="11"/>
  <c r="C1759" i="11"/>
  <c r="B1759" i="11"/>
  <c r="T1759" i="11" s="1"/>
  <c r="A1759" i="11"/>
  <c r="S1759" i="11" s="1"/>
  <c r="S1758" i="11"/>
  <c r="P1758" i="11"/>
  <c r="M1758" i="11"/>
  <c r="L1758" i="11"/>
  <c r="K1758" i="11"/>
  <c r="J1758" i="11"/>
  <c r="I1758" i="11"/>
  <c r="H1758" i="11"/>
  <c r="G1758" i="11"/>
  <c r="F1758" i="11"/>
  <c r="E1758" i="11"/>
  <c r="D1758" i="11"/>
  <c r="C1758" i="11"/>
  <c r="B1758" i="11"/>
  <c r="T1758" i="11" s="1"/>
  <c r="A1758" i="11"/>
  <c r="T1757" i="11"/>
  <c r="P1757" i="11"/>
  <c r="M1757" i="11"/>
  <c r="L1757" i="11"/>
  <c r="K1757" i="11"/>
  <c r="J1757" i="11"/>
  <c r="I1757" i="11"/>
  <c r="H1757" i="11"/>
  <c r="G1757" i="11"/>
  <c r="F1757" i="11"/>
  <c r="Q1757" i="11" s="1"/>
  <c r="E1757" i="11"/>
  <c r="V1757" i="11" s="1"/>
  <c r="D1757" i="11"/>
  <c r="C1757" i="11"/>
  <c r="B1757" i="11"/>
  <c r="A1757" i="11"/>
  <c r="S1757" i="11" s="1"/>
  <c r="S1756" i="11"/>
  <c r="M1756" i="11"/>
  <c r="L1756" i="11"/>
  <c r="K1756" i="11"/>
  <c r="J1756" i="11"/>
  <c r="I1756" i="11"/>
  <c r="H1756" i="11"/>
  <c r="G1756" i="11"/>
  <c r="F1756" i="11"/>
  <c r="Q1756" i="11" s="1"/>
  <c r="E1756" i="11"/>
  <c r="D1756" i="11"/>
  <c r="C1756" i="11"/>
  <c r="B1756" i="11"/>
  <c r="T1756" i="11" s="1"/>
  <c r="A1756" i="11"/>
  <c r="T1755" i="11"/>
  <c r="Q1755" i="11"/>
  <c r="P1755" i="11"/>
  <c r="M1755" i="11"/>
  <c r="L1755" i="11"/>
  <c r="K1755" i="11"/>
  <c r="J1755" i="11"/>
  <c r="I1755" i="11"/>
  <c r="H1755" i="11"/>
  <c r="G1755" i="11"/>
  <c r="F1755" i="11"/>
  <c r="E1755" i="11"/>
  <c r="D1755" i="11"/>
  <c r="C1755" i="11"/>
  <c r="B1755" i="11"/>
  <c r="A1755" i="11"/>
  <c r="S1755" i="11" s="1"/>
  <c r="S1754" i="11"/>
  <c r="M1754" i="11"/>
  <c r="L1754" i="11"/>
  <c r="K1754" i="11"/>
  <c r="J1754" i="11"/>
  <c r="I1754" i="11"/>
  <c r="H1754" i="11"/>
  <c r="G1754" i="11"/>
  <c r="F1754" i="11"/>
  <c r="Q1754" i="11" s="1"/>
  <c r="E1754" i="11"/>
  <c r="P1754" i="11" s="1"/>
  <c r="D1754" i="11"/>
  <c r="C1754" i="11"/>
  <c r="B1754" i="11"/>
  <c r="T1754" i="11" s="1"/>
  <c r="A1754" i="11"/>
  <c r="T1753" i="11"/>
  <c r="Q1753" i="11"/>
  <c r="M1753" i="11"/>
  <c r="L1753" i="11"/>
  <c r="K1753" i="11"/>
  <c r="J1753" i="11"/>
  <c r="I1753" i="11"/>
  <c r="H1753" i="11"/>
  <c r="G1753" i="11"/>
  <c r="F1753" i="11"/>
  <c r="E1753" i="11"/>
  <c r="D1753" i="11"/>
  <c r="C1753" i="11"/>
  <c r="B1753" i="11"/>
  <c r="A1753" i="11"/>
  <c r="S1753" i="11" s="1"/>
  <c r="S1752" i="11"/>
  <c r="M1752" i="11"/>
  <c r="L1752" i="11"/>
  <c r="K1752" i="11"/>
  <c r="J1752" i="11"/>
  <c r="I1752" i="11"/>
  <c r="H1752" i="11"/>
  <c r="G1752" i="11"/>
  <c r="F1752" i="11"/>
  <c r="Q1752" i="11" s="1"/>
  <c r="E1752" i="11"/>
  <c r="P1752" i="11" s="1"/>
  <c r="D1752" i="11"/>
  <c r="C1752" i="11"/>
  <c r="B1752" i="11"/>
  <c r="T1752" i="11" s="1"/>
  <c r="A1752" i="11"/>
  <c r="T1751" i="11"/>
  <c r="Q1751" i="11"/>
  <c r="M1751" i="11"/>
  <c r="L1751" i="11"/>
  <c r="K1751" i="11"/>
  <c r="J1751" i="11"/>
  <c r="I1751" i="11"/>
  <c r="H1751" i="11"/>
  <c r="G1751" i="11"/>
  <c r="F1751" i="11"/>
  <c r="E1751" i="11"/>
  <c r="D1751" i="11"/>
  <c r="C1751" i="11"/>
  <c r="B1751" i="11"/>
  <c r="A1751" i="11"/>
  <c r="S1751" i="11" s="1"/>
  <c r="S1750" i="11"/>
  <c r="M1750" i="11"/>
  <c r="L1750" i="11"/>
  <c r="K1750" i="11"/>
  <c r="J1750" i="11"/>
  <c r="I1750" i="11"/>
  <c r="H1750" i="11"/>
  <c r="G1750" i="11"/>
  <c r="F1750" i="11"/>
  <c r="E1750" i="11"/>
  <c r="P1750" i="11" s="1"/>
  <c r="D1750" i="11"/>
  <c r="C1750" i="11"/>
  <c r="B1750" i="11"/>
  <c r="T1750" i="11" s="1"/>
  <c r="A1750" i="11"/>
  <c r="T1749" i="11"/>
  <c r="Q1749" i="11"/>
  <c r="P1749" i="11"/>
  <c r="M1749" i="11"/>
  <c r="L1749" i="11"/>
  <c r="K1749" i="11"/>
  <c r="J1749" i="11"/>
  <c r="I1749" i="11"/>
  <c r="H1749" i="11"/>
  <c r="G1749" i="11"/>
  <c r="F1749" i="11"/>
  <c r="E1749" i="11"/>
  <c r="D1749" i="11"/>
  <c r="C1749" i="11"/>
  <c r="B1749" i="11"/>
  <c r="A1749" i="11"/>
  <c r="S1749" i="11" s="1"/>
  <c r="S1748" i="11"/>
  <c r="M1748" i="11"/>
  <c r="L1748" i="11"/>
  <c r="K1748" i="11"/>
  <c r="J1748" i="11"/>
  <c r="I1748" i="11"/>
  <c r="H1748" i="11"/>
  <c r="G1748" i="11"/>
  <c r="F1748" i="11"/>
  <c r="E1748" i="11"/>
  <c r="P1748" i="11" s="1"/>
  <c r="D1748" i="11"/>
  <c r="C1748" i="11"/>
  <c r="B1748" i="11"/>
  <c r="T1748" i="11" s="1"/>
  <c r="A1748" i="11"/>
  <c r="T1747" i="11"/>
  <c r="Q1747" i="11"/>
  <c r="P1747" i="11"/>
  <c r="M1747" i="11"/>
  <c r="L1747" i="11"/>
  <c r="K1747" i="11"/>
  <c r="J1747" i="11"/>
  <c r="I1747" i="11"/>
  <c r="H1747" i="11"/>
  <c r="G1747" i="11"/>
  <c r="F1747" i="11"/>
  <c r="E1747" i="11"/>
  <c r="D1747" i="11"/>
  <c r="C1747" i="11"/>
  <c r="B1747" i="11"/>
  <c r="A1747" i="11"/>
  <c r="S1747" i="11" s="1"/>
  <c r="S1746" i="11"/>
  <c r="M1746" i="11"/>
  <c r="L1746" i="11"/>
  <c r="K1746" i="11"/>
  <c r="J1746" i="11"/>
  <c r="I1746" i="11"/>
  <c r="H1746" i="11"/>
  <c r="G1746" i="11"/>
  <c r="F1746" i="11"/>
  <c r="Q1746" i="11" s="1"/>
  <c r="E1746" i="11"/>
  <c r="P1746" i="11" s="1"/>
  <c r="D1746" i="11"/>
  <c r="C1746" i="11"/>
  <c r="B1746" i="11"/>
  <c r="T1746" i="11" s="1"/>
  <c r="A1746" i="11"/>
  <c r="T1745" i="11"/>
  <c r="Q1745" i="11"/>
  <c r="M1745" i="11"/>
  <c r="L1745" i="11"/>
  <c r="K1745" i="11"/>
  <c r="J1745" i="11"/>
  <c r="I1745" i="11"/>
  <c r="H1745" i="11"/>
  <c r="G1745" i="11"/>
  <c r="F1745" i="11"/>
  <c r="E1745" i="11"/>
  <c r="D1745" i="11"/>
  <c r="C1745" i="11"/>
  <c r="B1745" i="11"/>
  <c r="A1745" i="11"/>
  <c r="S1745" i="11" s="1"/>
  <c r="S1744" i="11"/>
  <c r="M1744" i="11"/>
  <c r="L1744" i="11"/>
  <c r="K1744" i="11"/>
  <c r="J1744" i="11"/>
  <c r="I1744" i="11"/>
  <c r="H1744" i="11"/>
  <c r="G1744" i="11"/>
  <c r="F1744" i="11"/>
  <c r="Q1744" i="11" s="1"/>
  <c r="E1744" i="11"/>
  <c r="D1744" i="11"/>
  <c r="C1744" i="11"/>
  <c r="B1744" i="11"/>
  <c r="T1744" i="11" s="1"/>
  <c r="A1744" i="11"/>
  <c r="T1743" i="11"/>
  <c r="Q1743" i="11"/>
  <c r="M1743" i="11"/>
  <c r="L1743" i="11"/>
  <c r="K1743" i="11"/>
  <c r="J1743" i="11"/>
  <c r="I1743" i="11"/>
  <c r="H1743" i="11"/>
  <c r="G1743" i="11"/>
  <c r="F1743" i="11"/>
  <c r="E1743" i="11"/>
  <c r="D1743" i="11"/>
  <c r="C1743" i="11"/>
  <c r="B1743" i="11"/>
  <c r="A1743" i="11"/>
  <c r="S1743" i="11" s="1"/>
  <c r="Q1742" i="11"/>
  <c r="M1742" i="11"/>
  <c r="L1742" i="11"/>
  <c r="K1742" i="11"/>
  <c r="J1742" i="11"/>
  <c r="I1742" i="11"/>
  <c r="H1742" i="11"/>
  <c r="G1742" i="11"/>
  <c r="F1742" i="11"/>
  <c r="E1742" i="11"/>
  <c r="D1742" i="11"/>
  <c r="C1742" i="11"/>
  <c r="B1742" i="11"/>
  <c r="T1742" i="11" s="1"/>
  <c r="A1742" i="11"/>
  <c r="S1742" i="11" s="1"/>
  <c r="M1741" i="11"/>
  <c r="L1741" i="11"/>
  <c r="K1741" i="11"/>
  <c r="J1741" i="11"/>
  <c r="I1741" i="11"/>
  <c r="H1741" i="11"/>
  <c r="G1741" i="11"/>
  <c r="F1741" i="11"/>
  <c r="Q1741" i="11" s="1"/>
  <c r="E1741" i="11"/>
  <c r="D1741" i="11"/>
  <c r="C1741" i="11"/>
  <c r="B1741" i="11"/>
  <c r="T1741" i="11" s="1"/>
  <c r="A1741" i="11"/>
  <c r="S1741" i="11" s="1"/>
  <c r="T1740" i="11"/>
  <c r="S1740" i="11"/>
  <c r="P1740" i="11"/>
  <c r="M1740" i="11"/>
  <c r="L1740" i="11"/>
  <c r="K1740" i="11"/>
  <c r="J1740" i="11"/>
  <c r="I1740" i="11"/>
  <c r="H1740" i="11"/>
  <c r="G1740" i="11"/>
  <c r="F1740" i="11"/>
  <c r="V1740" i="11" s="1"/>
  <c r="E1740" i="11"/>
  <c r="D1740" i="11"/>
  <c r="C1740" i="11"/>
  <c r="B1740" i="11"/>
  <c r="A1740" i="11"/>
  <c r="M1739" i="11"/>
  <c r="L1739" i="11"/>
  <c r="K1739" i="11"/>
  <c r="J1739" i="11"/>
  <c r="I1739" i="11"/>
  <c r="H1739" i="11"/>
  <c r="G1739" i="11"/>
  <c r="F1739" i="11"/>
  <c r="Q1739" i="11" s="1"/>
  <c r="E1739" i="11"/>
  <c r="D1739" i="11"/>
  <c r="C1739" i="11"/>
  <c r="B1739" i="11"/>
  <c r="T1739" i="11" s="1"/>
  <c r="A1739" i="11"/>
  <c r="S1739" i="11" s="1"/>
  <c r="T1738" i="11"/>
  <c r="S1738" i="11"/>
  <c r="P1738" i="11"/>
  <c r="M1738" i="11"/>
  <c r="L1738" i="11"/>
  <c r="K1738" i="11"/>
  <c r="J1738" i="11"/>
  <c r="I1738" i="11"/>
  <c r="H1738" i="11"/>
  <c r="G1738" i="11"/>
  <c r="F1738" i="11"/>
  <c r="V1738" i="11" s="1"/>
  <c r="E1738" i="11"/>
  <c r="D1738" i="11"/>
  <c r="C1738" i="11"/>
  <c r="B1738" i="11"/>
  <c r="A1738" i="11"/>
  <c r="Q1737" i="11"/>
  <c r="M1737" i="11"/>
  <c r="L1737" i="11"/>
  <c r="K1737" i="11"/>
  <c r="J1737" i="11"/>
  <c r="I1737" i="11"/>
  <c r="H1737" i="11"/>
  <c r="G1737" i="11"/>
  <c r="F1737" i="11"/>
  <c r="E1737" i="11"/>
  <c r="P1737" i="11" s="1"/>
  <c r="D1737" i="11"/>
  <c r="C1737" i="11"/>
  <c r="B1737" i="11"/>
  <c r="T1737" i="11" s="1"/>
  <c r="A1737" i="11"/>
  <c r="S1737" i="11" s="1"/>
  <c r="T1736" i="11"/>
  <c r="S1736" i="11"/>
  <c r="P1736" i="11"/>
  <c r="M1736" i="11"/>
  <c r="L1736" i="11"/>
  <c r="K1736" i="11"/>
  <c r="J1736" i="11"/>
  <c r="I1736" i="11"/>
  <c r="H1736" i="11"/>
  <c r="G1736" i="11"/>
  <c r="F1736" i="11"/>
  <c r="V1736" i="11" s="1"/>
  <c r="E1736" i="11"/>
  <c r="D1736" i="11"/>
  <c r="C1736" i="11"/>
  <c r="B1736" i="11"/>
  <c r="A1736" i="11"/>
  <c r="V1735" i="11"/>
  <c r="M1735" i="11"/>
  <c r="L1735" i="11"/>
  <c r="K1735" i="11"/>
  <c r="J1735" i="11"/>
  <c r="I1735" i="11"/>
  <c r="H1735" i="11"/>
  <c r="G1735" i="11"/>
  <c r="F1735" i="11"/>
  <c r="Q1735" i="11" s="1"/>
  <c r="E1735" i="11"/>
  <c r="P1735" i="11" s="1"/>
  <c r="D1735" i="11"/>
  <c r="C1735" i="11"/>
  <c r="B1735" i="11"/>
  <c r="T1735" i="11" s="1"/>
  <c r="A1735" i="11"/>
  <c r="S1735" i="11" s="1"/>
  <c r="T1734" i="11"/>
  <c r="S1734" i="11"/>
  <c r="P1734" i="11"/>
  <c r="M1734" i="11"/>
  <c r="L1734" i="11"/>
  <c r="K1734" i="11"/>
  <c r="J1734" i="11"/>
  <c r="I1734" i="11"/>
  <c r="H1734" i="11"/>
  <c r="G1734" i="11"/>
  <c r="F1734" i="11"/>
  <c r="V1734" i="11" s="1"/>
  <c r="E1734" i="11"/>
  <c r="D1734" i="11"/>
  <c r="C1734" i="11"/>
  <c r="B1734" i="11"/>
  <c r="A1734" i="11"/>
  <c r="Q1733" i="11"/>
  <c r="M1733" i="11"/>
  <c r="L1733" i="11"/>
  <c r="K1733" i="11"/>
  <c r="J1733" i="11"/>
  <c r="I1733" i="11"/>
  <c r="H1733" i="11"/>
  <c r="G1733" i="11"/>
  <c r="F1733" i="11"/>
  <c r="E1733" i="11"/>
  <c r="P1733" i="11" s="1"/>
  <c r="D1733" i="11"/>
  <c r="C1733" i="11"/>
  <c r="B1733" i="11"/>
  <c r="T1733" i="11" s="1"/>
  <c r="A1733" i="11"/>
  <c r="S1733" i="11" s="1"/>
  <c r="T1732" i="11"/>
  <c r="S1732" i="11"/>
  <c r="P1732" i="11"/>
  <c r="M1732" i="11"/>
  <c r="L1732" i="11"/>
  <c r="K1732" i="11"/>
  <c r="J1732" i="11"/>
  <c r="I1732" i="11"/>
  <c r="H1732" i="11"/>
  <c r="G1732" i="11"/>
  <c r="F1732" i="11"/>
  <c r="V1732" i="11" s="1"/>
  <c r="E1732" i="11"/>
  <c r="D1732" i="11"/>
  <c r="C1732" i="11"/>
  <c r="B1732" i="11"/>
  <c r="A1732" i="11"/>
  <c r="V1731" i="11"/>
  <c r="M1731" i="11"/>
  <c r="L1731" i="11"/>
  <c r="K1731" i="11"/>
  <c r="J1731" i="11"/>
  <c r="I1731" i="11"/>
  <c r="H1731" i="11"/>
  <c r="G1731" i="11"/>
  <c r="F1731" i="11"/>
  <c r="Q1731" i="11" s="1"/>
  <c r="E1731" i="11"/>
  <c r="D1731" i="11"/>
  <c r="C1731" i="11"/>
  <c r="B1731" i="11"/>
  <c r="T1731" i="11" s="1"/>
  <c r="A1731" i="11"/>
  <c r="S1731" i="11" s="1"/>
  <c r="T1730" i="11"/>
  <c r="S1730" i="11"/>
  <c r="P1730" i="11"/>
  <c r="M1730" i="11"/>
  <c r="L1730" i="11"/>
  <c r="K1730" i="11"/>
  <c r="J1730" i="11"/>
  <c r="I1730" i="11"/>
  <c r="H1730" i="11"/>
  <c r="G1730" i="11"/>
  <c r="F1730" i="11"/>
  <c r="V1730" i="11" s="1"/>
  <c r="E1730" i="11"/>
  <c r="D1730" i="11"/>
  <c r="C1730" i="11"/>
  <c r="B1730" i="11"/>
  <c r="A1730" i="11"/>
  <c r="Q1729" i="11"/>
  <c r="M1729" i="11"/>
  <c r="L1729" i="11"/>
  <c r="K1729" i="11"/>
  <c r="J1729" i="11"/>
  <c r="I1729" i="11"/>
  <c r="H1729" i="11"/>
  <c r="G1729" i="11"/>
  <c r="F1729" i="11"/>
  <c r="E1729" i="11"/>
  <c r="D1729" i="11"/>
  <c r="C1729" i="11"/>
  <c r="B1729" i="11"/>
  <c r="T1729" i="11" s="1"/>
  <c r="A1729" i="11"/>
  <c r="S1729" i="11" s="1"/>
  <c r="T1728" i="11"/>
  <c r="S1728" i="11"/>
  <c r="P1728" i="11"/>
  <c r="M1728" i="11"/>
  <c r="L1728" i="11"/>
  <c r="K1728" i="11"/>
  <c r="J1728" i="11"/>
  <c r="I1728" i="11"/>
  <c r="H1728" i="11"/>
  <c r="G1728" i="11"/>
  <c r="F1728" i="11"/>
  <c r="V1728" i="11" s="1"/>
  <c r="E1728" i="11"/>
  <c r="D1728" i="11"/>
  <c r="C1728" i="11"/>
  <c r="B1728" i="11"/>
  <c r="A1728" i="11"/>
  <c r="Q1727" i="11"/>
  <c r="M1727" i="11"/>
  <c r="L1727" i="11"/>
  <c r="K1727" i="11"/>
  <c r="J1727" i="11"/>
  <c r="I1727" i="11"/>
  <c r="H1727" i="11"/>
  <c r="G1727" i="11"/>
  <c r="F1727" i="11"/>
  <c r="V1727" i="11" s="1"/>
  <c r="E1727" i="11"/>
  <c r="P1727" i="11" s="1"/>
  <c r="D1727" i="11"/>
  <c r="C1727" i="11"/>
  <c r="B1727" i="11"/>
  <c r="T1727" i="11" s="1"/>
  <c r="A1727" i="11"/>
  <c r="S1727" i="11" s="1"/>
  <c r="T1726" i="11"/>
  <c r="S1726" i="11"/>
  <c r="P1726" i="11"/>
  <c r="M1726" i="11"/>
  <c r="L1726" i="11"/>
  <c r="K1726" i="11"/>
  <c r="J1726" i="11"/>
  <c r="I1726" i="11"/>
  <c r="H1726" i="11"/>
  <c r="G1726" i="11"/>
  <c r="F1726" i="11"/>
  <c r="V1726" i="11" s="1"/>
  <c r="E1726" i="11"/>
  <c r="D1726" i="11"/>
  <c r="C1726" i="11"/>
  <c r="B1726" i="11"/>
  <c r="A1726" i="11"/>
  <c r="Q1725" i="11"/>
  <c r="M1725" i="11"/>
  <c r="L1725" i="11"/>
  <c r="K1725" i="11"/>
  <c r="J1725" i="11"/>
  <c r="I1725" i="11"/>
  <c r="H1725" i="11"/>
  <c r="G1725" i="11"/>
  <c r="F1725" i="11"/>
  <c r="E1725" i="11"/>
  <c r="D1725" i="11"/>
  <c r="C1725" i="11"/>
  <c r="B1725" i="11"/>
  <c r="T1725" i="11" s="1"/>
  <c r="A1725" i="11"/>
  <c r="S1725" i="11" s="1"/>
  <c r="T1724" i="11"/>
  <c r="S1724" i="11"/>
  <c r="P1724" i="11"/>
  <c r="M1724" i="11"/>
  <c r="L1724" i="11"/>
  <c r="K1724" i="11"/>
  <c r="J1724" i="11"/>
  <c r="I1724" i="11"/>
  <c r="H1724" i="11"/>
  <c r="G1724" i="11"/>
  <c r="F1724" i="11"/>
  <c r="V1724" i="11" s="1"/>
  <c r="E1724" i="11"/>
  <c r="D1724" i="11"/>
  <c r="C1724" i="11"/>
  <c r="B1724" i="11"/>
  <c r="A1724" i="11"/>
  <c r="M1723" i="11"/>
  <c r="L1723" i="11"/>
  <c r="K1723" i="11"/>
  <c r="J1723" i="11"/>
  <c r="I1723" i="11"/>
  <c r="H1723" i="11"/>
  <c r="G1723" i="11"/>
  <c r="F1723" i="11"/>
  <c r="Q1723" i="11" s="1"/>
  <c r="E1723" i="11"/>
  <c r="P1723" i="11" s="1"/>
  <c r="D1723" i="11"/>
  <c r="C1723" i="11"/>
  <c r="B1723" i="11"/>
  <c r="T1723" i="11" s="1"/>
  <c r="A1723" i="11"/>
  <c r="S1723" i="11" s="1"/>
  <c r="T1722" i="11"/>
  <c r="S1722" i="11"/>
  <c r="P1722" i="11"/>
  <c r="M1722" i="11"/>
  <c r="L1722" i="11"/>
  <c r="K1722" i="11"/>
  <c r="J1722" i="11"/>
  <c r="I1722" i="11"/>
  <c r="H1722" i="11"/>
  <c r="G1722" i="11"/>
  <c r="F1722" i="11"/>
  <c r="V1722" i="11" s="1"/>
  <c r="E1722" i="11"/>
  <c r="D1722" i="11"/>
  <c r="C1722" i="11"/>
  <c r="B1722" i="11"/>
  <c r="A1722" i="11"/>
  <c r="Q1721" i="11"/>
  <c r="M1721" i="11"/>
  <c r="L1721" i="11"/>
  <c r="K1721" i="11"/>
  <c r="J1721" i="11"/>
  <c r="I1721" i="11"/>
  <c r="H1721" i="11"/>
  <c r="G1721" i="11"/>
  <c r="F1721" i="11"/>
  <c r="E1721" i="11"/>
  <c r="D1721" i="11"/>
  <c r="C1721" i="11"/>
  <c r="B1721" i="11"/>
  <c r="T1721" i="11" s="1"/>
  <c r="A1721" i="11"/>
  <c r="S1721" i="11" s="1"/>
  <c r="T1720" i="11"/>
  <c r="S1720" i="11"/>
  <c r="P1720" i="11"/>
  <c r="M1720" i="11"/>
  <c r="L1720" i="11"/>
  <c r="K1720" i="11"/>
  <c r="J1720" i="11"/>
  <c r="I1720" i="11"/>
  <c r="H1720" i="11"/>
  <c r="G1720" i="11"/>
  <c r="F1720" i="11"/>
  <c r="V1720" i="11" s="1"/>
  <c r="E1720" i="11"/>
  <c r="D1720" i="11"/>
  <c r="C1720" i="11"/>
  <c r="B1720" i="11"/>
  <c r="A1720" i="11"/>
  <c r="V1719" i="11"/>
  <c r="M1719" i="11"/>
  <c r="L1719" i="11"/>
  <c r="K1719" i="11"/>
  <c r="J1719" i="11"/>
  <c r="I1719" i="11"/>
  <c r="H1719" i="11"/>
  <c r="G1719" i="11"/>
  <c r="F1719" i="11"/>
  <c r="Q1719" i="11" s="1"/>
  <c r="E1719" i="11"/>
  <c r="P1719" i="11" s="1"/>
  <c r="D1719" i="11"/>
  <c r="C1719" i="11"/>
  <c r="B1719" i="11"/>
  <c r="T1719" i="11" s="1"/>
  <c r="A1719" i="11"/>
  <c r="S1719" i="11" s="1"/>
  <c r="T1718" i="11"/>
  <c r="S1718" i="11"/>
  <c r="P1718" i="11"/>
  <c r="M1718" i="11"/>
  <c r="L1718" i="11"/>
  <c r="K1718" i="11"/>
  <c r="J1718" i="11"/>
  <c r="I1718" i="11"/>
  <c r="H1718" i="11"/>
  <c r="G1718" i="11"/>
  <c r="F1718" i="11"/>
  <c r="V1718" i="11" s="1"/>
  <c r="E1718" i="11"/>
  <c r="D1718" i="11"/>
  <c r="C1718" i="11"/>
  <c r="B1718" i="11"/>
  <c r="A1718" i="11"/>
  <c r="Q1717" i="11"/>
  <c r="M1717" i="11"/>
  <c r="L1717" i="11"/>
  <c r="K1717" i="11"/>
  <c r="J1717" i="11"/>
  <c r="I1717" i="11"/>
  <c r="H1717" i="11"/>
  <c r="G1717" i="11"/>
  <c r="F1717" i="11"/>
  <c r="E1717" i="11"/>
  <c r="P1717" i="11" s="1"/>
  <c r="D1717" i="11"/>
  <c r="C1717" i="11"/>
  <c r="B1717" i="11"/>
  <c r="T1717" i="11" s="1"/>
  <c r="A1717" i="11"/>
  <c r="S1717" i="11" s="1"/>
  <c r="T1716" i="11"/>
  <c r="S1716" i="11"/>
  <c r="P1716" i="11"/>
  <c r="M1716" i="11"/>
  <c r="L1716" i="11"/>
  <c r="K1716" i="11"/>
  <c r="J1716" i="11"/>
  <c r="I1716" i="11"/>
  <c r="H1716" i="11"/>
  <c r="G1716" i="11"/>
  <c r="F1716" i="11"/>
  <c r="V1716" i="11" s="1"/>
  <c r="E1716" i="11"/>
  <c r="D1716" i="11"/>
  <c r="C1716" i="11"/>
  <c r="B1716" i="11"/>
  <c r="A1716" i="11"/>
  <c r="V1715" i="11"/>
  <c r="M1715" i="11"/>
  <c r="L1715" i="11"/>
  <c r="K1715" i="11"/>
  <c r="J1715" i="11"/>
  <c r="I1715" i="11"/>
  <c r="H1715" i="11"/>
  <c r="G1715" i="11"/>
  <c r="F1715" i="11"/>
  <c r="Q1715" i="11" s="1"/>
  <c r="E1715" i="11"/>
  <c r="D1715" i="11"/>
  <c r="C1715" i="11"/>
  <c r="B1715" i="11"/>
  <c r="T1715" i="11" s="1"/>
  <c r="A1715" i="11"/>
  <c r="S1715" i="11" s="1"/>
  <c r="T1714" i="11"/>
  <c r="S1714" i="11"/>
  <c r="P1714" i="11"/>
  <c r="M1714" i="11"/>
  <c r="L1714" i="11"/>
  <c r="K1714" i="11"/>
  <c r="J1714" i="11"/>
  <c r="I1714" i="11"/>
  <c r="H1714" i="11"/>
  <c r="G1714" i="11"/>
  <c r="F1714" i="11"/>
  <c r="V1714" i="11" s="1"/>
  <c r="E1714" i="11"/>
  <c r="D1714" i="11"/>
  <c r="C1714" i="11"/>
  <c r="B1714" i="11"/>
  <c r="A1714" i="11"/>
  <c r="Q1713" i="11"/>
  <c r="M1713" i="11"/>
  <c r="L1713" i="11"/>
  <c r="K1713" i="11"/>
  <c r="J1713" i="11"/>
  <c r="I1713" i="11"/>
  <c r="H1713" i="11"/>
  <c r="G1713" i="11"/>
  <c r="F1713" i="11"/>
  <c r="E1713" i="11"/>
  <c r="D1713" i="11"/>
  <c r="C1713" i="11"/>
  <c r="B1713" i="11"/>
  <c r="T1713" i="11" s="1"/>
  <c r="A1713" i="11"/>
  <c r="S1713" i="11" s="1"/>
  <c r="T1712" i="11"/>
  <c r="S1712" i="11"/>
  <c r="P1712" i="11"/>
  <c r="M1712" i="11"/>
  <c r="L1712" i="11"/>
  <c r="K1712" i="11"/>
  <c r="J1712" i="11"/>
  <c r="I1712" i="11"/>
  <c r="H1712" i="11"/>
  <c r="G1712" i="11"/>
  <c r="F1712" i="11"/>
  <c r="V1712" i="11" s="1"/>
  <c r="E1712" i="11"/>
  <c r="D1712" i="11"/>
  <c r="C1712" i="11"/>
  <c r="B1712" i="11"/>
  <c r="A1712" i="11"/>
  <c r="V1711" i="11"/>
  <c r="Q1711" i="11"/>
  <c r="M1711" i="11"/>
  <c r="L1711" i="11"/>
  <c r="K1711" i="11"/>
  <c r="J1711" i="11"/>
  <c r="I1711" i="11"/>
  <c r="H1711" i="11"/>
  <c r="G1711" i="11"/>
  <c r="F1711" i="11"/>
  <c r="E1711" i="11"/>
  <c r="P1711" i="11" s="1"/>
  <c r="D1711" i="11"/>
  <c r="C1711" i="11"/>
  <c r="B1711" i="11"/>
  <c r="T1711" i="11" s="1"/>
  <c r="A1711" i="11"/>
  <c r="S1711" i="11" s="1"/>
  <c r="T1710" i="11"/>
  <c r="S1710" i="11"/>
  <c r="P1710" i="11"/>
  <c r="M1710" i="11"/>
  <c r="L1710" i="11"/>
  <c r="K1710" i="11"/>
  <c r="J1710" i="11"/>
  <c r="I1710" i="11"/>
  <c r="H1710" i="11"/>
  <c r="G1710" i="11"/>
  <c r="F1710" i="11"/>
  <c r="V1710" i="11" s="1"/>
  <c r="E1710" i="11"/>
  <c r="D1710" i="11"/>
  <c r="C1710" i="11"/>
  <c r="B1710" i="11"/>
  <c r="A1710" i="11"/>
  <c r="M1709" i="11"/>
  <c r="L1709" i="11"/>
  <c r="K1709" i="11"/>
  <c r="J1709" i="11"/>
  <c r="I1709" i="11"/>
  <c r="H1709" i="11"/>
  <c r="G1709" i="11"/>
  <c r="F1709" i="11"/>
  <c r="Q1709" i="11" s="1"/>
  <c r="E1709" i="11"/>
  <c r="D1709" i="11"/>
  <c r="C1709" i="11"/>
  <c r="B1709" i="11"/>
  <c r="T1709" i="11" s="1"/>
  <c r="A1709" i="11"/>
  <c r="S1709" i="11" s="1"/>
  <c r="T1708" i="11"/>
  <c r="S1708" i="11"/>
  <c r="P1708" i="11"/>
  <c r="M1708" i="11"/>
  <c r="L1708" i="11"/>
  <c r="K1708" i="11"/>
  <c r="J1708" i="11"/>
  <c r="I1708" i="11"/>
  <c r="H1708" i="11"/>
  <c r="G1708" i="11"/>
  <c r="F1708" i="11"/>
  <c r="V1708" i="11" s="1"/>
  <c r="E1708" i="11"/>
  <c r="D1708" i="11"/>
  <c r="C1708" i="11"/>
  <c r="B1708" i="11"/>
  <c r="A1708" i="11"/>
  <c r="M1707" i="11"/>
  <c r="L1707" i="11"/>
  <c r="K1707" i="11"/>
  <c r="J1707" i="11"/>
  <c r="I1707" i="11"/>
  <c r="H1707" i="11"/>
  <c r="G1707" i="11"/>
  <c r="F1707" i="11"/>
  <c r="Q1707" i="11" s="1"/>
  <c r="E1707" i="11"/>
  <c r="P1707" i="11" s="1"/>
  <c r="D1707" i="11"/>
  <c r="C1707" i="11"/>
  <c r="B1707" i="11"/>
  <c r="T1707" i="11" s="1"/>
  <c r="A1707" i="11"/>
  <c r="S1707" i="11" s="1"/>
  <c r="T1706" i="11"/>
  <c r="S1706" i="11"/>
  <c r="P1706" i="11"/>
  <c r="M1706" i="11"/>
  <c r="L1706" i="11"/>
  <c r="K1706" i="11"/>
  <c r="J1706" i="11"/>
  <c r="I1706" i="11"/>
  <c r="H1706" i="11"/>
  <c r="G1706" i="11"/>
  <c r="F1706" i="11"/>
  <c r="V1706" i="11" s="1"/>
  <c r="E1706" i="11"/>
  <c r="D1706" i="11"/>
  <c r="C1706" i="11"/>
  <c r="B1706" i="11"/>
  <c r="A1706" i="11"/>
  <c r="Q1705" i="11"/>
  <c r="M1705" i="11"/>
  <c r="L1705" i="11"/>
  <c r="K1705" i="11"/>
  <c r="J1705" i="11"/>
  <c r="I1705" i="11"/>
  <c r="H1705" i="11"/>
  <c r="G1705" i="11"/>
  <c r="F1705" i="11"/>
  <c r="E1705" i="11"/>
  <c r="D1705" i="11"/>
  <c r="C1705" i="11"/>
  <c r="B1705" i="11"/>
  <c r="T1705" i="11" s="1"/>
  <c r="A1705" i="11"/>
  <c r="S1705" i="11" s="1"/>
  <c r="T1704" i="11"/>
  <c r="S1704" i="11"/>
  <c r="P1704" i="11"/>
  <c r="M1704" i="11"/>
  <c r="L1704" i="11"/>
  <c r="K1704" i="11"/>
  <c r="J1704" i="11"/>
  <c r="I1704" i="11"/>
  <c r="H1704" i="11"/>
  <c r="G1704" i="11"/>
  <c r="F1704" i="11"/>
  <c r="V1704" i="11" s="1"/>
  <c r="E1704" i="11"/>
  <c r="D1704" i="11"/>
  <c r="C1704" i="11"/>
  <c r="B1704" i="11"/>
  <c r="A1704" i="11"/>
  <c r="V1703" i="11"/>
  <c r="M1703" i="11"/>
  <c r="L1703" i="11"/>
  <c r="K1703" i="11"/>
  <c r="J1703" i="11"/>
  <c r="I1703" i="11"/>
  <c r="H1703" i="11"/>
  <c r="G1703" i="11"/>
  <c r="F1703" i="11"/>
  <c r="Q1703" i="11" s="1"/>
  <c r="E1703" i="11"/>
  <c r="P1703" i="11" s="1"/>
  <c r="D1703" i="11"/>
  <c r="C1703" i="11"/>
  <c r="B1703" i="11"/>
  <c r="T1703" i="11" s="1"/>
  <c r="A1703" i="11"/>
  <c r="S1703" i="11" s="1"/>
  <c r="T1702" i="11"/>
  <c r="S1702" i="11"/>
  <c r="P1702" i="11"/>
  <c r="M1702" i="11"/>
  <c r="L1702" i="11"/>
  <c r="K1702" i="11"/>
  <c r="J1702" i="11"/>
  <c r="I1702" i="11"/>
  <c r="H1702" i="11"/>
  <c r="G1702" i="11"/>
  <c r="F1702" i="11"/>
  <c r="V1702" i="11" s="1"/>
  <c r="E1702" i="11"/>
  <c r="D1702" i="11"/>
  <c r="C1702" i="11"/>
  <c r="B1702" i="11"/>
  <c r="A1702" i="11"/>
  <c r="Q1701" i="11"/>
  <c r="M1701" i="11"/>
  <c r="L1701" i="11"/>
  <c r="K1701" i="11"/>
  <c r="J1701" i="11"/>
  <c r="I1701" i="11"/>
  <c r="H1701" i="11"/>
  <c r="G1701" i="11"/>
  <c r="F1701" i="11"/>
  <c r="E1701" i="11"/>
  <c r="P1701" i="11" s="1"/>
  <c r="D1701" i="11"/>
  <c r="C1701" i="11"/>
  <c r="B1701" i="11"/>
  <c r="T1701" i="11" s="1"/>
  <c r="A1701" i="11"/>
  <c r="S1701" i="11" s="1"/>
  <c r="T1700" i="11"/>
  <c r="S1700" i="11"/>
  <c r="P1700" i="11"/>
  <c r="M1700" i="11"/>
  <c r="L1700" i="11"/>
  <c r="K1700" i="11"/>
  <c r="J1700" i="11"/>
  <c r="I1700" i="11"/>
  <c r="H1700" i="11"/>
  <c r="G1700" i="11"/>
  <c r="F1700" i="11"/>
  <c r="V1700" i="11" s="1"/>
  <c r="E1700" i="11"/>
  <c r="D1700" i="11"/>
  <c r="C1700" i="11"/>
  <c r="B1700" i="11"/>
  <c r="A1700" i="11"/>
  <c r="V1699" i="11"/>
  <c r="M1699" i="11"/>
  <c r="L1699" i="11"/>
  <c r="K1699" i="11"/>
  <c r="J1699" i="11"/>
  <c r="I1699" i="11"/>
  <c r="H1699" i="11"/>
  <c r="G1699" i="11"/>
  <c r="F1699" i="11"/>
  <c r="Q1699" i="11" s="1"/>
  <c r="E1699" i="11"/>
  <c r="D1699" i="11"/>
  <c r="C1699" i="11"/>
  <c r="B1699" i="11"/>
  <c r="T1699" i="11" s="1"/>
  <c r="A1699" i="11"/>
  <c r="S1699" i="11" s="1"/>
  <c r="T1698" i="11"/>
  <c r="S1698" i="11"/>
  <c r="P1698" i="11"/>
  <c r="M1698" i="11"/>
  <c r="L1698" i="11"/>
  <c r="K1698" i="11"/>
  <c r="J1698" i="11"/>
  <c r="I1698" i="11"/>
  <c r="H1698" i="11"/>
  <c r="G1698" i="11"/>
  <c r="F1698" i="11"/>
  <c r="V1698" i="11" s="1"/>
  <c r="E1698" i="11"/>
  <c r="D1698" i="11"/>
  <c r="C1698" i="11"/>
  <c r="B1698" i="11"/>
  <c r="A1698" i="11"/>
  <c r="Q1697" i="11"/>
  <c r="M1697" i="11"/>
  <c r="L1697" i="11"/>
  <c r="K1697" i="11"/>
  <c r="J1697" i="11"/>
  <c r="I1697" i="11"/>
  <c r="H1697" i="11"/>
  <c r="G1697" i="11"/>
  <c r="F1697" i="11"/>
  <c r="E1697" i="11"/>
  <c r="D1697" i="11"/>
  <c r="C1697" i="11"/>
  <c r="B1697" i="11"/>
  <c r="T1697" i="11" s="1"/>
  <c r="A1697" i="11"/>
  <c r="S1697" i="11" s="1"/>
  <c r="T1696" i="11"/>
  <c r="S1696" i="11"/>
  <c r="P1696" i="11"/>
  <c r="M1696" i="11"/>
  <c r="L1696" i="11"/>
  <c r="K1696" i="11"/>
  <c r="J1696" i="11"/>
  <c r="I1696" i="11"/>
  <c r="H1696" i="11"/>
  <c r="G1696" i="11"/>
  <c r="F1696" i="11"/>
  <c r="V1696" i="11" s="1"/>
  <c r="E1696" i="11"/>
  <c r="D1696" i="11"/>
  <c r="C1696" i="11"/>
  <c r="B1696" i="11"/>
  <c r="A1696" i="11"/>
  <c r="V1695" i="11"/>
  <c r="Q1695" i="11"/>
  <c r="M1695" i="11"/>
  <c r="L1695" i="11"/>
  <c r="K1695" i="11"/>
  <c r="J1695" i="11"/>
  <c r="I1695" i="11"/>
  <c r="H1695" i="11"/>
  <c r="G1695" i="11"/>
  <c r="F1695" i="11"/>
  <c r="E1695" i="11"/>
  <c r="P1695" i="11" s="1"/>
  <c r="D1695" i="11"/>
  <c r="C1695" i="11"/>
  <c r="B1695" i="11"/>
  <c r="T1695" i="11" s="1"/>
  <c r="A1695" i="11"/>
  <c r="S1695" i="11" s="1"/>
  <c r="T1694" i="11"/>
  <c r="S1694" i="11"/>
  <c r="P1694" i="11"/>
  <c r="M1694" i="11"/>
  <c r="L1694" i="11"/>
  <c r="K1694" i="11"/>
  <c r="J1694" i="11"/>
  <c r="I1694" i="11"/>
  <c r="H1694" i="11"/>
  <c r="G1694" i="11"/>
  <c r="F1694" i="11"/>
  <c r="V1694" i="11" s="1"/>
  <c r="E1694" i="11"/>
  <c r="D1694" i="11"/>
  <c r="C1694" i="11"/>
  <c r="B1694" i="11"/>
  <c r="A1694" i="11"/>
  <c r="M1693" i="11"/>
  <c r="L1693" i="11"/>
  <c r="K1693" i="11"/>
  <c r="J1693" i="11"/>
  <c r="I1693" i="11"/>
  <c r="H1693" i="11"/>
  <c r="G1693" i="11"/>
  <c r="F1693" i="11"/>
  <c r="Q1693" i="11" s="1"/>
  <c r="E1693" i="11"/>
  <c r="D1693" i="11"/>
  <c r="C1693" i="11"/>
  <c r="B1693" i="11"/>
  <c r="T1693" i="11" s="1"/>
  <c r="A1693" i="11"/>
  <c r="S1693" i="11" s="1"/>
  <c r="T1692" i="11"/>
  <c r="S1692" i="11"/>
  <c r="P1692" i="11"/>
  <c r="M1692" i="11"/>
  <c r="L1692" i="11"/>
  <c r="K1692" i="11"/>
  <c r="J1692" i="11"/>
  <c r="I1692" i="11"/>
  <c r="H1692" i="11"/>
  <c r="G1692" i="11"/>
  <c r="F1692" i="11"/>
  <c r="V1692" i="11" s="1"/>
  <c r="E1692" i="11"/>
  <c r="D1692" i="11"/>
  <c r="C1692" i="11"/>
  <c r="B1692" i="11"/>
  <c r="A1692" i="11"/>
  <c r="M1691" i="11"/>
  <c r="L1691" i="11"/>
  <c r="K1691" i="11"/>
  <c r="J1691" i="11"/>
  <c r="I1691" i="11"/>
  <c r="H1691" i="11"/>
  <c r="G1691" i="11"/>
  <c r="F1691" i="11"/>
  <c r="Q1691" i="11" s="1"/>
  <c r="E1691" i="11"/>
  <c r="P1691" i="11" s="1"/>
  <c r="D1691" i="11"/>
  <c r="C1691" i="11"/>
  <c r="B1691" i="11"/>
  <c r="T1691" i="11" s="1"/>
  <c r="A1691" i="11"/>
  <c r="S1691" i="11" s="1"/>
  <c r="T1690" i="11"/>
  <c r="S1690" i="11"/>
  <c r="P1690" i="11"/>
  <c r="M1690" i="11"/>
  <c r="L1690" i="11"/>
  <c r="K1690" i="11"/>
  <c r="J1690" i="11"/>
  <c r="I1690" i="11"/>
  <c r="H1690" i="11"/>
  <c r="G1690" i="11"/>
  <c r="F1690" i="11"/>
  <c r="V1690" i="11" s="1"/>
  <c r="E1690" i="11"/>
  <c r="D1690" i="11"/>
  <c r="C1690" i="11"/>
  <c r="B1690" i="11"/>
  <c r="A1690" i="11"/>
  <c r="Q1689" i="11"/>
  <c r="M1689" i="11"/>
  <c r="L1689" i="11"/>
  <c r="K1689" i="11"/>
  <c r="J1689" i="11"/>
  <c r="I1689" i="11"/>
  <c r="H1689" i="11"/>
  <c r="G1689" i="11"/>
  <c r="F1689" i="11"/>
  <c r="E1689" i="11"/>
  <c r="D1689" i="11"/>
  <c r="C1689" i="11"/>
  <c r="B1689" i="11"/>
  <c r="T1689" i="11" s="1"/>
  <c r="A1689" i="11"/>
  <c r="S1689" i="11" s="1"/>
  <c r="T1688" i="11"/>
  <c r="S1688" i="11"/>
  <c r="P1688" i="11"/>
  <c r="M1688" i="11"/>
  <c r="L1688" i="11"/>
  <c r="K1688" i="11"/>
  <c r="J1688" i="11"/>
  <c r="I1688" i="11"/>
  <c r="H1688" i="11"/>
  <c r="G1688" i="11"/>
  <c r="F1688" i="11"/>
  <c r="V1688" i="11" s="1"/>
  <c r="E1688" i="11"/>
  <c r="D1688" i="11"/>
  <c r="C1688" i="11"/>
  <c r="B1688" i="11"/>
  <c r="A1688" i="11"/>
  <c r="Q1687" i="11"/>
  <c r="M1687" i="11"/>
  <c r="L1687" i="11"/>
  <c r="K1687" i="11"/>
  <c r="J1687" i="11"/>
  <c r="I1687" i="11"/>
  <c r="H1687" i="11"/>
  <c r="G1687" i="11"/>
  <c r="F1687" i="11"/>
  <c r="E1687" i="11"/>
  <c r="D1687" i="11"/>
  <c r="C1687" i="11"/>
  <c r="B1687" i="11"/>
  <c r="T1687" i="11" s="1"/>
  <c r="A1687" i="11"/>
  <c r="S1687" i="11" s="1"/>
  <c r="V1686" i="11"/>
  <c r="T1686" i="11"/>
  <c r="S1686" i="11"/>
  <c r="P1686" i="11"/>
  <c r="M1686" i="11"/>
  <c r="L1686" i="11"/>
  <c r="K1686" i="11"/>
  <c r="J1686" i="11"/>
  <c r="I1686" i="11"/>
  <c r="H1686" i="11"/>
  <c r="G1686" i="11"/>
  <c r="F1686" i="11"/>
  <c r="Q1686" i="11" s="1"/>
  <c r="E1686" i="11"/>
  <c r="D1686" i="11"/>
  <c r="C1686" i="11"/>
  <c r="B1686" i="11"/>
  <c r="A1686" i="11"/>
  <c r="V1685" i="11"/>
  <c r="Q1685" i="11"/>
  <c r="P1685" i="11"/>
  <c r="M1685" i="11"/>
  <c r="L1685" i="11"/>
  <c r="K1685" i="11"/>
  <c r="J1685" i="11"/>
  <c r="I1685" i="11"/>
  <c r="H1685" i="11"/>
  <c r="G1685" i="11"/>
  <c r="F1685" i="11"/>
  <c r="E1685" i="11"/>
  <c r="D1685" i="11"/>
  <c r="C1685" i="11"/>
  <c r="B1685" i="11"/>
  <c r="T1685" i="11" s="1"/>
  <c r="A1685" i="11"/>
  <c r="S1685" i="11" s="1"/>
  <c r="V1684" i="11"/>
  <c r="T1684" i="11"/>
  <c r="S1684" i="11"/>
  <c r="P1684" i="11"/>
  <c r="M1684" i="11"/>
  <c r="L1684" i="11"/>
  <c r="K1684" i="11"/>
  <c r="J1684" i="11"/>
  <c r="I1684" i="11"/>
  <c r="H1684" i="11"/>
  <c r="G1684" i="11"/>
  <c r="F1684" i="11"/>
  <c r="Q1684" i="11" s="1"/>
  <c r="E1684" i="11"/>
  <c r="D1684" i="11"/>
  <c r="C1684" i="11"/>
  <c r="B1684" i="11"/>
  <c r="A1684" i="11"/>
  <c r="Q1683" i="11"/>
  <c r="M1683" i="11"/>
  <c r="L1683" i="11"/>
  <c r="K1683" i="11"/>
  <c r="J1683" i="11"/>
  <c r="I1683" i="11"/>
  <c r="H1683" i="11"/>
  <c r="G1683" i="11"/>
  <c r="F1683" i="11"/>
  <c r="E1683" i="11"/>
  <c r="D1683" i="11"/>
  <c r="C1683" i="11"/>
  <c r="B1683" i="11"/>
  <c r="T1683" i="11" s="1"/>
  <c r="A1683" i="11"/>
  <c r="S1683" i="11" s="1"/>
  <c r="V1682" i="11"/>
  <c r="T1682" i="11"/>
  <c r="S1682" i="11"/>
  <c r="P1682" i="11"/>
  <c r="M1682" i="11"/>
  <c r="L1682" i="11"/>
  <c r="K1682" i="11"/>
  <c r="J1682" i="11"/>
  <c r="I1682" i="11"/>
  <c r="H1682" i="11"/>
  <c r="G1682" i="11"/>
  <c r="F1682" i="11"/>
  <c r="Q1682" i="11" s="1"/>
  <c r="E1682" i="11"/>
  <c r="D1682" i="11"/>
  <c r="C1682" i="11"/>
  <c r="B1682" i="11"/>
  <c r="A1682" i="11"/>
  <c r="Q1681" i="11"/>
  <c r="M1681" i="11"/>
  <c r="L1681" i="11"/>
  <c r="K1681" i="11"/>
  <c r="J1681" i="11"/>
  <c r="I1681" i="11"/>
  <c r="H1681" i="11"/>
  <c r="G1681" i="11"/>
  <c r="F1681" i="11"/>
  <c r="E1681" i="11"/>
  <c r="D1681" i="11"/>
  <c r="C1681" i="11"/>
  <c r="B1681" i="11"/>
  <c r="T1681" i="11" s="1"/>
  <c r="A1681" i="11"/>
  <c r="S1681" i="11" s="1"/>
  <c r="Q1680" i="11"/>
  <c r="M1680" i="11"/>
  <c r="L1680" i="11"/>
  <c r="K1680" i="11"/>
  <c r="J1680" i="11"/>
  <c r="I1680" i="11"/>
  <c r="H1680" i="11"/>
  <c r="G1680" i="11"/>
  <c r="F1680" i="11"/>
  <c r="E1680" i="11"/>
  <c r="V1680" i="11" s="1"/>
  <c r="D1680" i="11"/>
  <c r="C1680" i="11"/>
  <c r="B1680" i="11"/>
  <c r="T1680" i="11" s="1"/>
  <c r="A1680" i="11"/>
  <c r="S1680" i="11" s="1"/>
  <c r="T1679" i="11"/>
  <c r="Q1679" i="11"/>
  <c r="P1679" i="11"/>
  <c r="M1679" i="11"/>
  <c r="L1679" i="11"/>
  <c r="K1679" i="11"/>
  <c r="J1679" i="11"/>
  <c r="I1679" i="11"/>
  <c r="H1679" i="11"/>
  <c r="G1679" i="11"/>
  <c r="F1679" i="11"/>
  <c r="E1679" i="11"/>
  <c r="D1679" i="11"/>
  <c r="C1679" i="11"/>
  <c r="B1679" i="11"/>
  <c r="A1679" i="11"/>
  <c r="S1679" i="11" s="1"/>
  <c r="V1678" i="11"/>
  <c r="Q1678" i="11"/>
  <c r="M1678" i="11"/>
  <c r="L1678" i="11"/>
  <c r="K1678" i="11"/>
  <c r="J1678" i="11"/>
  <c r="I1678" i="11"/>
  <c r="H1678" i="11"/>
  <c r="G1678" i="11"/>
  <c r="F1678" i="11"/>
  <c r="E1678" i="11"/>
  <c r="P1678" i="11" s="1"/>
  <c r="D1678" i="11"/>
  <c r="C1678" i="11"/>
  <c r="B1678" i="11"/>
  <c r="T1678" i="11" s="1"/>
  <c r="A1678" i="11"/>
  <c r="S1678" i="11" s="1"/>
  <c r="T1677" i="11"/>
  <c r="Q1677" i="11"/>
  <c r="P1677" i="11"/>
  <c r="M1677" i="11"/>
  <c r="L1677" i="11"/>
  <c r="K1677" i="11"/>
  <c r="J1677" i="11"/>
  <c r="I1677" i="11"/>
  <c r="H1677" i="11"/>
  <c r="G1677" i="11"/>
  <c r="F1677" i="11"/>
  <c r="E1677" i="11"/>
  <c r="D1677" i="11"/>
  <c r="C1677" i="11"/>
  <c r="B1677" i="11"/>
  <c r="A1677" i="11"/>
  <c r="S1677" i="11" s="1"/>
  <c r="S1676" i="11"/>
  <c r="M1676" i="11"/>
  <c r="L1676" i="11"/>
  <c r="K1676" i="11"/>
  <c r="J1676" i="11"/>
  <c r="I1676" i="11"/>
  <c r="H1676" i="11"/>
  <c r="G1676" i="11"/>
  <c r="F1676" i="11"/>
  <c r="E1676" i="11"/>
  <c r="P1676" i="11" s="1"/>
  <c r="D1676" i="11"/>
  <c r="C1676" i="11"/>
  <c r="B1676" i="11"/>
  <c r="T1676" i="11" s="1"/>
  <c r="A1676" i="11"/>
  <c r="T1675" i="11"/>
  <c r="S1675" i="11"/>
  <c r="Q1675" i="11"/>
  <c r="M1675" i="11"/>
  <c r="L1675" i="11"/>
  <c r="K1675" i="11"/>
  <c r="J1675" i="11"/>
  <c r="I1675" i="11"/>
  <c r="H1675" i="11"/>
  <c r="G1675" i="11"/>
  <c r="F1675" i="11"/>
  <c r="E1675" i="11"/>
  <c r="D1675" i="11"/>
  <c r="C1675" i="11"/>
  <c r="B1675" i="11"/>
  <c r="A1675" i="11"/>
  <c r="M1674" i="11"/>
  <c r="L1674" i="11"/>
  <c r="K1674" i="11"/>
  <c r="J1674" i="11"/>
  <c r="I1674" i="11"/>
  <c r="H1674" i="11"/>
  <c r="G1674" i="11"/>
  <c r="F1674" i="11"/>
  <c r="Q1674" i="11" s="1"/>
  <c r="E1674" i="11"/>
  <c r="D1674" i="11"/>
  <c r="C1674" i="11"/>
  <c r="B1674" i="11"/>
  <c r="T1674" i="11" s="1"/>
  <c r="A1674" i="11"/>
  <c r="S1674" i="11" s="1"/>
  <c r="T1673" i="11"/>
  <c r="Q1673" i="11"/>
  <c r="M1673" i="11"/>
  <c r="L1673" i="11"/>
  <c r="K1673" i="11"/>
  <c r="J1673" i="11"/>
  <c r="I1673" i="11"/>
  <c r="H1673" i="11"/>
  <c r="G1673" i="11"/>
  <c r="F1673" i="11"/>
  <c r="E1673" i="11"/>
  <c r="D1673" i="11"/>
  <c r="C1673" i="11"/>
  <c r="B1673" i="11"/>
  <c r="A1673" i="11"/>
  <c r="S1673" i="11" s="1"/>
  <c r="V1672" i="11"/>
  <c r="Q1672" i="11"/>
  <c r="M1672" i="11"/>
  <c r="L1672" i="11"/>
  <c r="K1672" i="11"/>
  <c r="J1672" i="11"/>
  <c r="I1672" i="11"/>
  <c r="H1672" i="11"/>
  <c r="G1672" i="11"/>
  <c r="F1672" i="11"/>
  <c r="E1672" i="11"/>
  <c r="D1672" i="11"/>
  <c r="C1672" i="11"/>
  <c r="B1672" i="11"/>
  <c r="T1672" i="11" s="1"/>
  <c r="A1672" i="11"/>
  <c r="S1672" i="11" s="1"/>
  <c r="T1671" i="11"/>
  <c r="Q1671" i="11"/>
  <c r="P1671" i="11"/>
  <c r="M1671" i="11"/>
  <c r="L1671" i="11"/>
  <c r="K1671" i="11"/>
  <c r="J1671" i="11"/>
  <c r="I1671" i="11"/>
  <c r="H1671" i="11"/>
  <c r="G1671" i="11"/>
  <c r="F1671" i="11"/>
  <c r="E1671" i="11"/>
  <c r="D1671" i="11"/>
  <c r="C1671" i="11"/>
  <c r="B1671" i="11"/>
  <c r="A1671" i="11"/>
  <c r="S1671" i="11" s="1"/>
  <c r="V1670" i="11"/>
  <c r="Q1670" i="11"/>
  <c r="M1670" i="11"/>
  <c r="L1670" i="11"/>
  <c r="K1670" i="11"/>
  <c r="J1670" i="11"/>
  <c r="I1670" i="11"/>
  <c r="H1670" i="11"/>
  <c r="G1670" i="11"/>
  <c r="F1670" i="11"/>
  <c r="E1670" i="11"/>
  <c r="P1670" i="11" s="1"/>
  <c r="D1670" i="11"/>
  <c r="C1670" i="11"/>
  <c r="B1670" i="11"/>
  <c r="T1670" i="11" s="1"/>
  <c r="A1670" i="11"/>
  <c r="S1670" i="11" s="1"/>
  <c r="T1669" i="11"/>
  <c r="Q1669" i="11"/>
  <c r="P1669" i="11"/>
  <c r="M1669" i="11"/>
  <c r="L1669" i="11"/>
  <c r="K1669" i="11"/>
  <c r="J1669" i="11"/>
  <c r="I1669" i="11"/>
  <c r="H1669" i="11"/>
  <c r="G1669" i="11"/>
  <c r="F1669" i="11"/>
  <c r="E1669" i="11"/>
  <c r="D1669" i="11"/>
  <c r="C1669" i="11"/>
  <c r="B1669" i="11"/>
  <c r="A1669" i="11"/>
  <c r="S1669" i="11" s="1"/>
  <c r="S1668" i="11"/>
  <c r="M1668" i="11"/>
  <c r="L1668" i="11"/>
  <c r="K1668" i="11"/>
  <c r="J1668" i="11"/>
  <c r="I1668" i="11"/>
  <c r="H1668" i="11"/>
  <c r="G1668" i="11"/>
  <c r="F1668" i="11"/>
  <c r="E1668" i="11"/>
  <c r="P1668" i="11" s="1"/>
  <c r="D1668" i="11"/>
  <c r="C1668" i="11"/>
  <c r="B1668" i="11"/>
  <c r="T1668" i="11" s="1"/>
  <c r="A1668" i="11"/>
  <c r="T1667" i="11"/>
  <c r="Q1667" i="11"/>
  <c r="M1667" i="11"/>
  <c r="L1667" i="11"/>
  <c r="K1667" i="11"/>
  <c r="J1667" i="11"/>
  <c r="I1667" i="11"/>
  <c r="H1667" i="11"/>
  <c r="G1667" i="11"/>
  <c r="F1667" i="11"/>
  <c r="E1667" i="11"/>
  <c r="D1667" i="11"/>
  <c r="C1667" i="11"/>
  <c r="B1667" i="11"/>
  <c r="A1667" i="11"/>
  <c r="S1667" i="11" s="1"/>
  <c r="M1666" i="11"/>
  <c r="L1666" i="11"/>
  <c r="K1666" i="11"/>
  <c r="J1666" i="11"/>
  <c r="I1666" i="11"/>
  <c r="H1666" i="11"/>
  <c r="G1666" i="11"/>
  <c r="F1666" i="11"/>
  <c r="Q1666" i="11" s="1"/>
  <c r="E1666" i="11"/>
  <c r="D1666" i="11"/>
  <c r="C1666" i="11"/>
  <c r="B1666" i="11"/>
  <c r="T1666" i="11" s="1"/>
  <c r="A1666" i="11"/>
  <c r="S1666" i="11" s="1"/>
  <c r="T1665" i="11"/>
  <c r="S1665" i="11"/>
  <c r="Q1665" i="11"/>
  <c r="M1665" i="11"/>
  <c r="L1665" i="11"/>
  <c r="K1665" i="11"/>
  <c r="J1665" i="11"/>
  <c r="I1665" i="11"/>
  <c r="H1665" i="11"/>
  <c r="G1665" i="11"/>
  <c r="F1665" i="11"/>
  <c r="E1665" i="11"/>
  <c r="D1665" i="11"/>
  <c r="C1665" i="11"/>
  <c r="B1665" i="11"/>
  <c r="A1665" i="11"/>
  <c r="Q1664" i="11"/>
  <c r="M1664" i="11"/>
  <c r="L1664" i="11"/>
  <c r="K1664" i="11"/>
  <c r="J1664" i="11"/>
  <c r="I1664" i="11"/>
  <c r="H1664" i="11"/>
  <c r="G1664" i="11"/>
  <c r="F1664" i="11"/>
  <c r="E1664" i="11"/>
  <c r="V1664" i="11" s="1"/>
  <c r="D1664" i="11"/>
  <c r="C1664" i="11"/>
  <c r="B1664" i="11"/>
  <c r="T1664" i="11" s="1"/>
  <c r="A1664" i="11"/>
  <c r="S1664" i="11" s="1"/>
  <c r="T1663" i="11"/>
  <c r="Q1663" i="11"/>
  <c r="P1663" i="11"/>
  <c r="M1663" i="11"/>
  <c r="L1663" i="11"/>
  <c r="K1663" i="11"/>
  <c r="J1663" i="11"/>
  <c r="I1663" i="11"/>
  <c r="H1663" i="11"/>
  <c r="G1663" i="11"/>
  <c r="F1663" i="11"/>
  <c r="E1663" i="11"/>
  <c r="D1663" i="11"/>
  <c r="C1663" i="11"/>
  <c r="B1663" i="11"/>
  <c r="A1663" i="11"/>
  <c r="S1663" i="11" s="1"/>
  <c r="V1662" i="11"/>
  <c r="Q1662" i="11"/>
  <c r="M1662" i="11"/>
  <c r="L1662" i="11"/>
  <c r="K1662" i="11"/>
  <c r="J1662" i="11"/>
  <c r="I1662" i="11"/>
  <c r="H1662" i="11"/>
  <c r="G1662" i="11"/>
  <c r="F1662" i="11"/>
  <c r="E1662" i="11"/>
  <c r="P1662" i="11" s="1"/>
  <c r="D1662" i="11"/>
  <c r="C1662" i="11"/>
  <c r="B1662" i="11"/>
  <c r="T1662" i="11" s="1"/>
  <c r="A1662" i="11"/>
  <c r="S1662" i="11" s="1"/>
  <c r="T1661" i="11"/>
  <c r="Q1661" i="11"/>
  <c r="P1661" i="11"/>
  <c r="M1661" i="11"/>
  <c r="L1661" i="11"/>
  <c r="K1661" i="11"/>
  <c r="J1661" i="11"/>
  <c r="I1661" i="11"/>
  <c r="H1661" i="11"/>
  <c r="G1661" i="11"/>
  <c r="F1661" i="11"/>
  <c r="E1661" i="11"/>
  <c r="D1661" i="11"/>
  <c r="C1661" i="11"/>
  <c r="B1661" i="11"/>
  <c r="A1661" i="11"/>
  <c r="S1661" i="11" s="1"/>
  <c r="S1660" i="11"/>
  <c r="M1660" i="11"/>
  <c r="L1660" i="11"/>
  <c r="K1660" i="11"/>
  <c r="J1660" i="11"/>
  <c r="I1660" i="11"/>
  <c r="H1660" i="11"/>
  <c r="G1660" i="11"/>
  <c r="F1660" i="11"/>
  <c r="E1660" i="11"/>
  <c r="P1660" i="11" s="1"/>
  <c r="D1660" i="11"/>
  <c r="C1660" i="11"/>
  <c r="B1660" i="11"/>
  <c r="T1660" i="11" s="1"/>
  <c r="A1660" i="11"/>
  <c r="T1659" i="11"/>
  <c r="S1659" i="11"/>
  <c r="Q1659" i="11"/>
  <c r="M1659" i="11"/>
  <c r="L1659" i="11"/>
  <c r="K1659" i="11"/>
  <c r="J1659" i="11"/>
  <c r="I1659" i="11"/>
  <c r="H1659" i="11"/>
  <c r="G1659" i="11"/>
  <c r="F1659" i="11"/>
  <c r="E1659" i="11"/>
  <c r="D1659" i="11"/>
  <c r="C1659" i="11"/>
  <c r="B1659" i="11"/>
  <c r="A1659" i="11"/>
  <c r="S1658" i="11"/>
  <c r="M1658" i="11"/>
  <c r="L1658" i="11"/>
  <c r="K1658" i="11"/>
  <c r="J1658" i="11"/>
  <c r="I1658" i="11"/>
  <c r="H1658" i="11"/>
  <c r="G1658" i="11"/>
  <c r="F1658" i="11"/>
  <c r="Q1658" i="11" s="1"/>
  <c r="E1658" i="11"/>
  <c r="D1658" i="11"/>
  <c r="C1658" i="11"/>
  <c r="B1658" i="11"/>
  <c r="T1658" i="11" s="1"/>
  <c r="A1658" i="11"/>
  <c r="T1657" i="11"/>
  <c r="Q1657" i="11"/>
  <c r="M1657" i="11"/>
  <c r="L1657" i="11"/>
  <c r="K1657" i="11"/>
  <c r="J1657" i="11"/>
  <c r="I1657" i="11"/>
  <c r="H1657" i="11"/>
  <c r="G1657" i="11"/>
  <c r="F1657" i="11"/>
  <c r="E1657" i="11"/>
  <c r="D1657" i="11"/>
  <c r="C1657" i="11"/>
  <c r="B1657" i="11"/>
  <c r="A1657" i="11"/>
  <c r="S1657" i="11" s="1"/>
  <c r="V1656" i="11"/>
  <c r="Q1656" i="11"/>
  <c r="M1656" i="11"/>
  <c r="L1656" i="11"/>
  <c r="K1656" i="11"/>
  <c r="J1656" i="11"/>
  <c r="I1656" i="11"/>
  <c r="H1656" i="11"/>
  <c r="G1656" i="11"/>
  <c r="F1656" i="11"/>
  <c r="E1656" i="11"/>
  <c r="D1656" i="11"/>
  <c r="C1656" i="11"/>
  <c r="B1656" i="11"/>
  <c r="T1656" i="11" s="1"/>
  <c r="A1656" i="11"/>
  <c r="S1656" i="11" s="1"/>
  <c r="T1655" i="11"/>
  <c r="Q1655" i="11"/>
  <c r="P1655" i="11"/>
  <c r="M1655" i="11"/>
  <c r="L1655" i="11"/>
  <c r="K1655" i="11"/>
  <c r="J1655" i="11"/>
  <c r="I1655" i="11"/>
  <c r="H1655" i="11"/>
  <c r="G1655" i="11"/>
  <c r="F1655" i="11"/>
  <c r="E1655" i="11"/>
  <c r="D1655" i="11"/>
  <c r="C1655" i="11"/>
  <c r="B1655" i="11"/>
  <c r="A1655" i="11"/>
  <c r="S1655" i="11" s="1"/>
  <c r="V1654" i="11"/>
  <c r="Q1654" i="11"/>
  <c r="M1654" i="11"/>
  <c r="L1654" i="11"/>
  <c r="K1654" i="11"/>
  <c r="J1654" i="11"/>
  <c r="I1654" i="11"/>
  <c r="H1654" i="11"/>
  <c r="G1654" i="11"/>
  <c r="F1654" i="11"/>
  <c r="E1654" i="11"/>
  <c r="P1654" i="11" s="1"/>
  <c r="D1654" i="11"/>
  <c r="C1654" i="11"/>
  <c r="B1654" i="11"/>
  <c r="T1654" i="11" s="1"/>
  <c r="A1654" i="11"/>
  <c r="S1654" i="11" s="1"/>
  <c r="T1653" i="11"/>
  <c r="Q1653" i="11"/>
  <c r="P1653" i="11"/>
  <c r="M1653" i="11"/>
  <c r="L1653" i="11"/>
  <c r="K1653" i="11"/>
  <c r="J1653" i="11"/>
  <c r="I1653" i="11"/>
  <c r="H1653" i="11"/>
  <c r="G1653" i="11"/>
  <c r="F1653" i="11"/>
  <c r="E1653" i="11"/>
  <c r="D1653" i="11"/>
  <c r="C1653" i="11"/>
  <c r="B1653" i="11"/>
  <c r="A1653" i="11"/>
  <c r="S1653" i="11" s="1"/>
  <c r="S1652" i="11"/>
  <c r="M1652" i="11"/>
  <c r="L1652" i="11"/>
  <c r="K1652" i="11"/>
  <c r="J1652" i="11"/>
  <c r="I1652" i="11"/>
  <c r="H1652" i="11"/>
  <c r="G1652" i="11"/>
  <c r="F1652" i="11"/>
  <c r="E1652" i="11"/>
  <c r="P1652" i="11" s="1"/>
  <c r="D1652" i="11"/>
  <c r="C1652" i="11"/>
  <c r="B1652" i="11"/>
  <c r="T1652" i="11" s="1"/>
  <c r="A1652" i="11"/>
  <c r="T1651" i="11"/>
  <c r="Q1651" i="11"/>
  <c r="M1651" i="11"/>
  <c r="L1651" i="11"/>
  <c r="K1651" i="11"/>
  <c r="J1651" i="11"/>
  <c r="I1651" i="11"/>
  <c r="H1651" i="11"/>
  <c r="G1651" i="11"/>
  <c r="F1651" i="11"/>
  <c r="E1651" i="11"/>
  <c r="D1651" i="11"/>
  <c r="C1651" i="11"/>
  <c r="B1651" i="11"/>
  <c r="A1651" i="11"/>
  <c r="S1651" i="11" s="1"/>
  <c r="M1650" i="11"/>
  <c r="L1650" i="11"/>
  <c r="K1650" i="11"/>
  <c r="J1650" i="11"/>
  <c r="I1650" i="11"/>
  <c r="H1650" i="11"/>
  <c r="G1650" i="11"/>
  <c r="F1650" i="11"/>
  <c r="Q1650" i="11" s="1"/>
  <c r="E1650" i="11"/>
  <c r="D1650" i="11"/>
  <c r="C1650" i="11"/>
  <c r="B1650" i="11"/>
  <c r="T1650" i="11" s="1"/>
  <c r="A1650" i="11"/>
  <c r="S1650" i="11" s="1"/>
  <c r="T1649" i="11"/>
  <c r="S1649" i="11"/>
  <c r="Q1649" i="11"/>
  <c r="M1649" i="11"/>
  <c r="L1649" i="11"/>
  <c r="K1649" i="11"/>
  <c r="J1649" i="11"/>
  <c r="I1649" i="11"/>
  <c r="H1649" i="11"/>
  <c r="G1649" i="11"/>
  <c r="F1649" i="11"/>
  <c r="E1649" i="11"/>
  <c r="D1649" i="11"/>
  <c r="C1649" i="11"/>
  <c r="B1649" i="11"/>
  <c r="A1649" i="11"/>
  <c r="Q1648" i="11"/>
  <c r="M1648" i="11"/>
  <c r="L1648" i="11"/>
  <c r="K1648" i="11"/>
  <c r="J1648" i="11"/>
  <c r="I1648" i="11"/>
  <c r="H1648" i="11"/>
  <c r="G1648" i="11"/>
  <c r="F1648" i="11"/>
  <c r="E1648" i="11"/>
  <c r="V1648" i="11" s="1"/>
  <c r="D1648" i="11"/>
  <c r="C1648" i="11"/>
  <c r="B1648" i="11"/>
  <c r="T1648" i="11" s="1"/>
  <c r="A1648" i="11"/>
  <c r="S1648" i="11" s="1"/>
  <c r="T1647" i="11"/>
  <c r="Q1647" i="11"/>
  <c r="P1647" i="11"/>
  <c r="M1647" i="11"/>
  <c r="L1647" i="11"/>
  <c r="K1647" i="11"/>
  <c r="J1647" i="11"/>
  <c r="I1647" i="11"/>
  <c r="H1647" i="11"/>
  <c r="G1647" i="11"/>
  <c r="F1647" i="11"/>
  <c r="E1647" i="11"/>
  <c r="D1647" i="11"/>
  <c r="C1647" i="11"/>
  <c r="B1647" i="11"/>
  <c r="A1647" i="11"/>
  <c r="S1647" i="11" s="1"/>
  <c r="V1646" i="11"/>
  <c r="Q1646" i="11"/>
  <c r="M1646" i="11"/>
  <c r="L1646" i="11"/>
  <c r="K1646" i="11"/>
  <c r="J1646" i="11"/>
  <c r="I1646" i="11"/>
  <c r="H1646" i="11"/>
  <c r="G1646" i="11"/>
  <c r="F1646" i="11"/>
  <c r="E1646" i="11"/>
  <c r="P1646" i="11" s="1"/>
  <c r="D1646" i="11"/>
  <c r="C1646" i="11"/>
  <c r="B1646" i="11"/>
  <c r="T1646" i="11" s="1"/>
  <c r="A1646" i="11"/>
  <c r="S1646" i="11" s="1"/>
  <c r="T1645" i="11"/>
  <c r="Q1645" i="11"/>
  <c r="P1645" i="11"/>
  <c r="M1645" i="11"/>
  <c r="L1645" i="11"/>
  <c r="K1645" i="11"/>
  <c r="J1645" i="11"/>
  <c r="I1645" i="11"/>
  <c r="H1645" i="11"/>
  <c r="G1645" i="11"/>
  <c r="F1645" i="11"/>
  <c r="E1645" i="11"/>
  <c r="V1645" i="11" s="1"/>
  <c r="D1645" i="11"/>
  <c r="C1645" i="11"/>
  <c r="B1645" i="11"/>
  <c r="A1645" i="11"/>
  <c r="S1645" i="11" s="1"/>
  <c r="Q1644" i="11"/>
  <c r="M1644" i="11"/>
  <c r="L1644" i="11"/>
  <c r="K1644" i="11"/>
  <c r="J1644" i="11"/>
  <c r="I1644" i="11"/>
  <c r="H1644" i="11"/>
  <c r="G1644" i="11"/>
  <c r="F1644" i="11"/>
  <c r="E1644" i="11"/>
  <c r="D1644" i="11"/>
  <c r="C1644" i="11"/>
  <c r="B1644" i="11"/>
  <c r="T1644" i="11" s="1"/>
  <c r="A1644" i="11"/>
  <c r="S1644" i="11" s="1"/>
  <c r="T1643" i="11"/>
  <c r="S1643" i="11"/>
  <c r="Q1643" i="11"/>
  <c r="P1643" i="11"/>
  <c r="M1643" i="11"/>
  <c r="L1643" i="11"/>
  <c r="K1643" i="11"/>
  <c r="J1643" i="11"/>
  <c r="I1643" i="11"/>
  <c r="H1643" i="11"/>
  <c r="G1643" i="11"/>
  <c r="F1643" i="11"/>
  <c r="E1643" i="11"/>
  <c r="V1643" i="11" s="1"/>
  <c r="D1643" i="11"/>
  <c r="C1643" i="11"/>
  <c r="B1643" i="11"/>
  <c r="A1643" i="11"/>
  <c r="Q1642" i="11"/>
  <c r="M1642" i="11"/>
  <c r="L1642" i="11"/>
  <c r="K1642" i="11"/>
  <c r="J1642" i="11"/>
  <c r="I1642" i="11"/>
  <c r="H1642" i="11"/>
  <c r="G1642" i="11"/>
  <c r="F1642" i="11"/>
  <c r="E1642" i="11"/>
  <c r="D1642" i="11"/>
  <c r="C1642" i="11"/>
  <c r="B1642" i="11"/>
  <c r="T1642" i="11" s="1"/>
  <c r="A1642" i="11"/>
  <c r="S1642" i="11" s="1"/>
  <c r="T1641" i="11"/>
  <c r="S1641" i="11"/>
  <c r="Q1641" i="11"/>
  <c r="P1641" i="11"/>
  <c r="M1641" i="11"/>
  <c r="L1641" i="11"/>
  <c r="K1641" i="11"/>
  <c r="J1641" i="11"/>
  <c r="I1641" i="11"/>
  <c r="H1641" i="11"/>
  <c r="G1641" i="11"/>
  <c r="F1641" i="11"/>
  <c r="E1641" i="11"/>
  <c r="V1641" i="11" s="1"/>
  <c r="D1641" i="11"/>
  <c r="C1641" i="11"/>
  <c r="B1641" i="11"/>
  <c r="A1641" i="11"/>
  <c r="Q1640" i="11"/>
  <c r="M1640" i="11"/>
  <c r="L1640" i="11"/>
  <c r="K1640" i="11"/>
  <c r="J1640" i="11"/>
  <c r="I1640" i="11"/>
  <c r="H1640" i="11"/>
  <c r="G1640" i="11"/>
  <c r="F1640" i="11"/>
  <c r="E1640" i="11"/>
  <c r="D1640" i="11"/>
  <c r="C1640" i="11"/>
  <c r="B1640" i="11"/>
  <c r="T1640" i="11" s="1"/>
  <c r="A1640" i="11"/>
  <c r="S1640" i="11" s="1"/>
  <c r="T1639" i="11"/>
  <c r="S1639" i="11"/>
  <c r="Q1639" i="11"/>
  <c r="P1639" i="11"/>
  <c r="M1639" i="11"/>
  <c r="L1639" i="11"/>
  <c r="K1639" i="11"/>
  <c r="J1639" i="11"/>
  <c r="I1639" i="11"/>
  <c r="H1639" i="11"/>
  <c r="G1639" i="11"/>
  <c r="F1639" i="11"/>
  <c r="E1639" i="11"/>
  <c r="V1639" i="11" s="1"/>
  <c r="D1639" i="11"/>
  <c r="C1639" i="11"/>
  <c r="B1639" i="11"/>
  <c r="A1639" i="11"/>
  <c r="Q1638" i="11"/>
  <c r="M1638" i="11"/>
  <c r="L1638" i="11"/>
  <c r="K1638" i="11"/>
  <c r="J1638" i="11"/>
  <c r="I1638" i="11"/>
  <c r="H1638" i="11"/>
  <c r="G1638" i="11"/>
  <c r="F1638" i="11"/>
  <c r="E1638" i="11"/>
  <c r="D1638" i="11"/>
  <c r="C1638" i="11"/>
  <c r="B1638" i="11"/>
  <c r="T1638" i="11" s="1"/>
  <c r="A1638" i="11"/>
  <c r="S1638" i="11" s="1"/>
  <c r="T1637" i="11"/>
  <c r="S1637" i="11"/>
  <c r="Q1637" i="11"/>
  <c r="P1637" i="11"/>
  <c r="M1637" i="11"/>
  <c r="L1637" i="11"/>
  <c r="K1637" i="11"/>
  <c r="J1637" i="11"/>
  <c r="I1637" i="11"/>
  <c r="H1637" i="11"/>
  <c r="G1637" i="11"/>
  <c r="F1637" i="11"/>
  <c r="E1637" i="11"/>
  <c r="V1637" i="11" s="1"/>
  <c r="D1637" i="11"/>
  <c r="C1637" i="11"/>
  <c r="B1637" i="11"/>
  <c r="A1637" i="11"/>
  <c r="Q1636" i="11"/>
  <c r="M1636" i="11"/>
  <c r="L1636" i="11"/>
  <c r="K1636" i="11"/>
  <c r="J1636" i="11"/>
  <c r="I1636" i="11"/>
  <c r="H1636" i="11"/>
  <c r="G1636" i="11"/>
  <c r="F1636" i="11"/>
  <c r="E1636" i="11"/>
  <c r="D1636" i="11"/>
  <c r="C1636" i="11"/>
  <c r="B1636" i="11"/>
  <c r="T1636" i="11" s="1"/>
  <c r="A1636" i="11"/>
  <c r="S1636" i="11" s="1"/>
  <c r="T1635" i="11"/>
  <c r="S1635" i="11"/>
  <c r="Q1635" i="11"/>
  <c r="P1635" i="11"/>
  <c r="M1635" i="11"/>
  <c r="L1635" i="11"/>
  <c r="K1635" i="11"/>
  <c r="J1635" i="11"/>
  <c r="I1635" i="11"/>
  <c r="H1635" i="11"/>
  <c r="G1635" i="11"/>
  <c r="F1635" i="11"/>
  <c r="E1635" i="11"/>
  <c r="V1635" i="11" s="1"/>
  <c r="D1635" i="11"/>
  <c r="C1635" i="11"/>
  <c r="B1635" i="11"/>
  <c r="A1635" i="11"/>
  <c r="Q1634" i="11"/>
  <c r="M1634" i="11"/>
  <c r="L1634" i="11"/>
  <c r="K1634" i="11"/>
  <c r="J1634" i="11"/>
  <c r="I1634" i="11"/>
  <c r="H1634" i="11"/>
  <c r="G1634" i="11"/>
  <c r="F1634" i="11"/>
  <c r="E1634" i="11"/>
  <c r="D1634" i="11"/>
  <c r="C1634" i="11"/>
  <c r="B1634" i="11"/>
  <c r="T1634" i="11" s="1"/>
  <c r="A1634" i="11"/>
  <c r="S1634" i="11" s="1"/>
  <c r="T1633" i="11"/>
  <c r="S1633" i="11"/>
  <c r="Q1633" i="11"/>
  <c r="P1633" i="11"/>
  <c r="M1633" i="11"/>
  <c r="L1633" i="11"/>
  <c r="K1633" i="11"/>
  <c r="J1633" i="11"/>
  <c r="I1633" i="11"/>
  <c r="H1633" i="11"/>
  <c r="G1633" i="11"/>
  <c r="F1633" i="11"/>
  <c r="E1633" i="11"/>
  <c r="V1633" i="11" s="1"/>
  <c r="D1633" i="11"/>
  <c r="C1633" i="11"/>
  <c r="B1633" i="11"/>
  <c r="A1633" i="11"/>
  <c r="Q1632" i="11"/>
  <c r="M1632" i="11"/>
  <c r="L1632" i="11"/>
  <c r="K1632" i="11"/>
  <c r="J1632" i="11"/>
  <c r="I1632" i="11"/>
  <c r="H1632" i="11"/>
  <c r="G1632" i="11"/>
  <c r="F1632" i="11"/>
  <c r="E1632" i="11"/>
  <c r="D1632" i="11"/>
  <c r="C1632" i="11"/>
  <c r="B1632" i="11"/>
  <c r="T1632" i="11" s="1"/>
  <c r="A1632" i="11"/>
  <c r="S1632" i="11" s="1"/>
  <c r="T1631" i="11"/>
  <c r="S1631" i="11"/>
  <c r="Q1631" i="11"/>
  <c r="P1631" i="11"/>
  <c r="M1631" i="11"/>
  <c r="L1631" i="11"/>
  <c r="K1631" i="11"/>
  <c r="J1631" i="11"/>
  <c r="I1631" i="11"/>
  <c r="H1631" i="11"/>
  <c r="G1631" i="11"/>
  <c r="F1631" i="11"/>
  <c r="E1631" i="11"/>
  <c r="V1631" i="11" s="1"/>
  <c r="D1631" i="11"/>
  <c r="C1631" i="11"/>
  <c r="B1631" i="11"/>
  <c r="A1631" i="11"/>
  <c r="Q1630" i="11"/>
  <c r="M1630" i="11"/>
  <c r="L1630" i="11"/>
  <c r="K1630" i="11"/>
  <c r="J1630" i="11"/>
  <c r="I1630" i="11"/>
  <c r="H1630" i="11"/>
  <c r="G1630" i="11"/>
  <c r="F1630" i="11"/>
  <c r="E1630" i="11"/>
  <c r="D1630" i="11"/>
  <c r="C1630" i="11"/>
  <c r="B1630" i="11"/>
  <c r="T1630" i="11" s="1"/>
  <c r="A1630" i="11"/>
  <c r="S1630" i="11" s="1"/>
  <c r="T1629" i="11"/>
  <c r="S1629" i="11"/>
  <c r="Q1629" i="11"/>
  <c r="P1629" i="11"/>
  <c r="M1629" i="11"/>
  <c r="L1629" i="11"/>
  <c r="K1629" i="11"/>
  <c r="J1629" i="11"/>
  <c r="I1629" i="11"/>
  <c r="H1629" i="11"/>
  <c r="G1629" i="11"/>
  <c r="F1629" i="11"/>
  <c r="E1629" i="11"/>
  <c r="V1629" i="11" s="1"/>
  <c r="D1629" i="11"/>
  <c r="C1629" i="11"/>
  <c r="B1629" i="11"/>
  <c r="A1629" i="11"/>
  <c r="Q1628" i="11"/>
  <c r="M1628" i="11"/>
  <c r="L1628" i="11"/>
  <c r="K1628" i="11"/>
  <c r="J1628" i="11"/>
  <c r="I1628" i="11"/>
  <c r="H1628" i="11"/>
  <c r="G1628" i="11"/>
  <c r="F1628" i="11"/>
  <c r="E1628" i="11"/>
  <c r="D1628" i="11"/>
  <c r="C1628" i="11"/>
  <c r="B1628" i="11"/>
  <c r="T1628" i="11" s="1"/>
  <c r="A1628" i="11"/>
  <c r="S1628" i="11" s="1"/>
  <c r="T1627" i="11"/>
  <c r="S1627" i="11"/>
  <c r="Q1627" i="11"/>
  <c r="P1627" i="11"/>
  <c r="M1627" i="11"/>
  <c r="L1627" i="11"/>
  <c r="K1627" i="11"/>
  <c r="J1627" i="11"/>
  <c r="I1627" i="11"/>
  <c r="H1627" i="11"/>
  <c r="G1627" i="11"/>
  <c r="F1627" i="11"/>
  <c r="E1627" i="11"/>
  <c r="V1627" i="11" s="1"/>
  <c r="D1627" i="11"/>
  <c r="C1627" i="11"/>
  <c r="B1627" i="11"/>
  <c r="A1627" i="11"/>
  <c r="Q1626" i="11"/>
  <c r="M1626" i="11"/>
  <c r="L1626" i="11"/>
  <c r="K1626" i="11"/>
  <c r="J1626" i="11"/>
  <c r="I1626" i="11"/>
  <c r="H1626" i="11"/>
  <c r="G1626" i="11"/>
  <c r="F1626" i="11"/>
  <c r="E1626" i="11"/>
  <c r="D1626" i="11"/>
  <c r="C1626" i="11"/>
  <c r="B1626" i="11"/>
  <c r="T1626" i="11" s="1"/>
  <c r="A1626" i="11"/>
  <c r="S1626" i="11" s="1"/>
  <c r="T1625" i="11"/>
  <c r="S1625" i="11"/>
  <c r="Q1625" i="11"/>
  <c r="P1625" i="11"/>
  <c r="M1625" i="11"/>
  <c r="L1625" i="11"/>
  <c r="K1625" i="11"/>
  <c r="J1625" i="11"/>
  <c r="I1625" i="11"/>
  <c r="H1625" i="11"/>
  <c r="G1625" i="11"/>
  <c r="F1625" i="11"/>
  <c r="E1625" i="11"/>
  <c r="V1625" i="11" s="1"/>
  <c r="D1625" i="11"/>
  <c r="C1625" i="11"/>
  <c r="B1625" i="11"/>
  <c r="A1625" i="11"/>
  <c r="Q1624" i="11"/>
  <c r="M1624" i="11"/>
  <c r="L1624" i="11"/>
  <c r="K1624" i="11"/>
  <c r="J1624" i="11"/>
  <c r="I1624" i="11"/>
  <c r="H1624" i="11"/>
  <c r="G1624" i="11"/>
  <c r="F1624" i="11"/>
  <c r="E1624" i="11"/>
  <c r="D1624" i="11"/>
  <c r="C1624" i="11"/>
  <c r="B1624" i="11"/>
  <c r="T1624" i="11" s="1"/>
  <c r="A1624" i="11"/>
  <c r="S1624" i="11" s="1"/>
  <c r="T1623" i="11"/>
  <c r="S1623" i="11"/>
  <c r="Q1623" i="11"/>
  <c r="P1623" i="11"/>
  <c r="M1623" i="11"/>
  <c r="L1623" i="11"/>
  <c r="K1623" i="11"/>
  <c r="J1623" i="11"/>
  <c r="I1623" i="11"/>
  <c r="H1623" i="11"/>
  <c r="G1623" i="11"/>
  <c r="F1623" i="11"/>
  <c r="E1623" i="11"/>
  <c r="V1623" i="11" s="1"/>
  <c r="D1623" i="11"/>
  <c r="C1623" i="11"/>
  <c r="B1623" i="11"/>
  <c r="A1623" i="11"/>
  <c r="Q1622" i="11"/>
  <c r="M1622" i="11"/>
  <c r="L1622" i="11"/>
  <c r="K1622" i="11"/>
  <c r="J1622" i="11"/>
  <c r="I1622" i="11"/>
  <c r="H1622" i="11"/>
  <c r="G1622" i="11"/>
  <c r="F1622" i="11"/>
  <c r="E1622" i="11"/>
  <c r="D1622" i="11"/>
  <c r="C1622" i="11"/>
  <c r="B1622" i="11"/>
  <c r="T1622" i="11" s="1"/>
  <c r="A1622" i="11"/>
  <c r="S1622" i="11" s="1"/>
  <c r="T1621" i="11"/>
  <c r="S1621" i="11"/>
  <c r="Q1621" i="11"/>
  <c r="P1621" i="11"/>
  <c r="M1621" i="11"/>
  <c r="L1621" i="11"/>
  <c r="K1621" i="11"/>
  <c r="J1621" i="11"/>
  <c r="I1621" i="11"/>
  <c r="H1621" i="11"/>
  <c r="G1621" i="11"/>
  <c r="F1621" i="11"/>
  <c r="E1621" i="11"/>
  <c r="V1621" i="11" s="1"/>
  <c r="D1621" i="11"/>
  <c r="C1621" i="11"/>
  <c r="B1621" i="11"/>
  <c r="A1621" i="11"/>
  <c r="Q1620" i="11"/>
  <c r="M1620" i="11"/>
  <c r="L1620" i="11"/>
  <c r="K1620" i="11"/>
  <c r="J1620" i="11"/>
  <c r="I1620" i="11"/>
  <c r="H1620" i="11"/>
  <c r="G1620" i="11"/>
  <c r="F1620" i="11"/>
  <c r="E1620" i="11"/>
  <c r="D1620" i="11"/>
  <c r="C1620" i="11"/>
  <c r="B1620" i="11"/>
  <c r="T1620" i="11" s="1"/>
  <c r="A1620" i="11"/>
  <c r="S1620" i="11" s="1"/>
  <c r="T1619" i="11"/>
  <c r="S1619" i="11"/>
  <c r="Q1619" i="11"/>
  <c r="P1619" i="11"/>
  <c r="M1619" i="11"/>
  <c r="L1619" i="11"/>
  <c r="K1619" i="11"/>
  <c r="J1619" i="11"/>
  <c r="I1619" i="11"/>
  <c r="H1619" i="11"/>
  <c r="G1619" i="11"/>
  <c r="F1619" i="11"/>
  <c r="E1619" i="11"/>
  <c r="V1619" i="11" s="1"/>
  <c r="D1619" i="11"/>
  <c r="C1619" i="11"/>
  <c r="B1619" i="11"/>
  <c r="A1619" i="11"/>
  <c r="Q1618" i="11"/>
  <c r="M1618" i="11"/>
  <c r="L1618" i="11"/>
  <c r="K1618" i="11"/>
  <c r="J1618" i="11"/>
  <c r="I1618" i="11"/>
  <c r="H1618" i="11"/>
  <c r="G1618" i="11"/>
  <c r="F1618" i="11"/>
  <c r="E1618" i="11"/>
  <c r="D1618" i="11"/>
  <c r="C1618" i="11"/>
  <c r="B1618" i="11"/>
  <c r="T1618" i="11" s="1"/>
  <c r="A1618" i="11"/>
  <c r="S1618" i="11" s="1"/>
  <c r="T1617" i="11"/>
  <c r="S1617" i="11"/>
  <c r="Q1617" i="11"/>
  <c r="P1617" i="11"/>
  <c r="M1617" i="11"/>
  <c r="L1617" i="11"/>
  <c r="K1617" i="11"/>
  <c r="J1617" i="11"/>
  <c r="I1617" i="11"/>
  <c r="H1617" i="11"/>
  <c r="G1617" i="11"/>
  <c r="F1617" i="11"/>
  <c r="E1617" i="11"/>
  <c r="V1617" i="11" s="1"/>
  <c r="D1617" i="11"/>
  <c r="C1617" i="11"/>
  <c r="B1617" i="11"/>
  <c r="A1617" i="11"/>
  <c r="Q1616" i="11"/>
  <c r="M1616" i="11"/>
  <c r="L1616" i="11"/>
  <c r="K1616" i="11"/>
  <c r="J1616" i="11"/>
  <c r="I1616" i="11"/>
  <c r="H1616" i="11"/>
  <c r="G1616" i="11"/>
  <c r="F1616" i="11"/>
  <c r="E1616" i="11"/>
  <c r="D1616" i="11"/>
  <c r="C1616" i="11"/>
  <c r="B1616" i="11"/>
  <c r="T1616" i="11" s="1"/>
  <c r="A1616" i="11"/>
  <c r="S1616" i="11" s="1"/>
  <c r="T1615" i="11"/>
  <c r="S1615" i="11"/>
  <c r="Q1615" i="11"/>
  <c r="P1615" i="11"/>
  <c r="M1615" i="11"/>
  <c r="L1615" i="11"/>
  <c r="K1615" i="11"/>
  <c r="J1615" i="11"/>
  <c r="I1615" i="11"/>
  <c r="H1615" i="11"/>
  <c r="G1615" i="11"/>
  <c r="F1615" i="11"/>
  <c r="E1615" i="11"/>
  <c r="V1615" i="11" s="1"/>
  <c r="D1615" i="11"/>
  <c r="C1615" i="11"/>
  <c r="B1615" i="11"/>
  <c r="A1615" i="11"/>
  <c r="Q1614" i="11"/>
  <c r="M1614" i="11"/>
  <c r="L1614" i="11"/>
  <c r="K1614" i="11"/>
  <c r="J1614" i="11"/>
  <c r="I1614" i="11"/>
  <c r="H1614" i="11"/>
  <c r="G1614" i="11"/>
  <c r="F1614" i="11"/>
  <c r="E1614" i="11"/>
  <c r="D1614" i="11"/>
  <c r="C1614" i="11"/>
  <c r="B1614" i="11"/>
  <c r="T1614" i="11" s="1"/>
  <c r="A1614" i="11"/>
  <c r="S1614" i="11" s="1"/>
  <c r="T1613" i="11"/>
  <c r="S1613" i="11"/>
  <c r="Q1613" i="11"/>
  <c r="P1613" i="11"/>
  <c r="M1613" i="11"/>
  <c r="L1613" i="11"/>
  <c r="K1613" i="11"/>
  <c r="J1613" i="11"/>
  <c r="I1613" i="11"/>
  <c r="H1613" i="11"/>
  <c r="G1613" i="11"/>
  <c r="F1613" i="11"/>
  <c r="E1613" i="11"/>
  <c r="V1613" i="11" s="1"/>
  <c r="D1613" i="11"/>
  <c r="C1613" i="11"/>
  <c r="B1613" i="11"/>
  <c r="A1613" i="11"/>
  <c r="Q1612" i="11"/>
  <c r="M1612" i="11"/>
  <c r="L1612" i="11"/>
  <c r="K1612" i="11"/>
  <c r="J1612" i="11"/>
  <c r="I1612" i="11"/>
  <c r="H1612" i="11"/>
  <c r="G1612" i="11"/>
  <c r="F1612" i="11"/>
  <c r="E1612" i="11"/>
  <c r="D1612" i="11"/>
  <c r="C1612" i="11"/>
  <c r="B1612" i="11"/>
  <c r="T1612" i="11" s="1"/>
  <c r="A1612" i="11"/>
  <c r="S1612" i="11" s="1"/>
  <c r="T1611" i="11"/>
  <c r="S1611" i="11"/>
  <c r="Q1611" i="11"/>
  <c r="P1611" i="11"/>
  <c r="M1611" i="11"/>
  <c r="L1611" i="11"/>
  <c r="K1611" i="11"/>
  <c r="J1611" i="11"/>
  <c r="I1611" i="11"/>
  <c r="H1611" i="11"/>
  <c r="G1611" i="11"/>
  <c r="F1611" i="11"/>
  <c r="E1611" i="11"/>
  <c r="V1611" i="11" s="1"/>
  <c r="D1611" i="11"/>
  <c r="C1611" i="11"/>
  <c r="B1611" i="11"/>
  <c r="A1611" i="11"/>
  <c r="Q1610" i="11"/>
  <c r="M1610" i="11"/>
  <c r="L1610" i="11"/>
  <c r="K1610" i="11"/>
  <c r="J1610" i="11"/>
  <c r="I1610" i="11"/>
  <c r="H1610" i="11"/>
  <c r="G1610" i="11"/>
  <c r="F1610" i="11"/>
  <c r="E1610" i="11"/>
  <c r="D1610" i="11"/>
  <c r="C1610" i="11"/>
  <c r="B1610" i="11"/>
  <c r="T1610" i="11" s="1"/>
  <c r="A1610" i="11"/>
  <c r="S1610" i="11" s="1"/>
  <c r="T1609" i="11"/>
  <c r="S1609" i="11"/>
  <c r="Q1609" i="11"/>
  <c r="P1609" i="11"/>
  <c r="M1609" i="11"/>
  <c r="L1609" i="11"/>
  <c r="K1609" i="11"/>
  <c r="J1609" i="11"/>
  <c r="I1609" i="11"/>
  <c r="H1609" i="11"/>
  <c r="G1609" i="11"/>
  <c r="F1609" i="11"/>
  <c r="E1609" i="11"/>
  <c r="V1609" i="11" s="1"/>
  <c r="D1609" i="11"/>
  <c r="C1609" i="11"/>
  <c r="B1609" i="11"/>
  <c r="A1609" i="11"/>
  <c r="Q1608" i="11"/>
  <c r="M1608" i="11"/>
  <c r="L1608" i="11"/>
  <c r="K1608" i="11"/>
  <c r="J1608" i="11"/>
  <c r="I1608" i="11"/>
  <c r="H1608" i="11"/>
  <c r="G1608" i="11"/>
  <c r="F1608" i="11"/>
  <c r="E1608" i="11"/>
  <c r="D1608" i="11"/>
  <c r="C1608" i="11"/>
  <c r="B1608" i="11"/>
  <c r="T1608" i="11" s="1"/>
  <c r="A1608" i="11"/>
  <c r="S1608" i="11" s="1"/>
  <c r="T1607" i="11"/>
  <c r="S1607" i="11"/>
  <c r="Q1607" i="11"/>
  <c r="P1607" i="11"/>
  <c r="M1607" i="11"/>
  <c r="L1607" i="11"/>
  <c r="K1607" i="11"/>
  <c r="J1607" i="11"/>
  <c r="I1607" i="11"/>
  <c r="H1607" i="11"/>
  <c r="G1607" i="11"/>
  <c r="F1607" i="11"/>
  <c r="E1607" i="11"/>
  <c r="V1607" i="11" s="1"/>
  <c r="D1607" i="11"/>
  <c r="C1607" i="11"/>
  <c r="B1607" i="11"/>
  <c r="A1607" i="11"/>
  <c r="Q1606" i="11"/>
  <c r="M1606" i="11"/>
  <c r="L1606" i="11"/>
  <c r="K1606" i="11"/>
  <c r="J1606" i="11"/>
  <c r="I1606" i="11"/>
  <c r="H1606" i="11"/>
  <c r="G1606" i="11"/>
  <c r="F1606" i="11"/>
  <c r="E1606" i="11"/>
  <c r="D1606" i="11"/>
  <c r="C1606" i="11"/>
  <c r="B1606" i="11"/>
  <c r="T1606" i="11" s="1"/>
  <c r="A1606" i="11"/>
  <c r="S1606" i="11" s="1"/>
  <c r="T1605" i="11"/>
  <c r="S1605" i="11"/>
  <c r="Q1605" i="11"/>
  <c r="P1605" i="11"/>
  <c r="M1605" i="11"/>
  <c r="L1605" i="11"/>
  <c r="K1605" i="11"/>
  <c r="J1605" i="11"/>
  <c r="I1605" i="11"/>
  <c r="H1605" i="11"/>
  <c r="G1605" i="11"/>
  <c r="F1605" i="11"/>
  <c r="E1605" i="11"/>
  <c r="V1605" i="11" s="1"/>
  <c r="D1605" i="11"/>
  <c r="C1605" i="11"/>
  <c r="B1605" i="11"/>
  <c r="A1605" i="11"/>
  <c r="Q1604" i="11"/>
  <c r="M1604" i="11"/>
  <c r="L1604" i="11"/>
  <c r="K1604" i="11"/>
  <c r="J1604" i="11"/>
  <c r="I1604" i="11"/>
  <c r="H1604" i="11"/>
  <c r="G1604" i="11"/>
  <c r="F1604" i="11"/>
  <c r="E1604" i="11"/>
  <c r="D1604" i="11"/>
  <c r="C1604" i="11"/>
  <c r="B1604" i="11"/>
  <c r="T1604" i="11" s="1"/>
  <c r="A1604" i="11"/>
  <c r="S1604" i="11" s="1"/>
  <c r="T1603" i="11"/>
  <c r="S1603" i="11"/>
  <c r="Q1603" i="11"/>
  <c r="P1603" i="11"/>
  <c r="M1603" i="11"/>
  <c r="L1603" i="11"/>
  <c r="K1603" i="11"/>
  <c r="J1603" i="11"/>
  <c r="I1603" i="11"/>
  <c r="H1603" i="11"/>
  <c r="G1603" i="11"/>
  <c r="F1603" i="11"/>
  <c r="E1603" i="11"/>
  <c r="V1603" i="11" s="1"/>
  <c r="D1603" i="11"/>
  <c r="C1603" i="11"/>
  <c r="B1603" i="11"/>
  <c r="A1603" i="11"/>
  <c r="Q1602" i="11"/>
  <c r="M1602" i="11"/>
  <c r="L1602" i="11"/>
  <c r="K1602" i="11"/>
  <c r="J1602" i="11"/>
  <c r="I1602" i="11"/>
  <c r="H1602" i="11"/>
  <c r="G1602" i="11"/>
  <c r="F1602" i="11"/>
  <c r="E1602" i="11"/>
  <c r="D1602" i="11"/>
  <c r="C1602" i="11"/>
  <c r="B1602" i="11"/>
  <c r="T1602" i="11" s="1"/>
  <c r="A1602" i="11"/>
  <c r="S1602" i="11" s="1"/>
  <c r="T1601" i="11"/>
  <c r="S1601" i="11"/>
  <c r="Q1601" i="11"/>
  <c r="P1601" i="11"/>
  <c r="M1601" i="11"/>
  <c r="L1601" i="11"/>
  <c r="K1601" i="11"/>
  <c r="J1601" i="11"/>
  <c r="I1601" i="11"/>
  <c r="H1601" i="11"/>
  <c r="G1601" i="11"/>
  <c r="F1601" i="11"/>
  <c r="E1601" i="11"/>
  <c r="V1601" i="11" s="1"/>
  <c r="D1601" i="11"/>
  <c r="C1601" i="11"/>
  <c r="B1601" i="11"/>
  <c r="A1601" i="11"/>
  <c r="Q1600" i="11"/>
  <c r="M1600" i="11"/>
  <c r="L1600" i="11"/>
  <c r="K1600" i="11"/>
  <c r="J1600" i="11"/>
  <c r="I1600" i="11"/>
  <c r="H1600" i="11"/>
  <c r="G1600" i="11"/>
  <c r="F1600" i="11"/>
  <c r="E1600" i="11"/>
  <c r="D1600" i="11"/>
  <c r="C1600" i="11"/>
  <c r="B1600" i="11"/>
  <c r="T1600" i="11" s="1"/>
  <c r="A1600" i="11"/>
  <c r="S1600" i="11" s="1"/>
  <c r="T1599" i="11"/>
  <c r="S1599" i="11"/>
  <c r="Q1599" i="11"/>
  <c r="P1599" i="11"/>
  <c r="M1599" i="11"/>
  <c r="L1599" i="11"/>
  <c r="K1599" i="11"/>
  <c r="J1599" i="11"/>
  <c r="I1599" i="11"/>
  <c r="H1599" i="11"/>
  <c r="G1599" i="11"/>
  <c r="F1599" i="11"/>
  <c r="E1599" i="11"/>
  <c r="V1599" i="11" s="1"/>
  <c r="D1599" i="11"/>
  <c r="C1599" i="11"/>
  <c r="B1599" i="11"/>
  <c r="A1599" i="11"/>
  <c r="Q1598" i="11"/>
  <c r="M1598" i="11"/>
  <c r="L1598" i="11"/>
  <c r="K1598" i="11"/>
  <c r="J1598" i="11"/>
  <c r="I1598" i="11"/>
  <c r="H1598" i="11"/>
  <c r="G1598" i="11"/>
  <c r="F1598" i="11"/>
  <c r="E1598" i="11"/>
  <c r="D1598" i="11"/>
  <c r="C1598" i="11"/>
  <c r="B1598" i="11"/>
  <c r="T1598" i="11" s="1"/>
  <c r="A1598" i="11"/>
  <c r="S1598" i="11" s="1"/>
  <c r="T1597" i="11"/>
  <c r="S1597" i="11"/>
  <c r="Q1597" i="11"/>
  <c r="P1597" i="11"/>
  <c r="M1597" i="11"/>
  <c r="L1597" i="11"/>
  <c r="K1597" i="11"/>
  <c r="J1597" i="11"/>
  <c r="I1597" i="11"/>
  <c r="H1597" i="11"/>
  <c r="G1597" i="11"/>
  <c r="F1597" i="11"/>
  <c r="E1597" i="11"/>
  <c r="V1597" i="11" s="1"/>
  <c r="D1597" i="11"/>
  <c r="C1597" i="11"/>
  <c r="B1597" i="11"/>
  <c r="A1597" i="11"/>
  <c r="Q1596" i="11"/>
  <c r="M1596" i="11"/>
  <c r="L1596" i="11"/>
  <c r="K1596" i="11"/>
  <c r="J1596" i="11"/>
  <c r="I1596" i="11"/>
  <c r="H1596" i="11"/>
  <c r="G1596" i="11"/>
  <c r="F1596" i="11"/>
  <c r="E1596" i="11"/>
  <c r="D1596" i="11"/>
  <c r="C1596" i="11"/>
  <c r="B1596" i="11"/>
  <c r="T1596" i="11" s="1"/>
  <c r="A1596" i="11"/>
  <c r="S1596" i="11" s="1"/>
  <c r="T1595" i="11"/>
  <c r="S1595" i="11"/>
  <c r="Q1595" i="11"/>
  <c r="P1595" i="11"/>
  <c r="M1595" i="11"/>
  <c r="L1595" i="11"/>
  <c r="K1595" i="11"/>
  <c r="J1595" i="11"/>
  <c r="I1595" i="11"/>
  <c r="H1595" i="11"/>
  <c r="G1595" i="11"/>
  <c r="F1595" i="11"/>
  <c r="E1595" i="11"/>
  <c r="V1595" i="11" s="1"/>
  <c r="D1595" i="11"/>
  <c r="C1595" i="11"/>
  <c r="B1595" i="11"/>
  <c r="A1595" i="11"/>
  <c r="Q1594" i="11"/>
  <c r="M1594" i="11"/>
  <c r="L1594" i="11"/>
  <c r="K1594" i="11"/>
  <c r="J1594" i="11"/>
  <c r="I1594" i="11"/>
  <c r="H1594" i="11"/>
  <c r="G1594" i="11"/>
  <c r="F1594" i="11"/>
  <c r="E1594" i="11"/>
  <c r="D1594" i="11"/>
  <c r="C1594" i="11"/>
  <c r="B1594" i="11"/>
  <c r="T1594" i="11" s="1"/>
  <c r="A1594" i="11"/>
  <c r="S1594" i="11" s="1"/>
  <c r="T1593" i="11"/>
  <c r="Q1593" i="11"/>
  <c r="P1593" i="11"/>
  <c r="M1593" i="11"/>
  <c r="L1593" i="11"/>
  <c r="K1593" i="11"/>
  <c r="J1593" i="11"/>
  <c r="I1593" i="11"/>
  <c r="H1593" i="11"/>
  <c r="G1593" i="11"/>
  <c r="F1593" i="11"/>
  <c r="E1593" i="11"/>
  <c r="V1593" i="11" s="1"/>
  <c r="D1593" i="11"/>
  <c r="C1593" i="11"/>
  <c r="B1593" i="11"/>
  <c r="A1593" i="11"/>
  <c r="S1593" i="11" s="1"/>
  <c r="S1592" i="11"/>
  <c r="M1592" i="11"/>
  <c r="L1592" i="11"/>
  <c r="K1592" i="11"/>
  <c r="J1592" i="11"/>
  <c r="I1592" i="11"/>
  <c r="H1592" i="11"/>
  <c r="G1592" i="11"/>
  <c r="F1592" i="11"/>
  <c r="Q1592" i="11" s="1"/>
  <c r="E1592" i="11"/>
  <c r="P1592" i="11" s="1"/>
  <c r="D1592" i="11"/>
  <c r="C1592" i="11"/>
  <c r="B1592" i="11"/>
  <c r="T1592" i="11" s="1"/>
  <c r="A1592" i="11"/>
  <c r="T1591" i="11"/>
  <c r="Q1591" i="11"/>
  <c r="M1591" i="11"/>
  <c r="L1591" i="11"/>
  <c r="K1591" i="11"/>
  <c r="J1591" i="11"/>
  <c r="I1591" i="11"/>
  <c r="H1591" i="11"/>
  <c r="G1591" i="11"/>
  <c r="F1591" i="11"/>
  <c r="E1591" i="11"/>
  <c r="D1591" i="11"/>
  <c r="C1591" i="11"/>
  <c r="B1591" i="11"/>
  <c r="A1591" i="11"/>
  <c r="S1591" i="11" s="1"/>
  <c r="M1590" i="11"/>
  <c r="L1590" i="11"/>
  <c r="K1590" i="11"/>
  <c r="J1590" i="11"/>
  <c r="I1590" i="11"/>
  <c r="H1590" i="11"/>
  <c r="G1590" i="11"/>
  <c r="F1590" i="11"/>
  <c r="Q1590" i="11" s="1"/>
  <c r="E1590" i="11"/>
  <c r="D1590" i="11"/>
  <c r="C1590" i="11"/>
  <c r="B1590" i="11"/>
  <c r="T1590" i="11" s="1"/>
  <c r="A1590" i="11"/>
  <c r="S1590" i="11" s="1"/>
  <c r="T1589" i="11"/>
  <c r="Q1589" i="11"/>
  <c r="M1589" i="11"/>
  <c r="L1589" i="11"/>
  <c r="K1589" i="11"/>
  <c r="J1589" i="11"/>
  <c r="I1589" i="11"/>
  <c r="H1589" i="11"/>
  <c r="G1589" i="11"/>
  <c r="F1589" i="11"/>
  <c r="E1589" i="11"/>
  <c r="D1589" i="11"/>
  <c r="C1589" i="11"/>
  <c r="B1589" i="11"/>
  <c r="A1589" i="11"/>
  <c r="S1589" i="11" s="1"/>
  <c r="Q1588" i="11"/>
  <c r="M1588" i="11"/>
  <c r="L1588" i="11"/>
  <c r="K1588" i="11"/>
  <c r="J1588" i="11"/>
  <c r="I1588" i="11"/>
  <c r="H1588" i="11"/>
  <c r="G1588" i="11"/>
  <c r="F1588" i="11"/>
  <c r="E1588" i="11"/>
  <c r="D1588" i="11"/>
  <c r="C1588" i="11"/>
  <c r="B1588" i="11"/>
  <c r="T1588" i="11" s="1"/>
  <c r="A1588" i="11"/>
  <c r="S1588" i="11" s="1"/>
  <c r="T1587" i="11"/>
  <c r="Q1587" i="11"/>
  <c r="P1587" i="11"/>
  <c r="M1587" i="11"/>
  <c r="L1587" i="11"/>
  <c r="K1587" i="11"/>
  <c r="J1587" i="11"/>
  <c r="I1587" i="11"/>
  <c r="H1587" i="11"/>
  <c r="G1587" i="11"/>
  <c r="F1587" i="11"/>
  <c r="E1587" i="11"/>
  <c r="D1587" i="11"/>
  <c r="C1587" i="11"/>
  <c r="B1587" i="11"/>
  <c r="A1587" i="11"/>
  <c r="S1587" i="11" s="1"/>
  <c r="V1586" i="11"/>
  <c r="S1586" i="11"/>
  <c r="Q1586" i="11"/>
  <c r="M1586" i="11"/>
  <c r="L1586" i="11"/>
  <c r="K1586" i="11"/>
  <c r="J1586" i="11"/>
  <c r="I1586" i="11"/>
  <c r="H1586" i="11"/>
  <c r="G1586" i="11"/>
  <c r="F1586" i="11"/>
  <c r="E1586" i="11"/>
  <c r="P1586" i="11" s="1"/>
  <c r="D1586" i="11"/>
  <c r="C1586" i="11"/>
  <c r="B1586" i="11"/>
  <c r="T1586" i="11" s="1"/>
  <c r="A1586" i="11"/>
  <c r="T1585" i="11"/>
  <c r="Q1585" i="11"/>
  <c r="P1585" i="11"/>
  <c r="M1585" i="11"/>
  <c r="L1585" i="11"/>
  <c r="K1585" i="11"/>
  <c r="J1585" i="11"/>
  <c r="I1585" i="11"/>
  <c r="H1585" i="11"/>
  <c r="G1585" i="11"/>
  <c r="F1585" i="11"/>
  <c r="E1585" i="11"/>
  <c r="D1585" i="11"/>
  <c r="C1585" i="11"/>
  <c r="B1585" i="11"/>
  <c r="A1585" i="11"/>
  <c r="S1585" i="11" s="1"/>
  <c r="S1584" i="11"/>
  <c r="M1584" i="11"/>
  <c r="L1584" i="11"/>
  <c r="K1584" i="11"/>
  <c r="J1584" i="11"/>
  <c r="I1584" i="11"/>
  <c r="H1584" i="11"/>
  <c r="G1584" i="11"/>
  <c r="F1584" i="11"/>
  <c r="Q1584" i="11" s="1"/>
  <c r="E1584" i="11"/>
  <c r="P1584" i="11" s="1"/>
  <c r="D1584" i="11"/>
  <c r="C1584" i="11"/>
  <c r="B1584" i="11"/>
  <c r="T1584" i="11" s="1"/>
  <c r="A1584" i="11"/>
  <c r="T1583" i="11"/>
  <c r="Q1583" i="11"/>
  <c r="M1583" i="11"/>
  <c r="L1583" i="11"/>
  <c r="K1583" i="11"/>
  <c r="J1583" i="11"/>
  <c r="I1583" i="11"/>
  <c r="H1583" i="11"/>
  <c r="G1583" i="11"/>
  <c r="F1583" i="11"/>
  <c r="E1583" i="11"/>
  <c r="D1583" i="11"/>
  <c r="C1583" i="11"/>
  <c r="B1583" i="11"/>
  <c r="A1583" i="11"/>
  <c r="S1583" i="11" s="1"/>
  <c r="M1582" i="11"/>
  <c r="L1582" i="11"/>
  <c r="K1582" i="11"/>
  <c r="J1582" i="11"/>
  <c r="I1582" i="11"/>
  <c r="H1582" i="11"/>
  <c r="G1582" i="11"/>
  <c r="F1582" i="11"/>
  <c r="Q1582" i="11" s="1"/>
  <c r="E1582" i="11"/>
  <c r="D1582" i="11"/>
  <c r="C1582" i="11"/>
  <c r="B1582" i="11"/>
  <c r="T1582" i="11" s="1"/>
  <c r="A1582" i="11"/>
  <c r="S1582" i="11" s="1"/>
  <c r="T1581" i="11"/>
  <c r="Q1581" i="11"/>
  <c r="M1581" i="11"/>
  <c r="L1581" i="11"/>
  <c r="K1581" i="11"/>
  <c r="J1581" i="11"/>
  <c r="I1581" i="11"/>
  <c r="H1581" i="11"/>
  <c r="G1581" i="11"/>
  <c r="F1581" i="11"/>
  <c r="E1581" i="11"/>
  <c r="D1581" i="11"/>
  <c r="C1581" i="11"/>
  <c r="B1581" i="11"/>
  <c r="A1581" i="11"/>
  <c r="S1581" i="11" s="1"/>
  <c r="V1580" i="11"/>
  <c r="Q1580" i="11"/>
  <c r="M1580" i="11"/>
  <c r="L1580" i="11"/>
  <c r="K1580" i="11"/>
  <c r="J1580" i="11"/>
  <c r="I1580" i="11"/>
  <c r="H1580" i="11"/>
  <c r="G1580" i="11"/>
  <c r="F1580" i="11"/>
  <c r="E1580" i="11"/>
  <c r="D1580" i="11"/>
  <c r="C1580" i="11"/>
  <c r="B1580" i="11"/>
  <c r="T1580" i="11" s="1"/>
  <c r="A1580" i="11"/>
  <c r="S1580" i="11" s="1"/>
  <c r="T1579" i="11"/>
  <c r="Q1579" i="11"/>
  <c r="P1579" i="11"/>
  <c r="M1579" i="11"/>
  <c r="L1579" i="11"/>
  <c r="K1579" i="11"/>
  <c r="J1579" i="11"/>
  <c r="I1579" i="11"/>
  <c r="H1579" i="11"/>
  <c r="G1579" i="11"/>
  <c r="F1579" i="11"/>
  <c r="E1579" i="11"/>
  <c r="D1579" i="11"/>
  <c r="C1579" i="11"/>
  <c r="B1579" i="11"/>
  <c r="A1579" i="11"/>
  <c r="S1579" i="11" s="1"/>
  <c r="V1578" i="11"/>
  <c r="S1578" i="11"/>
  <c r="Q1578" i="11"/>
  <c r="M1578" i="11"/>
  <c r="L1578" i="11"/>
  <c r="K1578" i="11"/>
  <c r="J1578" i="11"/>
  <c r="I1578" i="11"/>
  <c r="H1578" i="11"/>
  <c r="G1578" i="11"/>
  <c r="F1578" i="11"/>
  <c r="E1578" i="11"/>
  <c r="P1578" i="11" s="1"/>
  <c r="D1578" i="11"/>
  <c r="C1578" i="11"/>
  <c r="B1578" i="11"/>
  <c r="T1578" i="11" s="1"/>
  <c r="A1578" i="11"/>
  <c r="T1577" i="11"/>
  <c r="Q1577" i="11"/>
  <c r="P1577" i="11"/>
  <c r="M1577" i="11"/>
  <c r="L1577" i="11"/>
  <c r="K1577" i="11"/>
  <c r="J1577" i="11"/>
  <c r="I1577" i="11"/>
  <c r="H1577" i="11"/>
  <c r="G1577" i="11"/>
  <c r="F1577" i="11"/>
  <c r="E1577" i="11"/>
  <c r="D1577" i="11"/>
  <c r="C1577" i="11"/>
  <c r="B1577" i="11"/>
  <c r="A1577" i="11"/>
  <c r="S1577" i="11" s="1"/>
  <c r="S1576" i="11"/>
  <c r="M1576" i="11"/>
  <c r="L1576" i="11"/>
  <c r="K1576" i="11"/>
  <c r="J1576" i="11"/>
  <c r="I1576" i="11"/>
  <c r="H1576" i="11"/>
  <c r="G1576" i="11"/>
  <c r="F1576" i="11"/>
  <c r="Q1576" i="11" s="1"/>
  <c r="E1576" i="11"/>
  <c r="P1576" i="11" s="1"/>
  <c r="D1576" i="11"/>
  <c r="C1576" i="11"/>
  <c r="B1576" i="11"/>
  <c r="T1576" i="11" s="1"/>
  <c r="A1576" i="11"/>
  <c r="T1575" i="11"/>
  <c r="S1575" i="11"/>
  <c r="Q1575" i="11"/>
  <c r="M1575" i="11"/>
  <c r="L1575" i="11"/>
  <c r="K1575" i="11"/>
  <c r="J1575" i="11"/>
  <c r="I1575" i="11"/>
  <c r="H1575" i="11"/>
  <c r="G1575" i="11"/>
  <c r="F1575" i="11"/>
  <c r="E1575" i="11"/>
  <c r="D1575" i="11"/>
  <c r="C1575" i="11"/>
  <c r="B1575" i="11"/>
  <c r="A1575" i="11"/>
  <c r="S1574" i="11"/>
  <c r="M1574" i="11"/>
  <c r="L1574" i="11"/>
  <c r="K1574" i="11"/>
  <c r="J1574" i="11"/>
  <c r="I1574" i="11"/>
  <c r="H1574" i="11"/>
  <c r="G1574" i="11"/>
  <c r="F1574" i="11"/>
  <c r="Q1574" i="11" s="1"/>
  <c r="E1574" i="11"/>
  <c r="D1574" i="11"/>
  <c r="C1574" i="11"/>
  <c r="B1574" i="11"/>
  <c r="T1574" i="11" s="1"/>
  <c r="A1574" i="11"/>
  <c r="T1573" i="11"/>
  <c r="S1573" i="11"/>
  <c r="Q1573" i="11"/>
  <c r="M1573" i="11"/>
  <c r="L1573" i="11"/>
  <c r="K1573" i="11"/>
  <c r="J1573" i="11"/>
  <c r="I1573" i="11"/>
  <c r="H1573" i="11"/>
  <c r="G1573" i="11"/>
  <c r="F1573" i="11"/>
  <c r="E1573" i="11"/>
  <c r="D1573" i="11"/>
  <c r="C1573" i="11"/>
  <c r="B1573" i="11"/>
  <c r="A1573" i="11"/>
  <c r="V1572" i="11"/>
  <c r="Q1572" i="11"/>
  <c r="M1572" i="11"/>
  <c r="L1572" i="11"/>
  <c r="K1572" i="11"/>
  <c r="J1572" i="11"/>
  <c r="I1572" i="11"/>
  <c r="H1572" i="11"/>
  <c r="G1572" i="11"/>
  <c r="F1572" i="11"/>
  <c r="E1572" i="11"/>
  <c r="D1572" i="11"/>
  <c r="C1572" i="11"/>
  <c r="B1572" i="11"/>
  <c r="T1572" i="11" s="1"/>
  <c r="A1572" i="11"/>
  <c r="S1572" i="11" s="1"/>
  <c r="T1571" i="11"/>
  <c r="Q1571" i="11"/>
  <c r="P1571" i="11"/>
  <c r="M1571" i="11"/>
  <c r="L1571" i="11"/>
  <c r="K1571" i="11"/>
  <c r="J1571" i="11"/>
  <c r="I1571" i="11"/>
  <c r="H1571" i="11"/>
  <c r="G1571" i="11"/>
  <c r="F1571" i="11"/>
  <c r="E1571" i="11"/>
  <c r="D1571" i="11"/>
  <c r="C1571" i="11"/>
  <c r="B1571" i="11"/>
  <c r="A1571" i="11"/>
  <c r="S1571" i="11" s="1"/>
  <c r="V1570" i="11"/>
  <c r="S1570" i="11"/>
  <c r="Q1570" i="11"/>
  <c r="M1570" i="11"/>
  <c r="L1570" i="11"/>
  <c r="K1570" i="11"/>
  <c r="J1570" i="11"/>
  <c r="I1570" i="11"/>
  <c r="H1570" i="11"/>
  <c r="G1570" i="11"/>
  <c r="F1570" i="11"/>
  <c r="E1570" i="11"/>
  <c r="P1570" i="11" s="1"/>
  <c r="D1570" i="11"/>
  <c r="C1570" i="11"/>
  <c r="B1570" i="11"/>
  <c r="T1570" i="11" s="1"/>
  <c r="A1570" i="11"/>
  <c r="T1569" i="11"/>
  <c r="Q1569" i="11"/>
  <c r="P1569" i="11"/>
  <c r="M1569" i="11"/>
  <c r="L1569" i="11"/>
  <c r="K1569" i="11"/>
  <c r="J1569" i="11"/>
  <c r="I1569" i="11"/>
  <c r="H1569" i="11"/>
  <c r="G1569" i="11"/>
  <c r="F1569" i="11"/>
  <c r="E1569" i="11"/>
  <c r="D1569" i="11"/>
  <c r="C1569" i="11"/>
  <c r="B1569" i="11"/>
  <c r="A1569" i="11"/>
  <c r="S1569" i="11" s="1"/>
  <c r="S1568" i="11"/>
  <c r="M1568" i="11"/>
  <c r="L1568" i="11"/>
  <c r="K1568" i="11"/>
  <c r="J1568" i="11"/>
  <c r="I1568" i="11"/>
  <c r="H1568" i="11"/>
  <c r="G1568" i="11"/>
  <c r="F1568" i="11"/>
  <c r="Q1568" i="11" s="1"/>
  <c r="E1568" i="11"/>
  <c r="P1568" i="11" s="1"/>
  <c r="D1568" i="11"/>
  <c r="C1568" i="11"/>
  <c r="B1568" i="11"/>
  <c r="T1568" i="11" s="1"/>
  <c r="A1568" i="11"/>
  <c r="T1567" i="11"/>
  <c r="Q1567" i="11"/>
  <c r="M1567" i="11"/>
  <c r="L1567" i="11"/>
  <c r="K1567" i="11"/>
  <c r="J1567" i="11"/>
  <c r="I1567" i="11"/>
  <c r="H1567" i="11"/>
  <c r="G1567" i="11"/>
  <c r="F1567" i="11"/>
  <c r="E1567" i="11"/>
  <c r="D1567" i="11"/>
  <c r="C1567" i="11"/>
  <c r="B1567" i="11"/>
  <c r="A1567" i="11"/>
  <c r="S1567" i="11" s="1"/>
  <c r="M1566" i="11"/>
  <c r="L1566" i="11"/>
  <c r="K1566" i="11"/>
  <c r="J1566" i="11"/>
  <c r="I1566" i="11"/>
  <c r="H1566" i="11"/>
  <c r="G1566" i="11"/>
  <c r="F1566" i="11"/>
  <c r="Q1566" i="11" s="1"/>
  <c r="E1566" i="11"/>
  <c r="D1566" i="11"/>
  <c r="C1566" i="11"/>
  <c r="B1566" i="11"/>
  <c r="T1566" i="11" s="1"/>
  <c r="A1566" i="11"/>
  <c r="S1566" i="11" s="1"/>
  <c r="T1565" i="11"/>
  <c r="S1565" i="11"/>
  <c r="Q1565" i="11"/>
  <c r="M1565" i="11"/>
  <c r="L1565" i="11"/>
  <c r="K1565" i="11"/>
  <c r="J1565" i="11"/>
  <c r="I1565" i="11"/>
  <c r="H1565" i="11"/>
  <c r="G1565" i="11"/>
  <c r="F1565" i="11"/>
  <c r="E1565" i="11"/>
  <c r="D1565" i="11"/>
  <c r="C1565" i="11"/>
  <c r="B1565" i="11"/>
  <c r="A1565" i="11"/>
  <c r="Q1564" i="11"/>
  <c r="M1564" i="11"/>
  <c r="L1564" i="11"/>
  <c r="K1564" i="11"/>
  <c r="J1564" i="11"/>
  <c r="I1564" i="11"/>
  <c r="H1564" i="11"/>
  <c r="G1564" i="11"/>
  <c r="F1564" i="11"/>
  <c r="E1564" i="11"/>
  <c r="V1564" i="11" s="1"/>
  <c r="D1564" i="11"/>
  <c r="C1564" i="11"/>
  <c r="B1564" i="11"/>
  <c r="T1564" i="11" s="1"/>
  <c r="A1564" i="11"/>
  <c r="S1564" i="11" s="1"/>
  <c r="T1563" i="11"/>
  <c r="Q1563" i="11"/>
  <c r="P1563" i="11"/>
  <c r="M1563" i="11"/>
  <c r="L1563" i="11"/>
  <c r="K1563" i="11"/>
  <c r="J1563" i="11"/>
  <c r="I1563" i="11"/>
  <c r="H1563" i="11"/>
  <c r="G1563" i="11"/>
  <c r="F1563" i="11"/>
  <c r="E1563" i="11"/>
  <c r="D1563" i="11"/>
  <c r="C1563" i="11"/>
  <c r="B1563" i="11"/>
  <c r="A1563" i="11"/>
  <c r="S1563" i="11" s="1"/>
  <c r="V1562" i="11"/>
  <c r="S1562" i="11"/>
  <c r="Q1562" i="11"/>
  <c r="M1562" i="11"/>
  <c r="L1562" i="11"/>
  <c r="K1562" i="11"/>
  <c r="J1562" i="11"/>
  <c r="I1562" i="11"/>
  <c r="H1562" i="11"/>
  <c r="G1562" i="11"/>
  <c r="F1562" i="11"/>
  <c r="E1562" i="11"/>
  <c r="P1562" i="11" s="1"/>
  <c r="D1562" i="11"/>
  <c r="C1562" i="11"/>
  <c r="B1562" i="11"/>
  <c r="T1562" i="11" s="1"/>
  <c r="A1562" i="11"/>
  <c r="T1561" i="11"/>
  <c r="Q1561" i="11"/>
  <c r="P1561" i="11"/>
  <c r="M1561" i="11"/>
  <c r="L1561" i="11"/>
  <c r="K1561" i="11"/>
  <c r="J1561" i="11"/>
  <c r="I1561" i="11"/>
  <c r="H1561" i="11"/>
  <c r="G1561" i="11"/>
  <c r="F1561" i="11"/>
  <c r="E1561" i="11"/>
  <c r="D1561" i="11"/>
  <c r="C1561" i="11"/>
  <c r="B1561" i="11"/>
  <c r="A1561" i="11"/>
  <c r="S1561" i="11" s="1"/>
  <c r="S1560" i="11"/>
  <c r="M1560" i="11"/>
  <c r="L1560" i="11"/>
  <c r="K1560" i="11"/>
  <c r="J1560" i="11"/>
  <c r="I1560" i="11"/>
  <c r="H1560" i="11"/>
  <c r="G1560" i="11"/>
  <c r="F1560" i="11"/>
  <c r="Q1560" i="11" s="1"/>
  <c r="E1560" i="11"/>
  <c r="P1560" i="11" s="1"/>
  <c r="D1560" i="11"/>
  <c r="C1560" i="11"/>
  <c r="B1560" i="11"/>
  <c r="T1560" i="11" s="1"/>
  <c r="A1560" i="11"/>
  <c r="T1559" i="11"/>
  <c r="Q1559" i="11"/>
  <c r="M1559" i="11"/>
  <c r="L1559" i="11"/>
  <c r="K1559" i="11"/>
  <c r="J1559" i="11"/>
  <c r="I1559" i="11"/>
  <c r="H1559" i="11"/>
  <c r="G1559" i="11"/>
  <c r="F1559" i="11"/>
  <c r="E1559" i="11"/>
  <c r="D1559" i="11"/>
  <c r="C1559" i="11"/>
  <c r="B1559" i="11"/>
  <c r="A1559" i="11"/>
  <c r="S1559" i="11" s="1"/>
  <c r="M1558" i="11"/>
  <c r="L1558" i="11"/>
  <c r="K1558" i="11"/>
  <c r="J1558" i="11"/>
  <c r="I1558" i="11"/>
  <c r="H1558" i="11"/>
  <c r="G1558" i="11"/>
  <c r="F1558" i="11"/>
  <c r="Q1558" i="11" s="1"/>
  <c r="E1558" i="11"/>
  <c r="D1558" i="11"/>
  <c r="C1558" i="11"/>
  <c r="B1558" i="11"/>
  <c r="T1558" i="11" s="1"/>
  <c r="A1558" i="11"/>
  <c r="S1558" i="11" s="1"/>
  <c r="T1557" i="11"/>
  <c r="Q1557" i="11"/>
  <c r="M1557" i="11"/>
  <c r="L1557" i="11"/>
  <c r="K1557" i="11"/>
  <c r="J1557" i="11"/>
  <c r="I1557" i="11"/>
  <c r="H1557" i="11"/>
  <c r="G1557" i="11"/>
  <c r="F1557" i="11"/>
  <c r="E1557" i="11"/>
  <c r="D1557" i="11"/>
  <c r="C1557" i="11"/>
  <c r="B1557" i="11"/>
  <c r="A1557" i="11"/>
  <c r="S1557" i="11" s="1"/>
  <c r="Q1556" i="11"/>
  <c r="M1556" i="11"/>
  <c r="L1556" i="11"/>
  <c r="K1556" i="11"/>
  <c r="J1556" i="11"/>
  <c r="I1556" i="11"/>
  <c r="H1556" i="11"/>
  <c r="G1556" i="11"/>
  <c r="F1556" i="11"/>
  <c r="E1556" i="11"/>
  <c r="D1556" i="11"/>
  <c r="C1556" i="11"/>
  <c r="B1556" i="11"/>
  <c r="T1556" i="11" s="1"/>
  <c r="A1556" i="11"/>
  <c r="S1556" i="11" s="1"/>
  <c r="T1555" i="11"/>
  <c r="Q1555" i="11"/>
  <c r="P1555" i="11"/>
  <c r="M1555" i="11"/>
  <c r="L1555" i="11"/>
  <c r="K1555" i="11"/>
  <c r="J1555" i="11"/>
  <c r="I1555" i="11"/>
  <c r="H1555" i="11"/>
  <c r="G1555" i="11"/>
  <c r="F1555" i="11"/>
  <c r="E1555" i="11"/>
  <c r="D1555" i="11"/>
  <c r="C1555" i="11"/>
  <c r="B1555" i="11"/>
  <c r="A1555" i="11"/>
  <c r="S1555" i="11" s="1"/>
  <c r="V1554" i="11"/>
  <c r="S1554" i="11"/>
  <c r="Q1554" i="11"/>
  <c r="M1554" i="11"/>
  <c r="L1554" i="11"/>
  <c r="K1554" i="11"/>
  <c r="J1554" i="11"/>
  <c r="I1554" i="11"/>
  <c r="H1554" i="11"/>
  <c r="G1554" i="11"/>
  <c r="F1554" i="11"/>
  <c r="E1554" i="11"/>
  <c r="P1554" i="11" s="1"/>
  <c r="D1554" i="11"/>
  <c r="C1554" i="11"/>
  <c r="B1554" i="11"/>
  <c r="T1554" i="11" s="1"/>
  <c r="A1554" i="11"/>
  <c r="T1553" i="11"/>
  <c r="Q1553" i="11"/>
  <c r="P1553" i="11"/>
  <c r="M1553" i="11"/>
  <c r="L1553" i="11"/>
  <c r="K1553" i="11"/>
  <c r="J1553" i="11"/>
  <c r="I1553" i="11"/>
  <c r="H1553" i="11"/>
  <c r="G1553" i="11"/>
  <c r="F1553" i="11"/>
  <c r="E1553" i="11"/>
  <c r="D1553" i="11"/>
  <c r="C1553" i="11"/>
  <c r="B1553" i="11"/>
  <c r="A1553" i="11"/>
  <c r="S1553" i="11" s="1"/>
  <c r="S1552" i="11"/>
  <c r="M1552" i="11"/>
  <c r="L1552" i="11"/>
  <c r="K1552" i="11"/>
  <c r="J1552" i="11"/>
  <c r="I1552" i="11"/>
  <c r="H1552" i="11"/>
  <c r="G1552" i="11"/>
  <c r="F1552" i="11"/>
  <c r="Q1552" i="11" s="1"/>
  <c r="E1552" i="11"/>
  <c r="P1552" i="11" s="1"/>
  <c r="D1552" i="11"/>
  <c r="C1552" i="11"/>
  <c r="B1552" i="11"/>
  <c r="T1552" i="11" s="1"/>
  <c r="A1552" i="11"/>
  <c r="T1551" i="11"/>
  <c r="S1551" i="11"/>
  <c r="Q1551" i="11"/>
  <c r="M1551" i="11"/>
  <c r="L1551" i="11"/>
  <c r="K1551" i="11"/>
  <c r="J1551" i="11"/>
  <c r="I1551" i="11"/>
  <c r="H1551" i="11"/>
  <c r="G1551" i="11"/>
  <c r="F1551" i="11"/>
  <c r="E1551" i="11"/>
  <c r="D1551" i="11"/>
  <c r="C1551" i="11"/>
  <c r="B1551" i="11"/>
  <c r="A1551" i="11"/>
  <c r="M1550" i="11"/>
  <c r="L1550" i="11"/>
  <c r="K1550" i="11"/>
  <c r="J1550" i="11"/>
  <c r="I1550" i="11"/>
  <c r="H1550" i="11"/>
  <c r="G1550" i="11"/>
  <c r="F1550" i="11"/>
  <c r="Q1550" i="11" s="1"/>
  <c r="E1550" i="11"/>
  <c r="D1550" i="11"/>
  <c r="C1550" i="11"/>
  <c r="B1550" i="11"/>
  <c r="T1550" i="11" s="1"/>
  <c r="A1550" i="11"/>
  <c r="S1550" i="11" s="1"/>
  <c r="T1549" i="11"/>
  <c r="Q1549" i="11"/>
  <c r="M1549" i="11"/>
  <c r="L1549" i="11"/>
  <c r="K1549" i="11"/>
  <c r="J1549" i="11"/>
  <c r="I1549" i="11"/>
  <c r="H1549" i="11"/>
  <c r="G1549" i="11"/>
  <c r="F1549" i="11"/>
  <c r="E1549" i="11"/>
  <c r="D1549" i="11"/>
  <c r="C1549" i="11"/>
  <c r="B1549" i="11"/>
  <c r="A1549" i="11"/>
  <c r="S1549" i="11" s="1"/>
  <c r="V1548" i="11"/>
  <c r="Q1548" i="11"/>
  <c r="M1548" i="11"/>
  <c r="L1548" i="11"/>
  <c r="K1548" i="11"/>
  <c r="J1548" i="11"/>
  <c r="I1548" i="11"/>
  <c r="H1548" i="11"/>
  <c r="G1548" i="11"/>
  <c r="F1548" i="11"/>
  <c r="E1548" i="11"/>
  <c r="D1548" i="11"/>
  <c r="C1548" i="11"/>
  <c r="B1548" i="11"/>
  <c r="T1548" i="11" s="1"/>
  <c r="A1548" i="11"/>
  <c r="S1548" i="11" s="1"/>
  <c r="M1547" i="11"/>
  <c r="L1547" i="11"/>
  <c r="K1547" i="11"/>
  <c r="J1547" i="11"/>
  <c r="I1547" i="11"/>
  <c r="H1547" i="11"/>
  <c r="G1547" i="11"/>
  <c r="F1547" i="11"/>
  <c r="Q1547" i="11" s="1"/>
  <c r="E1547" i="11"/>
  <c r="D1547" i="11"/>
  <c r="C1547" i="11"/>
  <c r="B1547" i="11"/>
  <c r="T1547" i="11" s="1"/>
  <c r="A1547" i="11"/>
  <c r="S1547" i="11" s="1"/>
  <c r="T1546" i="11"/>
  <c r="S1546" i="11"/>
  <c r="P1546" i="11"/>
  <c r="M1546" i="11"/>
  <c r="L1546" i="11"/>
  <c r="K1546" i="11"/>
  <c r="J1546" i="11"/>
  <c r="I1546" i="11"/>
  <c r="H1546" i="11"/>
  <c r="G1546" i="11"/>
  <c r="F1546" i="11"/>
  <c r="V1546" i="11" s="1"/>
  <c r="E1546" i="11"/>
  <c r="D1546" i="11"/>
  <c r="C1546" i="11"/>
  <c r="B1546" i="11"/>
  <c r="A1546" i="11"/>
  <c r="Q1545" i="11"/>
  <c r="M1545" i="11"/>
  <c r="L1545" i="11"/>
  <c r="K1545" i="11"/>
  <c r="J1545" i="11"/>
  <c r="I1545" i="11"/>
  <c r="H1545" i="11"/>
  <c r="G1545" i="11"/>
  <c r="F1545" i="11"/>
  <c r="E1545" i="11"/>
  <c r="D1545" i="11"/>
  <c r="C1545" i="11"/>
  <c r="B1545" i="11"/>
  <c r="T1545" i="11" s="1"/>
  <c r="A1545" i="11"/>
  <c r="S1545" i="11" s="1"/>
  <c r="T1544" i="11"/>
  <c r="S1544" i="11"/>
  <c r="P1544" i="11"/>
  <c r="M1544" i="11"/>
  <c r="L1544" i="11"/>
  <c r="K1544" i="11"/>
  <c r="J1544" i="11"/>
  <c r="I1544" i="11"/>
  <c r="H1544" i="11"/>
  <c r="G1544" i="11"/>
  <c r="F1544" i="11"/>
  <c r="V1544" i="11" s="1"/>
  <c r="E1544" i="11"/>
  <c r="D1544" i="11"/>
  <c r="C1544" i="11"/>
  <c r="B1544" i="11"/>
  <c r="A1544" i="11"/>
  <c r="Q1543" i="11"/>
  <c r="M1543" i="11"/>
  <c r="L1543" i="11"/>
  <c r="K1543" i="11"/>
  <c r="J1543" i="11"/>
  <c r="I1543" i="11"/>
  <c r="H1543" i="11"/>
  <c r="G1543" i="11"/>
  <c r="F1543" i="11"/>
  <c r="V1543" i="11" s="1"/>
  <c r="E1543" i="11"/>
  <c r="P1543" i="11" s="1"/>
  <c r="D1543" i="11"/>
  <c r="C1543" i="11"/>
  <c r="B1543" i="11"/>
  <c r="T1543" i="11" s="1"/>
  <c r="A1543" i="11"/>
  <c r="S1543" i="11" s="1"/>
  <c r="T1542" i="11"/>
  <c r="S1542" i="11"/>
  <c r="P1542" i="11"/>
  <c r="M1542" i="11"/>
  <c r="L1542" i="11"/>
  <c r="K1542" i="11"/>
  <c r="J1542" i="11"/>
  <c r="I1542" i="11"/>
  <c r="H1542" i="11"/>
  <c r="G1542" i="11"/>
  <c r="F1542" i="11"/>
  <c r="V1542" i="11" s="1"/>
  <c r="E1542" i="11"/>
  <c r="D1542" i="11"/>
  <c r="C1542" i="11"/>
  <c r="B1542" i="11"/>
  <c r="A1542" i="11"/>
  <c r="Q1541" i="11"/>
  <c r="M1541" i="11"/>
  <c r="L1541" i="11"/>
  <c r="K1541" i="11"/>
  <c r="J1541" i="11"/>
  <c r="I1541" i="11"/>
  <c r="H1541" i="11"/>
  <c r="G1541" i="11"/>
  <c r="F1541" i="11"/>
  <c r="V1541" i="11" s="1"/>
  <c r="E1541" i="11"/>
  <c r="P1541" i="11" s="1"/>
  <c r="D1541" i="11"/>
  <c r="C1541" i="11"/>
  <c r="B1541" i="11"/>
  <c r="T1541" i="11" s="1"/>
  <c r="A1541" i="11"/>
  <c r="S1541" i="11" s="1"/>
  <c r="T1540" i="11"/>
  <c r="S1540" i="11"/>
  <c r="P1540" i="11"/>
  <c r="M1540" i="11"/>
  <c r="L1540" i="11"/>
  <c r="K1540" i="11"/>
  <c r="J1540" i="11"/>
  <c r="I1540" i="11"/>
  <c r="H1540" i="11"/>
  <c r="G1540" i="11"/>
  <c r="F1540" i="11"/>
  <c r="Q1540" i="11" s="1"/>
  <c r="E1540" i="11"/>
  <c r="V1540" i="11" s="1"/>
  <c r="D1540" i="11"/>
  <c r="C1540" i="11"/>
  <c r="B1540" i="11"/>
  <c r="A1540" i="11"/>
  <c r="M1539" i="11"/>
  <c r="L1539" i="11"/>
  <c r="K1539" i="11"/>
  <c r="J1539" i="11"/>
  <c r="I1539" i="11"/>
  <c r="H1539" i="11"/>
  <c r="G1539" i="11"/>
  <c r="F1539" i="11"/>
  <c r="Q1539" i="11" s="1"/>
  <c r="E1539" i="11"/>
  <c r="D1539" i="11"/>
  <c r="C1539" i="11"/>
  <c r="B1539" i="11"/>
  <c r="T1539" i="11" s="1"/>
  <c r="A1539" i="11"/>
  <c r="S1539" i="11" s="1"/>
  <c r="T1538" i="11"/>
  <c r="S1538" i="11"/>
  <c r="P1538" i="11"/>
  <c r="M1538" i="11"/>
  <c r="L1538" i="11"/>
  <c r="K1538" i="11"/>
  <c r="J1538" i="11"/>
  <c r="I1538" i="11"/>
  <c r="H1538" i="11"/>
  <c r="G1538" i="11"/>
  <c r="F1538" i="11"/>
  <c r="Q1538" i="11" s="1"/>
  <c r="E1538" i="11"/>
  <c r="V1538" i="11" s="1"/>
  <c r="D1538" i="11"/>
  <c r="C1538" i="11"/>
  <c r="B1538" i="11"/>
  <c r="A1538" i="11"/>
  <c r="Q1537" i="11"/>
  <c r="M1537" i="11"/>
  <c r="L1537" i="11"/>
  <c r="K1537" i="11"/>
  <c r="J1537" i="11"/>
  <c r="I1537" i="11"/>
  <c r="H1537" i="11"/>
  <c r="G1537" i="11"/>
  <c r="F1537" i="11"/>
  <c r="E1537" i="11"/>
  <c r="D1537" i="11"/>
  <c r="C1537" i="11"/>
  <c r="B1537" i="11"/>
  <c r="T1537" i="11" s="1"/>
  <c r="A1537" i="11"/>
  <c r="S1537" i="11" s="1"/>
  <c r="T1536" i="11"/>
  <c r="S1536" i="11"/>
  <c r="P1536" i="11"/>
  <c r="M1536" i="11"/>
  <c r="L1536" i="11"/>
  <c r="K1536" i="11"/>
  <c r="J1536" i="11"/>
  <c r="I1536" i="11"/>
  <c r="H1536" i="11"/>
  <c r="G1536" i="11"/>
  <c r="F1536" i="11"/>
  <c r="Q1536" i="11" s="1"/>
  <c r="E1536" i="11"/>
  <c r="V1536" i="11" s="1"/>
  <c r="D1536" i="11"/>
  <c r="C1536" i="11"/>
  <c r="B1536" i="11"/>
  <c r="A1536" i="11"/>
  <c r="Q1535" i="11"/>
  <c r="M1535" i="11"/>
  <c r="L1535" i="11"/>
  <c r="K1535" i="11"/>
  <c r="J1535" i="11"/>
  <c r="I1535" i="11"/>
  <c r="H1535" i="11"/>
  <c r="G1535" i="11"/>
  <c r="F1535" i="11"/>
  <c r="V1535" i="11" s="1"/>
  <c r="E1535" i="11"/>
  <c r="P1535" i="11" s="1"/>
  <c r="D1535" i="11"/>
  <c r="C1535" i="11"/>
  <c r="B1535" i="11"/>
  <c r="T1535" i="11" s="1"/>
  <c r="A1535" i="11"/>
  <c r="S1535" i="11" s="1"/>
  <c r="T1534" i="11"/>
  <c r="S1534" i="11"/>
  <c r="P1534" i="11"/>
  <c r="M1534" i="11"/>
  <c r="L1534" i="11"/>
  <c r="K1534" i="11"/>
  <c r="J1534" i="11"/>
  <c r="I1534" i="11"/>
  <c r="H1534" i="11"/>
  <c r="G1534" i="11"/>
  <c r="F1534" i="11"/>
  <c r="Q1534" i="11" s="1"/>
  <c r="E1534" i="11"/>
  <c r="V1534" i="11" s="1"/>
  <c r="D1534" i="11"/>
  <c r="C1534" i="11"/>
  <c r="B1534" i="11"/>
  <c r="A1534" i="11"/>
  <c r="M1533" i="11"/>
  <c r="L1533" i="11"/>
  <c r="K1533" i="11"/>
  <c r="J1533" i="11"/>
  <c r="I1533" i="11"/>
  <c r="H1533" i="11"/>
  <c r="G1533" i="11"/>
  <c r="F1533" i="11"/>
  <c r="Q1533" i="11" s="1"/>
  <c r="E1533" i="11"/>
  <c r="P1533" i="11" s="1"/>
  <c r="D1533" i="11"/>
  <c r="C1533" i="11"/>
  <c r="B1533" i="11"/>
  <c r="T1533" i="11" s="1"/>
  <c r="A1533" i="11"/>
  <c r="S1533" i="11" s="1"/>
  <c r="T1532" i="11"/>
  <c r="S1532" i="11"/>
  <c r="Q1532" i="11"/>
  <c r="P1532" i="11"/>
  <c r="M1532" i="11"/>
  <c r="L1532" i="11"/>
  <c r="K1532" i="11"/>
  <c r="J1532" i="11"/>
  <c r="I1532" i="11"/>
  <c r="H1532" i="11"/>
  <c r="G1532" i="11"/>
  <c r="F1532" i="11"/>
  <c r="E1532" i="11"/>
  <c r="V1532" i="11" s="1"/>
  <c r="D1532" i="11"/>
  <c r="C1532" i="11"/>
  <c r="B1532" i="11"/>
  <c r="A1532" i="11"/>
  <c r="V1531" i="11"/>
  <c r="Q1531" i="11"/>
  <c r="M1531" i="11"/>
  <c r="L1531" i="11"/>
  <c r="K1531" i="11"/>
  <c r="J1531" i="11"/>
  <c r="I1531" i="11"/>
  <c r="H1531" i="11"/>
  <c r="G1531" i="11"/>
  <c r="F1531" i="11"/>
  <c r="E1531" i="11"/>
  <c r="P1531" i="11" s="1"/>
  <c r="D1531" i="11"/>
  <c r="C1531" i="11"/>
  <c r="B1531" i="11"/>
  <c r="T1531" i="11" s="1"/>
  <c r="A1531" i="11"/>
  <c r="S1531" i="11" s="1"/>
  <c r="T1530" i="11"/>
  <c r="S1530" i="11"/>
  <c r="Q1530" i="11"/>
  <c r="P1530" i="11"/>
  <c r="M1530" i="11"/>
  <c r="L1530" i="11"/>
  <c r="K1530" i="11"/>
  <c r="J1530" i="11"/>
  <c r="I1530" i="11"/>
  <c r="H1530" i="11"/>
  <c r="G1530" i="11"/>
  <c r="F1530" i="11"/>
  <c r="E1530" i="11"/>
  <c r="V1530" i="11" s="1"/>
  <c r="D1530" i="11"/>
  <c r="C1530" i="11"/>
  <c r="B1530" i="11"/>
  <c r="A1530" i="11"/>
  <c r="M1529" i="11"/>
  <c r="L1529" i="11"/>
  <c r="K1529" i="11"/>
  <c r="J1529" i="11"/>
  <c r="I1529" i="11"/>
  <c r="H1529" i="11"/>
  <c r="G1529" i="11"/>
  <c r="F1529" i="11"/>
  <c r="Q1529" i="11" s="1"/>
  <c r="E1529" i="11"/>
  <c r="P1529" i="11" s="1"/>
  <c r="D1529" i="11"/>
  <c r="C1529" i="11"/>
  <c r="B1529" i="11"/>
  <c r="T1529" i="11" s="1"/>
  <c r="A1529" i="11"/>
  <c r="S1529" i="11" s="1"/>
  <c r="T1528" i="11"/>
  <c r="S1528" i="11"/>
  <c r="Q1528" i="11"/>
  <c r="P1528" i="11"/>
  <c r="M1528" i="11"/>
  <c r="L1528" i="11"/>
  <c r="K1528" i="11"/>
  <c r="J1528" i="11"/>
  <c r="I1528" i="11"/>
  <c r="H1528" i="11"/>
  <c r="G1528" i="11"/>
  <c r="F1528" i="11"/>
  <c r="E1528" i="11"/>
  <c r="V1528" i="11" s="1"/>
  <c r="D1528" i="11"/>
  <c r="C1528" i="11"/>
  <c r="B1528" i="11"/>
  <c r="A1528" i="11"/>
  <c r="Q1527" i="11"/>
  <c r="M1527" i="11"/>
  <c r="L1527" i="11"/>
  <c r="K1527" i="11"/>
  <c r="J1527" i="11"/>
  <c r="I1527" i="11"/>
  <c r="H1527" i="11"/>
  <c r="G1527" i="11"/>
  <c r="F1527" i="11"/>
  <c r="V1527" i="11" s="1"/>
  <c r="E1527" i="11"/>
  <c r="P1527" i="11" s="1"/>
  <c r="D1527" i="11"/>
  <c r="C1527" i="11"/>
  <c r="B1527" i="11"/>
  <c r="T1527" i="11" s="1"/>
  <c r="A1527" i="11"/>
  <c r="S1527" i="11" s="1"/>
  <c r="T1526" i="11"/>
  <c r="S1526" i="11"/>
  <c r="Q1526" i="11"/>
  <c r="P1526" i="11"/>
  <c r="M1526" i="11"/>
  <c r="L1526" i="11"/>
  <c r="K1526" i="11"/>
  <c r="J1526" i="11"/>
  <c r="I1526" i="11"/>
  <c r="H1526" i="11"/>
  <c r="G1526" i="11"/>
  <c r="F1526" i="11"/>
  <c r="E1526" i="11"/>
  <c r="V1526" i="11" s="1"/>
  <c r="D1526" i="11"/>
  <c r="C1526" i="11"/>
  <c r="B1526" i="11"/>
  <c r="A1526" i="11"/>
  <c r="V1525" i="11"/>
  <c r="M1525" i="11"/>
  <c r="L1525" i="11"/>
  <c r="K1525" i="11"/>
  <c r="J1525" i="11"/>
  <c r="I1525" i="11"/>
  <c r="H1525" i="11"/>
  <c r="G1525" i="11"/>
  <c r="F1525" i="11"/>
  <c r="Q1525" i="11" s="1"/>
  <c r="E1525" i="11"/>
  <c r="P1525" i="11" s="1"/>
  <c r="D1525" i="11"/>
  <c r="C1525" i="11"/>
  <c r="B1525" i="11"/>
  <c r="T1525" i="11" s="1"/>
  <c r="A1525" i="11"/>
  <c r="S1525" i="11" s="1"/>
  <c r="T1524" i="11"/>
  <c r="S1524" i="11"/>
  <c r="Q1524" i="11"/>
  <c r="P1524" i="11"/>
  <c r="M1524" i="11"/>
  <c r="L1524" i="11"/>
  <c r="K1524" i="11"/>
  <c r="J1524" i="11"/>
  <c r="I1524" i="11"/>
  <c r="H1524" i="11"/>
  <c r="G1524" i="11"/>
  <c r="F1524" i="11"/>
  <c r="E1524" i="11"/>
  <c r="V1524" i="11" s="1"/>
  <c r="D1524" i="11"/>
  <c r="C1524" i="11"/>
  <c r="B1524" i="11"/>
  <c r="A1524" i="11"/>
  <c r="V1523" i="11"/>
  <c r="Q1523" i="11"/>
  <c r="M1523" i="11"/>
  <c r="L1523" i="11"/>
  <c r="K1523" i="11"/>
  <c r="J1523" i="11"/>
  <c r="I1523" i="11"/>
  <c r="H1523" i="11"/>
  <c r="G1523" i="11"/>
  <c r="F1523" i="11"/>
  <c r="E1523" i="11"/>
  <c r="P1523" i="11" s="1"/>
  <c r="D1523" i="11"/>
  <c r="C1523" i="11"/>
  <c r="B1523" i="11"/>
  <c r="T1523" i="11" s="1"/>
  <c r="A1523" i="11"/>
  <c r="S1523" i="11" s="1"/>
  <c r="T1522" i="11"/>
  <c r="S1522" i="11"/>
  <c r="Q1522" i="11"/>
  <c r="P1522" i="11"/>
  <c r="M1522" i="11"/>
  <c r="L1522" i="11"/>
  <c r="K1522" i="11"/>
  <c r="J1522" i="11"/>
  <c r="I1522" i="11"/>
  <c r="H1522" i="11"/>
  <c r="G1522" i="11"/>
  <c r="F1522" i="11"/>
  <c r="E1522" i="11"/>
  <c r="V1522" i="11" s="1"/>
  <c r="D1522" i="11"/>
  <c r="C1522" i="11"/>
  <c r="B1522" i="11"/>
  <c r="A1522" i="11"/>
  <c r="V1521" i="11"/>
  <c r="M1521" i="11"/>
  <c r="L1521" i="11"/>
  <c r="K1521" i="11"/>
  <c r="J1521" i="11"/>
  <c r="I1521" i="11"/>
  <c r="H1521" i="11"/>
  <c r="G1521" i="11"/>
  <c r="F1521" i="11"/>
  <c r="Q1521" i="11" s="1"/>
  <c r="E1521" i="11"/>
  <c r="P1521" i="11" s="1"/>
  <c r="D1521" i="11"/>
  <c r="C1521" i="11"/>
  <c r="B1521" i="11"/>
  <c r="T1521" i="11" s="1"/>
  <c r="A1521" i="11"/>
  <c r="S1521" i="11" s="1"/>
  <c r="T1520" i="11"/>
  <c r="S1520" i="11"/>
  <c r="Q1520" i="11"/>
  <c r="P1520" i="11"/>
  <c r="M1520" i="11"/>
  <c r="L1520" i="11"/>
  <c r="K1520" i="11"/>
  <c r="J1520" i="11"/>
  <c r="I1520" i="11"/>
  <c r="H1520" i="11"/>
  <c r="G1520" i="11"/>
  <c r="F1520" i="11"/>
  <c r="E1520" i="11"/>
  <c r="V1520" i="11" s="1"/>
  <c r="D1520" i="11"/>
  <c r="C1520" i="11"/>
  <c r="B1520" i="11"/>
  <c r="A1520" i="11"/>
  <c r="Q1519" i="11"/>
  <c r="M1519" i="11"/>
  <c r="L1519" i="11"/>
  <c r="K1519" i="11"/>
  <c r="J1519" i="11"/>
  <c r="I1519" i="11"/>
  <c r="H1519" i="11"/>
  <c r="G1519" i="11"/>
  <c r="F1519" i="11"/>
  <c r="V1519" i="11" s="1"/>
  <c r="E1519" i="11"/>
  <c r="P1519" i="11" s="1"/>
  <c r="D1519" i="11"/>
  <c r="C1519" i="11"/>
  <c r="B1519" i="11"/>
  <c r="T1519" i="11" s="1"/>
  <c r="A1519" i="11"/>
  <c r="S1519" i="11" s="1"/>
  <c r="T1518" i="11"/>
  <c r="S1518" i="11"/>
  <c r="Q1518" i="11"/>
  <c r="P1518" i="11"/>
  <c r="M1518" i="11"/>
  <c r="L1518" i="11"/>
  <c r="K1518" i="11"/>
  <c r="J1518" i="11"/>
  <c r="I1518" i="11"/>
  <c r="H1518" i="11"/>
  <c r="G1518" i="11"/>
  <c r="F1518" i="11"/>
  <c r="E1518" i="11"/>
  <c r="V1518" i="11" s="1"/>
  <c r="D1518" i="11"/>
  <c r="C1518" i="11"/>
  <c r="B1518" i="11"/>
  <c r="A1518" i="11"/>
  <c r="M1517" i="11"/>
  <c r="L1517" i="11"/>
  <c r="K1517" i="11"/>
  <c r="J1517" i="11"/>
  <c r="I1517" i="11"/>
  <c r="H1517" i="11"/>
  <c r="G1517" i="11"/>
  <c r="F1517" i="11"/>
  <c r="E1517" i="11"/>
  <c r="P1517" i="11" s="1"/>
  <c r="D1517" i="11"/>
  <c r="C1517" i="11"/>
  <c r="B1517" i="11"/>
  <c r="T1517" i="11" s="1"/>
  <c r="A1517" i="11"/>
  <c r="S1517" i="11" s="1"/>
  <c r="T1516" i="11"/>
  <c r="S1516" i="11"/>
  <c r="Q1516" i="11"/>
  <c r="P1516" i="11"/>
  <c r="M1516" i="11"/>
  <c r="L1516" i="11"/>
  <c r="K1516" i="11"/>
  <c r="J1516" i="11"/>
  <c r="I1516" i="11"/>
  <c r="H1516" i="11"/>
  <c r="G1516" i="11"/>
  <c r="F1516" i="11"/>
  <c r="E1516" i="11"/>
  <c r="V1516" i="11" s="1"/>
  <c r="D1516" i="11"/>
  <c r="C1516" i="11"/>
  <c r="B1516" i="11"/>
  <c r="A1516" i="11"/>
  <c r="V1515" i="11"/>
  <c r="Q1515" i="11"/>
  <c r="M1515" i="11"/>
  <c r="L1515" i="11"/>
  <c r="K1515" i="11"/>
  <c r="J1515" i="11"/>
  <c r="I1515" i="11"/>
  <c r="H1515" i="11"/>
  <c r="G1515" i="11"/>
  <c r="F1515" i="11"/>
  <c r="E1515" i="11"/>
  <c r="P1515" i="11" s="1"/>
  <c r="D1515" i="11"/>
  <c r="C1515" i="11"/>
  <c r="B1515" i="11"/>
  <c r="T1515" i="11" s="1"/>
  <c r="A1515" i="11"/>
  <c r="S1515" i="11" s="1"/>
  <c r="T1514" i="11"/>
  <c r="S1514" i="11"/>
  <c r="Q1514" i="11"/>
  <c r="P1514" i="11"/>
  <c r="M1514" i="11"/>
  <c r="L1514" i="11"/>
  <c r="K1514" i="11"/>
  <c r="J1514" i="11"/>
  <c r="I1514" i="11"/>
  <c r="H1514" i="11"/>
  <c r="G1514" i="11"/>
  <c r="F1514" i="11"/>
  <c r="E1514" i="11"/>
  <c r="V1514" i="11" s="1"/>
  <c r="D1514" i="11"/>
  <c r="C1514" i="11"/>
  <c r="B1514" i="11"/>
  <c r="A1514" i="11"/>
  <c r="M1513" i="11"/>
  <c r="L1513" i="11"/>
  <c r="K1513" i="11"/>
  <c r="J1513" i="11"/>
  <c r="I1513" i="11"/>
  <c r="H1513" i="11"/>
  <c r="G1513" i="11"/>
  <c r="F1513" i="11"/>
  <c r="E1513" i="11"/>
  <c r="P1513" i="11" s="1"/>
  <c r="D1513" i="11"/>
  <c r="C1513" i="11"/>
  <c r="B1513" i="11"/>
  <c r="T1513" i="11" s="1"/>
  <c r="A1513" i="11"/>
  <c r="S1513" i="11" s="1"/>
  <c r="T1512" i="11"/>
  <c r="S1512" i="11"/>
  <c r="Q1512" i="11"/>
  <c r="P1512" i="11"/>
  <c r="M1512" i="11"/>
  <c r="L1512" i="11"/>
  <c r="K1512" i="11"/>
  <c r="J1512" i="11"/>
  <c r="I1512" i="11"/>
  <c r="H1512" i="11"/>
  <c r="G1512" i="11"/>
  <c r="F1512" i="11"/>
  <c r="E1512" i="11"/>
  <c r="V1512" i="11" s="1"/>
  <c r="D1512" i="11"/>
  <c r="C1512" i="11"/>
  <c r="B1512" i="11"/>
  <c r="A1512" i="11"/>
  <c r="Q1511" i="11"/>
  <c r="M1511" i="11"/>
  <c r="L1511" i="11"/>
  <c r="K1511" i="11"/>
  <c r="J1511" i="11"/>
  <c r="I1511" i="11"/>
  <c r="H1511" i="11"/>
  <c r="G1511" i="11"/>
  <c r="F1511" i="11"/>
  <c r="V1511" i="11" s="1"/>
  <c r="E1511" i="11"/>
  <c r="P1511" i="11" s="1"/>
  <c r="D1511" i="11"/>
  <c r="C1511" i="11"/>
  <c r="B1511" i="11"/>
  <c r="T1511" i="11" s="1"/>
  <c r="A1511" i="11"/>
  <c r="S1511" i="11" s="1"/>
  <c r="T1510" i="11"/>
  <c r="S1510" i="11"/>
  <c r="Q1510" i="11"/>
  <c r="P1510" i="11"/>
  <c r="M1510" i="11"/>
  <c r="L1510" i="11"/>
  <c r="K1510" i="11"/>
  <c r="J1510" i="11"/>
  <c r="I1510" i="11"/>
  <c r="H1510" i="11"/>
  <c r="G1510" i="11"/>
  <c r="F1510" i="11"/>
  <c r="E1510" i="11"/>
  <c r="V1510" i="11" s="1"/>
  <c r="D1510" i="11"/>
  <c r="C1510" i="11"/>
  <c r="B1510" i="11"/>
  <c r="A1510" i="11"/>
  <c r="M1509" i="11"/>
  <c r="L1509" i="11"/>
  <c r="K1509" i="11"/>
  <c r="J1509" i="11"/>
  <c r="I1509" i="11"/>
  <c r="H1509" i="11"/>
  <c r="G1509" i="11"/>
  <c r="F1509" i="11"/>
  <c r="Q1509" i="11" s="1"/>
  <c r="E1509" i="11"/>
  <c r="P1509" i="11" s="1"/>
  <c r="D1509" i="11"/>
  <c r="C1509" i="11"/>
  <c r="B1509" i="11"/>
  <c r="T1509" i="11" s="1"/>
  <c r="A1509" i="11"/>
  <c r="S1509" i="11" s="1"/>
  <c r="T1508" i="11"/>
  <c r="S1508" i="11"/>
  <c r="Q1508" i="11"/>
  <c r="P1508" i="11"/>
  <c r="M1508" i="11"/>
  <c r="L1508" i="11"/>
  <c r="K1508" i="11"/>
  <c r="J1508" i="11"/>
  <c r="I1508" i="11"/>
  <c r="H1508" i="11"/>
  <c r="G1508" i="11"/>
  <c r="F1508" i="11"/>
  <c r="E1508" i="11"/>
  <c r="V1508" i="11" s="1"/>
  <c r="D1508" i="11"/>
  <c r="C1508" i="11"/>
  <c r="B1508" i="11"/>
  <c r="A1508" i="11"/>
  <c r="V1507" i="11"/>
  <c r="Q1507" i="11"/>
  <c r="M1507" i="11"/>
  <c r="L1507" i="11"/>
  <c r="K1507" i="11"/>
  <c r="J1507" i="11"/>
  <c r="I1507" i="11"/>
  <c r="H1507" i="11"/>
  <c r="G1507" i="11"/>
  <c r="F1507" i="11"/>
  <c r="E1507" i="11"/>
  <c r="P1507" i="11" s="1"/>
  <c r="D1507" i="11"/>
  <c r="C1507" i="11"/>
  <c r="B1507" i="11"/>
  <c r="T1507" i="11" s="1"/>
  <c r="A1507" i="11"/>
  <c r="S1507" i="11" s="1"/>
  <c r="T1506" i="11"/>
  <c r="S1506" i="11"/>
  <c r="Q1506" i="11"/>
  <c r="P1506" i="11"/>
  <c r="M1506" i="11"/>
  <c r="L1506" i="11"/>
  <c r="K1506" i="11"/>
  <c r="J1506" i="11"/>
  <c r="I1506" i="11"/>
  <c r="H1506" i="11"/>
  <c r="G1506" i="11"/>
  <c r="F1506" i="11"/>
  <c r="E1506" i="11"/>
  <c r="V1506" i="11" s="1"/>
  <c r="D1506" i="11"/>
  <c r="C1506" i="11"/>
  <c r="B1506" i="11"/>
  <c r="A1506" i="11"/>
  <c r="M1505" i="11"/>
  <c r="L1505" i="11"/>
  <c r="K1505" i="11"/>
  <c r="J1505" i="11"/>
  <c r="I1505" i="11"/>
  <c r="H1505" i="11"/>
  <c r="G1505" i="11"/>
  <c r="F1505" i="11"/>
  <c r="Q1505" i="11" s="1"/>
  <c r="E1505" i="11"/>
  <c r="P1505" i="11" s="1"/>
  <c r="D1505" i="11"/>
  <c r="C1505" i="11"/>
  <c r="B1505" i="11"/>
  <c r="T1505" i="11" s="1"/>
  <c r="A1505" i="11"/>
  <c r="S1505" i="11" s="1"/>
  <c r="T1504" i="11"/>
  <c r="S1504" i="11"/>
  <c r="Q1504" i="11"/>
  <c r="P1504" i="11"/>
  <c r="M1504" i="11"/>
  <c r="L1504" i="11"/>
  <c r="K1504" i="11"/>
  <c r="J1504" i="11"/>
  <c r="I1504" i="11"/>
  <c r="H1504" i="11"/>
  <c r="G1504" i="11"/>
  <c r="F1504" i="11"/>
  <c r="E1504" i="11"/>
  <c r="V1504" i="11" s="1"/>
  <c r="D1504" i="11"/>
  <c r="C1504" i="11"/>
  <c r="B1504" i="11"/>
  <c r="A1504" i="11"/>
  <c r="Q1503" i="11"/>
  <c r="M1503" i="11"/>
  <c r="L1503" i="11"/>
  <c r="K1503" i="11"/>
  <c r="J1503" i="11"/>
  <c r="I1503" i="11"/>
  <c r="H1503" i="11"/>
  <c r="G1503" i="11"/>
  <c r="F1503" i="11"/>
  <c r="V1503" i="11" s="1"/>
  <c r="E1503" i="11"/>
  <c r="P1503" i="11" s="1"/>
  <c r="D1503" i="11"/>
  <c r="C1503" i="11"/>
  <c r="B1503" i="11"/>
  <c r="T1503" i="11" s="1"/>
  <c r="A1503" i="11"/>
  <c r="S1503" i="11" s="1"/>
  <c r="T1502" i="11"/>
  <c r="S1502" i="11"/>
  <c r="Q1502" i="11"/>
  <c r="P1502" i="11"/>
  <c r="M1502" i="11"/>
  <c r="L1502" i="11"/>
  <c r="K1502" i="11"/>
  <c r="J1502" i="11"/>
  <c r="I1502" i="11"/>
  <c r="H1502" i="11"/>
  <c r="G1502" i="11"/>
  <c r="F1502" i="11"/>
  <c r="E1502" i="11"/>
  <c r="V1502" i="11" s="1"/>
  <c r="D1502" i="11"/>
  <c r="C1502" i="11"/>
  <c r="B1502" i="11"/>
  <c r="A1502" i="11"/>
  <c r="M1501" i="11"/>
  <c r="L1501" i="11"/>
  <c r="K1501" i="11"/>
  <c r="J1501" i="11"/>
  <c r="I1501" i="11"/>
  <c r="H1501" i="11"/>
  <c r="G1501" i="11"/>
  <c r="F1501" i="11"/>
  <c r="Q1501" i="11" s="1"/>
  <c r="E1501" i="11"/>
  <c r="P1501" i="11" s="1"/>
  <c r="D1501" i="11"/>
  <c r="C1501" i="11"/>
  <c r="B1501" i="11"/>
  <c r="T1501" i="11" s="1"/>
  <c r="A1501" i="11"/>
  <c r="S1501" i="11" s="1"/>
  <c r="T1500" i="11"/>
  <c r="S1500" i="11"/>
  <c r="Q1500" i="11"/>
  <c r="P1500" i="11"/>
  <c r="M1500" i="11"/>
  <c r="L1500" i="11"/>
  <c r="K1500" i="11"/>
  <c r="J1500" i="11"/>
  <c r="I1500" i="11"/>
  <c r="H1500" i="11"/>
  <c r="G1500" i="11"/>
  <c r="F1500" i="11"/>
  <c r="E1500" i="11"/>
  <c r="V1500" i="11" s="1"/>
  <c r="D1500" i="11"/>
  <c r="C1500" i="11"/>
  <c r="B1500" i="11"/>
  <c r="A1500" i="11"/>
  <c r="V1499" i="11"/>
  <c r="Q1499" i="11"/>
  <c r="M1499" i="11"/>
  <c r="L1499" i="11"/>
  <c r="K1499" i="11"/>
  <c r="J1499" i="11"/>
  <c r="I1499" i="11"/>
  <c r="H1499" i="11"/>
  <c r="G1499" i="11"/>
  <c r="F1499" i="11"/>
  <c r="E1499" i="11"/>
  <c r="P1499" i="11" s="1"/>
  <c r="D1499" i="11"/>
  <c r="C1499" i="11"/>
  <c r="B1499" i="11"/>
  <c r="T1499" i="11" s="1"/>
  <c r="A1499" i="11"/>
  <c r="S1499" i="11" s="1"/>
  <c r="T1498" i="11"/>
  <c r="S1498" i="11"/>
  <c r="Q1498" i="11"/>
  <c r="P1498" i="11"/>
  <c r="M1498" i="11"/>
  <c r="L1498" i="11"/>
  <c r="K1498" i="11"/>
  <c r="J1498" i="11"/>
  <c r="I1498" i="11"/>
  <c r="H1498" i="11"/>
  <c r="G1498" i="11"/>
  <c r="F1498" i="11"/>
  <c r="E1498" i="11"/>
  <c r="V1498" i="11" s="1"/>
  <c r="D1498" i="11"/>
  <c r="C1498" i="11"/>
  <c r="B1498" i="11"/>
  <c r="A1498" i="11"/>
  <c r="M1497" i="11"/>
  <c r="L1497" i="11"/>
  <c r="K1497" i="11"/>
  <c r="J1497" i="11"/>
  <c r="I1497" i="11"/>
  <c r="H1497" i="11"/>
  <c r="G1497" i="11"/>
  <c r="F1497" i="11"/>
  <c r="Q1497" i="11" s="1"/>
  <c r="E1497" i="11"/>
  <c r="P1497" i="11" s="1"/>
  <c r="D1497" i="11"/>
  <c r="C1497" i="11"/>
  <c r="B1497" i="11"/>
  <c r="T1497" i="11" s="1"/>
  <c r="A1497" i="11"/>
  <c r="S1497" i="11" s="1"/>
  <c r="T1496" i="11"/>
  <c r="S1496" i="11"/>
  <c r="Q1496" i="11"/>
  <c r="P1496" i="11"/>
  <c r="M1496" i="11"/>
  <c r="L1496" i="11"/>
  <c r="K1496" i="11"/>
  <c r="J1496" i="11"/>
  <c r="I1496" i="11"/>
  <c r="H1496" i="11"/>
  <c r="G1496" i="11"/>
  <c r="F1496" i="11"/>
  <c r="E1496" i="11"/>
  <c r="V1496" i="11" s="1"/>
  <c r="D1496" i="11"/>
  <c r="C1496" i="11"/>
  <c r="B1496" i="11"/>
  <c r="A1496" i="11"/>
  <c r="Q1495" i="11"/>
  <c r="M1495" i="11"/>
  <c r="L1495" i="11"/>
  <c r="K1495" i="11"/>
  <c r="J1495" i="11"/>
  <c r="I1495" i="11"/>
  <c r="H1495" i="11"/>
  <c r="G1495" i="11"/>
  <c r="F1495" i="11"/>
  <c r="V1495" i="11" s="1"/>
  <c r="E1495" i="11"/>
  <c r="P1495" i="11" s="1"/>
  <c r="D1495" i="11"/>
  <c r="C1495" i="11"/>
  <c r="B1495" i="11"/>
  <c r="T1495" i="11" s="1"/>
  <c r="A1495" i="11"/>
  <c r="S1495" i="11" s="1"/>
  <c r="T1494" i="11"/>
  <c r="S1494" i="11"/>
  <c r="Q1494" i="11"/>
  <c r="P1494" i="11"/>
  <c r="M1494" i="11"/>
  <c r="L1494" i="11"/>
  <c r="K1494" i="11"/>
  <c r="J1494" i="11"/>
  <c r="I1494" i="11"/>
  <c r="H1494" i="11"/>
  <c r="G1494" i="11"/>
  <c r="F1494" i="11"/>
  <c r="E1494" i="11"/>
  <c r="V1494" i="11" s="1"/>
  <c r="D1494" i="11"/>
  <c r="C1494" i="11"/>
  <c r="B1494" i="11"/>
  <c r="A1494" i="11"/>
  <c r="V1493" i="11"/>
  <c r="M1493" i="11"/>
  <c r="L1493" i="11"/>
  <c r="K1493" i="11"/>
  <c r="J1493" i="11"/>
  <c r="I1493" i="11"/>
  <c r="H1493" i="11"/>
  <c r="G1493" i="11"/>
  <c r="F1493" i="11"/>
  <c r="Q1493" i="11" s="1"/>
  <c r="E1493" i="11"/>
  <c r="P1493" i="11" s="1"/>
  <c r="D1493" i="11"/>
  <c r="C1493" i="11"/>
  <c r="B1493" i="11"/>
  <c r="T1493" i="11" s="1"/>
  <c r="A1493" i="11"/>
  <c r="S1493" i="11" s="1"/>
  <c r="T1492" i="11"/>
  <c r="S1492" i="11"/>
  <c r="Q1492" i="11"/>
  <c r="P1492" i="11"/>
  <c r="M1492" i="11"/>
  <c r="L1492" i="11"/>
  <c r="K1492" i="11"/>
  <c r="J1492" i="11"/>
  <c r="I1492" i="11"/>
  <c r="H1492" i="11"/>
  <c r="G1492" i="11"/>
  <c r="F1492" i="11"/>
  <c r="E1492" i="11"/>
  <c r="V1492" i="11" s="1"/>
  <c r="D1492" i="11"/>
  <c r="C1492" i="11"/>
  <c r="B1492" i="11"/>
  <c r="A1492" i="11"/>
  <c r="V1491" i="11"/>
  <c r="Q1491" i="11"/>
  <c r="M1491" i="11"/>
  <c r="L1491" i="11"/>
  <c r="K1491" i="11"/>
  <c r="J1491" i="11"/>
  <c r="I1491" i="11"/>
  <c r="H1491" i="11"/>
  <c r="G1491" i="11"/>
  <c r="F1491" i="11"/>
  <c r="E1491" i="11"/>
  <c r="P1491" i="11" s="1"/>
  <c r="D1491" i="11"/>
  <c r="C1491" i="11"/>
  <c r="B1491" i="11"/>
  <c r="T1491" i="11" s="1"/>
  <c r="A1491" i="11"/>
  <c r="S1491" i="11" s="1"/>
  <c r="T1490" i="11"/>
  <c r="S1490" i="11"/>
  <c r="Q1490" i="11"/>
  <c r="P1490" i="11"/>
  <c r="M1490" i="11"/>
  <c r="L1490" i="11"/>
  <c r="K1490" i="11"/>
  <c r="J1490" i="11"/>
  <c r="I1490" i="11"/>
  <c r="H1490" i="11"/>
  <c r="G1490" i="11"/>
  <c r="F1490" i="11"/>
  <c r="E1490" i="11"/>
  <c r="V1490" i="11" s="1"/>
  <c r="D1490" i="11"/>
  <c r="C1490" i="11"/>
  <c r="B1490" i="11"/>
  <c r="A1490" i="11"/>
  <c r="V1489" i="11"/>
  <c r="M1489" i="11"/>
  <c r="L1489" i="11"/>
  <c r="K1489" i="11"/>
  <c r="J1489" i="11"/>
  <c r="I1489" i="11"/>
  <c r="H1489" i="11"/>
  <c r="G1489" i="11"/>
  <c r="F1489" i="11"/>
  <c r="Q1489" i="11" s="1"/>
  <c r="E1489" i="11"/>
  <c r="P1489" i="11" s="1"/>
  <c r="D1489" i="11"/>
  <c r="C1489" i="11"/>
  <c r="B1489" i="11"/>
  <c r="T1489" i="11" s="1"/>
  <c r="A1489" i="11"/>
  <c r="S1489" i="11" s="1"/>
  <c r="T1488" i="11"/>
  <c r="S1488" i="11"/>
  <c r="Q1488" i="11"/>
  <c r="P1488" i="11"/>
  <c r="M1488" i="11"/>
  <c r="L1488" i="11"/>
  <c r="K1488" i="11"/>
  <c r="J1488" i="11"/>
  <c r="I1488" i="11"/>
  <c r="H1488" i="11"/>
  <c r="G1488" i="11"/>
  <c r="F1488" i="11"/>
  <c r="E1488" i="11"/>
  <c r="V1488" i="11" s="1"/>
  <c r="D1488" i="11"/>
  <c r="C1488" i="11"/>
  <c r="B1488" i="11"/>
  <c r="A1488" i="11"/>
  <c r="Q1487" i="11"/>
  <c r="M1487" i="11"/>
  <c r="L1487" i="11"/>
  <c r="K1487" i="11"/>
  <c r="J1487" i="11"/>
  <c r="I1487" i="11"/>
  <c r="H1487" i="11"/>
  <c r="G1487" i="11"/>
  <c r="F1487" i="11"/>
  <c r="V1487" i="11" s="1"/>
  <c r="E1487" i="11"/>
  <c r="P1487" i="11" s="1"/>
  <c r="D1487" i="11"/>
  <c r="C1487" i="11"/>
  <c r="B1487" i="11"/>
  <c r="T1487" i="11" s="1"/>
  <c r="A1487" i="11"/>
  <c r="S1487" i="11" s="1"/>
  <c r="T1486" i="11"/>
  <c r="S1486" i="11"/>
  <c r="Q1486" i="11"/>
  <c r="P1486" i="11"/>
  <c r="M1486" i="11"/>
  <c r="L1486" i="11"/>
  <c r="K1486" i="11"/>
  <c r="J1486" i="11"/>
  <c r="I1486" i="11"/>
  <c r="H1486" i="11"/>
  <c r="G1486" i="11"/>
  <c r="F1486" i="11"/>
  <c r="E1486" i="11"/>
  <c r="V1486" i="11" s="1"/>
  <c r="D1486" i="11"/>
  <c r="C1486" i="11"/>
  <c r="B1486" i="11"/>
  <c r="A1486" i="11"/>
  <c r="M1485" i="11"/>
  <c r="L1485" i="11"/>
  <c r="K1485" i="11"/>
  <c r="J1485" i="11"/>
  <c r="I1485" i="11"/>
  <c r="H1485" i="11"/>
  <c r="G1485" i="11"/>
  <c r="F1485" i="11"/>
  <c r="E1485" i="11"/>
  <c r="P1485" i="11" s="1"/>
  <c r="D1485" i="11"/>
  <c r="C1485" i="11"/>
  <c r="B1485" i="11"/>
  <c r="T1485" i="11" s="1"/>
  <c r="A1485" i="11"/>
  <c r="S1485" i="11" s="1"/>
  <c r="T1484" i="11"/>
  <c r="S1484" i="11"/>
  <c r="Q1484" i="11"/>
  <c r="P1484" i="11"/>
  <c r="M1484" i="11"/>
  <c r="L1484" i="11"/>
  <c r="K1484" i="11"/>
  <c r="J1484" i="11"/>
  <c r="I1484" i="11"/>
  <c r="H1484" i="11"/>
  <c r="G1484" i="11"/>
  <c r="F1484" i="11"/>
  <c r="E1484" i="11"/>
  <c r="V1484" i="11" s="1"/>
  <c r="D1484" i="11"/>
  <c r="C1484" i="11"/>
  <c r="B1484" i="11"/>
  <c r="A1484" i="11"/>
  <c r="V1483" i="11"/>
  <c r="Q1483" i="11"/>
  <c r="M1483" i="11"/>
  <c r="L1483" i="11"/>
  <c r="K1483" i="11"/>
  <c r="J1483" i="11"/>
  <c r="I1483" i="11"/>
  <c r="H1483" i="11"/>
  <c r="G1483" i="11"/>
  <c r="F1483" i="11"/>
  <c r="E1483" i="11"/>
  <c r="P1483" i="11" s="1"/>
  <c r="D1483" i="11"/>
  <c r="C1483" i="11"/>
  <c r="B1483" i="11"/>
  <c r="T1483" i="11" s="1"/>
  <c r="A1483" i="11"/>
  <c r="S1483" i="11" s="1"/>
  <c r="T1482" i="11"/>
  <c r="S1482" i="11"/>
  <c r="Q1482" i="11"/>
  <c r="P1482" i="11"/>
  <c r="M1482" i="11"/>
  <c r="L1482" i="11"/>
  <c r="K1482" i="11"/>
  <c r="J1482" i="11"/>
  <c r="I1482" i="11"/>
  <c r="H1482" i="11"/>
  <c r="G1482" i="11"/>
  <c r="F1482" i="11"/>
  <c r="E1482" i="11"/>
  <c r="V1482" i="11" s="1"/>
  <c r="D1482" i="11"/>
  <c r="C1482" i="11"/>
  <c r="B1482" i="11"/>
  <c r="A1482" i="11"/>
  <c r="M1481" i="11"/>
  <c r="L1481" i="11"/>
  <c r="K1481" i="11"/>
  <c r="J1481" i="11"/>
  <c r="I1481" i="11"/>
  <c r="H1481" i="11"/>
  <c r="G1481" i="11"/>
  <c r="F1481" i="11"/>
  <c r="E1481" i="11"/>
  <c r="P1481" i="11" s="1"/>
  <c r="D1481" i="11"/>
  <c r="C1481" i="11"/>
  <c r="B1481" i="11"/>
  <c r="T1481" i="11" s="1"/>
  <c r="A1481" i="11"/>
  <c r="S1481" i="11" s="1"/>
  <c r="T1480" i="11"/>
  <c r="S1480" i="11"/>
  <c r="Q1480" i="11"/>
  <c r="P1480" i="11"/>
  <c r="M1480" i="11"/>
  <c r="L1480" i="11"/>
  <c r="K1480" i="11"/>
  <c r="J1480" i="11"/>
  <c r="I1480" i="11"/>
  <c r="H1480" i="11"/>
  <c r="G1480" i="11"/>
  <c r="F1480" i="11"/>
  <c r="E1480" i="11"/>
  <c r="V1480" i="11" s="1"/>
  <c r="D1480" i="11"/>
  <c r="C1480" i="11"/>
  <c r="B1480" i="11"/>
  <c r="A1480" i="11"/>
  <c r="Q1479" i="11"/>
  <c r="M1479" i="11"/>
  <c r="L1479" i="11"/>
  <c r="K1479" i="11"/>
  <c r="J1479" i="11"/>
  <c r="I1479" i="11"/>
  <c r="H1479" i="11"/>
  <c r="G1479" i="11"/>
  <c r="F1479" i="11"/>
  <c r="V1479" i="11" s="1"/>
  <c r="E1479" i="11"/>
  <c r="P1479" i="11" s="1"/>
  <c r="D1479" i="11"/>
  <c r="C1479" i="11"/>
  <c r="B1479" i="11"/>
  <c r="T1479" i="11" s="1"/>
  <c r="A1479" i="11"/>
  <c r="S1479" i="11" s="1"/>
  <c r="T1478" i="11"/>
  <c r="S1478" i="11"/>
  <c r="Q1478" i="11"/>
  <c r="P1478" i="11"/>
  <c r="M1478" i="11"/>
  <c r="L1478" i="11"/>
  <c r="K1478" i="11"/>
  <c r="J1478" i="11"/>
  <c r="I1478" i="11"/>
  <c r="H1478" i="11"/>
  <c r="G1478" i="11"/>
  <c r="F1478" i="11"/>
  <c r="E1478" i="11"/>
  <c r="V1478" i="11" s="1"/>
  <c r="D1478" i="11"/>
  <c r="C1478" i="11"/>
  <c r="B1478" i="11"/>
  <c r="A1478" i="11"/>
  <c r="M1477" i="11"/>
  <c r="L1477" i="11"/>
  <c r="K1477" i="11"/>
  <c r="J1477" i="11"/>
  <c r="I1477" i="11"/>
  <c r="H1477" i="11"/>
  <c r="G1477" i="11"/>
  <c r="F1477" i="11"/>
  <c r="Q1477" i="11" s="1"/>
  <c r="E1477" i="11"/>
  <c r="P1477" i="11" s="1"/>
  <c r="D1477" i="11"/>
  <c r="C1477" i="11"/>
  <c r="B1477" i="11"/>
  <c r="T1477" i="11" s="1"/>
  <c r="A1477" i="11"/>
  <c r="S1477" i="11" s="1"/>
  <c r="T1476" i="11"/>
  <c r="S1476" i="11"/>
  <c r="Q1476" i="11"/>
  <c r="P1476" i="11"/>
  <c r="M1476" i="11"/>
  <c r="L1476" i="11"/>
  <c r="K1476" i="11"/>
  <c r="J1476" i="11"/>
  <c r="I1476" i="11"/>
  <c r="H1476" i="11"/>
  <c r="G1476" i="11"/>
  <c r="F1476" i="11"/>
  <c r="E1476" i="11"/>
  <c r="V1476" i="11" s="1"/>
  <c r="D1476" i="11"/>
  <c r="C1476" i="11"/>
  <c r="B1476" i="11"/>
  <c r="A1476" i="11"/>
  <c r="V1475" i="11"/>
  <c r="Q1475" i="11"/>
  <c r="M1475" i="11"/>
  <c r="L1475" i="11"/>
  <c r="K1475" i="11"/>
  <c r="J1475" i="11"/>
  <c r="I1475" i="11"/>
  <c r="H1475" i="11"/>
  <c r="G1475" i="11"/>
  <c r="F1475" i="11"/>
  <c r="E1475" i="11"/>
  <c r="P1475" i="11" s="1"/>
  <c r="D1475" i="11"/>
  <c r="C1475" i="11"/>
  <c r="B1475" i="11"/>
  <c r="T1475" i="11" s="1"/>
  <c r="A1475" i="11"/>
  <c r="S1475" i="11" s="1"/>
  <c r="T1474" i="11"/>
  <c r="S1474" i="11"/>
  <c r="Q1474" i="11"/>
  <c r="P1474" i="11"/>
  <c r="M1474" i="11"/>
  <c r="L1474" i="11"/>
  <c r="K1474" i="11"/>
  <c r="J1474" i="11"/>
  <c r="I1474" i="11"/>
  <c r="H1474" i="11"/>
  <c r="G1474" i="11"/>
  <c r="F1474" i="11"/>
  <c r="E1474" i="11"/>
  <c r="V1474" i="11" s="1"/>
  <c r="D1474" i="11"/>
  <c r="C1474" i="11"/>
  <c r="B1474" i="11"/>
  <c r="A1474" i="11"/>
  <c r="M1473" i="11"/>
  <c r="L1473" i="11"/>
  <c r="K1473" i="11"/>
  <c r="J1473" i="11"/>
  <c r="I1473" i="11"/>
  <c r="H1473" i="11"/>
  <c r="G1473" i="11"/>
  <c r="F1473" i="11"/>
  <c r="Q1473" i="11" s="1"/>
  <c r="E1473" i="11"/>
  <c r="P1473" i="11" s="1"/>
  <c r="D1473" i="11"/>
  <c r="C1473" i="11"/>
  <c r="B1473" i="11"/>
  <c r="T1473" i="11" s="1"/>
  <c r="A1473" i="11"/>
  <c r="S1473" i="11" s="1"/>
  <c r="T1472" i="11"/>
  <c r="S1472" i="11"/>
  <c r="Q1472" i="11"/>
  <c r="P1472" i="11"/>
  <c r="M1472" i="11"/>
  <c r="L1472" i="11"/>
  <c r="K1472" i="11"/>
  <c r="J1472" i="11"/>
  <c r="I1472" i="11"/>
  <c r="H1472" i="11"/>
  <c r="G1472" i="11"/>
  <c r="F1472" i="11"/>
  <c r="E1472" i="11"/>
  <c r="V1472" i="11" s="1"/>
  <c r="D1472" i="11"/>
  <c r="C1472" i="11"/>
  <c r="B1472" i="11"/>
  <c r="A1472" i="11"/>
  <c r="Q1471" i="11"/>
  <c r="M1471" i="11"/>
  <c r="L1471" i="11"/>
  <c r="K1471" i="11"/>
  <c r="J1471" i="11"/>
  <c r="I1471" i="11"/>
  <c r="H1471" i="11"/>
  <c r="G1471" i="11"/>
  <c r="F1471" i="11"/>
  <c r="V1471" i="11" s="1"/>
  <c r="E1471" i="11"/>
  <c r="P1471" i="11" s="1"/>
  <c r="D1471" i="11"/>
  <c r="C1471" i="11"/>
  <c r="B1471" i="11"/>
  <c r="T1471" i="11" s="1"/>
  <c r="A1471" i="11"/>
  <c r="S1471" i="11" s="1"/>
  <c r="T1470" i="11"/>
  <c r="S1470" i="11"/>
  <c r="Q1470" i="11"/>
  <c r="P1470" i="11"/>
  <c r="M1470" i="11"/>
  <c r="L1470" i="11"/>
  <c r="K1470" i="11"/>
  <c r="J1470" i="11"/>
  <c r="I1470" i="11"/>
  <c r="H1470" i="11"/>
  <c r="G1470" i="11"/>
  <c r="F1470" i="11"/>
  <c r="E1470" i="11"/>
  <c r="V1470" i="11" s="1"/>
  <c r="D1470" i="11"/>
  <c r="C1470" i="11"/>
  <c r="B1470" i="11"/>
  <c r="A1470" i="11"/>
  <c r="M1469" i="11"/>
  <c r="L1469" i="11"/>
  <c r="K1469" i="11"/>
  <c r="J1469" i="11"/>
  <c r="I1469" i="11"/>
  <c r="H1469" i="11"/>
  <c r="G1469" i="11"/>
  <c r="F1469" i="11"/>
  <c r="Q1469" i="11" s="1"/>
  <c r="E1469" i="11"/>
  <c r="P1469" i="11" s="1"/>
  <c r="D1469" i="11"/>
  <c r="C1469" i="11"/>
  <c r="B1469" i="11"/>
  <c r="T1469" i="11" s="1"/>
  <c r="A1469" i="11"/>
  <c r="S1469" i="11" s="1"/>
  <c r="T1468" i="11"/>
  <c r="S1468" i="11"/>
  <c r="Q1468" i="11"/>
  <c r="P1468" i="11"/>
  <c r="M1468" i="11"/>
  <c r="L1468" i="11"/>
  <c r="K1468" i="11"/>
  <c r="J1468" i="11"/>
  <c r="I1468" i="11"/>
  <c r="H1468" i="11"/>
  <c r="G1468" i="11"/>
  <c r="F1468" i="11"/>
  <c r="E1468" i="11"/>
  <c r="V1468" i="11" s="1"/>
  <c r="D1468" i="11"/>
  <c r="C1468" i="11"/>
  <c r="B1468" i="11"/>
  <c r="A1468" i="11"/>
  <c r="V1467" i="11"/>
  <c r="Q1467" i="11"/>
  <c r="M1467" i="11"/>
  <c r="L1467" i="11"/>
  <c r="K1467" i="11"/>
  <c r="J1467" i="11"/>
  <c r="I1467" i="11"/>
  <c r="H1467" i="11"/>
  <c r="G1467" i="11"/>
  <c r="F1467" i="11"/>
  <c r="E1467" i="11"/>
  <c r="P1467" i="11" s="1"/>
  <c r="D1467" i="11"/>
  <c r="C1467" i="11"/>
  <c r="B1467" i="11"/>
  <c r="T1467" i="11" s="1"/>
  <c r="A1467" i="11"/>
  <c r="S1467" i="11" s="1"/>
  <c r="T1466" i="11"/>
  <c r="S1466" i="11"/>
  <c r="Q1466" i="11"/>
  <c r="P1466" i="11"/>
  <c r="M1466" i="11"/>
  <c r="L1466" i="11"/>
  <c r="K1466" i="11"/>
  <c r="J1466" i="11"/>
  <c r="I1466" i="11"/>
  <c r="H1466" i="11"/>
  <c r="G1466" i="11"/>
  <c r="F1466" i="11"/>
  <c r="E1466" i="11"/>
  <c r="V1466" i="11" s="1"/>
  <c r="D1466" i="11"/>
  <c r="C1466" i="11"/>
  <c r="B1466" i="11"/>
  <c r="A1466" i="11"/>
  <c r="M1465" i="11"/>
  <c r="L1465" i="11"/>
  <c r="K1465" i="11"/>
  <c r="J1465" i="11"/>
  <c r="I1465" i="11"/>
  <c r="H1465" i="11"/>
  <c r="G1465" i="11"/>
  <c r="F1465" i="11"/>
  <c r="Q1465" i="11" s="1"/>
  <c r="E1465" i="11"/>
  <c r="P1465" i="11" s="1"/>
  <c r="D1465" i="11"/>
  <c r="C1465" i="11"/>
  <c r="B1465" i="11"/>
  <c r="T1465" i="11" s="1"/>
  <c r="A1465" i="11"/>
  <c r="S1465" i="11" s="1"/>
  <c r="T1464" i="11"/>
  <c r="S1464" i="11"/>
  <c r="Q1464" i="11"/>
  <c r="P1464" i="11"/>
  <c r="M1464" i="11"/>
  <c r="L1464" i="11"/>
  <c r="K1464" i="11"/>
  <c r="J1464" i="11"/>
  <c r="I1464" i="11"/>
  <c r="H1464" i="11"/>
  <c r="G1464" i="11"/>
  <c r="F1464" i="11"/>
  <c r="E1464" i="11"/>
  <c r="V1464" i="11" s="1"/>
  <c r="D1464" i="11"/>
  <c r="C1464" i="11"/>
  <c r="B1464" i="11"/>
  <c r="A1464" i="11"/>
  <c r="Q1463" i="11"/>
  <c r="M1463" i="11"/>
  <c r="L1463" i="11"/>
  <c r="K1463" i="11"/>
  <c r="J1463" i="11"/>
  <c r="I1463" i="11"/>
  <c r="H1463" i="11"/>
  <c r="G1463" i="11"/>
  <c r="F1463" i="11"/>
  <c r="V1463" i="11" s="1"/>
  <c r="E1463" i="11"/>
  <c r="P1463" i="11" s="1"/>
  <c r="D1463" i="11"/>
  <c r="C1463" i="11"/>
  <c r="B1463" i="11"/>
  <c r="T1463" i="11" s="1"/>
  <c r="A1463" i="11"/>
  <c r="S1463" i="11" s="1"/>
  <c r="T1462" i="11"/>
  <c r="S1462" i="11"/>
  <c r="Q1462" i="11"/>
  <c r="P1462" i="11"/>
  <c r="M1462" i="11"/>
  <c r="L1462" i="11"/>
  <c r="K1462" i="11"/>
  <c r="J1462" i="11"/>
  <c r="I1462" i="11"/>
  <c r="H1462" i="11"/>
  <c r="G1462" i="11"/>
  <c r="F1462" i="11"/>
  <c r="E1462" i="11"/>
  <c r="V1462" i="11" s="1"/>
  <c r="D1462" i="11"/>
  <c r="C1462" i="11"/>
  <c r="B1462" i="11"/>
  <c r="A1462" i="11"/>
  <c r="V1461" i="11"/>
  <c r="M1461" i="11"/>
  <c r="L1461" i="11"/>
  <c r="K1461" i="11"/>
  <c r="J1461" i="11"/>
  <c r="I1461" i="11"/>
  <c r="H1461" i="11"/>
  <c r="G1461" i="11"/>
  <c r="F1461" i="11"/>
  <c r="Q1461" i="11" s="1"/>
  <c r="E1461" i="11"/>
  <c r="P1461" i="11" s="1"/>
  <c r="D1461" i="11"/>
  <c r="C1461" i="11"/>
  <c r="B1461" i="11"/>
  <c r="T1461" i="11" s="1"/>
  <c r="A1461" i="11"/>
  <c r="S1461" i="11" s="1"/>
  <c r="T1460" i="11"/>
  <c r="S1460" i="11"/>
  <c r="Q1460" i="11"/>
  <c r="P1460" i="11"/>
  <c r="M1460" i="11"/>
  <c r="L1460" i="11"/>
  <c r="K1460" i="11"/>
  <c r="J1460" i="11"/>
  <c r="I1460" i="11"/>
  <c r="H1460" i="11"/>
  <c r="G1460" i="11"/>
  <c r="F1460" i="11"/>
  <c r="E1460" i="11"/>
  <c r="V1460" i="11" s="1"/>
  <c r="D1460" i="11"/>
  <c r="C1460" i="11"/>
  <c r="B1460" i="11"/>
  <c r="A1460" i="11"/>
  <c r="V1459" i="11"/>
  <c r="Q1459" i="11"/>
  <c r="M1459" i="11"/>
  <c r="L1459" i="11"/>
  <c r="K1459" i="11"/>
  <c r="J1459" i="11"/>
  <c r="I1459" i="11"/>
  <c r="H1459" i="11"/>
  <c r="G1459" i="11"/>
  <c r="F1459" i="11"/>
  <c r="E1459" i="11"/>
  <c r="P1459" i="11" s="1"/>
  <c r="D1459" i="11"/>
  <c r="C1459" i="11"/>
  <c r="B1459" i="11"/>
  <c r="T1459" i="11" s="1"/>
  <c r="A1459" i="11"/>
  <c r="S1459" i="11" s="1"/>
  <c r="T1458" i="11"/>
  <c r="S1458" i="11"/>
  <c r="Q1458" i="11"/>
  <c r="P1458" i="11"/>
  <c r="M1458" i="11"/>
  <c r="L1458" i="11"/>
  <c r="K1458" i="11"/>
  <c r="J1458" i="11"/>
  <c r="I1458" i="11"/>
  <c r="H1458" i="11"/>
  <c r="G1458" i="11"/>
  <c r="F1458" i="11"/>
  <c r="E1458" i="11"/>
  <c r="V1458" i="11" s="1"/>
  <c r="D1458" i="11"/>
  <c r="C1458" i="11"/>
  <c r="B1458" i="11"/>
  <c r="A1458" i="11"/>
  <c r="V1457" i="11"/>
  <c r="M1457" i="11"/>
  <c r="L1457" i="11"/>
  <c r="K1457" i="11"/>
  <c r="J1457" i="11"/>
  <c r="I1457" i="11"/>
  <c r="H1457" i="11"/>
  <c r="G1457" i="11"/>
  <c r="F1457" i="11"/>
  <c r="Q1457" i="11" s="1"/>
  <c r="E1457" i="11"/>
  <c r="P1457" i="11" s="1"/>
  <c r="D1457" i="11"/>
  <c r="C1457" i="11"/>
  <c r="B1457" i="11"/>
  <c r="T1457" i="11" s="1"/>
  <c r="A1457" i="11"/>
  <c r="S1457" i="11" s="1"/>
  <c r="T1456" i="11"/>
  <c r="S1456" i="11"/>
  <c r="Q1456" i="11"/>
  <c r="P1456" i="11"/>
  <c r="M1456" i="11"/>
  <c r="L1456" i="11"/>
  <c r="K1456" i="11"/>
  <c r="J1456" i="11"/>
  <c r="I1456" i="11"/>
  <c r="H1456" i="11"/>
  <c r="G1456" i="11"/>
  <c r="F1456" i="11"/>
  <c r="E1456" i="11"/>
  <c r="V1456" i="11" s="1"/>
  <c r="D1456" i="11"/>
  <c r="C1456" i="11"/>
  <c r="B1456" i="11"/>
  <c r="A1456" i="11"/>
  <c r="Q1455" i="11"/>
  <c r="M1455" i="11"/>
  <c r="L1455" i="11"/>
  <c r="K1455" i="11"/>
  <c r="J1455" i="11"/>
  <c r="I1455" i="11"/>
  <c r="H1455" i="11"/>
  <c r="G1455" i="11"/>
  <c r="F1455" i="11"/>
  <c r="V1455" i="11" s="1"/>
  <c r="E1455" i="11"/>
  <c r="P1455" i="11" s="1"/>
  <c r="D1455" i="11"/>
  <c r="C1455" i="11"/>
  <c r="B1455" i="11"/>
  <c r="T1455" i="11" s="1"/>
  <c r="A1455" i="11"/>
  <c r="S1455" i="11" s="1"/>
  <c r="T1454" i="11"/>
  <c r="S1454" i="11"/>
  <c r="Q1454" i="11"/>
  <c r="P1454" i="11"/>
  <c r="M1454" i="11"/>
  <c r="L1454" i="11"/>
  <c r="K1454" i="11"/>
  <c r="J1454" i="11"/>
  <c r="I1454" i="11"/>
  <c r="H1454" i="11"/>
  <c r="G1454" i="11"/>
  <c r="F1454" i="11"/>
  <c r="E1454" i="11"/>
  <c r="V1454" i="11" s="1"/>
  <c r="D1454" i="11"/>
  <c r="C1454" i="11"/>
  <c r="B1454" i="11"/>
  <c r="A1454" i="11"/>
  <c r="M1453" i="11"/>
  <c r="L1453" i="11"/>
  <c r="K1453" i="11"/>
  <c r="J1453" i="11"/>
  <c r="I1453" i="11"/>
  <c r="H1453" i="11"/>
  <c r="G1453" i="11"/>
  <c r="F1453" i="11"/>
  <c r="E1453" i="11"/>
  <c r="P1453" i="11" s="1"/>
  <c r="D1453" i="11"/>
  <c r="C1453" i="11"/>
  <c r="B1453" i="11"/>
  <c r="T1453" i="11" s="1"/>
  <c r="A1453" i="11"/>
  <c r="S1453" i="11" s="1"/>
  <c r="T1452" i="11"/>
  <c r="S1452" i="11"/>
  <c r="Q1452" i="11"/>
  <c r="P1452" i="11"/>
  <c r="M1452" i="11"/>
  <c r="L1452" i="11"/>
  <c r="K1452" i="11"/>
  <c r="J1452" i="11"/>
  <c r="I1452" i="11"/>
  <c r="H1452" i="11"/>
  <c r="G1452" i="11"/>
  <c r="F1452" i="11"/>
  <c r="E1452" i="11"/>
  <c r="V1452" i="11" s="1"/>
  <c r="D1452" i="11"/>
  <c r="C1452" i="11"/>
  <c r="B1452" i="11"/>
  <c r="A1452" i="11"/>
  <c r="V1451" i="11"/>
  <c r="Q1451" i="11"/>
  <c r="M1451" i="11"/>
  <c r="L1451" i="11"/>
  <c r="K1451" i="11"/>
  <c r="J1451" i="11"/>
  <c r="I1451" i="11"/>
  <c r="H1451" i="11"/>
  <c r="G1451" i="11"/>
  <c r="F1451" i="11"/>
  <c r="E1451" i="11"/>
  <c r="P1451" i="11" s="1"/>
  <c r="D1451" i="11"/>
  <c r="C1451" i="11"/>
  <c r="B1451" i="11"/>
  <c r="T1451" i="11" s="1"/>
  <c r="A1451" i="11"/>
  <c r="S1451" i="11" s="1"/>
  <c r="T1450" i="11"/>
  <c r="S1450" i="11"/>
  <c r="Q1450" i="11"/>
  <c r="P1450" i="11"/>
  <c r="M1450" i="11"/>
  <c r="L1450" i="11"/>
  <c r="K1450" i="11"/>
  <c r="J1450" i="11"/>
  <c r="I1450" i="11"/>
  <c r="H1450" i="11"/>
  <c r="G1450" i="11"/>
  <c r="F1450" i="11"/>
  <c r="E1450" i="11"/>
  <c r="V1450" i="11" s="1"/>
  <c r="D1450" i="11"/>
  <c r="C1450" i="11"/>
  <c r="B1450" i="11"/>
  <c r="A1450" i="11"/>
  <c r="M1449" i="11"/>
  <c r="L1449" i="11"/>
  <c r="K1449" i="11"/>
  <c r="J1449" i="11"/>
  <c r="I1449" i="11"/>
  <c r="H1449" i="11"/>
  <c r="G1449" i="11"/>
  <c r="F1449" i="11"/>
  <c r="E1449" i="11"/>
  <c r="P1449" i="11" s="1"/>
  <c r="D1449" i="11"/>
  <c r="C1449" i="11"/>
  <c r="B1449" i="11"/>
  <c r="T1449" i="11" s="1"/>
  <c r="A1449" i="11"/>
  <c r="S1449" i="11" s="1"/>
  <c r="T1448" i="11"/>
  <c r="S1448" i="11"/>
  <c r="Q1448" i="11"/>
  <c r="P1448" i="11"/>
  <c r="M1448" i="11"/>
  <c r="L1448" i="11"/>
  <c r="K1448" i="11"/>
  <c r="J1448" i="11"/>
  <c r="I1448" i="11"/>
  <c r="H1448" i="11"/>
  <c r="G1448" i="11"/>
  <c r="F1448" i="11"/>
  <c r="E1448" i="11"/>
  <c r="V1448" i="11" s="1"/>
  <c r="D1448" i="11"/>
  <c r="C1448" i="11"/>
  <c r="B1448" i="11"/>
  <c r="A1448" i="11"/>
  <c r="Q1447" i="11"/>
  <c r="M1447" i="11"/>
  <c r="L1447" i="11"/>
  <c r="K1447" i="11"/>
  <c r="J1447" i="11"/>
  <c r="I1447" i="11"/>
  <c r="H1447" i="11"/>
  <c r="G1447" i="11"/>
  <c r="F1447" i="11"/>
  <c r="V1447" i="11" s="1"/>
  <c r="E1447" i="11"/>
  <c r="P1447" i="11" s="1"/>
  <c r="D1447" i="11"/>
  <c r="C1447" i="11"/>
  <c r="B1447" i="11"/>
  <c r="T1447" i="11" s="1"/>
  <c r="A1447" i="11"/>
  <c r="S1447" i="11" s="1"/>
  <c r="T1446" i="11"/>
  <c r="S1446" i="11"/>
  <c r="Q1446" i="11"/>
  <c r="P1446" i="11"/>
  <c r="M1446" i="11"/>
  <c r="L1446" i="11"/>
  <c r="K1446" i="11"/>
  <c r="J1446" i="11"/>
  <c r="I1446" i="11"/>
  <c r="H1446" i="11"/>
  <c r="G1446" i="11"/>
  <c r="F1446" i="11"/>
  <c r="E1446" i="11"/>
  <c r="V1446" i="11" s="1"/>
  <c r="D1446" i="11"/>
  <c r="C1446" i="11"/>
  <c r="B1446" i="11"/>
  <c r="A1446" i="11"/>
  <c r="M1445" i="11"/>
  <c r="L1445" i="11"/>
  <c r="K1445" i="11"/>
  <c r="J1445" i="11"/>
  <c r="I1445" i="11"/>
  <c r="H1445" i="11"/>
  <c r="G1445" i="11"/>
  <c r="F1445" i="11"/>
  <c r="Q1445" i="11" s="1"/>
  <c r="E1445" i="11"/>
  <c r="P1445" i="11" s="1"/>
  <c r="D1445" i="11"/>
  <c r="C1445" i="11"/>
  <c r="B1445" i="11"/>
  <c r="T1445" i="11" s="1"/>
  <c r="A1445" i="11"/>
  <c r="S1445" i="11" s="1"/>
  <c r="T1444" i="11"/>
  <c r="S1444" i="11"/>
  <c r="Q1444" i="11"/>
  <c r="P1444" i="11"/>
  <c r="M1444" i="11"/>
  <c r="L1444" i="11"/>
  <c r="K1444" i="11"/>
  <c r="J1444" i="11"/>
  <c r="I1444" i="11"/>
  <c r="H1444" i="11"/>
  <c r="G1444" i="11"/>
  <c r="F1444" i="11"/>
  <c r="E1444" i="11"/>
  <c r="V1444" i="11" s="1"/>
  <c r="D1444" i="11"/>
  <c r="C1444" i="11"/>
  <c r="B1444" i="11"/>
  <c r="A1444" i="11"/>
  <c r="V1443" i="11"/>
  <c r="Q1443" i="11"/>
  <c r="M1443" i="11"/>
  <c r="L1443" i="11"/>
  <c r="K1443" i="11"/>
  <c r="J1443" i="11"/>
  <c r="I1443" i="11"/>
  <c r="H1443" i="11"/>
  <c r="G1443" i="11"/>
  <c r="F1443" i="11"/>
  <c r="E1443" i="11"/>
  <c r="P1443" i="11" s="1"/>
  <c r="D1443" i="11"/>
  <c r="C1443" i="11"/>
  <c r="B1443" i="11"/>
  <c r="T1443" i="11" s="1"/>
  <c r="A1443" i="11"/>
  <c r="S1443" i="11" s="1"/>
  <c r="T1442" i="11"/>
  <c r="S1442" i="11"/>
  <c r="Q1442" i="11"/>
  <c r="P1442" i="11"/>
  <c r="M1442" i="11"/>
  <c r="L1442" i="11"/>
  <c r="K1442" i="11"/>
  <c r="J1442" i="11"/>
  <c r="I1442" i="11"/>
  <c r="H1442" i="11"/>
  <c r="G1442" i="11"/>
  <c r="F1442" i="11"/>
  <c r="E1442" i="11"/>
  <c r="V1442" i="11" s="1"/>
  <c r="D1442" i="11"/>
  <c r="C1442" i="11"/>
  <c r="B1442" i="11"/>
  <c r="A1442" i="11"/>
  <c r="M1441" i="11"/>
  <c r="L1441" i="11"/>
  <c r="K1441" i="11"/>
  <c r="J1441" i="11"/>
  <c r="I1441" i="11"/>
  <c r="H1441" i="11"/>
  <c r="G1441" i="11"/>
  <c r="F1441" i="11"/>
  <c r="Q1441" i="11" s="1"/>
  <c r="E1441" i="11"/>
  <c r="P1441" i="11" s="1"/>
  <c r="D1441" i="11"/>
  <c r="C1441" i="11"/>
  <c r="B1441" i="11"/>
  <c r="T1441" i="11" s="1"/>
  <c r="A1441" i="11"/>
  <c r="S1441" i="11" s="1"/>
  <c r="T1440" i="11"/>
  <c r="S1440" i="11"/>
  <c r="Q1440" i="11"/>
  <c r="P1440" i="11"/>
  <c r="M1440" i="11"/>
  <c r="L1440" i="11"/>
  <c r="K1440" i="11"/>
  <c r="J1440" i="11"/>
  <c r="I1440" i="11"/>
  <c r="H1440" i="11"/>
  <c r="G1440" i="11"/>
  <c r="F1440" i="11"/>
  <c r="E1440" i="11"/>
  <c r="V1440" i="11" s="1"/>
  <c r="D1440" i="11"/>
  <c r="C1440" i="11"/>
  <c r="B1440" i="11"/>
  <c r="A1440" i="11"/>
  <c r="Q1439" i="11"/>
  <c r="M1439" i="11"/>
  <c r="L1439" i="11"/>
  <c r="K1439" i="11"/>
  <c r="J1439" i="11"/>
  <c r="I1439" i="11"/>
  <c r="H1439" i="11"/>
  <c r="G1439" i="11"/>
  <c r="F1439" i="11"/>
  <c r="V1439" i="11" s="1"/>
  <c r="E1439" i="11"/>
  <c r="P1439" i="11" s="1"/>
  <c r="D1439" i="11"/>
  <c r="C1439" i="11"/>
  <c r="B1439" i="11"/>
  <c r="T1439" i="11" s="1"/>
  <c r="A1439" i="11"/>
  <c r="S1439" i="11" s="1"/>
  <c r="T1438" i="11"/>
  <c r="S1438" i="11"/>
  <c r="Q1438" i="11"/>
  <c r="P1438" i="11"/>
  <c r="M1438" i="11"/>
  <c r="L1438" i="11"/>
  <c r="K1438" i="11"/>
  <c r="J1438" i="11"/>
  <c r="I1438" i="11"/>
  <c r="H1438" i="11"/>
  <c r="G1438" i="11"/>
  <c r="F1438" i="11"/>
  <c r="E1438" i="11"/>
  <c r="V1438" i="11" s="1"/>
  <c r="D1438" i="11"/>
  <c r="C1438" i="11"/>
  <c r="B1438" i="11"/>
  <c r="A1438" i="11"/>
  <c r="M1437" i="11"/>
  <c r="L1437" i="11"/>
  <c r="K1437" i="11"/>
  <c r="J1437" i="11"/>
  <c r="I1437" i="11"/>
  <c r="H1437" i="11"/>
  <c r="G1437" i="11"/>
  <c r="F1437" i="11"/>
  <c r="Q1437" i="11" s="1"/>
  <c r="E1437" i="11"/>
  <c r="P1437" i="11" s="1"/>
  <c r="D1437" i="11"/>
  <c r="C1437" i="11"/>
  <c r="B1437" i="11"/>
  <c r="T1437" i="11" s="1"/>
  <c r="A1437" i="11"/>
  <c r="S1437" i="11" s="1"/>
  <c r="T1436" i="11"/>
  <c r="S1436" i="11"/>
  <c r="Q1436" i="11"/>
  <c r="P1436" i="11"/>
  <c r="M1436" i="11"/>
  <c r="L1436" i="11"/>
  <c r="K1436" i="11"/>
  <c r="J1436" i="11"/>
  <c r="I1436" i="11"/>
  <c r="H1436" i="11"/>
  <c r="G1436" i="11"/>
  <c r="F1436" i="11"/>
  <c r="E1436" i="11"/>
  <c r="V1436" i="11" s="1"/>
  <c r="D1436" i="11"/>
  <c r="C1436" i="11"/>
  <c r="B1436" i="11"/>
  <c r="A1436" i="11"/>
  <c r="V1435" i="11"/>
  <c r="Q1435" i="11"/>
  <c r="M1435" i="11"/>
  <c r="L1435" i="11"/>
  <c r="K1435" i="11"/>
  <c r="J1435" i="11"/>
  <c r="I1435" i="11"/>
  <c r="H1435" i="11"/>
  <c r="G1435" i="11"/>
  <c r="F1435" i="11"/>
  <c r="E1435" i="11"/>
  <c r="P1435" i="11" s="1"/>
  <c r="D1435" i="11"/>
  <c r="C1435" i="11"/>
  <c r="B1435" i="11"/>
  <c r="T1435" i="11" s="1"/>
  <c r="A1435" i="11"/>
  <c r="S1435" i="11" s="1"/>
  <c r="T1434" i="11"/>
  <c r="S1434" i="11"/>
  <c r="Q1434" i="11"/>
  <c r="P1434" i="11"/>
  <c r="M1434" i="11"/>
  <c r="L1434" i="11"/>
  <c r="K1434" i="11"/>
  <c r="J1434" i="11"/>
  <c r="I1434" i="11"/>
  <c r="H1434" i="11"/>
  <c r="G1434" i="11"/>
  <c r="F1434" i="11"/>
  <c r="E1434" i="11"/>
  <c r="V1434" i="11" s="1"/>
  <c r="D1434" i="11"/>
  <c r="C1434" i="11"/>
  <c r="B1434" i="11"/>
  <c r="A1434" i="11"/>
  <c r="M1433" i="11"/>
  <c r="L1433" i="11"/>
  <c r="K1433" i="11"/>
  <c r="J1433" i="11"/>
  <c r="I1433" i="11"/>
  <c r="H1433" i="11"/>
  <c r="G1433" i="11"/>
  <c r="F1433" i="11"/>
  <c r="Q1433" i="11" s="1"/>
  <c r="E1433" i="11"/>
  <c r="P1433" i="11" s="1"/>
  <c r="D1433" i="11"/>
  <c r="C1433" i="11"/>
  <c r="B1433" i="11"/>
  <c r="T1433" i="11" s="1"/>
  <c r="A1433" i="11"/>
  <c r="S1433" i="11" s="1"/>
  <c r="T1432" i="11"/>
  <c r="Q1432" i="11"/>
  <c r="M1432" i="11"/>
  <c r="L1432" i="11"/>
  <c r="K1432" i="11"/>
  <c r="J1432" i="11"/>
  <c r="I1432" i="11"/>
  <c r="H1432" i="11"/>
  <c r="G1432" i="11"/>
  <c r="F1432" i="11"/>
  <c r="E1432" i="11"/>
  <c r="D1432" i="11"/>
  <c r="C1432" i="11"/>
  <c r="B1432" i="11"/>
  <c r="A1432" i="11"/>
  <c r="S1432" i="11" s="1"/>
  <c r="M1431" i="11"/>
  <c r="L1431" i="11"/>
  <c r="K1431" i="11"/>
  <c r="J1431" i="11"/>
  <c r="I1431" i="11"/>
  <c r="H1431" i="11"/>
  <c r="G1431" i="11"/>
  <c r="F1431" i="11"/>
  <c r="Q1431" i="11" s="1"/>
  <c r="E1431" i="11"/>
  <c r="D1431" i="11"/>
  <c r="C1431" i="11"/>
  <c r="B1431" i="11"/>
  <c r="T1431" i="11" s="1"/>
  <c r="A1431" i="11"/>
  <c r="S1431" i="11" s="1"/>
  <c r="T1430" i="11"/>
  <c r="Q1430" i="11"/>
  <c r="M1430" i="11"/>
  <c r="L1430" i="11"/>
  <c r="K1430" i="11"/>
  <c r="J1430" i="11"/>
  <c r="I1430" i="11"/>
  <c r="H1430" i="11"/>
  <c r="G1430" i="11"/>
  <c r="F1430" i="11"/>
  <c r="E1430" i="11"/>
  <c r="D1430" i="11"/>
  <c r="C1430" i="11"/>
  <c r="B1430" i="11"/>
  <c r="A1430" i="11"/>
  <c r="S1430" i="11" s="1"/>
  <c r="Q1429" i="11"/>
  <c r="M1429" i="11"/>
  <c r="L1429" i="11"/>
  <c r="K1429" i="11"/>
  <c r="J1429" i="11"/>
  <c r="I1429" i="11"/>
  <c r="H1429" i="11"/>
  <c r="G1429" i="11"/>
  <c r="F1429" i="11"/>
  <c r="E1429" i="11"/>
  <c r="D1429" i="11"/>
  <c r="C1429" i="11"/>
  <c r="B1429" i="11"/>
  <c r="T1429" i="11" s="1"/>
  <c r="A1429" i="11"/>
  <c r="S1429" i="11" s="1"/>
  <c r="T1428" i="11"/>
  <c r="Q1428" i="11"/>
  <c r="P1428" i="11"/>
  <c r="M1428" i="11"/>
  <c r="L1428" i="11"/>
  <c r="K1428" i="11"/>
  <c r="J1428" i="11"/>
  <c r="I1428" i="11"/>
  <c r="H1428" i="11"/>
  <c r="G1428" i="11"/>
  <c r="F1428" i="11"/>
  <c r="E1428" i="11"/>
  <c r="D1428" i="11"/>
  <c r="C1428" i="11"/>
  <c r="B1428" i="11"/>
  <c r="A1428" i="11"/>
  <c r="S1428" i="11" s="1"/>
  <c r="V1427" i="11"/>
  <c r="S1427" i="11"/>
  <c r="Q1427" i="11"/>
  <c r="M1427" i="11"/>
  <c r="L1427" i="11"/>
  <c r="K1427" i="11"/>
  <c r="J1427" i="11"/>
  <c r="I1427" i="11"/>
  <c r="H1427" i="11"/>
  <c r="G1427" i="11"/>
  <c r="F1427" i="11"/>
  <c r="E1427" i="11"/>
  <c r="P1427" i="11" s="1"/>
  <c r="D1427" i="11"/>
  <c r="C1427" i="11"/>
  <c r="B1427" i="11"/>
  <c r="T1427" i="11" s="1"/>
  <c r="A1427" i="11"/>
  <c r="T1426" i="11"/>
  <c r="Q1426" i="11"/>
  <c r="P1426" i="11"/>
  <c r="M1426" i="11"/>
  <c r="L1426" i="11"/>
  <c r="K1426" i="11"/>
  <c r="J1426" i="11"/>
  <c r="I1426" i="11"/>
  <c r="H1426" i="11"/>
  <c r="G1426" i="11"/>
  <c r="F1426" i="11"/>
  <c r="E1426" i="11"/>
  <c r="D1426" i="11"/>
  <c r="C1426" i="11"/>
  <c r="B1426" i="11"/>
  <c r="A1426" i="11"/>
  <c r="S1426" i="11" s="1"/>
  <c r="S1425" i="11"/>
  <c r="M1425" i="11"/>
  <c r="L1425" i="11"/>
  <c r="K1425" i="11"/>
  <c r="J1425" i="11"/>
  <c r="I1425" i="11"/>
  <c r="H1425" i="11"/>
  <c r="G1425" i="11"/>
  <c r="F1425" i="11"/>
  <c r="Q1425" i="11" s="1"/>
  <c r="E1425" i="11"/>
  <c r="P1425" i="11" s="1"/>
  <c r="D1425" i="11"/>
  <c r="C1425" i="11"/>
  <c r="B1425" i="11"/>
  <c r="T1425" i="11" s="1"/>
  <c r="A1425" i="11"/>
  <c r="T1424" i="11"/>
  <c r="S1424" i="11"/>
  <c r="Q1424" i="11"/>
  <c r="M1424" i="11"/>
  <c r="L1424" i="11"/>
  <c r="K1424" i="11"/>
  <c r="J1424" i="11"/>
  <c r="I1424" i="11"/>
  <c r="H1424" i="11"/>
  <c r="G1424" i="11"/>
  <c r="F1424" i="11"/>
  <c r="E1424" i="11"/>
  <c r="D1424" i="11"/>
  <c r="C1424" i="11"/>
  <c r="B1424" i="11"/>
  <c r="A1424" i="11"/>
  <c r="S1423" i="11"/>
  <c r="M1423" i="11"/>
  <c r="L1423" i="11"/>
  <c r="K1423" i="11"/>
  <c r="J1423" i="11"/>
  <c r="I1423" i="11"/>
  <c r="H1423" i="11"/>
  <c r="G1423" i="11"/>
  <c r="F1423" i="11"/>
  <c r="Q1423" i="11" s="1"/>
  <c r="E1423" i="11"/>
  <c r="D1423" i="11"/>
  <c r="C1423" i="11"/>
  <c r="B1423" i="11"/>
  <c r="T1423" i="11" s="1"/>
  <c r="A1423" i="11"/>
  <c r="T1422" i="11"/>
  <c r="Q1422" i="11"/>
  <c r="M1422" i="11"/>
  <c r="L1422" i="11"/>
  <c r="K1422" i="11"/>
  <c r="J1422" i="11"/>
  <c r="I1422" i="11"/>
  <c r="H1422" i="11"/>
  <c r="G1422" i="11"/>
  <c r="F1422" i="11"/>
  <c r="E1422" i="11"/>
  <c r="D1422" i="11"/>
  <c r="C1422" i="11"/>
  <c r="B1422" i="11"/>
  <c r="A1422" i="11"/>
  <c r="S1422" i="11" s="1"/>
  <c r="V1421" i="11"/>
  <c r="Q1421" i="11"/>
  <c r="M1421" i="11"/>
  <c r="L1421" i="11"/>
  <c r="K1421" i="11"/>
  <c r="J1421" i="11"/>
  <c r="I1421" i="11"/>
  <c r="H1421" i="11"/>
  <c r="G1421" i="11"/>
  <c r="F1421" i="11"/>
  <c r="E1421" i="11"/>
  <c r="D1421" i="11"/>
  <c r="C1421" i="11"/>
  <c r="B1421" i="11"/>
  <c r="T1421" i="11" s="1"/>
  <c r="A1421" i="11"/>
  <c r="S1421" i="11" s="1"/>
  <c r="T1420" i="11"/>
  <c r="Q1420" i="11"/>
  <c r="P1420" i="11"/>
  <c r="M1420" i="11"/>
  <c r="L1420" i="11"/>
  <c r="K1420" i="11"/>
  <c r="J1420" i="11"/>
  <c r="I1420" i="11"/>
  <c r="H1420" i="11"/>
  <c r="G1420" i="11"/>
  <c r="F1420" i="11"/>
  <c r="E1420" i="11"/>
  <c r="D1420" i="11"/>
  <c r="C1420" i="11"/>
  <c r="B1420" i="11"/>
  <c r="A1420" i="11"/>
  <c r="S1420" i="11" s="1"/>
  <c r="V1419" i="11"/>
  <c r="S1419" i="11"/>
  <c r="Q1419" i="11"/>
  <c r="M1419" i="11"/>
  <c r="L1419" i="11"/>
  <c r="K1419" i="11"/>
  <c r="J1419" i="11"/>
  <c r="I1419" i="11"/>
  <c r="H1419" i="11"/>
  <c r="G1419" i="11"/>
  <c r="F1419" i="11"/>
  <c r="E1419" i="11"/>
  <c r="P1419" i="11" s="1"/>
  <c r="D1419" i="11"/>
  <c r="C1419" i="11"/>
  <c r="B1419" i="11"/>
  <c r="T1419" i="11" s="1"/>
  <c r="A1419" i="11"/>
  <c r="T1418" i="11"/>
  <c r="Q1418" i="11"/>
  <c r="P1418" i="11"/>
  <c r="M1418" i="11"/>
  <c r="L1418" i="11"/>
  <c r="K1418" i="11"/>
  <c r="J1418" i="11"/>
  <c r="I1418" i="11"/>
  <c r="H1418" i="11"/>
  <c r="G1418" i="11"/>
  <c r="F1418" i="11"/>
  <c r="E1418" i="11"/>
  <c r="D1418" i="11"/>
  <c r="C1418" i="11"/>
  <c r="B1418" i="11"/>
  <c r="A1418" i="11"/>
  <c r="S1418" i="11" s="1"/>
  <c r="S1417" i="11"/>
  <c r="M1417" i="11"/>
  <c r="L1417" i="11"/>
  <c r="K1417" i="11"/>
  <c r="J1417" i="11"/>
  <c r="I1417" i="11"/>
  <c r="H1417" i="11"/>
  <c r="G1417" i="11"/>
  <c r="F1417" i="11"/>
  <c r="Q1417" i="11" s="1"/>
  <c r="E1417" i="11"/>
  <c r="P1417" i="11" s="1"/>
  <c r="D1417" i="11"/>
  <c r="C1417" i="11"/>
  <c r="B1417" i="11"/>
  <c r="T1417" i="11" s="1"/>
  <c r="A1417" i="11"/>
  <c r="T1416" i="11"/>
  <c r="Q1416" i="11"/>
  <c r="M1416" i="11"/>
  <c r="L1416" i="11"/>
  <c r="K1416" i="11"/>
  <c r="J1416" i="11"/>
  <c r="I1416" i="11"/>
  <c r="H1416" i="11"/>
  <c r="G1416" i="11"/>
  <c r="F1416" i="11"/>
  <c r="E1416" i="11"/>
  <c r="D1416" i="11"/>
  <c r="C1416" i="11"/>
  <c r="B1416" i="11"/>
  <c r="A1416" i="11"/>
  <c r="S1416" i="11" s="1"/>
  <c r="M1415" i="11"/>
  <c r="L1415" i="11"/>
  <c r="K1415" i="11"/>
  <c r="J1415" i="11"/>
  <c r="I1415" i="11"/>
  <c r="H1415" i="11"/>
  <c r="G1415" i="11"/>
  <c r="F1415" i="11"/>
  <c r="Q1415" i="11" s="1"/>
  <c r="E1415" i="11"/>
  <c r="D1415" i="11"/>
  <c r="C1415" i="11"/>
  <c r="B1415" i="11"/>
  <c r="T1415" i="11" s="1"/>
  <c r="A1415" i="11"/>
  <c r="S1415" i="11" s="1"/>
  <c r="T1414" i="11"/>
  <c r="S1414" i="11"/>
  <c r="Q1414" i="11"/>
  <c r="M1414" i="11"/>
  <c r="L1414" i="11"/>
  <c r="K1414" i="11"/>
  <c r="J1414" i="11"/>
  <c r="I1414" i="11"/>
  <c r="H1414" i="11"/>
  <c r="G1414" i="11"/>
  <c r="F1414" i="11"/>
  <c r="E1414" i="11"/>
  <c r="D1414" i="11"/>
  <c r="C1414" i="11"/>
  <c r="B1414" i="11"/>
  <c r="A1414" i="11"/>
  <c r="Q1413" i="11"/>
  <c r="M1413" i="11"/>
  <c r="L1413" i="11"/>
  <c r="K1413" i="11"/>
  <c r="J1413" i="11"/>
  <c r="I1413" i="11"/>
  <c r="H1413" i="11"/>
  <c r="G1413" i="11"/>
  <c r="F1413" i="11"/>
  <c r="E1413" i="11"/>
  <c r="D1413" i="11"/>
  <c r="C1413" i="11"/>
  <c r="B1413" i="11"/>
  <c r="T1413" i="11" s="1"/>
  <c r="A1413" i="11"/>
  <c r="S1413" i="11" s="1"/>
  <c r="T1412" i="11"/>
  <c r="Q1412" i="11"/>
  <c r="P1412" i="11"/>
  <c r="M1412" i="11"/>
  <c r="L1412" i="11"/>
  <c r="K1412" i="11"/>
  <c r="J1412" i="11"/>
  <c r="I1412" i="11"/>
  <c r="H1412" i="11"/>
  <c r="G1412" i="11"/>
  <c r="F1412" i="11"/>
  <c r="E1412" i="11"/>
  <c r="D1412" i="11"/>
  <c r="C1412" i="11"/>
  <c r="B1412" i="11"/>
  <c r="A1412" i="11"/>
  <c r="S1412" i="11" s="1"/>
  <c r="V1411" i="11"/>
  <c r="S1411" i="11"/>
  <c r="Q1411" i="11"/>
  <c r="M1411" i="11"/>
  <c r="L1411" i="11"/>
  <c r="K1411" i="11"/>
  <c r="J1411" i="11"/>
  <c r="I1411" i="11"/>
  <c r="H1411" i="11"/>
  <c r="G1411" i="11"/>
  <c r="F1411" i="11"/>
  <c r="E1411" i="11"/>
  <c r="P1411" i="11" s="1"/>
  <c r="D1411" i="11"/>
  <c r="C1411" i="11"/>
  <c r="B1411" i="11"/>
  <c r="T1411" i="11" s="1"/>
  <c r="A1411" i="11"/>
  <c r="T1410" i="11"/>
  <c r="Q1410" i="11"/>
  <c r="P1410" i="11"/>
  <c r="M1410" i="11"/>
  <c r="L1410" i="11"/>
  <c r="K1410" i="11"/>
  <c r="J1410" i="11"/>
  <c r="I1410" i="11"/>
  <c r="H1410" i="11"/>
  <c r="G1410" i="11"/>
  <c r="F1410" i="11"/>
  <c r="E1410" i="11"/>
  <c r="D1410" i="11"/>
  <c r="C1410" i="11"/>
  <c r="B1410" i="11"/>
  <c r="A1410" i="11"/>
  <c r="S1410" i="11" s="1"/>
  <c r="S1409" i="11"/>
  <c r="M1409" i="11"/>
  <c r="L1409" i="11"/>
  <c r="K1409" i="11"/>
  <c r="J1409" i="11"/>
  <c r="I1409" i="11"/>
  <c r="H1409" i="11"/>
  <c r="G1409" i="11"/>
  <c r="F1409" i="11"/>
  <c r="Q1409" i="11" s="1"/>
  <c r="E1409" i="11"/>
  <c r="P1409" i="11" s="1"/>
  <c r="D1409" i="11"/>
  <c r="C1409" i="11"/>
  <c r="B1409" i="11"/>
  <c r="T1409" i="11" s="1"/>
  <c r="A1409" i="11"/>
  <c r="T1408" i="11"/>
  <c r="S1408" i="11"/>
  <c r="Q1408" i="11"/>
  <c r="M1408" i="11"/>
  <c r="L1408" i="11"/>
  <c r="K1408" i="11"/>
  <c r="J1408" i="11"/>
  <c r="I1408" i="11"/>
  <c r="H1408" i="11"/>
  <c r="G1408" i="11"/>
  <c r="F1408" i="11"/>
  <c r="E1408" i="11"/>
  <c r="D1408" i="11"/>
  <c r="C1408" i="11"/>
  <c r="B1408" i="11"/>
  <c r="A1408" i="11"/>
  <c r="S1407" i="11"/>
  <c r="M1407" i="11"/>
  <c r="L1407" i="11"/>
  <c r="K1407" i="11"/>
  <c r="J1407" i="11"/>
  <c r="I1407" i="11"/>
  <c r="H1407" i="11"/>
  <c r="G1407" i="11"/>
  <c r="F1407" i="11"/>
  <c r="Q1407" i="11" s="1"/>
  <c r="E1407" i="11"/>
  <c r="D1407" i="11"/>
  <c r="C1407" i="11"/>
  <c r="B1407" i="11"/>
  <c r="T1407" i="11" s="1"/>
  <c r="A1407" i="11"/>
  <c r="T1406" i="11"/>
  <c r="S1406" i="11"/>
  <c r="Q1406" i="11"/>
  <c r="M1406" i="11"/>
  <c r="L1406" i="11"/>
  <c r="K1406" i="11"/>
  <c r="J1406" i="11"/>
  <c r="I1406" i="11"/>
  <c r="H1406" i="11"/>
  <c r="G1406" i="11"/>
  <c r="F1406" i="11"/>
  <c r="E1406" i="11"/>
  <c r="D1406" i="11"/>
  <c r="C1406" i="11"/>
  <c r="B1406" i="11"/>
  <c r="A1406" i="11"/>
  <c r="V1405" i="11"/>
  <c r="Q1405" i="11"/>
  <c r="M1405" i="11"/>
  <c r="L1405" i="11"/>
  <c r="K1405" i="11"/>
  <c r="J1405" i="11"/>
  <c r="I1405" i="11"/>
  <c r="H1405" i="11"/>
  <c r="G1405" i="11"/>
  <c r="F1405" i="11"/>
  <c r="E1405" i="11"/>
  <c r="D1405" i="11"/>
  <c r="C1405" i="11"/>
  <c r="B1405" i="11"/>
  <c r="T1405" i="11" s="1"/>
  <c r="A1405" i="11"/>
  <c r="S1405" i="11" s="1"/>
  <c r="T1404" i="11"/>
  <c r="Q1404" i="11"/>
  <c r="P1404" i="11"/>
  <c r="M1404" i="11"/>
  <c r="L1404" i="11"/>
  <c r="K1404" i="11"/>
  <c r="J1404" i="11"/>
  <c r="I1404" i="11"/>
  <c r="H1404" i="11"/>
  <c r="G1404" i="11"/>
  <c r="F1404" i="11"/>
  <c r="E1404" i="11"/>
  <c r="D1404" i="11"/>
  <c r="C1404" i="11"/>
  <c r="B1404" i="11"/>
  <c r="A1404" i="11"/>
  <c r="S1404" i="11" s="1"/>
  <c r="V1403" i="11"/>
  <c r="S1403" i="11"/>
  <c r="Q1403" i="11"/>
  <c r="M1403" i="11"/>
  <c r="L1403" i="11"/>
  <c r="K1403" i="11"/>
  <c r="J1403" i="11"/>
  <c r="I1403" i="11"/>
  <c r="H1403" i="11"/>
  <c r="G1403" i="11"/>
  <c r="F1403" i="11"/>
  <c r="E1403" i="11"/>
  <c r="P1403" i="11" s="1"/>
  <c r="D1403" i="11"/>
  <c r="C1403" i="11"/>
  <c r="B1403" i="11"/>
  <c r="T1403" i="11" s="1"/>
  <c r="A1403" i="11"/>
  <c r="T1402" i="11"/>
  <c r="Q1402" i="11"/>
  <c r="P1402" i="11"/>
  <c r="M1402" i="11"/>
  <c r="L1402" i="11"/>
  <c r="K1402" i="11"/>
  <c r="J1402" i="11"/>
  <c r="I1402" i="11"/>
  <c r="H1402" i="11"/>
  <c r="G1402" i="11"/>
  <c r="F1402" i="11"/>
  <c r="E1402" i="11"/>
  <c r="D1402" i="11"/>
  <c r="C1402" i="11"/>
  <c r="B1402" i="11"/>
  <c r="A1402" i="11"/>
  <c r="S1402" i="11" s="1"/>
  <c r="S1401" i="11"/>
  <c r="M1401" i="11"/>
  <c r="L1401" i="11"/>
  <c r="K1401" i="11"/>
  <c r="J1401" i="11"/>
  <c r="I1401" i="11"/>
  <c r="H1401" i="11"/>
  <c r="G1401" i="11"/>
  <c r="F1401" i="11"/>
  <c r="Q1401" i="11" s="1"/>
  <c r="E1401" i="11"/>
  <c r="P1401" i="11" s="1"/>
  <c r="D1401" i="11"/>
  <c r="C1401" i="11"/>
  <c r="B1401" i="11"/>
  <c r="T1401" i="11" s="1"/>
  <c r="A1401" i="11"/>
  <c r="T1400" i="11"/>
  <c r="Q1400" i="11"/>
  <c r="M1400" i="11"/>
  <c r="L1400" i="11"/>
  <c r="K1400" i="11"/>
  <c r="J1400" i="11"/>
  <c r="I1400" i="11"/>
  <c r="H1400" i="11"/>
  <c r="G1400" i="11"/>
  <c r="F1400" i="11"/>
  <c r="E1400" i="11"/>
  <c r="D1400" i="11"/>
  <c r="C1400" i="11"/>
  <c r="B1400" i="11"/>
  <c r="A1400" i="11"/>
  <c r="S1400" i="11" s="1"/>
  <c r="M1399" i="11"/>
  <c r="L1399" i="11"/>
  <c r="K1399" i="11"/>
  <c r="J1399" i="11"/>
  <c r="I1399" i="11"/>
  <c r="H1399" i="11"/>
  <c r="G1399" i="11"/>
  <c r="F1399" i="11"/>
  <c r="Q1399" i="11" s="1"/>
  <c r="E1399" i="11"/>
  <c r="D1399" i="11"/>
  <c r="C1399" i="11"/>
  <c r="B1399" i="11"/>
  <c r="T1399" i="11" s="1"/>
  <c r="A1399" i="11"/>
  <c r="S1399" i="11" s="1"/>
  <c r="T1398" i="11"/>
  <c r="S1398" i="11"/>
  <c r="Q1398" i="11"/>
  <c r="M1398" i="11"/>
  <c r="L1398" i="11"/>
  <c r="K1398" i="11"/>
  <c r="J1398" i="11"/>
  <c r="I1398" i="11"/>
  <c r="H1398" i="11"/>
  <c r="G1398" i="11"/>
  <c r="F1398" i="11"/>
  <c r="E1398" i="11"/>
  <c r="D1398" i="11"/>
  <c r="C1398" i="11"/>
  <c r="B1398" i="11"/>
  <c r="A1398" i="11"/>
  <c r="Q1397" i="11"/>
  <c r="M1397" i="11"/>
  <c r="L1397" i="11"/>
  <c r="K1397" i="11"/>
  <c r="J1397" i="11"/>
  <c r="I1397" i="11"/>
  <c r="H1397" i="11"/>
  <c r="G1397" i="11"/>
  <c r="F1397" i="11"/>
  <c r="E1397" i="11"/>
  <c r="D1397" i="11"/>
  <c r="C1397" i="11"/>
  <c r="B1397" i="11"/>
  <c r="T1397" i="11" s="1"/>
  <c r="A1397" i="11"/>
  <c r="S1397" i="11" s="1"/>
  <c r="T1396" i="11"/>
  <c r="Q1396" i="11"/>
  <c r="P1396" i="11"/>
  <c r="M1396" i="11"/>
  <c r="L1396" i="11"/>
  <c r="K1396" i="11"/>
  <c r="J1396" i="11"/>
  <c r="I1396" i="11"/>
  <c r="H1396" i="11"/>
  <c r="G1396" i="11"/>
  <c r="F1396" i="11"/>
  <c r="E1396" i="11"/>
  <c r="D1396" i="11"/>
  <c r="C1396" i="11"/>
  <c r="B1396" i="11"/>
  <c r="A1396" i="11"/>
  <c r="S1396" i="11" s="1"/>
  <c r="V1395" i="11"/>
  <c r="S1395" i="11"/>
  <c r="Q1395" i="11"/>
  <c r="M1395" i="11"/>
  <c r="L1395" i="11"/>
  <c r="K1395" i="11"/>
  <c r="J1395" i="11"/>
  <c r="I1395" i="11"/>
  <c r="H1395" i="11"/>
  <c r="G1395" i="11"/>
  <c r="F1395" i="11"/>
  <c r="E1395" i="11"/>
  <c r="P1395" i="11" s="1"/>
  <c r="D1395" i="11"/>
  <c r="C1395" i="11"/>
  <c r="B1395" i="11"/>
  <c r="T1395" i="11" s="1"/>
  <c r="A1395" i="11"/>
  <c r="T1394" i="11"/>
  <c r="Q1394" i="11"/>
  <c r="P1394" i="11"/>
  <c r="M1394" i="11"/>
  <c r="L1394" i="11"/>
  <c r="K1394" i="11"/>
  <c r="J1394" i="11"/>
  <c r="I1394" i="11"/>
  <c r="H1394" i="11"/>
  <c r="G1394" i="11"/>
  <c r="F1394" i="11"/>
  <c r="E1394" i="11"/>
  <c r="D1394" i="11"/>
  <c r="C1394" i="11"/>
  <c r="B1394" i="11"/>
  <c r="A1394" i="11"/>
  <c r="S1394" i="11" s="1"/>
  <c r="S1393" i="11"/>
  <c r="M1393" i="11"/>
  <c r="L1393" i="11"/>
  <c r="K1393" i="11"/>
  <c r="J1393" i="11"/>
  <c r="I1393" i="11"/>
  <c r="H1393" i="11"/>
  <c r="G1393" i="11"/>
  <c r="F1393" i="11"/>
  <c r="Q1393" i="11" s="1"/>
  <c r="E1393" i="11"/>
  <c r="P1393" i="11" s="1"/>
  <c r="D1393" i="11"/>
  <c r="C1393" i="11"/>
  <c r="B1393" i="11"/>
  <c r="T1393" i="11" s="1"/>
  <c r="A1393" i="11"/>
  <c r="T1392" i="11"/>
  <c r="S1392" i="11"/>
  <c r="Q1392" i="11"/>
  <c r="M1392" i="11"/>
  <c r="L1392" i="11"/>
  <c r="K1392" i="11"/>
  <c r="J1392" i="11"/>
  <c r="I1392" i="11"/>
  <c r="H1392" i="11"/>
  <c r="G1392" i="11"/>
  <c r="F1392" i="11"/>
  <c r="E1392" i="11"/>
  <c r="D1392" i="11"/>
  <c r="C1392" i="11"/>
  <c r="B1392" i="11"/>
  <c r="A1392" i="11"/>
  <c r="S1391" i="11"/>
  <c r="M1391" i="11"/>
  <c r="L1391" i="11"/>
  <c r="K1391" i="11"/>
  <c r="J1391" i="11"/>
  <c r="I1391" i="11"/>
  <c r="H1391" i="11"/>
  <c r="G1391" i="11"/>
  <c r="F1391" i="11"/>
  <c r="Q1391" i="11" s="1"/>
  <c r="E1391" i="11"/>
  <c r="D1391" i="11"/>
  <c r="C1391" i="11"/>
  <c r="B1391" i="11"/>
  <c r="T1391" i="11" s="1"/>
  <c r="A1391" i="11"/>
  <c r="T1390" i="11"/>
  <c r="Q1390" i="11"/>
  <c r="M1390" i="11"/>
  <c r="L1390" i="11"/>
  <c r="K1390" i="11"/>
  <c r="J1390" i="11"/>
  <c r="I1390" i="11"/>
  <c r="H1390" i="11"/>
  <c r="G1390" i="11"/>
  <c r="F1390" i="11"/>
  <c r="E1390" i="11"/>
  <c r="D1390" i="11"/>
  <c r="C1390" i="11"/>
  <c r="B1390" i="11"/>
  <c r="A1390" i="11"/>
  <c r="S1390" i="11" s="1"/>
  <c r="V1389" i="11"/>
  <c r="Q1389" i="11"/>
  <c r="M1389" i="11"/>
  <c r="L1389" i="11"/>
  <c r="K1389" i="11"/>
  <c r="J1389" i="11"/>
  <c r="I1389" i="11"/>
  <c r="H1389" i="11"/>
  <c r="G1389" i="11"/>
  <c r="F1389" i="11"/>
  <c r="E1389" i="11"/>
  <c r="D1389" i="11"/>
  <c r="C1389" i="11"/>
  <c r="B1389" i="11"/>
  <c r="T1389" i="11" s="1"/>
  <c r="A1389" i="11"/>
  <c r="S1389" i="11" s="1"/>
  <c r="Q1388" i="11"/>
  <c r="P1388" i="11"/>
  <c r="M1388" i="11"/>
  <c r="L1388" i="11"/>
  <c r="K1388" i="11"/>
  <c r="J1388" i="11"/>
  <c r="I1388" i="11"/>
  <c r="H1388" i="11"/>
  <c r="G1388" i="11"/>
  <c r="F1388" i="11"/>
  <c r="E1388" i="11"/>
  <c r="D1388" i="11"/>
  <c r="C1388" i="11"/>
  <c r="B1388" i="11"/>
  <c r="T1388" i="11" s="1"/>
  <c r="A1388" i="11"/>
  <c r="S1388" i="11" s="1"/>
  <c r="M1387" i="11"/>
  <c r="L1387" i="11"/>
  <c r="K1387" i="11"/>
  <c r="J1387" i="11"/>
  <c r="I1387" i="11"/>
  <c r="H1387" i="11"/>
  <c r="G1387" i="11"/>
  <c r="F1387" i="11"/>
  <c r="E1387" i="11"/>
  <c r="P1387" i="11" s="1"/>
  <c r="D1387" i="11"/>
  <c r="C1387" i="11"/>
  <c r="B1387" i="11"/>
  <c r="T1387" i="11" s="1"/>
  <c r="A1387" i="11"/>
  <c r="S1387" i="11" s="1"/>
  <c r="T1386" i="11"/>
  <c r="S1386" i="11"/>
  <c r="P1386" i="11"/>
  <c r="M1386" i="11"/>
  <c r="L1386" i="11"/>
  <c r="K1386" i="11"/>
  <c r="J1386" i="11"/>
  <c r="I1386" i="11"/>
  <c r="H1386" i="11"/>
  <c r="G1386" i="11"/>
  <c r="F1386" i="11"/>
  <c r="V1386" i="11" s="1"/>
  <c r="E1386" i="11"/>
  <c r="D1386" i="11"/>
  <c r="C1386" i="11"/>
  <c r="B1386" i="11"/>
  <c r="A1386" i="11"/>
  <c r="Q1385" i="11"/>
  <c r="M1385" i="11"/>
  <c r="L1385" i="11"/>
  <c r="K1385" i="11"/>
  <c r="J1385" i="11"/>
  <c r="I1385" i="11"/>
  <c r="H1385" i="11"/>
  <c r="G1385" i="11"/>
  <c r="F1385" i="11"/>
  <c r="E1385" i="11"/>
  <c r="D1385" i="11"/>
  <c r="C1385" i="11"/>
  <c r="B1385" i="11"/>
  <c r="T1385" i="11" s="1"/>
  <c r="A1385" i="11"/>
  <c r="S1385" i="11" s="1"/>
  <c r="T1384" i="11"/>
  <c r="S1384" i="11"/>
  <c r="P1384" i="11"/>
  <c r="M1384" i="11"/>
  <c r="L1384" i="11"/>
  <c r="K1384" i="11"/>
  <c r="J1384" i="11"/>
  <c r="I1384" i="11"/>
  <c r="H1384" i="11"/>
  <c r="G1384" i="11"/>
  <c r="F1384" i="11"/>
  <c r="V1384" i="11" s="1"/>
  <c r="E1384" i="11"/>
  <c r="D1384" i="11"/>
  <c r="C1384" i="11"/>
  <c r="B1384" i="11"/>
  <c r="A1384" i="11"/>
  <c r="M1383" i="11"/>
  <c r="L1383" i="11"/>
  <c r="K1383" i="11"/>
  <c r="J1383" i="11"/>
  <c r="I1383" i="11"/>
  <c r="H1383" i="11"/>
  <c r="G1383" i="11"/>
  <c r="F1383" i="11"/>
  <c r="E1383" i="11"/>
  <c r="P1383" i="11" s="1"/>
  <c r="D1383" i="11"/>
  <c r="C1383" i="11"/>
  <c r="B1383" i="11"/>
  <c r="T1383" i="11" s="1"/>
  <c r="A1383" i="11"/>
  <c r="S1383" i="11" s="1"/>
  <c r="T1382" i="11"/>
  <c r="S1382" i="11"/>
  <c r="P1382" i="11"/>
  <c r="M1382" i="11"/>
  <c r="L1382" i="11"/>
  <c r="K1382" i="11"/>
  <c r="J1382" i="11"/>
  <c r="I1382" i="11"/>
  <c r="H1382" i="11"/>
  <c r="G1382" i="11"/>
  <c r="F1382" i="11"/>
  <c r="V1382" i="11" s="1"/>
  <c r="E1382" i="11"/>
  <c r="D1382" i="11"/>
  <c r="C1382" i="11"/>
  <c r="B1382" i="11"/>
  <c r="A1382" i="11"/>
  <c r="Q1381" i="11"/>
  <c r="M1381" i="11"/>
  <c r="L1381" i="11"/>
  <c r="K1381" i="11"/>
  <c r="J1381" i="11"/>
  <c r="I1381" i="11"/>
  <c r="H1381" i="11"/>
  <c r="G1381" i="11"/>
  <c r="F1381" i="11"/>
  <c r="E1381" i="11"/>
  <c r="D1381" i="11"/>
  <c r="C1381" i="11"/>
  <c r="B1381" i="11"/>
  <c r="T1381" i="11" s="1"/>
  <c r="A1381" i="11"/>
  <c r="S1381" i="11" s="1"/>
  <c r="T1380" i="11"/>
  <c r="S1380" i="11"/>
  <c r="P1380" i="11"/>
  <c r="M1380" i="11"/>
  <c r="L1380" i="11"/>
  <c r="K1380" i="11"/>
  <c r="J1380" i="11"/>
  <c r="I1380" i="11"/>
  <c r="H1380" i="11"/>
  <c r="G1380" i="11"/>
  <c r="F1380" i="11"/>
  <c r="V1380" i="11" s="1"/>
  <c r="E1380" i="11"/>
  <c r="D1380" i="11"/>
  <c r="C1380" i="11"/>
  <c r="B1380" i="11"/>
  <c r="A1380" i="11"/>
  <c r="M1379" i="11"/>
  <c r="L1379" i="11"/>
  <c r="K1379" i="11"/>
  <c r="J1379" i="11"/>
  <c r="I1379" i="11"/>
  <c r="H1379" i="11"/>
  <c r="G1379" i="11"/>
  <c r="F1379" i="11"/>
  <c r="E1379" i="11"/>
  <c r="P1379" i="11" s="1"/>
  <c r="D1379" i="11"/>
  <c r="C1379" i="11"/>
  <c r="B1379" i="11"/>
  <c r="T1379" i="11" s="1"/>
  <c r="A1379" i="11"/>
  <c r="S1379" i="11" s="1"/>
  <c r="T1378" i="11"/>
  <c r="S1378" i="11"/>
  <c r="P1378" i="11"/>
  <c r="M1378" i="11"/>
  <c r="L1378" i="11"/>
  <c r="K1378" i="11"/>
  <c r="J1378" i="11"/>
  <c r="I1378" i="11"/>
  <c r="H1378" i="11"/>
  <c r="G1378" i="11"/>
  <c r="F1378" i="11"/>
  <c r="V1378" i="11" s="1"/>
  <c r="E1378" i="11"/>
  <c r="D1378" i="11"/>
  <c r="C1378" i="11"/>
  <c r="B1378" i="11"/>
  <c r="A1378" i="11"/>
  <c r="Q1377" i="11"/>
  <c r="M1377" i="11"/>
  <c r="L1377" i="11"/>
  <c r="K1377" i="11"/>
  <c r="J1377" i="11"/>
  <c r="I1377" i="11"/>
  <c r="H1377" i="11"/>
  <c r="G1377" i="11"/>
  <c r="F1377" i="11"/>
  <c r="E1377" i="11"/>
  <c r="D1377" i="11"/>
  <c r="C1377" i="11"/>
  <c r="B1377" i="11"/>
  <c r="T1377" i="11" s="1"/>
  <c r="A1377" i="11"/>
  <c r="S1377" i="11" s="1"/>
  <c r="T1376" i="11"/>
  <c r="S1376" i="11"/>
  <c r="P1376" i="11"/>
  <c r="M1376" i="11"/>
  <c r="L1376" i="11"/>
  <c r="K1376" i="11"/>
  <c r="J1376" i="11"/>
  <c r="I1376" i="11"/>
  <c r="H1376" i="11"/>
  <c r="G1376" i="11"/>
  <c r="F1376" i="11"/>
  <c r="V1376" i="11" s="1"/>
  <c r="E1376" i="11"/>
  <c r="D1376" i="11"/>
  <c r="C1376" i="11"/>
  <c r="B1376" i="11"/>
  <c r="A1376" i="11"/>
  <c r="M1375" i="11"/>
  <c r="L1375" i="11"/>
  <c r="K1375" i="11"/>
  <c r="J1375" i="11"/>
  <c r="I1375" i="11"/>
  <c r="H1375" i="11"/>
  <c r="G1375" i="11"/>
  <c r="F1375" i="11"/>
  <c r="E1375" i="11"/>
  <c r="P1375" i="11" s="1"/>
  <c r="D1375" i="11"/>
  <c r="C1375" i="11"/>
  <c r="B1375" i="11"/>
  <c r="T1375" i="11" s="1"/>
  <c r="A1375" i="11"/>
  <c r="S1375" i="11" s="1"/>
  <c r="T1374" i="11"/>
  <c r="S1374" i="11"/>
  <c r="P1374" i="11"/>
  <c r="M1374" i="11"/>
  <c r="L1374" i="11"/>
  <c r="K1374" i="11"/>
  <c r="J1374" i="11"/>
  <c r="I1374" i="11"/>
  <c r="H1374" i="11"/>
  <c r="G1374" i="11"/>
  <c r="F1374" i="11"/>
  <c r="V1374" i="11" s="1"/>
  <c r="E1374" i="11"/>
  <c r="D1374" i="11"/>
  <c r="C1374" i="11"/>
  <c r="B1374" i="11"/>
  <c r="A1374" i="11"/>
  <c r="Q1373" i="11"/>
  <c r="M1373" i="11"/>
  <c r="L1373" i="11"/>
  <c r="K1373" i="11"/>
  <c r="J1373" i="11"/>
  <c r="I1373" i="11"/>
  <c r="H1373" i="11"/>
  <c r="G1373" i="11"/>
  <c r="F1373" i="11"/>
  <c r="E1373" i="11"/>
  <c r="D1373" i="11"/>
  <c r="C1373" i="11"/>
  <c r="B1373" i="11"/>
  <c r="T1373" i="11" s="1"/>
  <c r="A1373" i="11"/>
  <c r="S1373" i="11" s="1"/>
  <c r="T1372" i="11"/>
  <c r="S1372" i="11"/>
  <c r="P1372" i="11"/>
  <c r="M1372" i="11"/>
  <c r="L1372" i="11"/>
  <c r="K1372" i="11"/>
  <c r="J1372" i="11"/>
  <c r="I1372" i="11"/>
  <c r="H1372" i="11"/>
  <c r="G1372" i="11"/>
  <c r="F1372" i="11"/>
  <c r="V1372" i="11" s="1"/>
  <c r="E1372" i="11"/>
  <c r="D1372" i="11"/>
  <c r="C1372" i="11"/>
  <c r="B1372" i="11"/>
  <c r="A1372" i="11"/>
  <c r="M1371" i="11"/>
  <c r="L1371" i="11"/>
  <c r="K1371" i="11"/>
  <c r="J1371" i="11"/>
  <c r="I1371" i="11"/>
  <c r="H1371" i="11"/>
  <c r="G1371" i="11"/>
  <c r="F1371" i="11"/>
  <c r="E1371" i="11"/>
  <c r="P1371" i="11" s="1"/>
  <c r="D1371" i="11"/>
  <c r="C1371" i="11"/>
  <c r="B1371" i="11"/>
  <c r="T1371" i="11" s="1"/>
  <c r="A1371" i="11"/>
  <c r="S1371" i="11" s="1"/>
  <c r="T1370" i="11"/>
  <c r="S1370" i="11"/>
  <c r="P1370" i="11"/>
  <c r="M1370" i="11"/>
  <c r="L1370" i="11"/>
  <c r="K1370" i="11"/>
  <c r="J1370" i="11"/>
  <c r="I1370" i="11"/>
  <c r="H1370" i="11"/>
  <c r="G1370" i="11"/>
  <c r="F1370" i="11"/>
  <c r="V1370" i="11" s="1"/>
  <c r="E1370" i="11"/>
  <c r="D1370" i="11"/>
  <c r="C1370" i="11"/>
  <c r="B1370" i="11"/>
  <c r="A1370" i="11"/>
  <c r="Q1369" i="11"/>
  <c r="M1369" i="11"/>
  <c r="L1369" i="11"/>
  <c r="K1369" i="11"/>
  <c r="J1369" i="11"/>
  <c r="I1369" i="11"/>
  <c r="H1369" i="11"/>
  <c r="G1369" i="11"/>
  <c r="F1369" i="11"/>
  <c r="E1369" i="11"/>
  <c r="D1369" i="11"/>
  <c r="C1369" i="11"/>
  <c r="B1369" i="11"/>
  <c r="T1369" i="11" s="1"/>
  <c r="A1369" i="11"/>
  <c r="S1369" i="11" s="1"/>
  <c r="T1368" i="11"/>
  <c r="S1368" i="11"/>
  <c r="P1368" i="11"/>
  <c r="M1368" i="11"/>
  <c r="L1368" i="11"/>
  <c r="K1368" i="11"/>
  <c r="J1368" i="11"/>
  <c r="I1368" i="11"/>
  <c r="H1368" i="11"/>
  <c r="G1368" i="11"/>
  <c r="F1368" i="11"/>
  <c r="V1368" i="11" s="1"/>
  <c r="E1368" i="11"/>
  <c r="D1368" i="11"/>
  <c r="C1368" i="11"/>
  <c r="B1368" i="11"/>
  <c r="A1368" i="11"/>
  <c r="M1367" i="11"/>
  <c r="L1367" i="11"/>
  <c r="K1367" i="11"/>
  <c r="J1367" i="11"/>
  <c r="I1367" i="11"/>
  <c r="H1367" i="11"/>
  <c r="G1367" i="11"/>
  <c r="F1367" i="11"/>
  <c r="E1367" i="11"/>
  <c r="P1367" i="11" s="1"/>
  <c r="D1367" i="11"/>
  <c r="C1367" i="11"/>
  <c r="B1367" i="11"/>
  <c r="T1367" i="11" s="1"/>
  <c r="A1367" i="11"/>
  <c r="S1367" i="11" s="1"/>
  <c r="T1366" i="11"/>
  <c r="S1366" i="11"/>
  <c r="P1366" i="11"/>
  <c r="M1366" i="11"/>
  <c r="L1366" i="11"/>
  <c r="K1366" i="11"/>
  <c r="J1366" i="11"/>
  <c r="I1366" i="11"/>
  <c r="H1366" i="11"/>
  <c r="G1366" i="11"/>
  <c r="F1366" i="11"/>
  <c r="V1366" i="11" s="1"/>
  <c r="E1366" i="11"/>
  <c r="D1366" i="11"/>
  <c r="C1366" i="11"/>
  <c r="B1366" i="11"/>
  <c r="A1366" i="11"/>
  <c r="Q1365" i="11"/>
  <c r="M1365" i="11"/>
  <c r="L1365" i="11"/>
  <c r="K1365" i="11"/>
  <c r="J1365" i="11"/>
  <c r="I1365" i="11"/>
  <c r="H1365" i="11"/>
  <c r="G1365" i="11"/>
  <c r="F1365" i="11"/>
  <c r="E1365" i="11"/>
  <c r="D1365" i="11"/>
  <c r="C1365" i="11"/>
  <c r="B1365" i="11"/>
  <c r="T1365" i="11" s="1"/>
  <c r="A1365" i="11"/>
  <c r="S1365" i="11" s="1"/>
  <c r="T1364" i="11"/>
  <c r="S1364" i="11"/>
  <c r="P1364" i="11"/>
  <c r="M1364" i="11"/>
  <c r="L1364" i="11"/>
  <c r="K1364" i="11"/>
  <c r="J1364" i="11"/>
  <c r="I1364" i="11"/>
  <c r="H1364" i="11"/>
  <c r="G1364" i="11"/>
  <c r="F1364" i="11"/>
  <c r="V1364" i="11" s="1"/>
  <c r="E1364" i="11"/>
  <c r="D1364" i="11"/>
  <c r="C1364" i="11"/>
  <c r="B1364" i="11"/>
  <c r="A1364" i="11"/>
  <c r="M1363" i="11"/>
  <c r="L1363" i="11"/>
  <c r="K1363" i="11"/>
  <c r="J1363" i="11"/>
  <c r="I1363" i="11"/>
  <c r="H1363" i="11"/>
  <c r="G1363" i="11"/>
  <c r="F1363" i="11"/>
  <c r="E1363" i="11"/>
  <c r="P1363" i="11" s="1"/>
  <c r="D1363" i="11"/>
  <c r="C1363" i="11"/>
  <c r="B1363" i="11"/>
  <c r="T1363" i="11" s="1"/>
  <c r="A1363" i="11"/>
  <c r="S1363" i="11" s="1"/>
  <c r="T1362" i="11"/>
  <c r="S1362" i="11"/>
  <c r="P1362" i="11"/>
  <c r="M1362" i="11"/>
  <c r="L1362" i="11"/>
  <c r="K1362" i="11"/>
  <c r="J1362" i="11"/>
  <c r="I1362" i="11"/>
  <c r="H1362" i="11"/>
  <c r="G1362" i="11"/>
  <c r="F1362" i="11"/>
  <c r="V1362" i="11" s="1"/>
  <c r="E1362" i="11"/>
  <c r="D1362" i="11"/>
  <c r="C1362" i="11"/>
  <c r="B1362" i="11"/>
  <c r="A1362" i="11"/>
  <c r="Q1361" i="11"/>
  <c r="M1361" i="11"/>
  <c r="L1361" i="11"/>
  <c r="K1361" i="11"/>
  <c r="J1361" i="11"/>
  <c r="I1361" i="11"/>
  <c r="H1361" i="11"/>
  <c r="G1361" i="11"/>
  <c r="F1361" i="11"/>
  <c r="E1361" i="11"/>
  <c r="D1361" i="11"/>
  <c r="C1361" i="11"/>
  <c r="B1361" i="11"/>
  <c r="T1361" i="11" s="1"/>
  <c r="A1361" i="11"/>
  <c r="S1361" i="11" s="1"/>
  <c r="T1360" i="11"/>
  <c r="S1360" i="11"/>
  <c r="P1360" i="11"/>
  <c r="M1360" i="11"/>
  <c r="L1360" i="11"/>
  <c r="K1360" i="11"/>
  <c r="J1360" i="11"/>
  <c r="I1360" i="11"/>
  <c r="H1360" i="11"/>
  <c r="G1360" i="11"/>
  <c r="F1360" i="11"/>
  <c r="V1360" i="11" s="1"/>
  <c r="E1360" i="11"/>
  <c r="D1360" i="11"/>
  <c r="C1360" i="11"/>
  <c r="B1360" i="11"/>
  <c r="A1360" i="11"/>
  <c r="M1359" i="11"/>
  <c r="L1359" i="11"/>
  <c r="K1359" i="11"/>
  <c r="J1359" i="11"/>
  <c r="I1359" i="11"/>
  <c r="H1359" i="11"/>
  <c r="G1359" i="11"/>
  <c r="F1359" i="11"/>
  <c r="E1359" i="11"/>
  <c r="P1359" i="11" s="1"/>
  <c r="D1359" i="11"/>
  <c r="C1359" i="11"/>
  <c r="B1359" i="11"/>
  <c r="T1359" i="11" s="1"/>
  <c r="A1359" i="11"/>
  <c r="S1359" i="11" s="1"/>
  <c r="T1358" i="11"/>
  <c r="S1358" i="11"/>
  <c r="P1358" i="11"/>
  <c r="M1358" i="11"/>
  <c r="L1358" i="11"/>
  <c r="K1358" i="11"/>
  <c r="J1358" i="11"/>
  <c r="I1358" i="11"/>
  <c r="H1358" i="11"/>
  <c r="G1358" i="11"/>
  <c r="F1358" i="11"/>
  <c r="V1358" i="11" s="1"/>
  <c r="E1358" i="11"/>
  <c r="D1358" i="11"/>
  <c r="C1358" i="11"/>
  <c r="B1358" i="11"/>
  <c r="A1358" i="11"/>
  <c r="Q1357" i="11"/>
  <c r="M1357" i="11"/>
  <c r="L1357" i="11"/>
  <c r="K1357" i="11"/>
  <c r="J1357" i="11"/>
  <c r="I1357" i="11"/>
  <c r="H1357" i="11"/>
  <c r="G1357" i="11"/>
  <c r="F1357" i="11"/>
  <c r="E1357" i="11"/>
  <c r="D1357" i="11"/>
  <c r="C1357" i="11"/>
  <c r="B1357" i="11"/>
  <c r="T1357" i="11" s="1"/>
  <c r="A1357" i="11"/>
  <c r="S1357" i="11" s="1"/>
  <c r="T1356" i="11"/>
  <c r="S1356" i="11"/>
  <c r="P1356" i="11"/>
  <c r="M1356" i="11"/>
  <c r="L1356" i="11"/>
  <c r="K1356" i="11"/>
  <c r="J1356" i="11"/>
  <c r="I1356" i="11"/>
  <c r="H1356" i="11"/>
  <c r="G1356" i="11"/>
  <c r="F1356" i="11"/>
  <c r="V1356" i="11" s="1"/>
  <c r="E1356" i="11"/>
  <c r="D1356" i="11"/>
  <c r="C1356" i="11"/>
  <c r="B1356" i="11"/>
  <c r="A1356" i="11"/>
  <c r="M1355" i="11"/>
  <c r="L1355" i="11"/>
  <c r="K1355" i="11"/>
  <c r="J1355" i="11"/>
  <c r="I1355" i="11"/>
  <c r="H1355" i="11"/>
  <c r="G1355" i="11"/>
  <c r="F1355" i="11"/>
  <c r="E1355" i="11"/>
  <c r="P1355" i="11" s="1"/>
  <c r="D1355" i="11"/>
  <c r="C1355" i="11"/>
  <c r="B1355" i="11"/>
  <c r="T1355" i="11" s="1"/>
  <c r="A1355" i="11"/>
  <c r="S1355" i="11" s="1"/>
  <c r="T1354" i="11"/>
  <c r="S1354" i="11"/>
  <c r="P1354" i="11"/>
  <c r="M1354" i="11"/>
  <c r="L1354" i="11"/>
  <c r="K1354" i="11"/>
  <c r="J1354" i="11"/>
  <c r="I1354" i="11"/>
  <c r="H1354" i="11"/>
  <c r="G1354" i="11"/>
  <c r="F1354" i="11"/>
  <c r="V1354" i="11" s="1"/>
  <c r="E1354" i="11"/>
  <c r="D1354" i="11"/>
  <c r="C1354" i="11"/>
  <c r="B1354" i="11"/>
  <c r="A1354" i="11"/>
  <c r="Q1353" i="11"/>
  <c r="M1353" i="11"/>
  <c r="L1353" i="11"/>
  <c r="K1353" i="11"/>
  <c r="J1353" i="11"/>
  <c r="I1353" i="11"/>
  <c r="H1353" i="11"/>
  <c r="G1353" i="11"/>
  <c r="F1353" i="11"/>
  <c r="E1353" i="11"/>
  <c r="D1353" i="11"/>
  <c r="C1353" i="11"/>
  <c r="B1353" i="11"/>
  <c r="T1353" i="11" s="1"/>
  <c r="A1353" i="11"/>
  <c r="S1353" i="11" s="1"/>
  <c r="T1352" i="11"/>
  <c r="S1352" i="11"/>
  <c r="P1352" i="11"/>
  <c r="M1352" i="11"/>
  <c r="L1352" i="11"/>
  <c r="K1352" i="11"/>
  <c r="J1352" i="11"/>
  <c r="I1352" i="11"/>
  <c r="H1352" i="11"/>
  <c r="G1352" i="11"/>
  <c r="F1352" i="11"/>
  <c r="V1352" i="11" s="1"/>
  <c r="E1352" i="11"/>
  <c r="D1352" i="11"/>
  <c r="C1352" i="11"/>
  <c r="B1352" i="11"/>
  <c r="A1352" i="11"/>
  <c r="M1351" i="11"/>
  <c r="L1351" i="11"/>
  <c r="K1351" i="11"/>
  <c r="J1351" i="11"/>
  <c r="I1351" i="11"/>
  <c r="H1351" i="11"/>
  <c r="G1351" i="11"/>
  <c r="F1351" i="11"/>
  <c r="E1351" i="11"/>
  <c r="P1351" i="11" s="1"/>
  <c r="D1351" i="11"/>
  <c r="C1351" i="11"/>
  <c r="B1351" i="11"/>
  <c r="T1351" i="11" s="1"/>
  <c r="A1351" i="11"/>
  <c r="S1351" i="11" s="1"/>
  <c r="T1350" i="11"/>
  <c r="S1350" i="11"/>
  <c r="P1350" i="11"/>
  <c r="M1350" i="11"/>
  <c r="L1350" i="11"/>
  <c r="K1350" i="11"/>
  <c r="J1350" i="11"/>
  <c r="I1350" i="11"/>
  <c r="H1350" i="11"/>
  <c r="G1350" i="11"/>
  <c r="F1350" i="11"/>
  <c r="V1350" i="11" s="1"/>
  <c r="E1350" i="11"/>
  <c r="D1350" i="11"/>
  <c r="C1350" i="11"/>
  <c r="B1350" i="11"/>
  <c r="A1350" i="11"/>
  <c r="Q1349" i="11"/>
  <c r="M1349" i="11"/>
  <c r="L1349" i="11"/>
  <c r="K1349" i="11"/>
  <c r="J1349" i="11"/>
  <c r="I1349" i="11"/>
  <c r="H1349" i="11"/>
  <c r="G1349" i="11"/>
  <c r="F1349" i="11"/>
  <c r="E1349" i="11"/>
  <c r="D1349" i="11"/>
  <c r="C1349" i="11"/>
  <c r="B1349" i="11"/>
  <c r="T1349" i="11" s="1"/>
  <c r="A1349" i="11"/>
  <c r="S1349" i="11" s="1"/>
  <c r="T1348" i="11"/>
  <c r="S1348" i="11"/>
  <c r="P1348" i="11"/>
  <c r="M1348" i="11"/>
  <c r="L1348" i="11"/>
  <c r="K1348" i="11"/>
  <c r="J1348" i="11"/>
  <c r="I1348" i="11"/>
  <c r="H1348" i="11"/>
  <c r="G1348" i="11"/>
  <c r="F1348" i="11"/>
  <c r="V1348" i="11" s="1"/>
  <c r="E1348" i="11"/>
  <c r="D1348" i="11"/>
  <c r="C1348" i="11"/>
  <c r="B1348" i="11"/>
  <c r="A1348" i="11"/>
  <c r="M1347" i="11"/>
  <c r="L1347" i="11"/>
  <c r="K1347" i="11"/>
  <c r="J1347" i="11"/>
  <c r="I1347" i="11"/>
  <c r="H1347" i="11"/>
  <c r="G1347" i="11"/>
  <c r="F1347" i="11"/>
  <c r="E1347" i="11"/>
  <c r="P1347" i="11" s="1"/>
  <c r="D1347" i="11"/>
  <c r="C1347" i="11"/>
  <c r="B1347" i="11"/>
  <c r="T1347" i="11" s="1"/>
  <c r="A1347" i="11"/>
  <c r="S1347" i="11" s="1"/>
  <c r="T1346" i="11"/>
  <c r="S1346" i="11"/>
  <c r="P1346" i="11"/>
  <c r="M1346" i="11"/>
  <c r="L1346" i="11"/>
  <c r="K1346" i="11"/>
  <c r="J1346" i="11"/>
  <c r="I1346" i="11"/>
  <c r="H1346" i="11"/>
  <c r="G1346" i="11"/>
  <c r="F1346" i="11"/>
  <c r="V1346" i="11" s="1"/>
  <c r="E1346" i="11"/>
  <c r="D1346" i="11"/>
  <c r="C1346" i="11"/>
  <c r="B1346" i="11"/>
  <c r="A1346" i="11"/>
  <c r="Q1345" i="11"/>
  <c r="M1345" i="11"/>
  <c r="L1345" i="11"/>
  <c r="K1345" i="11"/>
  <c r="J1345" i="11"/>
  <c r="I1345" i="11"/>
  <c r="H1345" i="11"/>
  <c r="G1345" i="11"/>
  <c r="F1345" i="11"/>
  <c r="E1345" i="11"/>
  <c r="D1345" i="11"/>
  <c r="C1345" i="11"/>
  <c r="B1345" i="11"/>
  <c r="T1345" i="11" s="1"/>
  <c r="A1345" i="11"/>
  <c r="S1345" i="11" s="1"/>
  <c r="T1344" i="11"/>
  <c r="S1344" i="11"/>
  <c r="P1344" i="11"/>
  <c r="M1344" i="11"/>
  <c r="L1344" i="11"/>
  <c r="K1344" i="11"/>
  <c r="J1344" i="11"/>
  <c r="I1344" i="11"/>
  <c r="H1344" i="11"/>
  <c r="G1344" i="11"/>
  <c r="F1344" i="11"/>
  <c r="V1344" i="11" s="1"/>
  <c r="E1344" i="11"/>
  <c r="D1344" i="11"/>
  <c r="C1344" i="11"/>
  <c r="B1344" i="11"/>
  <c r="A1344" i="11"/>
  <c r="M1343" i="11"/>
  <c r="L1343" i="11"/>
  <c r="K1343" i="11"/>
  <c r="J1343" i="11"/>
  <c r="I1343" i="11"/>
  <c r="H1343" i="11"/>
  <c r="G1343" i="11"/>
  <c r="F1343" i="11"/>
  <c r="E1343" i="11"/>
  <c r="P1343" i="11" s="1"/>
  <c r="D1343" i="11"/>
  <c r="C1343" i="11"/>
  <c r="B1343" i="11"/>
  <c r="T1343" i="11" s="1"/>
  <c r="A1343" i="11"/>
  <c r="S1343" i="11" s="1"/>
  <c r="T1342" i="11"/>
  <c r="S1342" i="11"/>
  <c r="P1342" i="11"/>
  <c r="M1342" i="11"/>
  <c r="L1342" i="11"/>
  <c r="K1342" i="11"/>
  <c r="J1342" i="11"/>
  <c r="I1342" i="11"/>
  <c r="H1342" i="11"/>
  <c r="G1342" i="11"/>
  <c r="F1342" i="11"/>
  <c r="V1342" i="11" s="1"/>
  <c r="E1342" i="11"/>
  <c r="D1342" i="11"/>
  <c r="C1342" i="11"/>
  <c r="B1342" i="11"/>
  <c r="A1342" i="11"/>
  <c r="Q1341" i="11"/>
  <c r="M1341" i="11"/>
  <c r="L1341" i="11"/>
  <c r="K1341" i="11"/>
  <c r="J1341" i="11"/>
  <c r="I1341" i="11"/>
  <c r="H1341" i="11"/>
  <c r="G1341" i="11"/>
  <c r="F1341" i="11"/>
  <c r="E1341" i="11"/>
  <c r="D1341" i="11"/>
  <c r="C1341" i="11"/>
  <c r="B1341" i="11"/>
  <c r="T1341" i="11" s="1"/>
  <c r="A1341" i="11"/>
  <c r="S1341" i="11" s="1"/>
  <c r="T1340" i="11"/>
  <c r="S1340" i="11"/>
  <c r="P1340" i="11"/>
  <c r="M1340" i="11"/>
  <c r="L1340" i="11"/>
  <c r="K1340" i="11"/>
  <c r="J1340" i="11"/>
  <c r="I1340" i="11"/>
  <c r="H1340" i="11"/>
  <c r="G1340" i="11"/>
  <c r="F1340" i="11"/>
  <c r="V1340" i="11" s="1"/>
  <c r="E1340" i="11"/>
  <c r="D1340" i="11"/>
  <c r="C1340" i="11"/>
  <c r="B1340" i="11"/>
  <c r="A1340" i="11"/>
  <c r="M1339" i="11"/>
  <c r="L1339" i="11"/>
  <c r="K1339" i="11"/>
  <c r="J1339" i="11"/>
  <c r="I1339" i="11"/>
  <c r="H1339" i="11"/>
  <c r="G1339" i="11"/>
  <c r="F1339" i="11"/>
  <c r="E1339" i="11"/>
  <c r="P1339" i="11" s="1"/>
  <c r="D1339" i="11"/>
  <c r="C1339" i="11"/>
  <c r="B1339" i="11"/>
  <c r="T1339" i="11" s="1"/>
  <c r="A1339" i="11"/>
  <c r="S1339" i="11" s="1"/>
  <c r="T1338" i="11"/>
  <c r="S1338" i="11"/>
  <c r="P1338" i="11"/>
  <c r="M1338" i="11"/>
  <c r="L1338" i="11"/>
  <c r="K1338" i="11"/>
  <c r="J1338" i="11"/>
  <c r="I1338" i="11"/>
  <c r="H1338" i="11"/>
  <c r="G1338" i="11"/>
  <c r="F1338" i="11"/>
  <c r="V1338" i="11" s="1"/>
  <c r="E1338" i="11"/>
  <c r="D1338" i="11"/>
  <c r="C1338" i="11"/>
  <c r="B1338" i="11"/>
  <c r="A1338" i="11"/>
  <c r="Q1337" i="11"/>
  <c r="M1337" i="11"/>
  <c r="L1337" i="11"/>
  <c r="K1337" i="11"/>
  <c r="J1337" i="11"/>
  <c r="I1337" i="11"/>
  <c r="H1337" i="11"/>
  <c r="G1337" i="11"/>
  <c r="F1337" i="11"/>
  <c r="E1337" i="11"/>
  <c r="D1337" i="11"/>
  <c r="C1337" i="11"/>
  <c r="B1337" i="11"/>
  <c r="T1337" i="11" s="1"/>
  <c r="A1337" i="11"/>
  <c r="S1337" i="11" s="1"/>
  <c r="T1336" i="11"/>
  <c r="S1336" i="11"/>
  <c r="P1336" i="11"/>
  <c r="M1336" i="11"/>
  <c r="L1336" i="11"/>
  <c r="K1336" i="11"/>
  <c r="J1336" i="11"/>
  <c r="I1336" i="11"/>
  <c r="H1336" i="11"/>
  <c r="G1336" i="11"/>
  <c r="F1336" i="11"/>
  <c r="V1336" i="11" s="1"/>
  <c r="E1336" i="11"/>
  <c r="D1336" i="11"/>
  <c r="C1336" i="11"/>
  <c r="B1336" i="11"/>
  <c r="A1336" i="11"/>
  <c r="M1335" i="11"/>
  <c r="L1335" i="11"/>
  <c r="K1335" i="11"/>
  <c r="J1335" i="11"/>
  <c r="I1335" i="11"/>
  <c r="H1335" i="11"/>
  <c r="G1335" i="11"/>
  <c r="F1335" i="11"/>
  <c r="E1335" i="11"/>
  <c r="P1335" i="11" s="1"/>
  <c r="D1335" i="11"/>
  <c r="C1335" i="11"/>
  <c r="B1335" i="11"/>
  <c r="T1335" i="11" s="1"/>
  <c r="A1335" i="11"/>
  <c r="S1335" i="11" s="1"/>
  <c r="T1334" i="11"/>
  <c r="S1334" i="11"/>
  <c r="P1334" i="11"/>
  <c r="M1334" i="11"/>
  <c r="L1334" i="11"/>
  <c r="K1334" i="11"/>
  <c r="J1334" i="11"/>
  <c r="I1334" i="11"/>
  <c r="H1334" i="11"/>
  <c r="G1334" i="11"/>
  <c r="F1334" i="11"/>
  <c r="V1334" i="11" s="1"/>
  <c r="E1334" i="11"/>
  <c r="D1334" i="11"/>
  <c r="C1334" i="11"/>
  <c r="B1334" i="11"/>
  <c r="A1334" i="11"/>
  <c r="Q1333" i="11"/>
  <c r="M1333" i="11"/>
  <c r="L1333" i="11"/>
  <c r="K1333" i="11"/>
  <c r="J1333" i="11"/>
  <c r="I1333" i="11"/>
  <c r="H1333" i="11"/>
  <c r="G1333" i="11"/>
  <c r="F1333" i="11"/>
  <c r="E1333" i="11"/>
  <c r="D1333" i="11"/>
  <c r="C1333" i="11"/>
  <c r="B1333" i="11"/>
  <c r="T1333" i="11" s="1"/>
  <c r="A1333" i="11"/>
  <c r="S1333" i="11" s="1"/>
  <c r="T1332" i="11"/>
  <c r="S1332" i="11"/>
  <c r="P1332" i="11"/>
  <c r="M1332" i="11"/>
  <c r="L1332" i="11"/>
  <c r="K1332" i="11"/>
  <c r="J1332" i="11"/>
  <c r="I1332" i="11"/>
  <c r="H1332" i="11"/>
  <c r="G1332" i="11"/>
  <c r="F1332" i="11"/>
  <c r="V1332" i="11" s="1"/>
  <c r="E1332" i="11"/>
  <c r="D1332" i="11"/>
  <c r="C1332" i="11"/>
  <c r="B1332" i="11"/>
  <c r="A1332" i="11"/>
  <c r="M1331" i="11"/>
  <c r="L1331" i="11"/>
  <c r="K1331" i="11"/>
  <c r="J1331" i="11"/>
  <c r="I1331" i="11"/>
  <c r="H1331" i="11"/>
  <c r="G1331" i="11"/>
  <c r="F1331" i="11"/>
  <c r="E1331" i="11"/>
  <c r="P1331" i="11" s="1"/>
  <c r="D1331" i="11"/>
  <c r="C1331" i="11"/>
  <c r="B1331" i="11"/>
  <c r="T1331" i="11" s="1"/>
  <c r="A1331" i="11"/>
  <c r="S1331" i="11" s="1"/>
  <c r="T1330" i="11"/>
  <c r="S1330" i="11"/>
  <c r="P1330" i="11"/>
  <c r="M1330" i="11"/>
  <c r="L1330" i="11"/>
  <c r="K1330" i="11"/>
  <c r="J1330" i="11"/>
  <c r="I1330" i="11"/>
  <c r="H1330" i="11"/>
  <c r="G1330" i="11"/>
  <c r="F1330" i="11"/>
  <c r="V1330" i="11" s="1"/>
  <c r="E1330" i="11"/>
  <c r="D1330" i="11"/>
  <c r="C1330" i="11"/>
  <c r="B1330" i="11"/>
  <c r="A1330" i="11"/>
  <c r="Q1329" i="11"/>
  <c r="M1329" i="11"/>
  <c r="L1329" i="11"/>
  <c r="K1329" i="11"/>
  <c r="J1329" i="11"/>
  <c r="I1329" i="11"/>
  <c r="H1329" i="11"/>
  <c r="G1329" i="11"/>
  <c r="F1329" i="11"/>
  <c r="E1329" i="11"/>
  <c r="D1329" i="11"/>
  <c r="C1329" i="11"/>
  <c r="B1329" i="11"/>
  <c r="T1329" i="11" s="1"/>
  <c r="A1329" i="11"/>
  <c r="S1329" i="11" s="1"/>
  <c r="T1328" i="11"/>
  <c r="S1328" i="11"/>
  <c r="P1328" i="11"/>
  <c r="M1328" i="11"/>
  <c r="L1328" i="11"/>
  <c r="K1328" i="11"/>
  <c r="J1328" i="11"/>
  <c r="I1328" i="11"/>
  <c r="H1328" i="11"/>
  <c r="G1328" i="11"/>
  <c r="F1328" i="11"/>
  <c r="V1328" i="11" s="1"/>
  <c r="E1328" i="11"/>
  <c r="D1328" i="11"/>
  <c r="C1328" i="11"/>
  <c r="B1328" i="11"/>
  <c r="A1328" i="11"/>
  <c r="M1327" i="11"/>
  <c r="L1327" i="11"/>
  <c r="K1327" i="11"/>
  <c r="J1327" i="11"/>
  <c r="I1327" i="11"/>
  <c r="H1327" i="11"/>
  <c r="G1327" i="11"/>
  <c r="F1327" i="11"/>
  <c r="E1327" i="11"/>
  <c r="P1327" i="11" s="1"/>
  <c r="D1327" i="11"/>
  <c r="C1327" i="11"/>
  <c r="B1327" i="11"/>
  <c r="T1327" i="11" s="1"/>
  <c r="A1327" i="11"/>
  <c r="S1327" i="11" s="1"/>
  <c r="T1326" i="11"/>
  <c r="S1326" i="11"/>
  <c r="P1326" i="11"/>
  <c r="M1326" i="11"/>
  <c r="L1326" i="11"/>
  <c r="K1326" i="11"/>
  <c r="J1326" i="11"/>
  <c r="I1326" i="11"/>
  <c r="H1326" i="11"/>
  <c r="G1326" i="11"/>
  <c r="F1326" i="11"/>
  <c r="V1326" i="11" s="1"/>
  <c r="E1326" i="11"/>
  <c r="D1326" i="11"/>
  <c r="C1326" i="11"/>
  <c r="B1326" i="11"/>
  <c r="A1326" i="11"/>
  <c r="Q1325" i="11"/>
  <c r="M1325" i="11"/>
  <c r="L1325" i="11"/>
  <c r="K1325" i="11"/>
  <c r="J1325" i="11"/>
  <c r="I1325" i="11"/>
  <c r="H1325" i="11"/>
  <c r="G1325" i="11"/>
  <c r="F1325" i="11"/>
  <c r="E1325" i="11"/>
  <c r="D1325" i="11"/>
  <c r="C1325" i="11"/>
  <c r="B1325" i="11"/>
  <c r="T1325" i="11" s="1"/>
  <c r="A1325" i="11"/>
  <c r="S1325" i="11" s="1"/>
  <c r="T1324" i="11"/>
  <c r="S1324" i="11"/>
  <c r="P1324" i="11"/>
  <c r="M1324" i="11"/>
  <c r="L1324" i="11"/>
  <c r="K1324" i="11"/>
  <c r="J1324" i="11"/>
  <c r="I1324" i="11"/>
  <c r="H1324" i="11"/>
  <c r="G1324" i="11"/>
  <c r="F1324" i="11"/>
  <c r="V1324" i="11" s="1"/>
  <c r="E1324" i="11"/>
  <c r="D1324" i="11"/>
  <c r="C1324" i="11"/>
  <c r="B1324" i="11"/>
  <c r="A1324" i="11"/>
  <c r="M1323" i="11"/>
  <c r="L1323" i="11"/>
  <c r="K1323" i="11"/>
  <c r="J1323" i="11"/>
  <c r="I1323" i="11"/>
  <c r="H1323" i="11"/>
  <c r="G1323" i="11"/>
  <c r="F1323" i="11"/>
  <c r="E1323" i="11"/>
  <c r="P1323" i="11" s="1"/>
  <c r="D1323" i="11"/>
  <c r="C1323" i="11"/>
  <c r="B1323" i="11"/>
  <c r="T1323" i="11" s="1"/>
  <c r="A1323" i="11"/>
  <c r="S1323" i="11" s="1"/>
  <c r="T1322" i="11"/>
  <c r="S1322" i="11"/>
  <c r="P1322" i="11"/>
  <c r="M1322" i="11"/>
  <c r="L1322" i="11"/>
  <c r="K1322" i="11"/>
  <c r="J1322" i="11"/>
  <c r="I1322" i="11"/>
  <c r="H1322" i="11"/>
  <c r="G1322" i="11"/>
  <c r="F1322" i="11"/>
  <c r="V1322" i="11" s="1"/>
  <c r="E1322" i="11"/>
  <c r="D1322" i="11"/>
  <c r="C1322" i="11"/>
  <c r="B1322" i="11"/>
  <c r="A1322" i="11"/>
  <c r="Q1321" i="11"/>
  <c r="M1321" i="11"/>
  <c r="L1321" i="11"/>
  <c r="K1321" i="11"/>
  <c r="J1321" i="11"/>
  <c r="I1321" i="11"/>
  <c r="H1321" i="11"/>
  <c r="G1321" i="11"/>
  <c r="F1321" i="11"/>
  <c r="E1321" i="11"/>
  <c r="D1321" i="11"/>
  <c r="C1321" i="11"/>
  <c r="B1321" i="11"/>
  <c r="T1321" i="11" s="1"/>
  <c r="A1321" i="11"/>
  <c r="S1321" i="11" s="1"/>
  <c r="T1320" i="11"/>
  <c r="S1320" i="11"/>
  <c r="P1320" i="11"/>
  <c r="M1320" i="11"/>
  <c r="L1320" i="11"/>
  <c r="K1320" i="11"/>
  <c r="J1320" i="11"/>
  <c r="I1320" i="11"/>
  <c r="H1320" i="11"/>
  <c r="G1320" i="11"/>
  <c r="F1320" i="11"/>
  <c r="V1320" i="11" s="1"/>
  <c r="E1320" i="11"/>
  <c r="D1320" i="11"/>
  <c r="C1320" i="11"/>
  <c r="B1320" i="11"/>
  <c r="A1320" i="11"/>
  <c r="M1319" i="11"/>
  <c r="L1319" i="11"/>
  <c r="K1319" i="11"/>
  <c r="J1319" i="11"/>
  <c r="I1319" i="11"/>
  <c r="H1319" i="11"/>
  <c r="G1319" i="11"/>
  <c r="F1319" i="11"/>
  <c r="E1319" i="11"/>
  <c r="P1319" i="11" s="1"/>
  <c r="D1319" i="11"/>
  <c r="C1319" i="11"/>
  <c r="B1319" i="11"/>
  <c r="T1319" i="11" s="1"/>
  <c r="A1319" i="11"/>
  <c r="S1319" i="11" s="1"/>
  <c r="T1318" i="11"/>
  <c r="S1318" i="11"/>
  <c r="P1318" i="11"/>
  <c r="M1318" i="11"/>
  <c r="L1318" i="11"/>
  <c r="K1318" i="11"/>
  <c r="J1318" i="11"/>
  <c r="I1318" i="11"/>
  <c r="H1318" i="11"/>
  <c r="G1318" i="11"/>
  <c r="F1318" i="11"/>
  <c r="V1318" i="11" s="1"/>
  <c r="E1318" i="11"/>
  <c r="D1318" i="11"/>
  <c r="C1318" i="11"/>
  <c r="B1318" i="11"/>
  <c r="A1318" i="11"/>
  <c r="Q1317" i="11"/>
  <c r="M1317" i="11"/>
  <c r="L1317" i="11"/>
  <c r="K1317" i="11"/>
  <c r="J1317" i="11"/>
  <c r="I1317" i="11"/>
  <c r="H1317" i="11"/>
  <c r="G1317" i="11"/>
  <c r="F1317" i="11"/>
  <c r="E1317" i="11"/>
  <c r="D1317" i="11"/>
  <c r="C1317" i="11"/>
  <c r="B1317" i="11"/>
  <c r="T1317" i="11" s="1"/>
  <c r="A1317" i="11"/>
  <c r="S1317" i="11" s="1"/>
  <c r="T1316" i="11"/>
  <c r="S1316" i="11"/>
  <c r="P1316" i="11"/>
  <c r="M1316" i="11"/>
  <c r="L1316" i="11"/>
  <c r="K1316" i="11"/>
  <c r="J1316" i="11"/>
  <c r="I1316" i="11"/>
  <c r="H1316" i="11"/>
  <c r="G1316" i="11"/>
  <c r="F1316" i="11"/>
  <c r="V1316" i="11" s="1"/>
  <c r="E1316" i="11"/>
  <c r="D1316" i="11"/>
  <c r="C1316" i="11"/>
  <c r="B1316" i="11"/>
  <c r="A1316" i="11"/>
  <c r="M1315" i="11"/>
  <c r="L1315" i="11"/>
  <c r="K1315" i="11"/>
  <c r="J1315" i="11"/>
  <c r="I1315" i="11"/>
  <c r="H1315" i="11"/>
  <c r="G1315" i="11"/>
  <c r="F1315" i="11"/>
  <c r="E1315" i="11"/>
  <c r="P1315" i="11" s="1"/>
  <c r="D1315" i="11"/>
  <c r="C1315" i="11"/>
  <c r="B1315" i="11"/>
  <c r="T1315" i="11" s="1"/>
  <c r="A1315" i="11"/>
  <c r="S1315" i="11" s="1"/>
  <c r="T1314" i="11"/>
  <c r="S1314" i="11"/>
  <c r="P1314" i="11"/>
  <c r="M1314" i="11"/>
  <c r="L1314" i="11"/>
  <c r="K1314" i="11"/>
  <c r="J1314" i="11"/>
  <c r="I1314" i="11"/>
  <c r="H1314" i="11"/>
  <c r="G1314" i="11"/>
  <c r="F1314" i="11"/>
  <c r="V1314" i="11" s="1"/>
  <c r="E1314" i="11"/>
  <c r="D1314" i="11"/>
  <c r="C1314" i="11"/>
  <c r="B1314" i="11"/>
  <c r="A1314" i="11"/>
  <c r="Q1313" i="11"/>
  <c r="M1313" i="11"/>
  <c r="L1313" i="11"/>
  <c r="K1313" i="11"/>
  <c r="J1313" i="11"/>
  <c r="I1313" i="11"/>
  <c r="H1313" i="11"/>
  <c r="G1313" i="11"/>
  <c r="F1313" i="11"/>
  <c r="E1313" i="11"/>
  <c r="D1313" i="11"/>
  <c r="C1313" i="11"/>
  <c r="B1313" i="11"/>
  <c r="T1313" i="11" s="1"/>
  <c r="A1313" i="11"/>
  <c r="S1313" i="11" s="1"/>
  <c r="T1312" i="11"/>
  <c r="S1312" i="11"/>
  <c r="P1312" i="11"/>
  <c r="M1312" i="11"/>
  <c r="L1312" i="11"/>
  <c r="K1312" i="11"/>
  <c r="J1312" i="11"/>
  <c r="I1312" i="11"/>
  <c r="H1312" i="11"/>
  <c r="G1312" i="11"/>
  <c r="F1312" i="11"/>
  <c r="V1312" i="11" s="1"/>
  <c r="E1312" i="11"/>
  <c r="D1312" i="11"/>
  <c r="C1312" i="11"/>
  <c r="B1312" i="11"/>
  <c r="A1312" i="11"/>
  <c r="M1311" i="11"/>
  <c r="L1311" i="11"/>
  <c r="K1311" i="11"/>
  <c r="J1311" i="11"/>
  <c r="I1311" i="11"/>
  <c r="H1311" i="11"/>
  <c r="G1311" i="11"/>
  <c r="F1311" i="11"/>
  <c r="E1311" i="11"/>
  <c r="P1311" i="11" s="1"/>
  <c r="D1311" i="11"/>
  <c r="C1311" i="11"/>
  <c r="B1311" i="11"/>
  <c r="T1311" i="11" s="1"/>
  <c r="A1311" i="11"/>
  <c r="S1311" i="11" s="1"/>
  <c r="T1310" i="11"/>
  <c r="S1310" i="11"/>
  <c r="P1310" i="11"/>
  <c r="M1310" i="11"/>
  <c r="L1310" i="11"/>
  <c r="K1310" i="11"/>
  <c r="J1310" i="11"/>
  <c r="I1310" i="11"/>
  <c r="H1310" i="11"/>
  <c r="G1310" i="11"/>
  <c r="F1310" i="11"/>
  <c r="V1310" i="11" s="1"/>
  <c r="E1310" i="11"/>
  <c r="D1310" i="11"/>
  <c r="C1310" i="11"/>
  <c r="B1310" i="11"/>
  <c r="A1310" i="11"/>
  <c r="Q1309" i="11"/>
  <c r="M1309" i="11"/>
  <c r="L1309" i="11"/>
  <c r="K1309" i="11"/>
  <c r="J1309" i="11"/>
  <c r="I1309" i="11"/>
  <c r="H1309" i="11"/>
  <c r="G1309" i="11"/>
  <c r="F1309" i="11"/>
  <c r="E1309" i="11"/>
  <c r="D1309" i="11"/>
  <c r="C1309" i="11"/>
  <c r="B1309" i="11"/>
  <c r="T1309" i="11" s="1"/>
  <c r="A1309" i="11"/>
  <c r="S1309" i="11" s="1"/>
  <c r="T1308" i="11"/>
  <c r="S1308" i="11"/>
  <c r="P1308" i="11"/>
  <c r="M1308" i="11"/>
  <c r="L1308" i="11"/>
  <c r="K1308" i="11"/>
  <c r="J1308" i="11"/>
  <c r="I1308" i="11"/>
  <c r="H1308" i="11"/>
  <c r="G1308" i="11"/>
  <c r="F1308" i="11"/>
  <c r="V1308" i="11" s="1"/>
  <c r="E1308" i="11"/>
  <c r="D1308" i="11"/>
  <c r="C1308" i="11"/>
  <c r="B1308" i="11"/>
  <c r="A1308" i="11"/>
  <c r="M1307" i="11"/>
  <c r="L1307" i="11"/>
  <c r="K1307" i="11"/>
  <c r="J1307" i="11"/>
  <c r="I1307" i="11"/>
  <c r="H1307" i="11"/>
  <c r="G1307" i="11"/>
  <c r="F1307" i="11"/>
  <c r="E1307" i="11"/>
  <c r="P1307" i="11" s="1"/>
  <c r="D1307" i="11"/>
  <c r="C1307" i="11"/>
  <c r="B1307" i="11"/>
  <c r="T1307" i="11" s="1"/>
  <c r="A1307" i="11"/>
  <c r="S1307" i="11" s="1"/>
  <c r="T1306" i="11"/>
  <c r="S1306" i="11"/>
  <c r="P1306" i="11"/>
  <c r="M1306" i="11"/>
  <c r="L1306" i="11"/>
  <c r="K1306" i="11"/>
  <c r="J1306" i="11"/>
  <c r="I1306" i="11"/>
  <c r="H1306" i="11"/>
  <c r="G1306" i="11"/>
  <c r="F1306" i="11"/>
  <c r="V1306" i="11" s="1"/>
  <c r="E1306" i="11"/>
  <c r="D1306" i="11"/>
  <c r="C1306" i="11"/>
  <c r="B1306" i="11"/>
  <c r="A1306" i="11"/>
  <c r="Q1305" i="11"/>
  <c r="M1305" i="11"/>
  <c r="L1305" i="11"/>
  <c r="K1305" i="11"/>
  <c r="J1305" i="11"/>
  <c r="I1305" i="11"/>
  <c r="H1305" i="11"/>
  <c r="G1305" i="11"/>
  <c r="F1305" i="11"/>
  <c r="E1305" i="11"/>
  <c r="D1305" i="11"/>
  <c r="C1305" i="11"/>
  <c r="B1305" i="11"/>
  <c r="T1305" i="11" s="1"/>
  <c r="A1305" i="11"/>
  <c r="S1305" i="11" s="1"/>
  <c r="T1304" i="11"/>
  <c r="S1304" i="11"/>
  <c r="P1304" i="11"/>
  <c r="M1304" i="11"/>
  <c r="L1304" i="11"/>
  <c r="K1304" i="11"/>
  <c r="J1304" i="11"/>
  <c r="I1304" i="11"/>
  <c r="H1304" i="11"/>
  <c r="G1304" i="11"/>
  <c r="F1304" i="11"/>
  <c r="V1304" i="11" s="1"/>
  <c r="E1304" i="11"/>
  <c r="D1304" i="11"/>
  <c r="C1304" i="11"/>
  <c r="B1304" i="11"/>
  <c r="A1304" i="11"/>
  <c r="M1303" i="11"/>
  <c r="L1303" i="11"/>
  <c r="K1303" i="11"/>
  <c r="J1303" i="11"/>
  <c r="I1303" i="11"/>
  <c r="H1303" i="11"/>
  <c r="G1303" i="11"/>
  <c r="F1303" i="11"/>
  <c r="E1303" i="11"/>
  <c r="P1303" i="11" s="1"/>
  <c r="D1303" i="11"/>
  <c r="C1303" i="11"/>
  <c r="B1303" i="11"/>
  <c r="T1303" i="11" s="1"/>
  <c r="A1303" i="11"/>
  <c r="S1303" i="11" s="1"/>
  <c r="T1302" i="11"/>
  <c r="S1302" i="11"/>
  <c r="P1302" i="11"/>
  <c r="M1302" i="11"/>
  <c r="L1302" i="11"/>
  <c r="K1302" i="11"/>
  <c r="J1302" i="11"/>
  <c r="I1302" i="11"/>
  <c r="H1302" i="11"/>
  <c r="G1302" i="11"/>
  <c r="F1302" i="11"/>
  <c r="V1302" i="11" s="1"/>
  <c r="E1302" i="11"/>
  <c r="D1302" i="11"/>
  <c r="C1302" i="11"/>
  <c r="B1302" i="11"/>
  <c r="A1302" i="11"/>
  <c r="Q1301" i="11"/>
  <c r="M1301" i="11"/>
  <c r="L1301" i="11"/>
  <c r="K1301" i="11"/>
  <c r="J1301" i="11"/>
  <c r="I1301" i="11"/>
  <c r="H1301" i="11"/>
  <c r="G1301" i="11"/>
  <c r="F1301" i="11"/>
  <c r="E1301" i="11"/>
  <c r="D1301" i="11"/>
  <c r="C1301" i="11"/>
  <c r="B1301" i="11"/>
  <c r="T1301" i="11" s="1"/>
  <c r="A1301" i="11"/>
  <c r="S1301" i="11" s="1"/>
  <c r="T1300" i="11"/>
  <c r="S1300" i="11"/>
  <c r="P1300" i="11"/>
  <c r="M1300" i="11"/>
  <c r="L1300" i="11"/>
  <c r="K1300" i="11"/>
  <c r="J1300" i="11"/>
  <c r="I1300" i="11"/>
  <c r="H1300" i="11"/>
  <c r="G1300" i="11"/>
  <c r="F1300" i="11"/>
  <c r="V1300" i="11" s="1"/>
  <c r="E1300" i="11"/>
  <c r="D1300" i="11"/>
  <c r="C1300" i="11"/>
  <c r="B1300" i="11"/>
  <c r="A1300" i="11"/>
  <c r="M1299" i="11"/>
  <c r="L1299" i="11"/>
  <c r="K1299" i="11"/>
  <c r="J1299" i="11"/>
  <c r="I1299" i="11"/>
  <c r="H1299" i="11"/>
  <c r="G1299" i="11"/>
  <c r="F1299" i="11"/>
  <c r="E1299" i="11"/>
  <c r="P1299" i="11" s="1"/>
  <c r="D1299" i="11"/>
  <c r="C1299" i="11"/>
  <c r="B1299" i="11"/>
  <c r="T1299" i="11" s="1"/>
  <c r="A1299" i="11"/>
  <c r="S1299" i="11" s="1"/>
  <c r="T1298" i="11"/>
  <c r="S1298" i="11"/>
  <c r="P1298" i="11"/>
  <c r="M1298" i="11"/>
  <c r="L1298" i="11"/>
  <c r="K1298" i="11"/>
  <c r="J1298" i="11"/>
  <c r="I1298" i="11"/>
  <c r="H1298" i="11"/>
  <c r="G1298" i="11"/>
  <c r="F1298" i="11"/>
  <c r="V1298" i="11" s="1"/>
  <c r="E1298" i="11"/>
  <c r="D1298" i="11"/>
  <c r="C1298" i="11"/>
  <c r="B1298" i="11"/>
  <c r="A1298" i="11"/>
  <c r="Q1297" i="11"/>
  <c r="M1297" i="11"/>
  <c r="L1297" i="11"/>
  <c r="K1297" i="11"/>
  <c r="J1297" i="11"/>
  <c r="I1297" i="11"/>
  <c r="H1297" i="11"/>
  <c r="G1297" i="11"/>
  <c r="F1297" i="11"/>
  <c r="E1297" i="11"/>
  <c r="D1297" i="11"/>
  <c r="C1297" i="11"/>
  <c r="B1297" i="11"/>
  <c r="T1297" i="11" s="1"/>
  <c r="A1297" i="11"/>
  <c r="S1297" i="11" s="1"/>
  <c r="T1296" i="11"/>
  <c r="S1296" i="11"/>
  <c r="P1296" i="11"/>
  <c r="M1296" i="11"/>
  <c r="L1296" i="11"/>
  <c r="K1296" i="11"/>
  <c r="J1296" i="11"/>
  <c r="I1296" i="11"/>
  <c r="H1296" i="11"/>
  <c r="G1296" i="11"/>
  <c r="F1296" i="11"/>
  <c r="V1296" i="11" s="1"/>
  <c r="E1296" i="11"/>
  <c r="D1296" i="11"/>
  <c r="C1296" i="11"/>
  <c r="B1296" i="11"/>
  <c r="A1296" i="11"/>
  <c r="M1295" i="11"/>
  <c r="L1295" i="11"/>
  <c r="K1295" i="11"/>
  <c r="J1295" i="11"/>
  <c r="I1295" i="11"/>
  <c r="H1295" i="11"/>
  <c r="G1295" i="11"/>
  <c r="F1295" i="11"/>
  <c r="E1295" i="11"/>
  <c r="P1295" i="11" s="1"/>
  <c r="D1295" i="11"/>
  <c r="C1295" i="11"/>
  <c r="B1295" i="11"/>
  <c r="T1295" i="11" s="1"/>
  <c r="A1295" i="11"/>
  <c r="S1295" i="11" s="1"/>
  <c r="T1294" i="11"/>
  <c r="S1294" i="11"/>
  <c r="P1294" i="11"/>
  <c r="M1294" i="11"/>
  <c r="L1294" i="11"/>
  <c r="K1294" i="11"/>
  <c r="J1294" i="11"/>
  <c r="I1294" i="11"/>
  <c r="H1294" i="11"/>
  <c r="G1294" i="11"/>
  <c r="F1294" i="11"/>
  <c r="V1294" i="11" s="1"/>
  <c r="E1294" i="11"/>
  <c r="D1294" i="11"/>
  <c r="C1294" i="11"/>
  <c r="B1294" i="11"/>
  <c r="A1294" i="11"/>
  <c r="Q1293" i="11"/>
  <c r="M1293" i="11"/>
  <c r="L1293" i="11"/>
  <c r="K1293" i="11"/>
  <c r="J1293" i="11"/>
  <c r="I1293" i="11"/>
  <c r="H1293" i="11"/>
  <c r="G1293" i="11"/>
  <c r="F1293" i="11"/>
  <c r="E1293" i="11"/>
  <c r="D1293" i="11"/>
  <c r="C1293" i="11"/>
  <c r="B1293" i="11"/>
  <c r="T1293" i="11" s="1"/>
  <c r="A1293" i="11"/>
  <c r="S1293" i="11" s="1"/>
  <c r="T1292" i="11"/>
  <c r="S1292" i="11"/>
  <c r="P1292" i="11"/>
  <c r="M1292" i="11"/>
  <c r="L1292" i="11"/>
  <c r="K1292" i="11"/>
  <c r="J1292" i="11"/>
  <c r="I1292" i="11"/>
  <c r="H1292" i="11"/>
  <c r="G1292" i="11"/>
  <c r="F1292" i="11"/>
  <c r="V1292" i="11" s="1"/>
  <c r="E1292" i="11"/>
  <c r="D1292" i="11"/>
  <c r="C1292" i="11"/>
  <c r="B1292" i="11"/>
  <c r="A1292" i="11"/>
  <c r="M1291" i="11"/>
  <c r="L1291" i="11"/>
  <c r="K1291" i="11"/>
  <c r="J1291" i="11"/>
  <c r="I1291" i="11"/>
  <c r="H1291" i="11"/>
  <c r="G1291" i="11"/>
  <c r="F1291" i="11"/>
  <c r="E1291" i="11"/>
  <c r="P1291" i="11" s="1"/>
  <c r="D1291" i="11"/>
  <c r="C1291" i="11"/>
  <c r="B1291" i="11"/>
  <c r="T1291" i="11" s="1"/>
  <c r="A1291" i="11"/>
  <c r="S1291" i="11" s="1"/>
  <c r="T1290" i="11"/>
  <c r="S1290" i="11"/>
  <c r="P1290" i="11"/>
  <c r="M1290" i="11"/>
  <c r="L1290" i="11"/>
  <c r="K1290" i="11"/>
  <c r="J1290" i="11"/>
  <c r="I1290" i="11"/>
  <c r="H1290" i="11"/>
  <c r="G1290" i="11"/>
  <c r="F1290" i="11"/>
  <c r="V1290" i="11" s="1"/>
  <c r="E1290" i="11"/>
  <c r="D1290" i="11"/>
  <c r="C1290" i="11"/>
  <c r="B1290" i="11"/>
  <c r="A1290" i="11"/>
  <c r="Q1289" i="11"/>
  <c r="M1289" i="11"/>
  <c r="L1289" i="11"/>
  <c r="K1289" i="11"/>
  <c r="J1289" i="11"/>
  <c r="I1289" i="11"/>
  <c r="H1289" i="11"/>
  <c r="G1289" i="11"/>
  <c r="F1289" i="11"/>
  <c r="E1289" i="11"/>
  <c r="D1289" i="11"/>
  <c r="C1289" i="11"/>
  <c r="B1289" i="11"/>
  <c r="T1289" i="11" s="1"/>
  <c r="A1289" i="11"/>
  <c r="S1289" i="11" s="1"/>
  <c r="T1288" i="11"/>
  <c r="S1288" i="11"/>
  <c r="P1288" i="11"/>
  <c r="M1288" i="11"/>
  <c r="L1288" i="11"/>
  <c r="K1288" i="11"/>
  <c r="J1288" i="11"/>
  <c r="I1288" i="11"/>
  <c r="H1288" i="11"/>
  <c r="G1288" i="11"/>
  <c r="F1288" i="11"/>
  <c r="V1288" i="11" s="1"/>
  <c r="E1288" i="11"/>
  <c r="D1288" i="11"/>
  <c r="C1288" i="11"/>
  <c r="B1288" i="11"/>
  <c r="A1288" i="11"/>
  <c r="M1287" i="11"/>
  <c r="L1287" i="11"/>
  <c r="K1287" i="11"/>
  <c r="J1287" i="11"/>
  <c r="I1287" i="11"/>
  <c r="H1287" i="11"/>
  <c r="G1287" i="11"/>
  <c r="F1287" i="11"/>
  <c r="E1287" i="11"/>
  <c r="P1287" i="11" s="1"/>
  <c r="D1287" i="11"/>
  <c r="C1287" i="11"/>
  <c r="B1287" i="11"/>
  <c r="T1287" i="11" s="1"/>
  <c r="A1287" i="11"/>
  <c r="S1287" i="11" s="1"/>
  <c r="T1286" i="11"/>
  <c r="S1286" i="11"/>
  <c r="P1286" i="11"/>
  <c r="M1286" i="11"/>
  <c r="L1286" i="11"/>
  <c r="K1286" i="11"/>
  <c r="J1286" i="11"/>
  <c r="I1286" i="11"/>
  <c r="H1286" i="11"/>
  <c r="G1286" i="11"/>
  <c r="F1286" i="11"/>
  <c r="V1286" i="11" s="1"/>
  <c r="E1286" i="11"/>
  <c r="D1286" i="11"/>
  <c r="C1286" i="11"/>
  <c r="B1286" i="11"/>
  <c r="A1286" i="11"/>
  <c r="Q1285" i="11"/>
  <c r="M1285" i="11"/>
  <c r="L1285" i="11"/>
  <c r="K1285" i="11"/>
  <c r="J1285" i="11"/>
  <c r="I1285" i="11"/>
  <c r="H1285" i="11"/>
  <c r="G1285" i="11"/>
  <c r="F1285" i="11"/>
  <c r="E1285" i="11"/>
  <c r="D1285" i="11"/>
  <c r="C1285" i="11"/>
  <c r="B1285" i="11"/>
  <c r="T1285" i="11" s="1"/>
  <c r="A1285" i="11"/>
  <c r="S1285" i="11" s="1"/>
  <c r="T1284" i="11"/>
  <c r="S1284" i="11"/>
  <c r="P1284" i="11"/>
  <c r="M1284" i="11"/>
  <c r="L1284" i="11"/>
  <c r="K1284" i="11"/>
  <c r="J1284" i="11"/>
  <c r="I1284" i="11"/>
  <c r="H1284" i="11"/>
  <c r="G1284" i="11"/>
  <c r="F1284" i="11"/>
  <c r="V1284" i="11" s="1"/>
  <c r="E1284" i="11"/>
  <c r="D1284" i="11"/>
  <c r="C1284" i="11"/>
  <c r="B1284" i="11"/>
  <c r="A1284" i="11"/>
  <c r="V1283" i="11"/>
  <c r="Q1283" i="11"/>
  <c r="M1283" i="11"/>
  <c r="L1283" i="11"/>
  <c r="K1283" i="11"/>
  <c r="J1283" i="11"/>
  <c r="I1283" i="11"/>
  <c r="H1283" i="11"/>
  <c r="G1283" i="11"/>
  <c r="F1283" i="11"/>
  <c r="E1283" i="11"/>
  <c r="P1283" i="11" s="1"/>
  <c r="D1283" i="11"/>
  <c r="C1283" i="11"/>
  <c r="B1283" i="11"/>
  <c r="T1283" i="11" s="1"/>
  <c r="A1283" i="11"/>
  <c r="S1283" i="11" s="1"/>
  <c r="T1282" i="11"/>
  <c r="S1282" i="11"/>
  <c r="P1282" i="11"/>
  <c r="M1282" i="11"/>
  <c r="L1282" i="11"/>
  <c r="K1282" i="11"/>
  <c r="J1282" i="11"/>
  <c r="I1282" i="11"/>
  <c r="H1282" i="11"/>
  <c r="G1282" i="11"/>
  <c r="F1282" i="11"/>
  <c r="V1282" i="11" s="1"/>
  <c r="E1282" i="11"/>
  <c r="D1282" i="11"/>
  <c r="C1282" i="11"/>
  <c r="B1282" i="11"/>
  <c r="A1282" i="11"/>
  <c r="M1281" i="11"/>
  <c r="L1281" i="11"/>
  <c r="K1281" i="11"/>
  <c r="J1281" i="11"/>
  <c r="I1281" i="11"/>
  <c r="H1281" i="11"/>
  <c r="G1281" i="11"/>
  <c r="F1281" i="11"/>
  <c r="Q1281" i="11" s="1"/>
  <c r="E1281" i="11"/>
  <c r="P1281" i="11" s="1"/>
  <c r="D1281" i="11"/>
  <c r="C1281" i="11"/>
  <c r="B1281" i="11"/>
  <c r="T1281" i="11" s="1"/>
  <c r="A1281" i="11"/>
  <c r="S1281" i="11" s="1"/>
  <c r="T1280" i="11"/>
  <c r="S1280" i="11"/>
  <c r="P1280" i="11"/>
  <c r="M1280" i="11"/>
  <c r="L1280" i="11"/>
  <c r="K1280" i="11"/>
  <c r="J1280" i="11"/>
  <c r="I1280" i="11"/>
  <c r="H1280" i="11"/>
  <c r="G1280" i="11"/>
  <c r="F1280" i="11"/>
  <c r="V1280" i="11" s="1"/>
  <c r="E1280" i="11"/>
  <c r="D1280" i="11"/>
  <c r="C1280" i="11"/>
  <c r="B1280" i="11"/>
  <c r="A1280" i="11"/>
  <c r="M1279" i="11"/>
  <c r="L1279" i="11"/>
  <c r="K1279" i="11"/>
  <c r="J1279" i="11"/>
  <c r="I1279" i="11"/>
  <c r="H1279" i="11"/>
  <c r="G1279" i="11"/>
  <c r="F1279" i="11"/>
  <c r="Q1279" i="11" s="1"/>
  <c r="E1279" i="11"/>
  <c r="P1279" i="11" s="1"/>
  <c r="D1279" i="11"/>
  <c r="C1279" i="11"/>
  <c r="B1279" i="11"/>
  <c r="T1279" i="11" s="1"/>
  <c r="A1279" i="11"/>
  <c r="S1279" i="11" s="1"/>
  <c r="T1278" i="11"/>
  <c r="S1278" i="11"/>
  <c r="P1278" i="11"/>
  <c r="M1278" i="11"/>
  <c r="L1278" i="11"/>
  <c r="K1278" i="11"/>
  <c r="J1278" i="11"/>
  <c r="I1278" i="11"/>
  <c r="H1278" i="11"/>
  <c r="G1278" i="11"/>
  <c r="F1278" i="11"/>
  <c r="V1278" i="11" s="1"/>
  <c r="E1278" i="11"/>
  <c r="D1278" i="11"/>
  <c r="C1278" i="11"/>
  <c r="B1278" i="11"/>
  <c r="A1278" i="11"/>
  <c r="Q1277" i="11"/>
  <c r="M1277" i="11"/>
  <c r="L1277" i="11"/>
  <c r="K1277" i="11"/>
  <c r="J1277" i="11"/>
  <c r="I1277" i="11"/>
  <c r="H1277" i="11"/>
  <c r="G1277" i="11"/>
  <c r="F1277" i="11"/>
  <c r="E1277" i="11"/>
  <c r="D1277" i="11"/>
  <c r="C1277" i="11"/>
  <c r="B1277" i="11"/>
  <c r="T1277" i="11" s="1"/>
  <c r="A1277" i="11"/>
  <c r="S1277" i="11" s="1"/>
  <c r="T1276" i="11"/>
  <c r="S1276" i="11"/>
  <c r="P1276" i="11"/>
  <c r="M1276" i="11"/>
  <c r="L1276" i="11"/>
  <c r="K1276" i="11"/>
  <c r="J1276" i="11"/>
  <c r="I1276" i="11"/>
  <c r="H1276" i="11"/>
  <c r="G1276" i="11"/>
  <c r="F1276" i="11"/>
  <c r="V1276" i="11" s="1"/>
  <c r="E1276" i="11"/>
  <c r="D1276" i="11"/>
  <c r="C1276" i="11"/>
  <c r="B1276" i="11"/>
  <c r="A1276" i="11"/>
  <c r="V1275" i="11"/>
  <c r="Q1275" i="11"/>
  <c r="M1275" i="11"/>
  <c r="L1275" i="11"/>
  <c r="K1275" i="11"/>
  <c r="J1275" i="11"/>
  <c r="I1275" i="11"/>
  <c r="H1275" i="11"/>
  <c r="G1275" i="11"/>
  <c r="F1275" i="11"/>
  <c r="E1275" i="11"/>
  <c r="P1275" i="11" s="1"/>
  <c r="D1275" i="11"/>
  <c r="C1275" i="11"/>
  <c r="B1275" i="11"/>
  <c r="T1275" i="11" s="1"/>
  <c r="A1275" i="11"/>
  <c r="S1275" i="11" s="1"/>
  <c r="S1274" i="11"/>
  <c r="P1274" i="11"/>
  <c r="M1274" i="11"/>
  <c r="L1274" i="11"/>
  <c r="K1274" i="11"/>
  <c r="J1274" i="11"/>
  <c r="I1274" i="11"/>
  <c r="H1274" i="11"/>
  <c r="G1274" i="11"/>
  <c r="F1274" i="11"/>
  <c r="Q1274" i="11" s="1"/>
  <c r="E1274" i="11"/>
  <c r="D1274" i="11"/>
  <c r="C1274" i="11"/>
  <c r="B1274" i="11"/>
  <c r="T1274" i="11" s="1"/>
  <c r="A1274" i="11"/>
  <c r="V1273" i="11"/>
  <c r="T1273" i="11"/>
  <c r="Q1273" i="11"/>
  <c r="P1273" i="11"/>
  <c r="M1273" i="11"/>
  <c r="L1273" i="11"/>
  <c r="K1273" i="11"/>
  <c r="J1273" i="11"/>
  <c r="I1273" i="11"/>
  <c r="H1273" i="11"/>
  <c r="G1273" i="11"/>
  <c r="F1273" i="11"/>
  <c r="E1273" i="11"/>
  <c r="D1273" i="11"/>
  <c r="C1273" i="11"/>
  <c r="B1273" i="11"/>
  <c r="A1273" i="11"/>
  <c r="S1273" i="11" s="1"/>
  <c r="T1272" i="11"/>
  <c r="S1272" i="11"/>
  <c r="P1272" i="11"/>
  <c r="M1272" i="11"/>
  <c r="L1272" i="11"/>
  <c r="K1272" i="11"/>
  <c r="J1272" i="11"/>
  <c r="I1272" i="11"/>
  <c r="H1272" i="11"/>
  <c r="G1272" i="11"/>
  <c r="F1272" i="11"/>
  <c r="E1272" i="11"/>
  <c r="D1272" i="11"/>
  <c r="C1272" i="11"/>
  <c r="B1272" i="11"/>
  <c r="A1272" i="11"/>
  <c r="V1271" i="11"/>
  <c r="T1271" i="11"/>
  <c r="P1271" i="11"/>
  <c r="M1271" i="11"/>
  <c r="L1271" i="11"/>
  <c r="K1271" i="11"/>
  <c r="J1271" i="11"/>
  <c r="I1271" i="11"/>
  <c r="H1271" i="11"/>
  <c r="G1271" i="11"/>
  <c r="F1271" i="11"/>
  <c r="Q1271" i="11" s="1"/>
  <c r="E1271" i="11"/>
  <c r="D1271" i="11"/>
  <c r="C1271" i="11"/>
  <c r="B1271" i="11"/>
  <c r="A1271" i="11"/>
  <c r="S1271" i="11" s="1"/>
  <c r="S1270" i="11"/>
  <c r="P1270" i="11"/>
  <c r="M1270" i="11"/>
  <c r="L1270" i="11"/>
  <c r="K1270" i="11"/>
  <c r="J1270" i="11"/>
  <c r="I1270" i="11"/>
  <c r="H1270" i="11"/>
  <c r="G1270" i="11"/>
  <c r="F1270" i="11"/>
  <c r="Q1270" i="11" s="1"/>
  <c r="E1270" i="11"/>
  <c r="D1270" i="11"/>
  <c r="C1270" i="11"/>
  <c r="B1270" i="11"/>
  <c r="T1270" i="11" s="1"/>
  <c r="A1270" i="11"/>
  <c r="V1269" i="11"/>
  <c r="T1269" i="11"/>
  <c r="Q1269" i="11"/>
  <c r="P1269" i="11"/>
  <c r="M1269" i="11"/>
  <c r="L1269" i="11"/>
  <c r="K1269" i="11"/>
  <c r="J1269" i="11"/>
  <c r="I1269" i="11"/>
  <c r="H1269" i="11"/>
  <c r="G1269" i="11"/>
  <c r="F1269" i="11"/>
  <c r="E1269" i="11"/>
  <c r="D1269" i="11"/>
  <c r="C1269" i="11"/>
  <c r="B1269" i="11"/>
  <c r="A1269" i="11"/>
  <c r="S1269" i="11" s="1"/>
  <c r="S1268" i="11"/>
  <c r="P1268" i="11"/>
  <c r="M1268" i="11"/>
  <c r="L1268" i="11"/>
  <c r="K1268" i="11"/>
  <c r="J1268" i="11"/>
  <c r="I1268" i="11"/>
  <c r="H1268" i="11"/>
  <c r="G1268" i="11"/>
  <c r="F1268" i="11"/>
  <c r="E1268" i="11"/>
  <c r="D1268" i="11"/>
  <c r="C1268" i="11"/>
  <c r="B1268" i="11"/>
  <c r="T1268" i="11" s="1"/>
  <c r="A1268" i="11"/>
  <c r="V1267" i="11"/>
  <c r="T1267" i="11"/>
  <c r="P1267" i="11"/>
  <c r="M1267" i="11"/>
  <c r="L1267" i="11"/>
  <c r="K1267" i="11"/>
  <c r="J1267" i="11"/>
  <c r="I1267" i="11"/>
  <c r="H1267" i="11"/>
  <c r="G1267" i="11"/>
  <c r="F1267" i="11"/>
  <c r="Q1267" i="11" s="1"/>
  <c r="E1267" i="11"/>
  <c r="D1267" i="11"/>
  <c r="C1267" i="11"/>
  <c r="B1267" i="11"/>
  <c r="A1267" i="11"/>
  <c r="S1267" i="11" s="1"/>
  <c r="S1266" i="11"/>
  <c r="P1266" i="11"/>
  <c r="M1266" i="11"/>
  <c r="L1266" i="11"/>
  <c r="K1266" i="11"/>
  <c r="J1266" i="11"/>
  <c r="I1266" i="11"/>
  <c r="H1266" i="11"/>
  <c r="G1266" i="11"/>
  <c r="F1266" i="11"/>
  <c r="Q1266" i="11" s="1"/>
  <c r="E1266" i="11"/>
  <c r="D1266" i="11"/>
  <c r="C1266" i="11"/>
  <c r="B1266" i="11"/>
  <c r="T1266" i="11" s="1"/>
  <c r="A1266" i="11"/>
  <c r="V1265" i="11"/>
  <c r="T1265" i="11"/>
  <c r="Q1265" i="11"/>
  <c r="P1265" i="11"/>
  <c r="M1265" i="11"/>
  <c r="L1265" i="11"/>
  <c r="K1265" i="11"/>
  <c r="J1265" i="11"/>
  <c r="I1265" i="11"/>
  <c r="H1265" i="11"/>
  <c r="G1265" i="11"/>
  <c r="F1265" i="11"/>
  <c r="E1265" i="11"/>
  <c r="D1265" i="11"/>
  <c r="C1265" i="11"/>
  <c r="B1265" i="11"/>
  <c r="A1265" i="11"/>
  <c r="S1265" i="11" s="1"/>
  <c r="S1264" i="11"/>
  <c r="P1264" i="11"/>
  <c r="M1264" i="11"/>
  <c r="L1264" i="11"/>
  <c r="K1264" i="11"/>
  <c r="J1264" i="11"/>
  <c r="I1264" i="11"/>
  <c r="H1264" i="11"/>
  <c r="G1264" i="11"/>
  <c r="F1264" i="11"/>
  <c r="E1264" i="11"/>
  <c r="D1264" i="11"/>
  <c r="C1264" i="11"/>
  <c r="B1264" i="11"/>
  <c r="T1264" i="11" s="1"/>
  <c r="A1264" i="11"/>
  <c r="V1263" i="11"/>
  <c r="T1263" i="11"/>
  <c r="P1263" i="11"/>
  <c r="M1263" i="11"/>
  <c r="L1263" i="11"/>
  <c r="K1263" i="11"/>
  <c r="J1263" i="11"/>
  <c r="I1263" i="11"/>
  <c r="H1263" i="11"/>
  <c r="G1263" i="11"/>
  <c r="F1263" i="11"/>
  <c r="Q1263" i="11" s="1"/>
  <c r="E1263" i="11"/>
  <c r="D1263" i="11"/>
  <c r="C1263" i="11"/>
  <c r="B1263" i="11"/>
  <c r="A1263" i="11"/>
  <c r="S1263" i="11" s="1"/>
  <c r="S1262" i="11"/>
  <c r="P1262" i="11"/>
  <c r="M1262" i="11"/>
  <c r="L1262" i="11"/>
  <c r="K1262" i="11"/>
  <c r="J1262" i="11"/>
  <c r="I1262" i="11"/>
  <c r="H1262" i="11"/>
  <c r="G1262" i="11"/>
  <c r="F1262" i="11"/>
  <c r="Q1262" i="11" s="1"/>
  <c r="E1262" i="11"/>
  <c r="D1262" i="11"/>
  <c r="C1262" i="11"/>
  <c r="B1262" i="11"/>
  <c r="T1262" i="11" s="1"/>
  <c r="A1262" i="11"/>
  <c r="V1261" i="11"/>
  <c r="T1261" i="11"/>
  <c r="Q1261" i="11"/>
  <c r="P1261" i="11"/>
  <c r="M1261" i="11"/>
  <c r="L1261" i="11"/>
  <c r="K1261" i="11"/>
  <c r="J1261" i="11"/>
  <c r="I1261" i="11"/>
  <c r="H1261" i="11"/>
  <c r="G1261" i="11"/>
  <c r="F1261" i="11"/>
  <c r="E1261" i="11"/>
  <c r="D1261" i="11"/>
  <c r="C1261" i="11"/>
  <c r="B1261" i="11"/>
  <c r="A1261" i="11"/>
  <c r="S1261" i="11" s="1"/>
  <c r="T1260" i="11"/>
  <c r="S1260" i="11"/>
  <c r="P1260" i="11"/>
  <c r="M1260" i="11"/>
  <c r="L1260" i="11"/>
  <c r="K1260" i="11"/>
  <c r="J1260" i="11"/>
  <c r="I1260" i="11"/>
  <c r="H1260" i="11"/>
  <c r="G1260" i="11"/>
  <c r="F1260" i="11"/>
  <c r="E1260" i="11"/>
  <c r="D1260" i="11"/>
  <c r="C1260" i="11"/>
  <c r="B1260" i="11"/>
  <c r="A1260" i="11"/>
  <c r="V1259" i="11"/>
  <c r="T1259" i="11"/>
  <c r="P1259" i="11"/>
  <c r="M1259" i="11"/>
  <c r="L1259" i="11"/>
  <c r="K1259" i="11"/>
  <c r="J1259" i="11"/>
  <c r="I1259" i="11"/>
  <c r="H1259" i="11"/>
  <c r="G1259" i="11"/>
  <c r="F1259" i="11"/>
  <c r="Q1259" i="11" s="1"/>
  <c r="E1259" i="11"/>
  <c r="D1259" i="11"/>
  <c r="C1259" i="11"/>
  <c r="B1259" i="11"/>
  <c r="A1259" i="11"/>
  <c r="S1259" i="11" s="1"/>
  <c r="S1258" i="11"/>
  <c r="P1258" i="11"/>
  <c r="M1258" i="11"/>
  <c r="L1258" i="11"/>
  <c r="K1258" i="11"/>
  <c r="J1258" i="11"/>
  <c r="I1258" i="11"/>
  <c r="H1258" i="11"/>
  <c r="G1258" i="11"/>
  <c r="F1258" i="11"/>
  <c r="Q1258" i="11" s="1"/>
  <c r="E1258" i="11"/>
  <c r="D1258" i="11"/>
  <c r="C1258" i="11"/>
  <c r="B1258" i="11"/>
  <c r="T1258" i="11" s="1"/>
  <c r="A1258" i="11"/>
  <c r="V1257" i="11"/>
  <c r="T1257" i="11"/>
  <c r="Q1257" i="11"/>
  <c r="P1257" i="11"/>
  <c r="M1257" i="11"/>
  <c r="L1257" i="11"/>
  <c r="K1257" i="11"/>
  <c r="J1257" i="11"/>
  <c r="I1257" i="11"/>
  <c r="H1257" i="11"/>
  <c r="G1257" i="11"/>
  <c r="F1257" i="11"/>
  <c r="E1257" i="11"/>
  <c r="D1257" i="11"/>
  <c r="C1257" i="11"/>
  <c r="B1257" i="11"/>
  <c r="A1257" i="11"/>
  <c r="S1257" i="11" s="1"/>
  <c r="T1256" i="11"/>
  <c r="S1256" i="11"/>
  <c r="P1256" i="11"/>
  <c r="M1256" i="11"/>
  <c r="L1256" i="11"/>
  <c r="K1256" i="11"/>
  <c r="J1256" i="11"/>
  <c r="I1256" i="11"/>
  <c r="H1256" i="11"/>
  <c r="G1256" i="11"/>
  <c r="F1256" i="11"/>
  <c r="E1256" i="11"/>
  <c r="D1256" i="11"/>
  <c r="C1256" i="11"/>
  <c r="B1256" i="11"/>
  <c r="A1256" i="11"/>
  <c r="V1255" i="11"/>
  <c r="T1255" i="11"/>
  <c r="P1255" i="11"/>
  <c r="M1255" i="11"/>
  <c r="L1255" i="11"/>
  <c r="K1255" i="11"/>
  <c r="J1255" i="11"/>
  <c r="I1255" i="11"/>
  <c r="H1255" i="11"/>
  <c r="G1255" i="11"/>
  <c r="F1255" i="11"/>
  <c r="Q1255" i="11" s="1"/>
  <c r="E1255" i="11"/>
  <c r="D1255" i="11"/>
  <c r="C1255" i="11"/>
  <c r="B1255" i="11"/>
  <c r="A1255" i="11"/>
  <c r="S1255" i="11" s="1"/>
  <c r="S1254" i="11"/>
  <c r="P1254" i="11"/>
  <c r="M1254" i="11"/>
  <c r="L1254" i="11"/>
  <c r="K1254" i="11"/>
  <c r="J1254" i="11"/>
  <c r="I1254" i="11"/>
  <c r="H1254" i="11"/>
  <c r="G1254" i="11"/>
  <c r="F1254" i="11"/>
  <c r="Q1254" i="11" s="1"/>
  <c r="E1254" i="11"/>
  <c r="D1254" i="11"/>
  <c r="C1254" i="11"/>
  <c r="B1254" i="11"/>
  <c r="T1254" i="11" s="1"/>
  <c r="A1254" i="11"/>
  <c r="V1253" i="11"/>
  <c r="T1253" i="11"/>
  <c r="Q1253" i="11"/>
  <c r="P1253" i="11"/>
  <c r="M1253" i="11"/>
  <c r="L1253" i="11"/>
  <c r="K1253" i="11"/>
  <c r="J1253" i="11"/>
  <c r="I1253" i="11"/>
  <c r="H1253" i="11"/>
  <c r="G1253" i="11"/>
  <c r="F1253" i="11"/>
  <c r="E1253" i="11"/>
  <c r="D1253" i="11"/>
  <c r="C1253" i="11"/>
  <c r="B1253" i="11"/>
  <c r="A1253" i="11"/>
  <c r="S1253" i="11" s="1"/>
  <c r="S1252" i="11"/>
  <c r="P1252" i="11"/>
  <c r="M1252" i="11"/>
  <c r="L1252" i="11"/>
  <c r="K1252" i="11"/>
  <c r="J1252" i="11"/>
  <c r="I1252" i="11"/>
  <c r="H1252" i="11"/>
  <c r="G1252" i="11"/>
  <c r="F1252" i="11"/>
  <c r="E1252" i="11"/>
  <c r="D1252" i="11"/>
  <c r="C1252" i="11"/>
  <c r="B1252" i="11"/>
  <c r="T1252" i="11" s="1"/>
  <c r="A1252" i="11"/>
  <c r="V1251" i="11"/>
  <c r="T1251" i="11"/>
  <c r="P1251" i="11"/>
  <c r="M1251" i="11"/>
  <c r="L1251" i="11"/>
  <c r="K1251" i="11"/>
  <c r="J1251" i="11"/>
  <c r="I1251" i="11"/>
  <c r="H1251" i="11"/>
  <c r="G1251" i="11"/>
  <c r="F1251" i="11"/>
  <c r="Q1251" i="11" s="1"/>
  <c r="E1251" i="11"/>
  <c r="D1251" i="11"/>
  <c r="C1251" i="11"/>
  <c r="B1251" i="11"/>
  <c r="A1251" i="11"/>
  <c r="S1251" i="11" s="1"/>
  <c r="S1250" i="11"/>
  <c r="P1250" i="11"/>
  <c r="M1250" i="11"/>
  <c r="L1250" i="11"/>
  <c r="K1250" i="11"/>
  <c r="J1250" i="11"/>
  <c r="I1250" i="11"/>
  <c r="H1250" i="11"/>
  <c r="G1250" i="11"/>
  <c r="F1250" i="11"/>
  <c r="Q1250" i="11" s="1"/>
  <c r="E1250" i="11"/>
  <c r="D1250" i="11"/>
  <c r="C1250" i="11"/>
  <c r="B1250" i="11"/>
  <c r="T1250" i="11" s="1"/>
  <c r="A1250" i="11"/>
  <c r="V1249" i="11"/>
  <c r="T1249" i="11"/>
  <c r="Q1249" i="11"/>
  <c r="P1249" i="11"/>
  <c r="M1249" i="11"/>
  <c r="L1249" i="11"/>
  <c r="K1249" i="11"/>
  <c r="J1249" i="11"/>
  <c r="I1249" i="11"/>
  <c r="H1249" i="11"/>
  <c r="G1249" i="11"/>
  <c r="F1249" i="11"/>
  <c r="E1249" i="11"/>
  <c r="D1249" i="11"/>
  <c r="C1249" i="11"/>
  <c r="B1249" i="11"/>
  <c r="A1249" i="11"/>
  <c r="S1249" i="11" s="1"/>
  <c r="S1248" i="11"/>
  <c r="P1248" i="11"/>
  <c r="M1248" i="11"/>
  <c r="L1248" i="11"/>
  <c r="K1248" i="11"/>
  <c r="J1248" i="11"/>
  <c r="I1248" i="11"/>
  <c r="H1248" i="11"/>
  <c r="G1248" i="11"/>
  <c r="F1248" i="11"/>
  <c r="E1248" i="11"/>
  <c r="D1248" i="11"/>
  <c r="C1248" i="11"/>
  <c r="B1248" i="11"/>
  <c r="T1248" i="11" s="1"/>
  <c r="A1248" i="11"/>
  <c r="V1247" i="11"/>
  <c r="T1247" i="11"/>
  <c r="P1247" i="11"/>
  <c r="M1247" i="11"/>
  <c r="L1247" i="11"/>
  <c r="K1247" i="11"/>
  <c r="J1247" i="11"/>
  <c r="I1247" i="11"/>
  <c r="H1247" i="11"/>
  <c r="G1247" i="11"/>
  <c r="F1247" i="11"/>
  <c r="Q1247" i="11" s="1"/>
  <c r="E1247" i="11"/>
  <c r="D1247" i="11"/>
  <c r="C1247" i="11"/>
  <c r="B1247" i="11"/>
  <c r="A1247" i="11"/>
  <c r="S1247" i="11" s="1"/>
  <c r="S1246" i="11"/>
  <c r="P1246" i="11"/>
  <c r="M1246" i="11"/>
  <c r="L1246" i="11"/>
  <c r="K1246" i="11"/>
  <c r="J1246" i="11"/>
  <c r="I1246" i="11"/>
  <c r="H1246" i="11"/>
  <c r="G1246" i="11"/>
  <c r="F1246" i="11"/>
  <c r="Q1246" i="11" s="1"/>
  <c r="E1246" i="11"/>
  <c r="D1246" i="11"/>
  <c r="C1246" i="11"/>
  <c r="B1246" i="11"/>
  <c r="T1246" i="11" s="1"/>
  <c r="A1246" i="11"/>
  <c r="V1245" i="11"/>
  <c r="T1245" i="11"/>
  <c r="Q1245" i="11"/>
  <c r="P1245" i="11"/>
  <c r="M1245" i="11"/>
  <c r="L1245" i="11"/>
  <c r="K1245" i="11"/>
  <c r="J1245" i="11"/>
  <c r="I1245" i="11"/>
  <c r="H1245" i="11"/>
  <c r="G1245" i="11"/>
  <c r="F1245" i="11"/>
  <c r="E1245" i="11"/>
  <c r="D1245" i="11"/>
  <c r="C1245" i="11"/>
  <c r="B1245" i="11"/>
  <c r="A1245" i="11"/>
  <c r="S1245" i="11" s="1"/>
  <c r="T1244" i="11"/>
  <c r="S1244" i="11"/>
  <c r="P1244" i="11"/>
  <c r="M1244" i="11"/>
  <c r="L1244" i="11"/>
  <c r="K1244" i="11"/>
  <c r="J1244" i="11"/>
  <c r="I1244" i="11"/>
  <c r="H1244" i="11"/>
  <c r="G1244" i="11"/>
  <c r="F1244" i="11"/>
  <c r="E1244" i="11"/>
  <c r="D1244" i="11"/>
  <c r="C1244" i="11"/>
  <c r="B1244" i="11"/>
  <c r="A1244" i="11"/>
  <c r="V1243" i="11"/>
  <c r="T1243" i="11"/>
  <c r="P1243" i="11"/>
  <c r="M1243" i="11"/>
  <c r="L1243" i="11"/>
  <c r="K1243" i="11"/>
  <c r="J1243" i="11"/>
  <c r="I1243" i="11"/>
  <c r="H1243" i="11"/>
  <c r="G1243" i="11"/>
  <c r="F1243" i="11"/>
  <c r="Q1243" i="11" s="1"/>
  <c r="E1243" i="11"/>
  <c r="D1243" i="11"/>
  <c r="C1243" i="11"/>
  <c r="B1243" i="11"/>
  <c r="A1243" i="11"/>
  <c r="S1243" i="11" s="1"/>
  <c r="S1242" i="11"/>
  <c r="P1242" i="11"/>
  <c r="M1242" i="11"/>
  <c r="L1242" i="11"/>
  <c r="K1242" i="11"/>
  <c r="J1242" i="11"/>
  <c r="I1242" i="11"/>
  <c r="H1242" i="11"/>
  <c r="G1242" i="11"/>
  <c r="F1242" i="11"/>
  <c r="Q1242" i="11" s="1"/>
  <c r="E1242" i="11"/>
  <c r="D1242" i="11"/>
  <c r="C1242" i="11"/>
  <c r="B1242" i="11"/>
  <c r="T1242" i="11" s="1"/>
  <c r="A1242" i="11"/>
  <c r="V1241" i="11"/>
  <c r="T1241" i="11"/>
  <c r="Q1241" i="11"/>
  <c r="P1241" i="11"/>
  <c r="M1241" i="11"/>
  <c r="L1241" i="11"/>
  <c r="K1241" i="11"/>
  <c r="J1241" i="11"/>
  <c r="I1241" i="11"/>
  <c r="H1241" i="11"/>
  <c r="G1241" i="11"/>
  <c r="F1241" i="11"/>
  <c r="E1241" i="11"/>
  <c r="D1241" i="11"/>
  <c r="C1241" i="11"/>
  <c r="B1241" i="11"/>
  <c r="A1241" i="11"/>
  <c r="S1241" i="11" s="1"/>
  <c r="T1240" i="11"/>
  <c r="S1240" i="11"/>
  <c r="P1240" i="11"/>
  <c r="M1240" i="11"/>
  <c r="L1240" i="11"/>
  <c r="K1240" i="11"/>
  <c r="J1240" i="11"/>
  <c r="I1240" i="11"/>
  <c r="H1240" i="11"/>
  <c r="G1240" i="11"/>
  <c r="F1240" i="11"/>
  <c r="E1240" i="11"/>
  <c r="D1240" i="11"/>
  <c r="C1240" i="11"/>
  <c r="B1240" i="11"/>
  <c r="A1240" i="11"/>
  <c r="V1239" i="11"/>
  <c r="T1239" i="11"/>
  <c r="P1239" i="11"/>
  <c r="M1239" i="11"/>
  <c r="L1239" i="11"/>
  <c r="K1239" i="11"/>
  <c r="J1239" i="11"/>
  <c r="I1239" i="11"/>
  <c r="H1239" i="11"/>
  <c r="G1239" i="11"/>
  <c r="F1239" i="11"/>
  <c r="Q1239" i="11" s="1"/>
  <c r="E1239" i="11"/>
  <c r="D1239" i="11"/>
  <c r="C1239" i="11"/>
  <c r="B1239" i="11"/>
  <c r="A1239" i="11"/>
  <c r="S1239" i="11" s="1"/>
  <c r="S1238" i="11"/>
  <c r="P1238" i="11"/>
  <c r="M1238" i="11"/>
  <c r="L1238" i="11"/>
  <c r="K1238" i="11"/>
  <c r="J1238" i="11"/>
  <c r="I1238" i="11"/>
  <c r="H1238" i="11"/>
  <c r="G1238" i="11"/>
  <c r="F1238" i="11"/>
  <c r="Q1238" i="11" s="1"/>
  <c r="E1238" i="11"/>
  <c r="D1238" i="11"/>
  <c r="C1238" i="11"/>
  <c r="B1238" i="11"/>
  <c r="T1238" i="11" s="1"/>
  <c r="A1238" i="11"/>
  <c r="V1237" i="11"/>
  <c r="T1237" i="11"/>
  <c r="Q1237" i="11"/>
  <c r="P1237" i="11"/>
  <c r="M1237" i="11"/>
  <c r="L1237" i="11"/>
  <c r="K1237" i="11"/>
  <c r="J1237" i="11"/>
  <c r="I1237" i="11"/>
  <c r="H1237" i="11"/>
  <c r="G1237" i="11"/>
  <c r="F1237" i="11"/>
  <c r="E1237" i="11"/>
  <c r="D1237" i="11"/>
  <c r="C1237" i="11"/>
  <c r="B1237" i="11"/>
  <c r="A1237" i="11"/>
  <c r="S1237" i="11" s="1"/>
  <c r="S1236" i="11"/>
  <c r="P1236" i="11"/>
  <c r="M1236" i="11"/>
  <c r="L1236" i="11"/>
  <c r="K1236" i="11"/>
  <c r="J1236" i="11"/>
  <c r="I1236" i="11"/>
  <c r="H1236" i="11"/>
  <c r="G1236" i="11"/>
  <c r="F1236" i="11"/>
  <c r="E1236" i="11"/>
  <c r="D1236" i="11"/>
  <c r="C1236" i="11"/>
  <c r="B1236" i="11"/>
  <c r="T1236" i="11" s="1"/>
  <c r="A1236" i="11"/>
  <c r="V1235" i="11"/>
  <c r="T1235" i="11"/>
  <c r="P1235" i="11"/>
  <c r="M1235" i="11"/>
  <c r="L1235" i="11"/>
  <c r="K1235" i="11"/>
  <c r="J1235" i="11"/>
  <c r="I1235" i="11"/>
  <c r="H1235" i="11"/>
  <c r="G1235" i="11"/>
  <c r="F1235" i="11"/>
  <c r="Q1235" i="11" s="1"/>
  <c r="E1235" i="11"/>
  <c r="D1235" i="11"/>
  <c r="C1235" i="11"/>
  <c r="B1235" i="11"/>
  <c r="A1235" i="11"/>
  <c r="S1235" i="11" s="1"/>
  <c r="S1234" i="11"/>
  <c r="P1234" i="11"/>
  <c r="M1234" i="11"/>
  <c r="L1234" i="11"/>
  <c r="K1234" i="11"/>
  <c r="J1234" i="11"/>
  <c r="I1234" i="11"/>
  <c r="H1234" i="11"/>
  <c r="G1234" i="11"/>
  <c r="F1234" i="11"/>
  <c r="Q1234" i="11" s="1"/>
  <c r="E1234" i="11"/>
  <c r="D1234" i="11"/>
  <c r="C1234" i="11"/>
  <c r="B1234" i="11"/>
  <c r="T1234" i="11" s="1"/>
  <c r="A1234" i="11"/>
  <c r="V1233" i="11"/>
  <c r="T1233" i="11"/>
  <c r="Q1233" i="11"/>
  <c r="P1233" i="11"/>
  <c r="M1233" i="11"/>
  <c r="L1233" i="11"/>
  <c r="K1233" i="11"/>
  <c r="J1233" i="11"/>
  <c r="I1233" i="11"/>
  <c r="H1233" i="11"/>
  <c r="G1233" i="11"/>
  <c r="F1233" i="11"/>
  <c r="E1233" i="11"/>
  <c r="D1233" i="11"/>
  <c r="C1233" i="11"/>
  <c r="B1233" i="11"/>
  <c r="A1233" i="11"/>
  <c r="S1233" i="11" s="1"/>
  <c r="S1232" i="11"/>
  <c r="P1232" i="11"/>
  <c r="M1232" i="11"/>
  <c r="L1232" i="11"/>
  <c r="K1232" i="11"/>
  <c r="J1232" i="11"/>
  <c r="I1232" i="11"/>
  <c r="H1232" i="11"/>
  <c r="G1232" i="11"/>
  <c r="F1232" i="11"/>
  <c r="E1232" i="11"/>
  <c r="D1232" i="11"/>
  <c r="C1232" i="11"/>
  <c r="B1232" i="11"/>
  <c r="T1232" i="11" s="1"/>
  <c r="A1232" i="11"/>
  <c r="V1231" i="11"/>
  <c r="T1231" i="11"/>
  <c r="P1231" i="11"/>
  <c r="M1231" i="11"/>
  <c r="L1231" i="11"/>
  <c r="K1231" i="11"/>
  <c r="J1231" i="11"/>
  <c r="I1231" i="11"/>
  <c r="H1231" i="11"/>
  <c r="G1231" i="11"/>
  <c r="F1231" i="11"/>
  <c r="Q1231" i="11" s="1"/>
  <c r="E1231" i="11"/>
  <c r="D1231" i="11"/>
  <c r="C1231" i="11"/>
  <c r="B1231" i="11"/>
  <c r="A1231" i="11"/>
  <c r="S1231" i="11" s="1"/>
  <c r="S1230" i="11"/>
  <c r="P1230" i="11"/>
  <c r="M1230" i="11"/>
  <c r="L1230" i="11"/>
  <c r="K1230" i="11"/>
  <c r="J1230" i="11"/>
  <c r="I1230" i="11"/>
  <c r="H1230" i="11"/>
  <c r="G1230" i="11"/>
  <c r="F1230" i="11"/>
  <c r="Q1230" i="11" s="1"/>
  <c r="E1230" i="11"/>
  <c r="D1230" i="11"/>
  <c r="C1230" i="11"/>
  <c r="B1230" i="11"/>
  <c r="T1230" i="11" s="1"/>
  <c r="A1230" i="11"/>
  <c r="V1229" i="11"/>
  <c r="T1229" i="11"/>
  <c r="Q1229" i="11"/>
  <c r="P1229" i="11"/>
  <c r="M1229" i="11"/>
  <c r="L1229" i="11"/>
  <c r="K1229" i="11"/>
  <c r="J1229" i="11"/>
  <c r="I1229" i="11"/>
  <c r="H1229" i="11"/>
  <c r="G1229" i="11"/>
  <c r="F1229" i="11"/>
  <c r="E1229" i="11"/>
  <c r="D1229" i="11"/>
  <c r="C1229" i="11"/>
  <c r="B1229" i="11"/>
  <c r="A1229" i="11"/>
  <c r="S1229" i="11" s="1"/>
  <c r="T1228" i="11"/>
  <c r="S1228" i="11"/>
  <c r="P1228" i="11"/>
  <c r="M1228" i="11"/>
  <c r="L1228" i="11"/>
  <c r="K1228" i="11"/>
  <c r="J1228" i="11"/>
  <c r="I1228" i="11"/>
  <c r="H1228" i="11"/>
  <c r="G1228" i="11"/>
  <c r="F1228" i="11"/>
  <c r="E1228" i="11"/>
  <c r="D1228" i="11"/>
  <c r="C1228" i="11"/>
  <c r="B1228" i="11"/>
  <c r="A1228" i="11"/>
  <c r="T1227" i="11"/>
  <c r="M1227" i="11"/>
  <c r="L1227" i="11"/>
  <c r="K1227" i="11"/>
  <c r="J1227" i="11"/>
  <c r="I1227" i="11"/>
  <c r="H1227" i="11"/>
  <c r="G1227" i="11"/>
  <c r="F1227" i="11"/>
  <c r="Q1227" i="11" s="1"/>
  <c r="E1227" i="11"/>
  <c r="D1227" i="11"/>
  <c r="C1227" i="11"/>
  <c r="B1227" i="11"/>
  <c r="A1227" i="11"/>
  <c r="S1227" i="11" s="1"/>
  <c r="T1226" i="11"/>
  <c r="S1226" i="11"/>
  <c r="P1226" i="11"/>
  <c r="M1226" i="11"/>
  <c r="L1226" i="11"/>
  <c r="K1226" i="11"/>
  <c r="J1226" i="11"/>
  <c r="I1226" i="11"/>
  <c r="H1226" i="11"/>
  <c r="G1226" i="11"/>
  <c r="F1226" i="11"/>
  <c r="Q1226" i="11" s="1"/>
  <c r="E1226" i="11"/>
  <c r="D1226" i="11"/>
  <c r="C1226" i="11"/>
  <c r="B1226" i="11"/>
  <c r="A1226" i="11"/>
  <c r="M1225" i="11"/>
  <c r="L1225" i="11"/>
  <c r="K1225" i="11"/>
  <c r="J1225" i="11"/>
  <c r="I1225" i="11"/>
  <c r="H1225" i="11"/>
  <c r="G1225" i="11"/>
  <c r="F1225" i="11"/>
  <c r="Q1225" i="11" s="1"/>
  <c r="E1225" i="11"/>
  <c r="D1225" i="11"/>
  <c r="C1225" i="11"/>
  <c r="B1225" i="11"/>
  <c r="T1225" i="11" s="1"/>
  <c r="A1225" i="11"/>
  <c r="S1225" i="11" s="1"/>
  <c r="T1224" i="11"/>
  <c r="S1224" i="11"/>
  <c r="P1224" i="11"/>
  <c r="M1224" i="11"/>
  <c r="L1224" i="11"/>
  <c r="K1224" i="11"/>
  <c r="J1224" i="11"/>
  <c r="I1224" i="11"/>
  <c r="H1224" i="11"/>
  <c r="G1224" i="11"/>
  <c r="F1224" i="11"/>
  <c r="Q1224" i="11" s="1"/>
  <c r="E1224" i="11"/>
  <c r="D1224" i="11"/>
  <c r="C1224" i="11"/>
  <c r="B1224" i="11"/>
  <c r="A1224" i="11"/>
  <c r="M1223" i="11"/>
  <c r="L1223" i="11"/>
  <c r="K1223" i="11"/>
  <c r="J1223" i="11"/>
  <c r="I1223" i="11"/>
  <c r="H1223" i="11"/>
  <c r="G1223" i="11"/>
  <c r="F1223" i="11"/>
  <c r="Q1223" i="11" s="1"/>
  <c r="E1223" i="11"/>
  <c r="D1223" i="11"/>
  <c r="C1223" i="11"/>
  <c r="B1223" i="11"/>
  <c r="T1223" i="11" s="1"/>
  <c r="A1223" i="11"/>
  <c r="S1223" i="11" s="1"/>
  <c r="T1222" i="11"/>
  <c r="S1222" i="11"/>
  <c r="P1222" i="11"/>
  <c r="M1222" i="11"/>
  <c r="L1222" i="11"/>
  <c r="K1222" i="11"/>
  <c r="J1222" i="11"/>
  <c r="I1222" i="11"/>
  <c r="H1222" i="11"/>
  <c r="G1222" i="11"/>
  <c r="F1222" i="11"/>
  <c r="Q1222" i="11" s="1"/>
  <c r="E1222" i="11"/>
  <c r="D1222" i="11"/>
  <c r="C1222" i="11"/>
  <c r="B1222" i="11"/>
  <c r="A1222" i="11"/>
  <c r="M1221" i="11"/>
  <c r="L1221" i="11"/>
  <c r="K1221" i="11"/>
  <c r="J1221" i="11"/>
  <c r="I1221" i="11"/>
  <c r="H1221" i="11"/>
  <c r="G1221" i="11"/>
  <c r="F1221" i="11"/>
  <c r="Q1221" i="11" s="1"/>
  <c r="E1221" i="11"/>
  <c r="D1221" i="11"/>
  <c r="C1221" i="11"/>
  <c r="B1221" i="11"/>
  <c r="T1221" i="11" s="1"/>
  <c r="A1221" i="11"/>
  <c r="S1221" i="11" s="1"/>
  <c r="T1220" i="11"/>
  <c r="S1220" i="11"/>
  <c r="P1220" i="11"/>
  <c r="M1220" i="11"/>
  <c r="L1220" i="11"/>
  <c r="K1220" i="11"/>
  <c r="J1220" i="11"/>
  <c r="I1220" i="11"/>
  <c r="H1220" i="11"/>
  <c r="G1220" i="11"/>
  <c r="F1220" i="11"/>
  <c r="Q1220" i="11" s="1"/>
  <c r="E1220" i="11"/>
  <c r="D1220" i="11"/>
  <c r="C1220" i="11"/>
  <c r="B1220" i="11"/>
  <c r="A1220" i="11"/>
  <c r="M1219" i="11"/>
  <c r="L1219" i="11"/>
  <c r="K1219" i="11"/>
  <c r="J1219" i="11"/>
  <c r="I1219" i="11"/>
  <c r="H1219" i="11"/>
  <c r="G1219" i="11"/>
  <c r="F1219" i="11"/>
  <c r="Q1219" i="11" s="1"/>
  <c r="E1219" i="11"/>
  <c r="D1219" i="11"/>
  <c r="C1219" i="11"/>
  <c r="B1219" i="11"/>
  <c r="T1219" i="11" s="1"/>
  <c r="A1219" i="11"/>
  <c r="S1219" i="11" s="1"/>
  <c r="T1218" i="11"/>
  <c r="S1218" i="11"/>
  <c r="P1218" i="11"/>
  <c r="M1218" i="11"/>
  <c r="L1218" i="11"/>
  <c r="K1218" i="11"/>
  <c r="J1218" i="11"/>
  <c r="I1218" i="11"/>
  <c r="H1218" i="11"/>
  <c r="G1218" i="11"/>
  <c r="F1218" i="11"/>
  <c r="Q1218" i="11" s="1"/>
  <c r="E1218" i="11"/>
  <c r="D1218" i="11"/>
  <c r="C1218" i="11"/>
  <c r="B1218" i="11"/>
  <c r="A1218" i="11"/>
  <c r="M1217" i="11"/>
  <c r="L1217" i="11"/>
  <c r="K1217" i="11"/>
  <c r="J1217" i="11"/>
  <c r="I1217" i="11"/>
  <c r="H1217" i="11"/>
  <c r="G1217" i="11"/>
  <c r="F1217" i="11"/>
  <c r="Q1217" i="11" s="1"/>
  <c r="E1217" i="11"/>
  <c r="D1217" i="11"/>
  <c r="C1217" i="11"/>
  <c r="B1217" i="11"/>
  <c r="T1217" i="11" s="1"/>
  <c r="A1217" i="11"/>
  <c r="S1217" i="11" s="1"/>
  <c r="T1216" i="11"/>
  <c r="S1216" i="11"/>
  <c r="P1216" i="11"/>
  <c r="M1216" i="11"/>
  <c r="L1216" i="11"/>
  <c r="K1216" i="11"/>
  <c r="J1216" i="11"/>
  <c r="I1216" i="11"/>
  <c r="H1216" i="11"/>
  <c r="G1216" i="11"/>
  <c r="F1216" i="11"/>
  <c r="Q1216" i="11" s="1"/>
  <c r="E1216" i="11"/>
  <c r="D1216" i="11"/>
  <c r="C1216" i="11"/>
  <c r="B1216" i="11"/>
  <c r="A1216" i="11"/>
  <c r="M1215" i="11"/>
  <c r="L1215" i="11"/>
  <c r="K1215" i="11"/>
  <c r="J1215" i="11"/>
  <c r="I1215" i="11"/>
  <c r="H1215" i="11"/>
  <c r="G1215" i="11"/>
  <c r="F1215" i="11"/>
  <c r="Q1215" i="11" s="1"/>
  <c r="E1215" i="11"/>
  <c r="D1215" i="11"/>
  <c r="C1215" i="11"/>
  <c r="B1215" i="11"/>
  <c r="T1215" i="11" s="1"/>
  <c r="A1215" i="11"/>
  <c r="S1215" i="11" s="1"/>
  <c r="T1214" i="11"/>
  <c r="S1214" i="11"/>
  <c r="P1214" i="11"/>
  <c r="M1214" i="11"/>
  <c r="L1214" i="11"/>
  <c r="K1214" i="11"/>
  <c r="J1214" i="11"/>
  <c r="I1214" i="11"/>
  <c r="H1214" i="11"/>
  <c r="G1214" i="11"/>
  <c r="F1214" i="11"/>
  <c r="Q1214" i="11" s="1"/>
  <c r="E1214" i="11"/>
  <c r="D1214" i="11"/>
  <c r="C1214" i="11"/>
  <c r="B1214" i="11"/>
  <c r="A1214" i="11"/>
  <c r="M1213" i="11"/>
  <c r="L1213" i="11"/>
  <c r="K1213" i="11"/>
  <c r="J1213" i="11"/>
  <c r="I1213" i="11"/>
  <c r="H1213" i="11"/>
  <c r="G1213" i="11"/>
  <c r="F1213" i="11"/>
  <c r="Q1213" i="11" s="1"/>
  <c r="E1213" i="11"/>
  <c r="D1213" i="11"/>
  <c r="C1213" i="11"/>
  <c r="B1213" i="11"/>
  <c r="T1213" i="11" s="1"/>
  <c r="A1213" i="11"/>
  <c r="S1213" i="11" s="1"/>
  <c r="T1212" i="11"/>
  <c r="S1212" i="11"/>
  <c r="P1212" i="11"/>
  <c r="M1212" i="11"/>
  <c r="L1212" i="11"/>
  <c r="K1212" i="11"/>
  <c r="J1212" i="11"/>
  <c r="I1212" i="11"/>
  <c r="H1212" i="11"/>
  <c r="G1212" i="11"/>
  <c r="F1212" i="11"/>
  <c r="Q1212" i="11" s="1"/>
  <c r="E1212" i="11"/>
  <c r="D1212" i="11"/>
  <c r="C1212" i="11"/>
  <c r="B1212" i="11"/>
  <c r="A1212" i="11"/>
  <c r="M1211" i="11"/>
  <c r="L1211" i="11"/>
  <c r="K1211" i="11"/>
  <c r="J1211" i="11"/>
  <c r="I1211" i="11"/>
  <c r="H1211" i="11"/>
  <c r="G1211" i="11"/>
  <c r="F1211" i="11"/>
  <c r="Q1211" i="11" s="1"/>
  <c r="E1211" i="11"/>
  <c r="D1211" i="11"/>
  <c r="C1211" i="11"/>
  <c r="B1211" i="11"/>
  <c r="T1211" i="11" s="1"/>
  <c r="A1211" i="11"/>
  <c r="S1211" i="11" s="1"/>
  <c r="T1210" i="11"/>
  <c r="S1210" i="11"/>
  <c r="P1210" i="11"/>
  <c r="M1210" i="11"/>
  <c r="L1210" i="11"/>
  <c r="K1210" i="11"/>
  <c r="J1210" i="11"/>
  <c r="I1210" i="11"/>
  <c r="H1210" i="11"/>
  <c r="G1210" i="11"/>
  <c r="F1210" i="11"/>
  <c r="Q1210" i="11" s="1"/>
  <c r="E1210" i="11"/>
  <c r="D1210" i="11"/>
  <c r="C1210" i="11"/>
  <c r="B1210" i="11"/>
  <c r="A1210" i="11"/>
  <c r="M1209" i="11"/>
  <c r="L1209" i="11"/>
  <c r="K1209" i="11"/>
  <c r="J1209" i="11"/>
  <c r="I1209" i="11"/>
  <c r="H1209" i="11"/>
  <c r="G1209" i="11"/>
  <c r="F1209" i="11"/>
  <c r="Q1209" i="11" s="1"/>
  <c r="E1209" i="11"/>
  <c r="D1209" i="11"/>
  <c r="C1209" i="11"/>
  <c r="B1209" i="11"/>
  <c r="T1209" i="11" s="1"/>
  <c r="A1209" i="11"/>
  <c r="S1209" i="11" s="1"/>
  <c r="T1208" i="11"/>
  <c r="S1208" i="11"/>
  <c r="P1208" i="11"/>
  <c r="M1208" i="11"/>
  <c r="L1208" i="11"/>
  <c r="K1208" i="11"/>
  <c r="J1208" i="11"/>
  <c r="I1208" i="11"/>
  <c r="H1208" i="11"/>
  <c r="G1208" i="11"/>
  <c r="F1208" i="11"/>
  <c r="Q1208" i="11" s="1"/>
  <c r="E1208" i="11"/>
  <c r="D1208" i="11"/>
  <c r="C1208" i="11"/>
  <c r="B1208" i="11"/>
  <c r="A1208" i="11"/>
  <c r="M1207" i="11"/>
  <c r="L1207" i="11"/>
  <c r="K1207" i="11"/>
  <c r="J1207" i="11"/>
  <c r="I1207" i="11"/>
  <c r="H1207" i="11"/>
  <c r="G1207" i="11"/>
  <c r="F1207" i="11"/>
  <c r="Q1207" i="11" s="1"/>
  <c r="E1207" i="11"/>
  <c r="D1207" i="11"/>
  <c r="C1207" i="11"/>
  <c r="B1207" i="11"/>
  <c r="T1207" i="11" s="1"/>
  <c r="A1207" i="11"/>
  <c r="S1207" i="11" s="1"/>
  <c r="T1206" i="11"/>
  <c r="S1206" i="11"/>
  <c r="P1206" i="11"/>
  <c r="M1206" i="11"/>
  <c r="L1206" i="11"/>
  <c r="K1206" i="11"/>
  <c r="J1206" i="11"/>
  <c r="I1206" i="11"/>
  <c r="H1206" i="11"/>
  <c r="G1206" i="11"/>
  <c r="F1206" i="11"/>
  <c r="Q1206" i="11" s="1"/>
  <c r="E1206" i="11"/>
  <c r="D1206" i="11"/>
  <c r="C1206" i="11"/>
  <c r="B1206" i="11"/>
  <c r="A1206" i="11"/>
  <c r="M1205" i="11"/>
  <c r="L1205" i="11"/>
  <c r="K1205" i="11"/>
  <c r="J1205" i="11"/>
  <c r="I1205" i="11"/>
  <c r="H1205" i="11"/>
  <c r="G1205" i="11"/>
  <c r="F1205" i="11"/>
  <c r="Q1205" i="11" s="1"/>
  <c r="E1205" i="11"/>
  <c r="D1205" i="11"/>
  <c r="C1205" i="11"/>
  <c r="B1205" i="11"/>
  <c r="T1205" i="11" s="1"/>
  <c r="A1205" i="11"/>
  <c r="S1205" i="11" s="1"/>
  <c r="T1204" i="11"/>
  <c r="S1204" i="11"/>
  <c r="P1204" i="11"/>
  <c r="M1204" i="11"/>
  <c r="L1204" i="11"/>
  <c r="K1204" i="11"/>
  <c r="J1204" i="11"/>
  <c r="I1204" i="11"/>
  <c r="H1204" i="11"/>
  <c r="G1204" i="11"/>
  <c r="F1204" i="11"/>
  <c r="Q1204" i="11" s="1"/>
  <c r="E1204" i="11"/>
  <c r="D1204" i="11"/>
  <c r="C1204" i="11"/>
  <c r="B1204" i="11"/>
  <c r="A1204" i="11"/>
  <c r="M1203" i="11"/>
  <c r="L1203" i="11"/>
  <c r="K1203" i="11"/>
  <c r="J1203" i="11"/>
  <c r="I1203" i="11"/>
  <c r="H1203" i="11"/>
  <c r="G1203" i="11"/>
  <c r="F1203" i="11"/>
  <c r="Q1203" i="11" s="1"/>
  <c r="E1203" i="11"/>
  <c r="D1203" i="11"/>
  <c r="C1203" i="11"/>
  <c r="B1203" i="11"/>
  <c r="T1203" i="11" s="1"/>
  <c r="A1203" i="11"/>
  <c r="S1203" i="11" s="1"/>
  <c r="T1202" i="11"/>
  <c r="S1202" i="11"/>
  <c r="P1202" i="11"/>
  <c r="M1202" i="11"/>
  <c r="L1202" i="11"/>
  <c r="K1202" i="11"/>
  <c r="J1202" i="11"/>
  <c r="I1202" i="11"/>
  <c r="H1202" i="11"/>
  <c r="G1202" i="11"/>
  <c r="F1202" i="11"/>
  <c r="Q1202" i="11" s="1"/>
  <c r="E1202" i="11"/>
  <c r="D1202" i="11"/>
  <c r="C1202" i="11"/>
  <c r="B1202" i="11"/>
  <c r="A1202" i="11"/>
  <c r="M1201" i="11"/>
  <c r="L1201" i="11"/>
  <c r="K1201" i="11"/>
  <c r="J1201" i="11"/>
  <c r="I1201" i="11"/>
  <c r="H1201" i="11"/>
  <c r="G1201" i="11"/>
  <c r="F1201" i="11"/>
  <c r="Q1201" i="11" s="1"/>
  <c r="E1201" i="11"/>
  <c r="D1201" i="11"/>
  <c r="C1201" i="11"/>
  <c r="B1201" i="11"/>
  <c r="T1201" i="11" s="1"/>
  <c r="A1201" i="11"/>
  <c r="S1201" i="11" s="1"/>
  <c r="T1200" i="11"/>
  <c r="S1200" i="11"/>
  <c r="P1200" i="11"/>
  <c r="M1200" i="11"/>
  <c r="L1200" i="11"/>
  <c r="K1200" i="11"/>
  <c r="J1200" i="11"/>
  <c r="I1200" i="11"/>
  <c r="H1200" i="11"/>
  <c r="G1200" i="11"/>
  <c r="F1200" i="11"/>
  <c r="Q1200" i="11" s="1"/>
  <c r="E1200" i="11"/>
  <c r="D1200" i="11"/>
  <c r="C1200" i="11"/>
  <c r="B1200" i="11"/>
  <c r="A1200" i="11"/>
  <c r="M1199" i="11"/>
  <c r="L1199" i="11"/>
  <c r="K1199" i="11"/>
  <c r="J1199" i="11"/>
  <c r="I1199" i="11"/>
  <c r="H1199" i="11"/>
  <c r="G1199" i="11"/>
  <c r="F1199" i="11"/>
  <c r="Q1199" i="11" s="1"/>
  <c r="E1199" i="11"/>
  <c r="D1199" i="11"/>
  <c r="C1199" i="11"/>
  <c r="B1199" i="11"/>
  <c r="T1199" i="11" s="1"/>
  <c r="A1199" i="11"/>
  <c r="S1199" i="11" s="1"/>
  <c r="T1198" i="11"/>
  <c r="S1198" i="11"/>
  <c r="P1198" i="11"/>
  <c r="M1198" i="11"/>
  <c r="L1198" i="11"/>
  <c r="K1198" i="11"/>
  <c r="J1198" i="11"/>
  <c r="I1198" i="11"/>
  <c r="H1198" i="11"/>
  <c r="G1198" i="11"/>
  <c r="F1198" i="11"/>
  <c r="Q1198" i="11" s="1"/>
  <c r="E1198" i="11"/>
  <c r="D1198" i="11"/>
  <c r="C1198" i="11"/>
  <c r="B1198" i="11"/>
  <c r="A1198" i="11"/>
  <c r="M1197" i="11"/>
  <c r="L1197" i="11"/>
  <c r="K1197" i="11"/>
  <c r="J1197" i="11"/>
  <c r="I1197" i="11"/>
  <c r="H1197" i="11"/>
  <c r="G1197" i="11"/>
  <c r="F1197" i="11"/>
  <c r="Q1197" i="11" s="1"/>
  <c r="E1197" i="11"/>
  <c r="D1197" i="11"/>
  <c r="C1197" i="11"/>
  <c r="B1197" i="11"/>
  <c r="T1197" i="11" s="1"/>
  <c r="A1197" i="11"/>
  <c r="S1197" i="11" s="1"/>
  <c r="T1196" i="11"/>
  <c r="S1196" i="11"/>
  <c r="P1196" i="11"/>
  <c r="M1196" i="11"/>
  <c r="L1196" i="11"/>
  <c r="K1196" i="11"/>
  <c r="J1196" i="11"/>
  <c r="I1196" i="11"/>
  <c r="H1196" i="11"/>
  <c r="G1196" i="11"/>
  <c r="F1196" i="11"/>
  <c r="Q1196" i="11" s="1"/>
  <c r="E1196" i="11"/>
  <c r="D1196" i="11"/>
  <c r="C1196" i="11"/>
  <c r="B1196" i="11"/>
  <c r="A1196" i="11"/>
  <c r="M1195" i="11"/>
  <c r="L1195" i="11"/>
  <c r="K1195" i="11"/>
  <c r="J1195" i="11"/>
  <c r="I1195" i="11"/>
  <c r="H1195" i="11"/>
  <c r="G1195" i="11"/>
  <c r="F1195" i="11"/>
  <c r="Q1195" i="11" s="1"/>
  <c r="E1195" i="11"/>
  <c r="D1195" i="11"/>
  <c r="C1195" i="11"/>
  <c r="B1195" i="11"/>
  <c r="T1195" i="11" s="1"/>
  <c r="A1195" i="11"/>
  <c r="S1195" i="11" s="1"/>
  <c r="T1194" i="11"/>
  <c r="S1194" i="11"/>
  <c r="P1194" i="11"/>
  <c r="M1194" i="11"/>
  <c r="L1194" i="11"/>
  <c r="K1194" i="11"/>
  <c r="J1194" i="11"/>
  <c r="I1194" i="11"/>
  <c r="H1194" i="11"/>
  <c r="G1194" i="11"/>
  <c r="F1194" i="11"/>
  <c r="Q1194" i="11" s="1"/>
  <c r="E1194" i="11"/>
  <c r="D1194" i="11"/>
  <c r="C1194" i="11"/>
  <c r="B1194" i="11"/>
  <c r="A1194" i="11"/>
  <c r="M1193" i="11"/>
  <c r="L1193" i="11"/>
  <c r="K1193" i="11"/>
  <c r="J1193" i="11"/>
  <c r="I1193" i="11"/>
  <c r="H1193" i="11"/>
  <c r="G1193" i="11"/>
  <c r="F1193" i="11"/>
  <c r="Q1193" i="11" s="1"/>
  <c r="E1193" i="11"/>
  <c r="D1193" i="11"/>
  <c r="C1193" i="11"/>
  <c r="B1193" i="11"/>
  <c r="T1193" i="11" s="1"/>
  <c r="A1193" i="11"/>
  <c r="S1193" i="11" s="1"/>
  <c r="T1192" i="11"/>
  <c r="S1192" i="11"/>
  <c r="P1192" i="11"/>
  <c r="M1192" i="11"/>
  <c r="L1192" i="11"/>
  <c r="K1192" i="11"/>
  <c r="J1192" i="11"/>
  <c r="I1192" i="11"/>
  <c r="H1192" i="11"/>
  <c r="G1192" i="11"/>
  <c r="F1192" i="11"/>
  <c r="Q1192" i="11" s="1"/>
  <c r="E1192" i="11"/>
  <c r="D1192" i="11"/>
  <c r="C1192" i="11"/>
  <c r="B1192" i="11"/>
  <c r="A1192" i="11"/>
  <c r="M1191" i="11"/>
  <c r="L1191" i="11"/>
  <c r="K1191" i="11"/>
  <c r="J1191" i="11"/>
  <c r="I1191" i="11"/>
  <c r="H1191" i="11"/>
  <c r="G1191" i="11"/>
  <c r="F1191" i="11"/>
  <c r="Q1191" i="11" s="1"/>
  <c r="E1191" i="11"/>
  <c r="D1191" i="11"/>
  <c r="C1191" i="11"/>
  <c r="B1191" i="11"/>
  <c r="T1191" i="11" s="1"/>
  <c r="A1191" i="11"/>
  <c r="S1191" i="11" s="1"/>
  <c r="T1190" i="11"/>
  <c r="S1190" i="11"/>
  <c r="P1190" i="11"/>
  <c r="M1190" i="11"/>
  <c r="L1190" i="11"/>
  <c r="K1190" i="11"/>
  <c r="J1190" i="11"/>
  <c r="I1190" i="11"/>
  <c r="H1190" i="11"/>
  <c r="G1190" i="11"/>
  <c r="F1190" i="11"/>
  <c r="Q1190" i="11" s="1"/>
  <c r="E1190" i="11"/>
  <c r="D1190" i="11"/>
  <c r="C1190" i="11"/>
  <c r="B1190" i="11"/>
  <c r="A1190" i="11"/>
  <c r="M1189" i="11"/>
  <c r="L1189" i="11"/>
  <c r="K1189" i="11"/>
  <c r="J1189" i="11"/>
  <c r="I1189" i="11"/>
  <c r="H1189" i="11"/>
  <c r="G1189" i="11"/>
  <c r="F1189" i="11"/>
  <c r="Q1189" i="11" s="1"/>
  <c r="E1189" i="11"/>
  <c r="D1189" i="11"/>
  <c r="C1189" i="11"/>
  <c r="B1189" i="11"/>
  <c r="T1189" i="11" s="1"/>
  <c r="A1189" i="11"/>
  <c r="S1189" i="11" s="1"/>
  <c r="T1188" i="11"/>
  <c r="S1188" i="11"/>
  <c r="P1188" i="11"/>
  <c r="M1188" i="11"/>
  <c r="L1188" i="11"/>
  <c r="K1188" i="11"/>
  <c r="J1188" i="11"/>
  <c r="I1188" i="11"/>
  <c r="H1188" i="11"/>
  <c r="G1188" i="11"/>
  <c r="F1188" i="11"/>
  <c r="Q1188" i="11" s="1"/>
  <c r="E1188" i="11"/>
  <c r="D1188" i="11"/>
  <c r="C1188" i="11"/>
  <c r="B1188" i="11"/>
  <c r="A1188" i="11"/>
  <c r="M1187" i="11"/>
  <c r="L1187" i="11"/>
  <c r="K1187" i="11"/>
  <c r="J1187" i="11"/>
  <c r="I1187" i="11"/>
  <c r="H1187" i="11"/>
  <c r="G1187" i="11"/>
  <c r="F1187" i="11"/>
  <c r="Q1187" i="11" s="1"/>
  <c r="E1187" i="11"/>
  <c r="D1187" i="11"/>
  <c r="C1187" i="11"/>
  <c r="B1187" i="11"/>
  <c r="T1187" i="11" s="1"/>
  <c r="A1187" i="11"/>
  <c r="S1187" i="11" s="1"/>
  <c r="T1186" i="11"/>
  <c r="S1186" i="11"/>
  <c r="P1186" i="11"/>
  <c r="M1186" i="11"/>
  <c r="L1186" i="11"/>
  <c r="K1186" i="11"/>
  <c r="J1186" i="11"/>
  <c r="I1186" i="11"/>
  <c r="H1186" i="11"/>
  <c r="G1186" i="11"/>
  <c r="F1186" i="11"/>
  <c r="Q1186" i="11" s="1"/>
  <c r="E1186" i="11"/>
  <c r="D1186" i="11"/>
  <c r="C1186" i="11"/>
  <c r="B1186" i="11"/>
  <c r="A1186" i="11"/>
  <c r="M1185" i="11"/>
  <c r="L1185" i="11"/>
  <c r="K1185" i="11"/>
  <c r="J1185" i="11"/>
  <c r="I1185" i="11"/>
  <c r="H1185" i="11"/>
  <c r="G1185" i="11"/>
  <c r="F1185" i="11"/>
  <c r="Q1185" i="11" s="1"/>
  <c r="E1185" i="11"/>
  <c r="D1185" i="11"/>
  <c r="C1185" i="11"/>
  <c r="B1185" i="11"/>
  <c r="T1185" i="11" s="1"/>
  <c r="A1185" i="11"/>
  <c r="S1185" i="11" s="1"/>
  <c r="S1184" i="11"/>
  <c r="P1184" i="11"/>
  <c r="M1184" i="11"/>
  <c r="L1184" i="11"/>
  <c r="K1184" i="11"/>
  <c r="J1184" i="11"/>
  <c r="I1184" i="11"/>
  <c r="H1184" i="11"/>
  <c r="G1184" i="11"/>
  <c r="F1184" i="11"/>
  <c r="Q1184" i="11" s="1"/>
  <c r="E1184" i="11"/>
  <c r="D1184" i="11"/>
  <c r="C1184" i="11"/>
  <c r="B1184" i="11"/>
  <c r="T1184" i="11" s="1"/>
  <c r="A1184" i="11"/>
  <c r="M1183" i="11"/>
  <c r="L1183" i="11"/>
  <c r="K1183" i="11"/>
  <c r="J1183" i="11"/>
  <c r="I1183" i="11"/>
  <c r="H1183" i="11"/>
  <c r="G1183" i="11"/>
  <c r="F1183" i="11"/>
  <c r="Q1183" i="11" s="1"/>
  <c r="E1183" i="11"/>
  <c r="D1183" i="11"/>
  <c r="C1183" i="11"/>
  <c r="B1183" i="11"/>
  <c r="T1183" i="11" s="1"/>
  <c r="A1183" i="11"/>
  <c r="S1183" i="11" s="1"/>
  <c r="S1182" i="11"/>
  <c r="P1182" i="11"/>
  <c r="M1182" i="11"/>
  <c r="L1182" i="11"/>
  <c r="K1182" i="11"/>
  <c r="J1182" i="11"/>
  <c r="I1182" i="11"/>
  <c r="H1182" i="11"/>
  <c r="G1182" i="11"/>
  <c r="F1182" i="11"/>
  <c r="Q1182" i="11" s="1"/>
  <c r="E1182" i="11"/>
  <c r="D1182" i="11"/>
  <c r="C1182" i="11"/>
  <c r="B1182" i="11"/>
  <c r="T1182" i="11" s="1"/>
  <c r="A1182" i="11"/>
  <c r="M1181" i="11"/>
  <c r="L1181" i="11"/>
  <c r="K1181" i="11"/>
  <c r="J1181" i="11"/>
  <c r="I1181" i="11"/>
  <c r="H1181" i="11"/>
  <c r="G1181" i="11"/>
  <c r="F1181" i="11"/>
  <c r="Q1181" i="11" s="1"/>
  <c r="E1181" i="11"/>
  <c r="D1181" i="11"/>
  <c r="C1181" i="11"/>
  <c r="B1181" i="11"/>
  <c r="T1181" i="11" s="1"/>
  <c r="A1181" i="11"/>
  <c r="S1181" i="11" s="1"/>
  <c r="S1180" i="11"/>
  <c r="P1180" i="11"/>
  <c r="M1180" i="11"/>
  <c r="L1180" i="11"/>
  <c r="K1180" i="11"/>
  <c r="J1180" i="11"/>
  <c r="I1180" i="11"/>
  <c r="H1180" i="11"/>
  <c r="G1180" i="11"/>
  <c r="F1180" i="11"/>
  <c r="Q1180" i="11" s="1"/>
  <c r="E1180" i="11"/>
  <c r="D1180" i="11"/>
  <c r="C1180" i="11"/>
  <c r="B1180" i="11"/>
  <c r="T1180" i="11" s="1"/>
  <c r="A1180" i="11"/>
  <c r="M1179" i="11"/>
  <c r="L1179" i="11"/>
  <c r="K1179" i="11"/>
  <c r="J1179" i="11"/>
  <c r="I1179" i="11"/>
  <c r="H1179" i="11"/>
  <c r="G1179" i="11"/>
  <c r="F1179" i="11"/>
  <c r="Q1179" i="11" s="1"/>
  <c r="E1179" i="11"/>
  <c r="D1179" i="11"/>
  <c r="C1179" i="11"/>
  <c r="B1179" i="11"/>
  <c r="T1179" i="11" s="1"/>
  <c r="A1179" i="11"/>
  <c r="S1179" i="11" s="1"/>
  <c r="S1178" i="11"/>
  <c r="P1178" i="11"/>
  <c r="M1178" i="11"/>
  <c r="L1178" i="11"/>
  <c r="K1178" i="11"/>
  <c r="J1178" i="11"/>
  <c r="I1178" i="11"/>
  <c r="H1178" i="11"/>
  <c r="G1178" i="11"/>
  <c r="F1178" i="11"/>
  <c r="Q1178" i="11" s="1"/>
  <c r="E1178" i="11"/>
  <c r="D1178" i="11"/>
  <c r="C1178" i="11"/>
  <c r="B1178" i="11"/>
  <c r="T1178" i="11" s="1"/>
  <c r="A1178" i="11"/>
  <c r="M1177" i="11"/>
  <c r="L1177" i="11"/>
  <c r="K1177" i="11"/>
  <c r="J1177" i="11"/>
  <c r="I1177" i="11"/>
  <c r="H1177" i="11"/>
  <c r="G1177" i="11"/>
  <c r="F1177" i="11"/>
  <c r="Q1177" i="11" s="1"/>
  <c r="E1177" i="11"/>
  <c r="D1177" i="11"/>
  <c r="C1177" i="11"/>
  <c r="B1177" i="11"/>
  <c r="T1177" i="11" s="1"/>
  <c r="A1177" i="11"/>
  <c r="S1177" i="11" s="1"/>
  <c r="S1176" i="11"/>
  <c r="P1176" i="11"/>
  <c r="M1176" i="11"/>
  <c r="L1176" i="11"/>
  <c r="K1176" i="11"/>
  <c r="J1176" i="11"/>
  <c r="I1176" i="11"/>
  <c r="H1176" i="11"/>
  <c r="G1176" i="11"/>
  <c r="F1176" i="11"/>
  <c r="Q1176" i="11" s="1"/>
  <c r="E1176" i="11"/>
  <c r="D1176" i="11"/>
  <c r="C1176" i="11"/>
  <c r="B1176" i="11"/>
  <c r="T1176" i="11" s="1"/>
  <c r="A1176" i="11"/>
  <c r="M1175" i="11"/>
  <c r="L1175" i="11"/>
  <c r="K1175" i="11"/>
  <c r="J1175" i="11"/>
  <c r="I1175" i="11"/>
  <c r="H1175" i="11"/>
  <c r="G1175" i="11"/>
  <c r="F1175" i="11"/>
  <c r="Q1175" i="11" s="1"/>
  <c r="E1175" i="11"/>
  <c r="D1175" i="11"/>
  <c r="C1175" i="11"/>
  <c r="B1175" i="11"/>
  <c r="T1175" i="11" s="1"/>
  <c r="A1175" i="11"/>
  <c r="S1175" i="11" s="1"/>
  <c r="S1174" i="11"/>
  <c r="P1174" i="11"/>
  <c r="M1174" i="11"/>
  <c r="L1174" i="11"/>
  <c r="K1174" i="11"/>
  <c r="J1174" i="11"/>
  <c r="I1174" i="11"/>
  <c r="H1174" i="11"/>
  <c r="G1174" i="11"/>
  <c r="F1174" i="11"/>
  <c r="Q1174" i="11" s="1"/>
  <c r="E1174" i="11"/>
  <c r="D1174" i="11"/>
  <c r="C1174" i="11"/>
  <c r="B1174" i="11"/>
  <c r="T1174" i="11" s="1"/>
  <c r="A1174" i="11"/>
  <c r="M1173" i="11"/>
  <c r="L1173" i="11"/>
  <c r="K1173" i="11"/>
  <c r="J1173" i="11"/>
  <c r="I1173" i="11"/>
  <c r="H1173" i="11"/>
  <c r="G1173" i="11"/>
  <c r="F1173" i="11"/>
  <c r="Q1173" i="11" s="1"/>
  <c r="E1173" i="11"/>
  <c r="D1173" i="11"/>
  <c r="C1173" i="11"/>
  <c r="B1173" i="11"/>
  <c r="T1173" i="11" s="1"/>
  <c r="A1173" i="11"/>
  <c r="S1173" i="11" s="1"/>
  <c r="S1172" i="11"/>
  <c r="P1172" i="11"/>
  <c r="M1172" i="11"/>
  <c r="L1172" i="11"/>
  <c r="K1172" i="11"/>
  <c r="J1172" i="11"/>
  <c r="I1172" i="11"/>
  <c r="H1172" i="11"/>
  <c r="G1172" i="11"/>
  <c r="F1172" i="11"/>
  <c r="Q1172" i="11" s="1"/>
  <c r="E1172" i="11"/>
  <c r="D1172" i="11"/>
  <c r="C1172" i="11"/>
  <c r="B1172" i="11"/>
  <c r="T1172" i="11" s="1"/>
  <c r="A1172" i="11"/>
  <c r="T1171" i="11"/>
  <c r="Q1171" i="11"/>
  <c r="P1171" i="11"/>
  <c r="M1171" i="11"/>
  <c r="L1171" i="11"/>
  <c r="K1171" i="11"/>
  <c r="J1171" i="11"/>
  <c r="I1171" i="11"/>
  <c r="H1171" i="11"/>
  <c r="G1171" i="11"/>
  <c r="F1171" i="11"/>
  <c r="E1171" i="11"/>
  <c r="V1171" i="11" s="1"/>
  <c r="D1171" i="11"/>
  <c r="C1171" i="11"/>
  <c r="B1171" i="11"/>
  <c r="A1171" i="11"/>
  <c r="S1171" i="11" s="1"/>
  <c r="S1170" i="11"/>
  <c r="P1170" i="11"/>
  <c r="M1170" i="11"/>
  <c r="L1170" i="11"/>
  <c r="K1170" i="11"/>
  <c r="J1170" i="11"/>
  <c r="I1170" i="11"/>
  <c r="H1170" i="11"/>
  <c r="G1170" i="11"/>
  <c r="F1170" i="11"/>
  <c r="Q1170" i="11" s="1"/>
  <c r="E1170" i="11"/>
  <c r="D1170" i="11"/>
  <c r="C1170" i="11"/>
  <c r="B1170" i="11"/>
  <c r="T1170" i="11" s="1"/>
  <c r="A1170" i="11"/>
  <c r="T1169" i="11"/>
  <c r="Q1169" i="11"/>
  <c r="P1169" i="11"/>
  <c r="M1169" i="11"/>
  <c r="L1169" i="11"/>
  <c r="K1169" i="11"/>
  <c r="J1169" i="11"/>
  <c r="I1169" i="11"/>
  <c r="H1169" i="11"/>
  <c r="G1169" i="11"/>
  <c r="F1169" i="11"/>
  <c r="E1169" i="11"/>
  <c r="V1169" i="11" s="1"/>
  <c r="D1169" i="11"/>
  <c r="C1169" i="11"/>
  <c r="B1169" i="11"/>
  <c r="A1169" i="11"/>
  <c r="S1169" i="11" s="1"/>
  <c r="S1168" i="11"/>
  <c r="P1168" i="11"/>
  <c r="M1168" i="11"/>
  <c r="L1168" i="11"/>
  <c r="K1168" i="11"/>
  <c r="J1168" i="11"/>
  <c r="I1168" i="11"/>
  <c r="H1168" i="11"/>
  <c r="G1168" i="11"/>
  <c r="F1168" i="11"/>
  <c r="Q1168" i="11" s="1"/>
  <c r="E1168" i="11"/>
  <c r="D1168" i="11"/>
  <c r="C1168" i="11"/>
  <c r="B1168" i="11"/>
  <c r="T1168" i="11" s="1"/>
  <c r="A1168" i="11"/>
  <c r="T1167" i="11"/>
  <c r="Q1167" i="11"/>
  <c r="P1167" i="11"/>
  <c r="M1167" i="11"/>
  <c r="L1167" i="11"/>
  <c r="K1167" i="11"/>
  <c r="J1167" i="11"/>
  <c r="I1167" i="11"/>
  <c r="H1167" i="11"/>
  <c r="G1167" i="11"/>
  <c r="F1167" i="11"/>
  <c r="E1167" i="11"/>
  <c r="V1167" i="11" s="1"/>
  <c r="D1167" i="11"/>
  <c r="C1167" i="11"/>
  <c r="B1167" i="11"/>
  <c r="A1167" i="11"/>
  <c r="S1167" i="11" s="1"/>
  <c r="S1166" i="11"/>
  <c r="P1166" i="11"/>
  <c r="M1166" i="11"/>
  <c r="L1166" i="11"/>
  <c r="K1166" i="11"/>
  <c r="J1166" i="11"/>
  <c r="I1166" i="11"/>
  <c r="H1166" i="11"/>
  <c r="G1166" i="11"/>
  <c r="F1166" i="11"/>
  <c r="Q1166" i="11" s="1"/>
  <c r="E1166" i="11"/>
  <c r="D1166" i="11"/>
  <c r="C1166" i="11"/>
  <c r="B1166" i="11"/>
  <c r="T1166" i="11" s="1"/>
  <c r="A1166" i="11"/>
  <c r="T1165" i="11"/>
  <c r="Q1165" i="11"/>
  <c r="P1165" i="11"/>
  <c r="M1165" i="11"/>
  <c r="L1165" i="11"/>
  <c r="K1165" i="11"/>
  <c r="J1165" i="11"/>
  <c r="I1165" i="11"/>
  <c r="H1165" i="11"/>
  <c r="G1165" i="11"/>
  <c r="F1165" i="11"/>
  <c r="E1165" i="11"/>
  <c r="V1165" i="11" s="1"/>
  <c r="D1165" i="11"/>
  <c r="C1165" i="11"/>
  <c r="B1165" i="11"/>
  <c r="A1165" i="11"/>
  <c r="S1165" i="11" s="1"/>
  <c r="V1164" i="11"/>
  <c r="S1164" i="11"/>
  <c r="P1164" i="11"/>
  <c r="M1164" i="11"/>
  <c r="L1164" i="11"/>
  <c r="K1164" i="11"/>
  <c r="J1164" i="11"/>
  <c r="I1164" i="11"/>
  <c r="H1164" i="11"/>
  <c r="G1164" i="11"/>
  <c r="F1164" i="11"/>
  <c r="Q1164" i="11" s="1"/>
  <c r="E1164" i="11"/>
  <c r="D1164" i="11"/>
  <c r="C1164" i="11"/>
  <c r="B1164" i="11"/>
  <c r="T1164" i="11" s="1"/>
  <c r="A1164" i="11"/>
  <c r="T1163" i="11"/>
  <c r="Q1163" i="11"/>
  <c r="P1163" i="11"/>
  <c r="M1163" i="11"/>
  <c r="L1163" i="11"/>
  <c r="K1163" i="11"/>
  <c r="J1163" i="11"/>
  <c r="I1163" i="11"/>
  <c r="H1163" i="11"/>
  <c r="G1163" i="11"/>
  <c r="F1163" i="11"/>
  <c r="E1163" i="11"/>
  <c r="V1163" i="11" s="1"/>
  <c r="D1163" i="11"/>
  <c r="C1163" i="11"/>
  <c r="B1163" i="11"/>
  <c r="A1163" i="11"/>
  <c r="S1163" i="11" s="1"/>
  <c r="S1162" i="11"/>
  <c r="P1162" i="11"/>
  <c r="M1162" i="11"/>
  <c r="L1162" i="11"/>
  <c r="K1162" i="11"/>
  <c r="J1162" i="11"/>
  <c r="I1162" i="11"/>
  <c r="H1162" i="11"/>
  <c r="G1162" i="11"/>
  <c r="F1162" i="11"/>
  <c r="Q1162" i="11" s="1"/>
  <c r="E1162" i="11"/>
  <c r="D1162" i="11"/>
  <c r="C1162" i="11"/>
  <c r="B1162" i="11"/>
  <c r="T1162" i="11" s="1"/>
  <c r="A1162" i="11"/>
  <c r="T1161" i="11"/>
  <c r="Q1161" i="11"/>
  <c r="P1161" i="11"/>
  <c r="M1161" i="11"/>
  <c r="L1161" i="11"/>
  <c r="K1161" i="11"/>
  <c r="J1161" i="11"/>
  <c r="I1161" i="11"/>
  <c r="H1161" i="11"/>
  <c r="G1161" i="11"/>
  <c r="F1161" i="11"/>
  <c r="E1161" i="11"/>
  <c r="V1161" i="11" s="1"/>
  <c r="D1161" i="11"/>
  <c r="C1161" i="11"/>
  <c r="B1161" i="11"/>
  <c r="A1161" i="11"/>
  <c r="S1161" i="11" s="1"/>
  <c r="V1160" i="11"/>
  <c r="S1160" i="11"/>
  <c r="P1160" i="11"/>
  <c r="M1160" i="11"/>
  <c r="L1160" i="11"/>
  <c r="K1160" i="11"/>
  <c r="J1160" i="11"/>
  <c r="I1160" i="11"/>
  <c r="H1160" i="11"/>
  <c r="G1160" i="11"/>
  <c r="F1160" i="11"/>
  <c r="Q1160" i="11" s="1"/>
  <c r="E1160" i="11"/>
  <c r="D1160" i="11"/>
  <c r="C1160" i="11"/>
  <c r="B1160" i="11"/>
  <c r="T1160" i="11" s="1"/>
  <c r="A1160" i="11"/>
  <c r="T1159" i="11"/>
  <c r="Q1159" i="11"/>
  <c r="P1159" i="11"/>
  <c r="M1159" i="11"/>
  <c r="L1159" i="11"/>
  <c r="K1159" i="11"/>
  <c r="J1159" i="11"/>
  <c r="I1159" i="11"/>
  <c r="H1159" i="11"/>
  <c r="G1159" i="11"/>
  <c r="F1159" i="11"/>
  <c r="E1159" i="11"/>
  <c r="V1159" i="11" s="1"/>
  <c r="D1159" i="11"/>
  <c r="C1159" i="11"/>
  <c r="B1159" i="11"/>
  <c r="A1159" i="11"/>
  <c r="S1159" i="11" s="1"/>
  <c r="S1158" i="11"/>
  <c r="P1158" i="11"/>
  <c r="M1158" i="11"/>
  <c r="L1158" i="11"/>
  <c r="K1158" i="11"/>
  <c r="J1158" i="11"/>
  <c r="I1158" i="11"/>
  <c r="H1158" i="11"/>
  <c r="G1158" i="11"/>
  <c r="F1158" i="11"/>
  <c r="Q1158" i="11" s="1"/>
  <c r="E1158" i="11"/>
  <c r="D1158" i="11"/>
  <c r="C1158" i="11"/>
  <c r="B1158" i="11"/>
  <c r="T1158" i="11" s="1"/>
  <c r="A1158" i="11"/>
  <c r="T1157" i="11"/>
  <c r="Q1157" i="11"/>
  <c r="P1157" i="11"/>
  <c r="M1157" i="11"/>
  <c r="L1157" i="11"/>
  <c r="K1157" i="11"/>
  <c r="J1157" i="11"/>
  <c r="I1157" i="11"/>
  <c r="H1157" i="11"/>
  <c r="G1157" i="11"/>
  <c r="F1157" i="11"/>
  <c r="E1157" i="11"/>
  <c r="V1157" i="11" s="1"/>
  <c r="D1157" i="11"/>
  <c r="C1157" i="11"/>
  <c r="B1157" i="11"/>
  <c r="A1157" i="11"/>
  <c r="S1157" i="11" s="1"/>
  <c r="S1156" i="11"/>
  <c r="P1156" i="11"/>
  <c r="M1156" i="11"/>
  <c r="L1156" i="11"/>
  <c r="K1156" i="11"/>
  <c r="J1156" i="11"/>
  <c r="I1156" i="11"/>
  <c r="H1156" i="11"/>
  <c r="G1156" i="11"/>
  <c r="F1156" i="11"/>
  <c r="E1156" i="11"/>
  <c r="D1156" i="11"/>
  <c r="C1156" i="11"/>
  <c r="B1156" i="11"/>
  <c r="T1156" i="11" s="1"/>
  <c r="A1156" i="11"/>
  <c r="T1155" i="11"/>
  <c r="Q1155" i="11"/>
  <c r="P1155" i="11"/>
  <c r="M1155" i="11"/>
  <c r="L1155" i="11"/>
  <c r="K1155" i="11"/>
  <c r="J1155" i="11"/>
  <c r="I1155" i="11"/>
  <c r="H1155" i="11"/>
  <c r="G1155" i="11"/>
  <c r="F1155" i="11"/>
  <c r="E1155" i="11"/>
  <c r="V1155" i="11" s="1"/>
  <c r="D1155" i="11"/>
  <c r="C1155" i="11"/>
  <c r="B1155" i="11"/>
  <c r="A1155" i="11"/>
  <c r="S1155" i="11" s="1"/>
  <c r="S1154" i="11"/>
  <c r="P1154" i="11"/>
  <c r="M1154" i="11"/>
  <c r="L1154" i="11"/>
  <c r="K1154" i="11"/>
  <c r="J1154" i="11"/>
  <c r="I1154" i="11"/>
  <c r="H1154" i="11"/>
  <c r="G1154" i="11"/>
  <c r="F1154" i="11"/>
  <c r="Q1154" i="11" s="1"/>
  <c r="E1154" i="11"/>
  <c r="D1154" i="11"/>
  <c r="C1154" i="11"/>
  <c r="B1154" i="11"/>
  <c r="T1154" i="11" s="1"/>
  <c r="A1154" i="11"/>
  <c r="T1153" i="11"/>
  <c r="Q1153" i="11"/>
  <c r="P1153" i="11"/>
  <c r="M1153" i="11"/>
  <c r="L1153" i="11"/>
  <c r="K1153" i="11"/>
  <c r="J1153" i="11"/>
  <c r="I1153" i="11"/>
  <c r="H1153" i="11"/>
  <c r="G1153" i="11"/>
  <c r="F1153" i="11"/>
  <c r="E1153" i="11"/>
  <c r="V1153" i="11" s="1"/>
  <c r="D1153" i="11"/>
  <c r="C1153" i="11"/>
  <c r="B1153" i="11"/>
  <c r="A1153" i="11"/>
  <c r="S1153" i="11" s="1"/>
  <c r="S1152" i="11"/>
  <c r="P1152" i="11"/>
  <c r="M1152" i="11"/>
  <c r="L1152" i="11"/>
  <c r="K1152" i="11"/>
  <c r="J1152" i="11"/>
  <c r="I1152" i="11"/>
  <c r="H1152" i="11"/>
  <c r="G1152" i="11"/>
  <c r="F1152" i="11"/>
  <c r="Q1152" i="11" s="1"/>
  <c r="E1152" i="11"/>
  <c r="D1152" i="11"/>
  <c r="C1152" i="11"/>
  <c r="B1152" i="11"/>
  <c r="T1152" i="11" s="1"/>
  <c r="A1152" i="11"/>
  <c r="T1151" i="11"/>
  <c r="Q1151" i="11"/>
  <c r="P1151" i="11"/>
  <c r="M1151" i="11"/>
  <c r="L1151" i="11"/>
  <c r="K1151" i="11"/>
  <c r="J1151" i="11"/>
  <c r="I1151" i="11"/>
  <c r="H1151" i="11"/>
  <c r="G1151" i="11"/>
  <c r="F1151" i="11"/>
  <c r="E1151" i="11"/>
  <c r="V1151" i="11" s="1"/>
  <c r="D1151" i="11"/>
  <c r="C1151" i="11"/>
  <c r="B1151" i="11"/>
  <c r="A1151" i="11"/>
  <c r="S1151" i="11" s="1"/>
  <c r="S1150" i="11"/>
  <c r="P1150" i="11"/>
  <c r="M1150" i="11"/>
  <c r="L1150" i="11"/>
  <c r="K1150" i="11"/>
  <c r="J1150" i="11"/>
  <c r="I1150" i="11"/>
  <c r="H1150" i="11"/>
  <c r="G1150" i="11"/>
  <c r="F1150" i="11"/>
  <c r="Q1150" i="11" s="1"/>
  <c r="E1150" i="11"/>
  <c r="D1150" i="11"/>
  <c r="C1150" i="11"/>
  <c r="B1150" i="11"/>
  <c r="T1150" i="11" s="1"/>
  <c r="A1150" i="11"/>
  <c r="T1149" i="11"/>
  <c r="Q1149" i="11"/>
  <c r="P1149" i="11"/>
  <c r="M1149" i="11"/>
  <c r="L1149" i="11"/>
  <c r="K1149" i="11"/>
  <c r="J1149" i="11"/>
  <c r="I1149" i="11"/>
  <c r="H1149" i="11"/>
  <c r="G1149" i="11"/>
  <c r="F1149" i="11"/>
  <c r="E1149" i="11"/>
  <c r="V1149" i="11" s="1"/>
  <c r="D1149" i="11"/>
  <c r="C1149" i="11"/>
  <c r="B1149" i="11"/>
  <c r="A1149" i="11"/>
  <c r="S1149" i="11" s="1"/>
  <c r="V1148" i="11"/>
  <c r="S1148" i="11"/>
  <c r="P1148" i="11"/>
  <c r="M1148" i="11"/>
  <c r="L1148" i="11"/>
  <c r="K1148" i="11"/>
  <c r="J1148" i="11"/>
  <c r="I1148" i="11"/>
  <c r="H1148" i="11"/>
  <c r="G1148" i="11"/>
  <c r="F1148" i="11"/>
  <c r="Q1148" i="11" s="1"/>
  <c r="E1148" i="11"/>
  <c r="D1148" i="11"/>
  <c r="C1148" i="11"/>
  <c r="B1148" i="11"/>
  <c r="T1148" i="11" s="1"/>
  <c r="A1148" i="11"/>
  <c r="T1147" i="11"/>
  <c r="Q1147" i="11"/>
  <c r="P1147" i="11"/>
  <c r="M1147" i="11"/>
  <c r="L1147" i="11"/>
  <c r="K1147" i="11"/>
  <c r="J1147" i="11"/>
  <c r="I1147" i="11"/>
  <c r="H1147" i="11"/>
  <c r="G1147" i="11"/>
  <c r="F1147" i="11"/>
  <c r="E1147" i="11"/>
  <c r="V1147" i="11" s="1"/>
  <c r="D1147" i="11"/>
  <c r="C1147" i="11"/>
  <c r="B1147" i="11"/>
  <c r="A1147" i="11"/>
  <c r="S1147" i="11" s="1"/>
  <c r="S1146" i="11"/>
  <c r="P1146" i="11"/>
  <c r="M1146" i="11"/>
  <c r="L1146" i="11"/>
  <c r="K1146" i="11"/>
  <c r="J1146" i="11"/>
  <c r="I1146" i="11"/>
  <c r="H1146" i="11"/>
  <c r="G1146" i="11"/>
  <c r="F1146" i="11"/>
  <c r="Q1146" i="11" s="1"/>
  <c r="E1146" i="11"/>
  <c r="D1146" i="11"/>
  <c r="C1146" i="11"/>
  <c r="B1146" i="11"/>
  <c r="T1146" i="11" s="1"/>
  <c r="A1146" i="11"/>
  <c r="T1145" i="11"/>
  <c r="Q1145" i="11"/>
  <c r="P1145" i="11"/>
  <c r="M1145" i="11"/>
  <c r="L1145" i="11"/>
  <c r="K1145" i="11"/>
  <c r="J1145" i="11"/>
  <c r="I1145" i="11"/>
  <c r="H1145" i="11"/>
  <c r="G1145" i="11"/>
  <c r="F1145" i="11"/>
  <c r="E1145" i="11"/>
  <c r="V1145" i="11" s="1"/>
  <c r="D1145" i="11"/>
  <c r="C1145" i="11"/>
  <c r="B1145" i="11"/>
  <c r="A1145" i="11"/>
  <c r="S1145" i="11" s="1"/>
  <c r="V1144" i="11"/>
  <c r="S1144" i="11"/>
  <c r="P1144" i="11"/>
  <c r="M1144" i="11"/>
  <c r="L1144" i="11"/>
  <c r="K1144" i="11"/>
  <c r="J1144" i="11"/>
  <c r="I1144" i="11"/>
  <c r="H1144" i="11"/>
  <c r="G1144" i="11"/>
  <c r="F1144" i="11"/>
  <c r="Q1144" i="11" s="1"/>
  <c r="E1144" i="11"/>
  <c r="D1144" i="11"/>
  <c r="C1144" i="11"/>
  <c r="B1144" i="11"/>
  <c r="T1144" i="11" s="1"/>
  <c r="A1144" i="11"/>
  <c r="T1143" i="11"/>
  <c r="Q1143" i="11"/>
  <c r="P1143" i="11"/>
  <c r="M1143" i="11"/>
  <c r="L1143" i="11"/>
  <c r="K1143" i="11"/>
  <c r="J1143" i="11"/>
  <c r="I1143" i="11"/>
  <c r="H1143" i="11"/>
  <c r="G1143" i="11"/>
  <c r="F1143" i="11"/>
  <c r="E1143" i="11"/>
  <c r="V1143" i="11" s="1"/>
  <c r="D1143" i="11"/>
  <c r="C1143" i="11"/>
  <c r="B1143" i="11"/>
  <c r="A1143" i="11"/>
  <c r="S1143" i="11" s="1"/>
  <c r="S1142" i="11"/>
  <c r="P1142" i="11"/>
  <c r="M1142" i="11"/>
  <c r="L1142" i="11"/>
  <c r="K1142" i="11"/>
  <c r="J1142" i="11"/>
  <c r="I1142" i="11"/>
  <c r="H1142" i="11"/>
  <c r="G1142" i="11"/>
  <c r="F1142" i="11"/>
  <c r="Q1142" i="11" s="1"/>
  <c r="E1142" i="11"/>
  <c r="D1142" i="11"/>
  <c r="C1142" i="11"/>
  <c r="B1142" i="11"/>
  <c r="T1142" i="11" s="1"/>
  <c r="A1142" i="11"/>
  <c r="T1141" i="11"/>
  <c r="P1141" i="11"/>
  <c r="M1141" i="11"/>
  <c r="L1141" i="11"/>
  <c r="K1141" i="11"/>
  <c r="J1141" i="11"/>
  <c r="I1141" i="11"/>
  <c r="H1141" i="11"/>
  <c r="G1141" i="11"/>
  <c r="F1141" i="11"/>
  <c r="Q1141" i="11" s="1"/>
  <c r="E1141" i="11"/>
  <c r="V1141" i="11" s="1"/>
  <c r="D1141" i="11"/>
  <c r="C1141" i="11"/>
  <c r="B1141" i="11"/>
  <c r="A1141" i="11"/>
  <c r="S1141" i="11" s="1"/>
  <c r="S1140" i="11"/>
  <c r="P1140" i="11"/>
  <c r="M1140" i="11"/>
  <c r="L1140" i="11"/>
  <c r="K1140" i="11"/>
  <c r="J1140" i="11"/>
  <c r="I1140" i="11"/>
  <c r="H1140" i="11"/>
  <c r="G1140" i="11"/>
  <c r="F1140" i="11"/>
  <c r="Q1140" i="11" s="1"/>
  <c r="E1140" i="11"/>
  <c r="D1140" i="11"/>
  <c r="C1140" i="11"/>
  <c r="B1140" i="11"/>
  <c r="T1140" i="11" s="1"/>
  <c r="A1140" i="11"/>
  <c r="T1139" i="11"/>
  <c r="P1139" i="11"/>
  <c r="M1139" i="11"/>
  <c r="L1139" i="11"/>
  <c r="K1139" i="11"/>
  <c r="J1139" i="11"/>
  <c r="I1139" i="11"/>
  <c r="H1139" i="11"/>
  <c r="G1139" i="11"/>
  <c r="F1139" i="11"/>
  <c r="Q1139" i="11" s="1"/>
  <c r="E1139" i="11"/>
  <c r="V1139" i="11" s="1"/>
  <c r="D1139" i="11"/>
  <c r="C1139" i="11"/>
  <c r="B1139" i="11"/>
  <c r="A1139" i="11"/>
  <c r="S1139" i="11" s="1"/>
  <c r="S1138" i="11"/>
  <c r="P1138" i="11"/>
  <c r="M1138" i="11"/>
  <c r="L1138" i="11"/>
  <c r="K1138" i="11"/>
  <c r="J1138" i="11"/>
  <c r="I1138" i="11"/>
  <c r="H1138" i="11"/>
  <c r="G1138" i="11"/>
  <c r="F1138" i="11"/>
  <c r="Q1138" i="11" s="1"/>
  <c r="E1138" i="11"/>
  <c r="D1138" i="11"/>
  <c r="C1138" i="11"/>
  <c r="B1138" i="11"/>
  <c r="T1138" i="11" s="1"/>
  <c r="A1138" i="11"/>
  <c r="T1137" i="11"/>
  <c r="P1137" i="11"/>
  <c r="M1137" i="11"/>
  <c r="L1137" i="11"/>
  <c r="K1137" i="11"/>
  <c r="J1137" i="11"/>
  <c r="I1137" i="11"/>
  <c r="H1137" i="11"/>
  <c r="G1137" i="11"/>
  <c r="F1137" i="11"/>
  <c r="V1137" i="11" s="1"/>
  <c r="E1137" i="11"/>
  <c r="D1137" i="11"/>
  <c r="C1137" i="11"/>
  <c r="B1137" i="11"/>
  <c r="A1137" i="11"/>
  <c r="S1137" i="11" s="1"/>
  <c r="S1136" i="11"/>
  <c r="P1136" i="11"/>
  <c r="M1136" i="11"/>
  <c r="L1136" i="11"/>
  <c r="K1136" i="11"/>
  <c r="J1136" i="11"/>
  <c r="I1136" i="11"/>
  <c r="H1136" i="11"/>
  <c r="G1136" i="11"/>
  <c r="F1136" i="11"/>
  <c r="Q1136" i="11" s="1"/>
  <c r="E1136" i="11"/>
  <c r="D1136" i="11"/>
  <c r="C1136" i="11"/>
  <c r="B1136" i="11"/>
  <c r="T1136" i="11" s="1"/>
  <c r="A1136" i="11"/>
  <c r="T1135" i="11"/>
  <c r="P1135" i="11"/>
  <c r="M1135" i="11"/>
  <c r="L1135" i="11"/>
  <c r="K1135" i="11"/>
  <c r="J1135" i="11"/>
  <c r="I1135" i="11"/>
  <c r="H1135" i="11"/>
  <c r="G1135" i="11"/>
  <c r="F1135" i="11"/>
  <c r="V1135" i="11" s="1"/>
  <c r="E1135" i="11"/>
  <c r="D1135" i="11"/>
  <c r="C1135" i="11"/>
  <c r="B1135" i="11"/>
  <c r="A1135" i="11"/>
  <c r="S1135" i="11" s="1"/>
  <c r="S1134" i="11"/>
  <c r="P1134" i="11"/>
  <c r="M1134" i="11"/>
  <c r="L1134" i="11"/>
  <c r="K1134" i="11"/>
  <c r="J1134" i="11"/>
  <c r="I1134" i="11"/>
  <c r="H1134" i="11"/>
  <c r="G1134" i="11"/>
  <c r="F1134" i="11"/>
  <c r="Q1134" i="11" s="1"/>
  <c r="E1134" i="11"/>
  <c r="D1134" i="11"/>
  <c r="C1134" i="11"/>
  <c r="B1134" i="11"/>
  <c r="T1134" i="11" s="1"/>
  <c r="A1134" i="11"/>
  <c r="T1133" i="11"/>
  <c r="P1133" i="11"/>
  <c r="M1133" i="11"/>
  <c r="L1133" i="11"/>
  <c r="K1133" i="11"/>
  <c r="J1133" i="11"/>
  <c r="I1133" i="11"/>
  <c r="H1133" i="11"/>
  <c r="G1133" i="11"/>
  <c r="F1133" i="11"/>
  <c r="V1133" i="11" s="1"/>
  <c r="E1133" i="11"/>
  <c r="D1133" i="11"/>
  <c r="C1133" i="11"/>
  <c r="B1133" i="11"/>
  <c r="A1133" i="11"/>
  <c r="S1133" i="11" s="1"/>
  <c r="S1132" i="11"/>
  <c r="P1132" i="11"/>
  <c r="M1132" i="11"/>
  <c r="L1132" i="11"/>
  <c r="K1132" i="11"/>
  <c r="J1132" i="11"/>
  <c r="I1132" i="11"/>
  <c r="H1132" i="11"/>
  <c r="G1132" i="11"/>
  <c r="F1132" i="11"/>
  <c r="Q1132" i="11" s="1"/>
  <c r="E1132" i="11"/>
  <c r="D1132" i="11"/>
  <c r="C1132" i="11"/>
  <c r="B1132" i="11"/>
  <c r="T1132" i="11" s="1"/>
  <c r="A1132" i="11"/>
  <c r="T1131" i="11"/>
  <c r="P1131" i="11"/>
  <c r="M1131" i="11"/>
  <c r="L1131" i="11"/>
  <c r="K1131" i="11"/>
  <c r="J1131" i="11"/>
  <c r="I1131" i="11"/>
  <c r="H1131" i="11"/>
  <c r="G1131" i="11"/>
  <c r="F1131" i="11"/>
  <c r="V1131" i="11" s="1"/>
  <c r="E1131" i="11"/>
  <c r="D1131" i="11"/>
  <c r="C1131" i="11"/>
  <c r="B1131" i="11"/>
  <c r="A1131" i="11"/>
  <c r="S1131" i="11" s="1"/>
  <c r="S1130" i="11"/>
  <c r="P1130" i="11"/>
  <c r="M1130" i="11"/>
  <c r="L1130" i="11"/>
  <c r="K1130" i="11"/>
  <c r="J1130" i="11"/>
  <c r="I1130" i="11"/>
  <c r="H1130" i="11"/>
  <c r="G1130" i="11"/>
  <c r="F1130" i="11"/>
  <c r="E1130" i="11"/>
  <c r="D1130" i="11"/>
  <c r="C1130" i="11"/>
  <c r="B1130" i="11"/>
  <c r="T1130" i="11" s="1"/>
  <c r="A1130" i="11"/>
  <c r="T1129" i="11"/>
  <c r="P1129" i="11"/>
  <c r="M1129" i="11"/>
  <c r="L1129" i="11"/>
  <c r="K1129" i="11"/>
  <c r="J1129" i="11"/>
  <c r="I1129" i="11"/>
  <c r="H1129" i="11"/>
  <c r="G1129" i="11"/>
  <c r="F1129" i="11"/>
  <c r="V1129" i="11" s="1"/>
  <c r="E1129" i="11"/>
  <c r="D1129" i="11"/>
  <c r="C1129" i="11"/>
  <c r="B1129" i="11"/>
  <c r="A1129" i="11"/>
  <c r="S1129" i="11" s="1"/>
  <c r="S1128" i="11"/>
  <c r="P1128" i="11"/>
  <c r="M1128" i="11"/>
  <c r="L1128" i="11"/>
  <c r="K1128" i="11"/>
  <c r="J1128" i="11"/>
  <c r="I1128" i="11"/>
  <c r="H1128" i="11"/>
  <c r="G1128" i="11"/>
  <c r="F1128" i="11"/>
  <c r="Q1128" i="11" s="1"/>
  <c r="E1128" i="11"/>
  <c r="D1128" i="11"/>
  <c r="C1128" i="11"/>
  <c r="B1128" i="11"/>
  <c r="T1128" i="11" s="1"/>
  <c r="A1128" i="11"/>
  <c r="T1127" i="11"/>
  <c r="P1127" i="11"/>
  <c r="M1127" i="11"/>
  <c r="L1127" i="11"/>
  <c r="K1127" i="11"/>
  <c r="J1127" i="11"/>
  <c r="I1127" i="11"/>
  <c r="H1127" i="11"/>
  <c r="G1127" i="11"/>
  <c r="F1127" i="11"/>
  <c r="V1127" i="11" s="1"/>
  <c r="E1127" i="11"/>
  <c r="D1127" i="11"/>
  <c r="C1127" i="11"/>
  <c r="B1127" i="11"/>
  <c r="A1127" i="11"/>
  <c r="S1127" i="11" s="1"/>
  <c r="S1126" i="11"/>
  <c r="P1126" i="11"/>
  <c r="M1126" i="11"/>
  <c r="L1126" i="11"/>
  <c r="K1126" i="11"/>
  <c r="J1126" i="11"/>
  <c r="I1126" i="11"/>
  <c r="H1126" i="11"/>
  <c r="G1126" i="11"/>
  <c r="F1126" i="11"/>
  <c r="Q1126" i="11" s="1"/>
  <c r="E1126" i="11"/>
  <c r="D1126" i="11"/>
  <c r="C1126" i="11"/>
  <c r="B1126" i="11"/>
  <c r="T1126" i="11" s="1"/>
  <c r="A1126" i="11"/>
  <c r="T1125" i="11"/>
  <c r="P1125" i="11"/>
  <c r="M1125" i="11"/>
  <c r="L1125" i="11"/>
  <c r="K1125" i="11"/>
  <c r="J1125" i="11"/>
  <c r="I1125" i="11"/>
  <c r="H1125" i="11"/>
  <c r="G1125" i="11"/>
  <c r="F1125" i="11"/>
  <c r="V1125" i="11" s="1"/>
  <c r="E1125" i="11"/>
  <c r="D1125" i="11"/>
  <c r="C1125" i="11"/>
  <c r="B1125" i="11"/>
  <c r="A1125" i="11"/>
  <c r="S1125" i="11" s="1"/>
  <c r="S1124" i="11"/>
  <c r="P1124" i="11"/>
  <c r="M1124" i="11"/>
  <c r="L1124" i="11"/>
  <c r="K1124" i="11"/>
  <c r="J1124" i="11"/>
  <c r="I1124" i="11"/>
  <c r="H1124" i="11"/>
  <c r="G1124" i="11"/>
  <c r="F1124" i="11"/>
  <c r="Q1124" i="11" s="1"/>
  <c r="E1124" i="11"/>
  <c r="D1124" i="11"/>
  <c r="C1124" i="11"/>
  <c r="B1124" i="11"/>
  <c r="T1124" i="11" s="1"/>
  <c r="A1124" i="11"/>
  <c r="T1123" i="11"/>
  <c r="P1123" i="11"/>
  <c r="M1123" i="11"/>
  <c r="L1123" i="11"/>
  <c r="K1123" i="11"/>
  <c r="J1123" i="11"/>
  <c r="I1123" i="11"/>
  <c r="H1123" i="11"/>
  <c r="G1123" i="11"/>
  <c r="F1123" i="11"/>
  <c r="V1123" i="11" s="1"/>
  <c r="E1123" i="11"/>
  <c r="D1123" i="11"/>
  <c r="C1123" i="11"/>
  <c r="B1123" i="11"/>
  <c r="A1123" i="11"/>
  <c r="S1123" i="11" s="1"/>
  <c r="V1122" i="11"/>
  <c r="S1122" i="11"/>
  <c r="P1122" i="11"/>
  <c r="M1122" i="11"/>
  <c r="L1122" i="11"/>
  <c r="K1122" i="11"/>
  <c r="J1122" i="11"/>
  <c r="I1122" i="11"/>
  <c r="H1122" i="11"/>
  <c r="G1122" i="11"/>
  <c r="F1122" i="11"/>
  <c r="Q1122" i="11" s="1"/>
  <c r="E1122" i="11"/>
  <c r="D1122" i="11"/>
  <c r="C1122" i="11"/>
  <c r="B1122" i="11"/>
  <c r="T1122" i="11" s="1"/>
  <c r="A1122" i="11"/>
  <c r="T1121" i="11"/>
  <c r="P1121" i="11"/>
  <c r="M1121" i="11"/>
  <c r="L1121" i="11"/>
  <c r="K1121" i="11"/>
  <c r="J1121" i="11"/>
  <c r="I1121" i="11"/>
  <c r="H1121" i="11"/>
  <c r="G1121" i="11"/>
  <c r="F1121" i="11"/>
  <c r="V1121" i="11" s="1"/>
  <c r="E1121" i="11"/>
  <c r="D1121" i="11"/>
  <c r="C1121" i="11"/>
  <c r="B1121" i="11"/>
  <c r="A1121" i="11"/>
  <c r="S1121" i="11" s="1"/>
  <c r="V1120" i="11"/>
  <c r="S1120" i="11"/>
  <c r="P1120" i="11"/>
  <c r="M1120" i="11"/>
  <c r="L1120" i="11"/>
  <c r="K1120" i="11"/>
  <c r="J1120" i="11"/>
  <c r="I1120" i="11"/>
  <c r="H1120" i="11"/>
  <c r="G1120" i="11"/>
  <c r="F1120" i="11"/>
  <c r="Q1120" i="11" s="1"/>
  <c r="E1120" i="11"/>
  <c r="D1120" i="11"/>
  <c r="C1120" i="11"/>
  <c r="B1120" i="11"/>
  <c r="T1120" i="11" s="1"/>
  <c r="A1120" i="11"/>
  <c r="T1119" i="11"/>
  <c r="P1119" i="11"/>
  <c r="M1119" i="11"/>
  <c r="L1119" i="11"/>
  <c r="K1119" i="11"/>
  <c r="J1119" i="11"/>
  <c r="I1119" i="11"/>
  <c r="H1119" i="11"/>
  <c r="G1119" i="11"/>
  <c r="F1119" i="11"/>
  <c r="V1119" i="11" s="1"/>
  <c r="E1119" i="11"/>
  <c r="D1119" i="11"/>
  <c r="C1119" i="11"/>
  <c r="B1119" i="11"/>
  <c r="A1119" i="11"/>
  <c r="S1119" i="11" s="1"/>
  <c r="S1118" i="11"/>
  <c r="P1118" i="11"/>
  <c r="M1118" i="11"/>
  <c r="L1118" i="11"/>
  <c r="K1118" i="11"/>
  <c r="J1118" i="11"/>
  <c r="I1118" i="11"/>
  <c r="H1118" i="11"/>
  <c r="G1118" i="11"/>
  <c r="F1118" i="11"/>
  <c r="Q1118" i="11" s="1"/>
  <c r="E1118" i="11"/>
  <c r="D1118" i="11"/>
  <c r="C1118" i="11"/>
  <c r="B1118" i="11"/>
  <c r="T1118" i="11" s="1"/>
  <c r="A1118" i="11"/>
  <c r="T1117" i="11"/>
  <c r="P1117" i="11"/>
  <c r="M1117" i="11"/>
  <c r="L1117" i="11"/>
  <c r="K1117" i="11"/>
  <c r="J1117" i="11"/>
  <c r="I1117" i="11"/>
  <c r="H1117" i="11"/>
  <c r="G1117" i="11"/>
  <c r="F1117" i="11"/>
  <c r="V1117" i="11" s="1"/>
  <c r="E1117" i="11"/>
  <c r="D1117" i="11"/>
  <c r="C1117" i="11"/>
  <c r="B1117" i="11"/>
  <c r="A1117" i="11"/>
  <c r="S1117" i="11" s="1"/>
  <c r="S1116" i="11"/>
  <c r="P1116" i="11"/>
  <c r="M1116" i="11"/>
  <c r="L1116" i="11"/>
  <c r="K1116" i="11"/>
  <c r="J1116" i="11"/>
  <c r="I1116" i="11"/>
  <c r="H1116" i="11"/>
  <c r="G1116" i="11"/>
  <c r="F1116" i="11"/>
  <c r="Q1116" i="11" s="1"/>
  <c r="E1116" i="11"/>
  <c r="D1116" i="11"/>
  <c r="C1116" i="11"/>
  <c r="B1116" i="11"/>
  <c r="T1116" i="11" s="1"/>
  <c r="A1116" i="11"/>
  <c r="T1115" i="11"/>
  <c r="P1115" i="11"/>
  <c r="M1115" i="11"/>
  <c r="L1115" i="11"/>
  <c r="K1115" i="11"/>
  <c r="J1115" i="11"/>
  <c r="I1115" i="11"/>
  <c r="H1115" i="11"/>
  <c r="G1115" i="11"/>
  <c r="F1115" i="11"/>
  <c r="V1115" i="11" s="1"/>
  <c r="E1115" i="11"/>
  <c r="D1115" i="11"/>
  <c r="C1115" i="11"/>
  <c r="B1115" i="11"/>
  <c r="A1115" i="11"/>
  <c r="S1115" i="11" s="1"/>
  <c r="S1114" i="11"/>
  <c r="P1114" i="11"/>
  <c r="M1114" i="11"/>
  <c r="L1114" i="11"/>
  <c r="K1114" i="11"/>
  <c r="J1114" i="11"/>
  <c r="I1114" i="11"/>
  <c r="H1114" i="11"/>
  <c r="G1114" i="11"/>
  <c r="F1114" i="11"/>
  <c r="Q1114" i="11" s="1"/>
  <c r="E1114" i="11"/>
  <c r="D1114" i="11"/>
  <c r="C1114" i="11"/>
  <c r="B1114" i="11"/>
  <c r="T1114" i="11" s="1"/>
  <c r="A1114" i="11"/>
  <c r="T1113" i="11"/>
  <c r="P1113" i="11"/>
  <c r="M1113" i="11"/>
  <c r="L1113" i="11"/>
  <c r="K1113" i="11"/>
  <c r="J1113" i="11"/>
  <c r="I1113" i="11"/>
  <c r="H1113" i="11"/>
  <c r="G1113" i="11"/>
  <c r="F1113" i="11"/>
  <c r="V1113" i="11" s="1"/>
  <c r="E1113" i="11"/>
  <c r="D1113" i="11"/>
  <c r="C1113" i="11"/>
  <c r="B1113" i="11"/>
  <c r="A1113" i="11"/>
  <c r="S1113" i="11" s="1"/>
  <c r="S1112" i="11"/>
  <c r="P1112" i="11"/>
  <c r="M1112" i="11"/>
  <c r="L1112" i="11"/>
  <c r="K1112" i="11"/>
  <c r="J1112" i="11"/>
  <c r="I1112" i="11"/>
  <c r="H1112" i="11"/>
  <c r="G1112" i="11"/>
  <c r="F1112" i="11"/>
  <c r="Q1112" i="11" s="1"/>
  <c r="E1112" i="11"/>
  <c r="D1112" i="11"/>
  <c r="C1112" i="11"/>
  <c r="B1112" i="11"/>
  <c r="T1112" i="11" s="1"/>
  <c r="A1112" i="11"/>
  <c r="T1111" i="11"/>
  <c r="P1111" i="11"/>
  <c r="M1111" i="11"/>
  <c r="L1111" i="11"/>
  <c r="K1111" i="11"/>
  <c r="J1111" i="11"/>
  <c r="I1111" i="11"/>
  <c r="H1111" i="11"/>
  <c r="G1111" i="11"/>
  <c r="F1111" i="11"/>
  <c r="V1111" i="11" s="1"/>
  <c r="E1111" i="11"/>
  <c r="D1111" i="11"/>
  <c r="C1111" i="11"/>
  <c r="B1111" i="11"/>
  <c r="A1111" i="11"/>
  <c r="S1111" i="11" s="1"/>
  <c r="S1110" i="11"/>
  <c r="P1110" i="11"/>
  <c r="M1110" i="11"/>
  <c r="L1110" i="11"/>
  <c r="K1110" i="11"/>
  <c r="J1110" i="11"/>
  <c r="I1110" i="11"/>
  <c r="H1110" i="11"/>
  <c r="G1110" i="11"/>
  <c r="F1110" i="11"/>
  <c r="Q1110" i="11" s="1"/>
  <c r="E1110" i="11"/>
  <c r="D1110" i="11"/>
  <c r="C1110" i="11"/>
  <c r="B1110" i="11"/>
  <c r="T1110" i="11" s="1"/>
  <c r="A1110" i="11"/>
  <c r="T1109" i="11"/>
  <c r="P1109" i="11"/>
  <c r="M1109" i="11"/>
  <c r="L1109" i="11"/>
  <c r="K1109" i="11"/>
  <c r="J1109" i="11"/>
  <c r="I1109" i="11"/>
  <c r="H1109" i="11"/>
  <c r="G1109" i="11"/>
  <c r="F1109" i="11"/>
  <c r="V1109" i="11" s="1"/>
  <c r="E1109" i="11"/>
  <c r="D1109" i="11"/>
  <c r="C1109" i="11"/>
  <c r="B1109" i="11"/>
  <c r="A1109" i="11"/>
  <c r="S1109" i="11" s="1"/>
  <c r="S1108" i="11"/>
  <c r="P1108" i="11"/>
  <c r="M1108" i="11"/>
  <c r="L1108" i="11"/>
  <c r="K1108" i="11"/>
  <c r="J1108" i="11"/>
  <c r="I1108" i="11"/>
  <c r="H1108" i="11"/>
  <c r="G1108" i="11"/>
  <c r="F1108" i="11"/>
  <c r="Q1108" i="11" s="1"/>
  <c r="E1108" i="11"/>
  <c r="D1108" i="11"/>
  <c r="C1108" i="11"/>
  <c r="B1108" i="11"/>
  <c r="T1108" i="11" s="1"/>
  <c r="A1108" i="11"/>
  <c r="T1107" i="11"/>
  <c r="P1107" i="11"/>
  <c r="M1107" i="11"/>
  <c r="L1107" i="11"/>
  <c r="K1107" i="11"/>
  <c r="J1107" i="11"/>
  <c r="I1107" i="11"/>
  <c r="H1107" i="11"/>
  <c r="G1107" i="11"/>
  <c r="F1107" i="11"/>
  <c r="V1107" i="11" s="1"/>
  <c r="E1107" i="11"/>
  <c r="D1107" i="11"/>
  <c r="C1107" i="11"/>
  <c r="B1107" i="11"/>
  <c r="A1107" i="11"/>
  <c r="S1107" i="11" s="1"/>
  <c r="V1106" i="11"/>
  <c r="S1106" i="11"/>
  <c r="P1106" i="11"/>
  <c r="M1106" i="11"/>
  <c r="L1106" i="11"/>
  <c r="K1106" i="11"/>
  <c r="J1106" i="11"/>
  <c r="I1106" i="11"/>
  <c r="H1106" i="11"/>
  <c r="G1106" i="11"/>
  <c r="F1106" i="11"/>
  <c r="Q1106" i="11" s="1"/>
  <c r="E1106" i="11"/>
  <c r="D1106" i="11"/>
  <c r="C1106" i="11"/>
  <c r="B1106" i="11"/>
  <c r="T1106" i="11" s="1"/>
  <c r="A1106" i="11"/>
  <c r="T1105" i="11"/>
  <c r="P1105" i="11"/>
  <c r="M1105" i="11"/>
  <c r="L1105" i="11"/>
  <c r="K1105" i="11"/>
  <c r="J1105" i="11"/>
  <c r="I1105" i="11"/>
  <c r="H1105" i="11"/>
  <c r="G1105" i="11"/>
  <c r="F1105" i="11"/>
  <c r="V1105" i="11" s="1"/>
  <c r="E1105" i="11"/>
  <c r="D1105" i="11"/>
  <c r="C1105" i="11"/>
  <c r="B1105" i="11"/>
  <c r="A1105" i="11"/>
  <c r="S1105" i="11" s="1"/>
  <c r="V1104" i="11"/>
  <c r="S1104" i="11"/>
  <c r="P1104" i="11"/>
  <c r="M1104" i="11"/>
  <c r="L1104" i="11"/>
  <c r="K1104" i="11"/>
  <c r="J1104" i="11"/>
  <c r="I1104" i="11"/>
  <c r="H1104" i="11"/>
  <c r="G1104" i="11"/>
  <c r="F1104" i="11"/>
  <c r="Q1104" i="11" s="1"/>
  <c r="E1104" i="11"/>
  <c r="D1104" i="11"/>
  <c r="C1104" i="11"/>
  <c r="B1104" i="11"/>
  <c r="T1104" i="11" s="1"/>
  <c r="A1104" i="11"/>
  <c r="T1103" i="11"/>
  <c r="P1103" i="11"/>
  <c r="M1103" i="11"/>
  <c r="L1103" i="11"/>
  <c r="K1103" i="11"/>
  <c r="J1103" i="11"/>
  <c r="I1103" i="11"/>
  <c r="H1103" i="11"/>
  <c r="G1103" i="11"/>
  <c r="F1103" i="11"/>
  <c r="V1103" i="11" s="1"/>
  <c r="E1103" i="11"/>
  <c r="D1103" i="11"/>
  <c r="C1103" i="11"/>
  <c r="B1103" i="11"/>
  <c r="A1103" i="11"/>
  <c r="S1103" i="11" s="1"/>
  <c r="S1102" i="11"/>
  <c r="P1102" i="11"/>
  <c r="M1102" i="11"/>
  <c r="L1102" i="11"/>
  <c r="K1102" i="11"/>
  <c r="J1102" i="11"/>
  <c r="I1102" i="11"/>
  <c r="H1102" i="11"/>
  <c r="G1102" i="11"/>
  <c r="F1102" i="11"/>
  <c r="Q1102" i="11" s="1"/>
  <c r="E1102" i="11"/>
  <c r="D1102" i="11"/>
  <c r="C1102" i="11"/>
  <c r="B1102" i="11"/>
  <c r="T1102" i="11" s="1"/>
  <c r="A1102" i="11"/>
  <c r="T1101" i="11"/>
  <c r="P1101" i="11"/>
  <c r="M1101" i="11"/>
  <c r="L1101" i="11"/>
  <c r="K1101" i="11"/>
  <c r="J1101" i="11"/>
  <c r="I1101" i="11"/>
  <c r="H1101" i="11"/>
  <c r="G1101" i="11"/>
  <c r="F1101" i="11"/>
  <c r="V1101" i="11" s="1"/>
  <c r="E1101" i="11"/>
  <c r="D1101" i="11"/>
  <c r="C1101" i="11"/>
  <c r="B1101" i="11"/>
  <c r="A1101" i="11"/>
  <c r="S1101" i="11" s="1"/>
  <c r="S1100" i="11"/>
  <c r="P1100" i="11"/>
  <c r="M1100" i="11"/>
  <c r="L1100" i="11"/>
  <c r="K1100" i="11"/>
  <c r="J1100" i="11"/>
  <c r="I1100" i="11"/>
  <c r="H1100" i="11"/>
  <c r="G1100" i="11"/>
  <c r="F1100" i="11"/>
  <c r="Q1100" i="11" s="1"/>
  <c r="E1100" i="11"/>
  <c r="D1100" i="11"/>
  <c r="C1100" i="11"/>
  <c r="B1100" i="11"/>
  <c r="T1100" i="11" s="1"/>
  <c r="A1100" i="11"/>
  <c r="T1099" i="11"/>
  <c r="P1099" i="11"/>
  <c r="M1099" i="11"/>
  <c r="L1099" i="11"/>
  <c r="K1099" i="11"/>
  <c r="J1099" i="11"/>
  <c r="I1099" i="11"/>
  <c r="H1099" i="11"/>
  <c r="G1099" i="11"/>
  <c r="F1099" i="11"/>
  <c r="V1099" i="11" s="1"/>
  <c r="E1099" i="11"/>
  <c r="D1099" i="11"/>
  <c r="C1099" i="11"/>
  <c r="B1099" i="11"/>
  <c r="A1099" i="11"/>
  <c r="S1099" i="11" s="1"/>
  <c r="V1098" i="11"/>
  <c r="S1098" i="11"/>
  <c r="P1098" i="11"/>
  <c r="M1098" i="11"/>
  <c r="L1098" i="11"/>
  <c r="K1098" i="11"/>
  <c r="J1098" i="11"/>
  <c r="I1098" i="11"/>
  <c r="H1098" i="11"/>
  <c r="G1098" i="11"/>
  <c r="F1098" i="11"/>
  <c r="Q1098" i="11" s="1"/>
  <c r="E1098" i="11"/>
  <c r="D1098" i="11"/>
  <c r="C1098" i="11"/>
  <c r="B1098" i="11"/>
  <c r="T1098" i="11" s="1"/>
  <c r="A1098" i="11"/>
  <c r="T1097" i="11"/>
  <c r="P1097" i="11"/>
  <c r="M1097" i="11"/>
  <c r="L1097" i="11"/>
  <c r="K1097" i="11"/>
  <c r="J1097" i="11"/>
  <c r="I1097" i="11"/>
  <c r="H1097" i="11"/>
  <c r="G1097" i="11"/>
  <c r="F1097" i="11"/>
  <c r="V1097" i="11" s="1"/>
  <c r="E1097" i="11"/>
  <c r="D1097" i="11"/>
  <c r="C1097" i="11"/>
  <c r="B1097" i="11"/>
  <c r="A1097" i="11"/>
  <c r="S1097" i="11" s="1"/>
  <c r="V1096" i="11"/>
  <c r="S1096" i="11"/>
  <c r="P1096" i="11"/>
  <c r="M1096" i="11"/>
  <c r="L1096" i="11"/>
  <c r="K1096" i="11"/>
  <c r="J1096" i="11"/>
  <c r="I1096" i="11"/>
  <c r="H1096" i="11"/>
  <c r="G1096" i="11"/>
  <c r="F1096" i="11"/>
  <c r="Q1096" i="11" s="1"/>
  <c r="E1096" i="11"/>
  <c r="D1096" i="11"/>
  <c r="C1096" i="11"/>
  <c r="B1096" i="11"/>
  <c r="T1096" i="11" s="1"/>
  <c r="A1096" i="11"/>
  <c r="T1095" i="11"/>
  <c r="P1095" i="11"/>
  <c r="M1095" i="11"/>
  <c r="L1095" i="11"/>
  <c r="K1095" i="11"/>
  <c r="J1095" i="11"/>
  <c r="I1095" i="11"/>
  <c r="H1095" i="11"/>
  <c r="G1095" i="11"/>
  <c r="F1095" i="11"/>
  <c r="V1095" i="11" s="1"/>
  <c r="E1095" i="11"/>
  <c r="D1095" i="11"/>
  <c r="C1095" i="11"/>
  <c r="B1095" i="11"/>
  <c r="A1095" i="11"/>
  <c r="S1095" i="11" s="1"/>
  <c r="S1094" i="11"/>
  <c r="P1094" i="11"/>
  <c r="M1094" i="11"/>
  <c r="L1094" i="11"/>
  <c r="K1094" i="11"/>
  <c r="J1094" i="11"/>
  <c r="I1094" i="11"/>
  <c r="H1094" i="11"/>
  <c r="G1094" i="11"/>
  <c r="F1094" i="11"/>
  <c r="Q1094" i="11" s="1"/>
  <c r="E1094" i="11"/>
  <c r="D1094" i="11"/>
  <c r="C1094" i="11"/>
  <c r="B1094" i="11"/>
  <c r="T1094" i="11" s="1"/>
  <c r="A1094" i="11"/>
  <c r="T1093" i="11"/>
  <c r="P1093" i="11"/>
  <c r="M1093" i="11"/>
  <c r="L1093" i="11"/>
  <c r="K1093" i="11"/>
  <c r="J1093" i="11"/>
  <c r="I1093" i="11"/>
  <c r="H1093" i="11"/>
  <c r="G1093" i="11"/>
  <c r="F1093" i="11"/>
  <c r="V1093" i="11" s="1"/>
  <c r="E1093" i="11"/>
  <c r="D1093" i="11"/>
  <c r="C1093" i="11"/>
  <c r="B1093" i="11"/>
  <c r="A1093" i="11"/>
  <c r="S1093" i="11" s="1"/>
  <c r="S1092" i="11"/>
  <c r="P1092" i="11"/>
  <c r="M1092" i="11"/>
  <c r="L1092" i="11"/>
  <c r="K1092" i="11"/>
  <c r="J1092" i="11"/>
  <c r="I1092" i="11"/>
  <c r="H1092" i="11"/>
  <c r="G1092" i="11"/>
  <c r="F1092" i="11"/>
  <c r="Q1092" i="11" s="1"/>
  <c r="E1092" i="11"/>
  <c r="D1092" i="11"/>
  <c r="C1092" i="11"/>
  <c r="B1092" i="11"/>
  <c r="T1092" i="11" s="1"/>
  <c r="A1092" i="11"/>
  <c r="T1091" i="11"/>
  <c r="P1091" i="11"/>
  <c r="M1091" i="11"/>
  <c r="L1091" i="11"/>
  <c r="K1091" i="11"/>
  <c r="J1091" i="11"/>
  <c r="I1091" i="11"/>
  <c r="H1091" i="11"/>
  <c r="G1091" i="11"/>
  <c r="F1091" i="11"/>
  <c r="V1091" i="11" s="1"/>
  <c r="E1091" i="11"/>
  <c r="D1091" i="11"/>
  <c r="C1091" i="11"/>
  <c r="B1091" i="11"/>
  <c r="A1091" i="11"/>
  <c r="S1091" i="11" s="1"/>
  <c r="S1090" i="11"/>
  <c r="P1090" i="11"/>
  <c r="M1090" i="11"/>
  <c r="L1090" i="11"/>
  <c r="K1090" i="11"/>
  <c r="J1090" i="11"/>
  <c r="I1090" i="11"/>
  <c r="H1090" i="11"/>
  <c r="G1090" i="11"/>
  <c r="F1090" i="11"/>
  <c r="E1090" i="11"/>
  <c r="D1090" i="11"/>
  <c r="C1090" i="11"/>
  <c r="B1090" i="11"/>
  <c r="T1090" i="11" s="1"/>
  <c r="A1090" i="11"/>
  <c r="T1089" i="11"/>
  <c r="P1089" i="11"/>
  <c r="M1089" i="11"/>
  <c r="L1089" i="11"/>
  <c r="K1089" i="11"/>
  <c r="J1089" i="11"/>
  <c r="I1089" i="11"/>
  <c r="H1089" i="11"/>
  <c r="G1089" i="11"/>
  <c r="F1089" i="11"/>
  <c r="V1089" i="11" s="1"/>
  <c r="E1089" i="11"/>
  <c r="D1089" i="11"/>
  <c r="C1089" i="11"/>
  <c r="B1089" i="11"/>
  <c r="A1089" i="11"/>
  <c r="S1089" i="11" s="1"/>
  <c r="S1088" i="11"/>
  <c r="P1088" i="11"/>
  <c r="M1088" i="11"/>
  <c r="L1088" i="11"/>
  <c r="K1088" i="11"/>
  <c r="J1088" i="11"/>
  <c r="I1088" i="11"/>
  <c r="H1088" i="11"/>
  <c r="G1088" i="11"/>
  <c r="F1088" i="11"/>
  <c r="Q1088" i="11" s="1"/>
  <c r="E1088" i="11"/>
  <c r="D1088" i="11"/>
  <c r="C1088" i="11"/>
  <c r="B1088" i="11"/>
  <c r="T1088" i="11" s="1"/>
  <c r="A1088" i="11"/>
  <c r="T1087" i="11"/>
  <c r="P1087" i="11"/>
  <c r="M1087" i="11"/>
  <c r="L1087" i="11"/>
  <c r="K1087" i="11"/>
  <c r="J1087" i="11"/>
  <c r="I1087" i="11"/>
  <c r="H1087" i="11"/>
  <c r="G1087" i="11"/>
  <c r="F1087" i="11"/>
  <c r="V1087" i="11" s="1"/>
  <c r="E1087" i="11"/>
  <c r="D1087" i="11"/>
  <c r="C1087" i="11"/>
  <c r="B1087" i="11"/>
  <c r="A1087" i="11"/>
  <c r="S1087" i="11" s="1"/>
  <c r="S1086" i="11"/>
  <c r="P1086" i="11"/>
  <c r="M1086" i="11"/>
  <c r="L1086" i="11"/>
  <c r="K1086" i="11"/>
  <c r="J1086" i="11"/>
  <c r="I1086" i="11"/>
  <c r="H1086" i="11"/>
  <c r="G1086" i="11"/>
  <c r="F1086" i="11"/>
  <c r="Q1086" i="11" s="1"/>
  <c r="E1086" i="11"/>
  <c r="D1086" i="11"/>
  <c r="C1086" i="11"/>
  <c r="B1086" i="11"/>
  <c r="T1086" i="11" s="1"/>
  <c r="A1086" i="11"/>
  <c r="T1085" i="11"/>
  <c r="P1085" i="11"/>
  <c r="M1085" i="11"/>
  <c r="L1085" i="11"/>
  <c r="K1085" i="11"/>
  <c r="J1085" i="11"/>
  <c r="I1085" i="11"/>
  <c r="H1085" i="11"/>
  <c r="G1085" i="11"/>
  <c r="F1085" i="11"/>
  <c r="V1085" i="11" s="1"/>
  <c r="E1085" i="11"/>
  <c r="D1085" i="11"/>
  <c r="C1085" i="11"/>
  <c r="B1085" i="11"/>
  <c r="A1085" i="11"/>
  <c r="S1085" i="11" s="1"/>
  <c r="S1084" i="11"/>
  <c r="P1084" i="11"/>
  <c r="M1084" i="11"/>
  <c r="L1084" i="11"/>
  <c r="K1084" i="11"/>
  <c r="J1084" i="11"/>
  <c r="I1084" i="11"/>
  <c r="H1084" i="11"/>
  <c r="G1084" i="11"/>
  <c r="F1084" i="11"/>
  <c r="Q1084" i="11" s="1"/>
  <c r="E1084" i="11"/>
  <c r="D1084" i="11"/>
  <c r="C1084" i="11"/>
  <c r="B1084" i="11"/>
  <c r="T1084" i="11" s="1"/>
  <c r="A1084" i="11"/>
  <c r="T1083" i="11"/>
  <c r="P1083" i="11"/>
  <c r="M1083" i="11"/>
  <c r="L1083" i="11"/>
  <c r="K1083" i="11"/>
  <c r="J1083" i="11"/>
  <c r="I1083" i="11"/>
  <c r="H1083" i="11"/>
  <c r="G1083" i="11"/>
  <c r="F1083" i="11"/>
  <c r="V1083" i="11" s="1"/>
  <c r="E1083" i="11"/>
  <c r="D1083" i="11"/>
  <c r="C1083" i="11"/>
  <c r="B1083" i="11"/>
  <c r="A1083" i="11"/>
  <c r="S1083" i="11" s="1"/>
  <c r="S1082" i="11"/>
  <c r="P1082" i="11"/>
  <c r="M1082" i="11"/>
  <c r="L1082" i="11"/>
  <c r="K1082" i="11"/>
  <c r="J1082" i="11"/>
  <c r="I1082" i="11"/>
  <c r="H1082" i="11"/>
  <c r="G1082" i="11"/>
  <c r="F1082" i="11"/>
  <c r="Q1082" i="11" s="1"/>
  <c r="E1082" i="11"/>
  <c r="D1082" i="11"/>
  <c r="C1082" i="11"/>
  <c r="B1082" i="11"/>
  <c r="T1082" i="11" s="1"/>
  <c r="A1082" i="11"/>
  <c r="T1081" i="11"/>
  <c r="P1081" i="11"/>
  <c r="M1081" i="11"/>
  <c r="L1081" i="11"/>
  <c r="K1081" i="11"/>
  <c r="J1081" i="11"/>
  <c r="I1081" i="11"/>
  <c r="H1081" i="11"/>
  <c r="G1081" i="11"/>
  <c r="F1081" i="11"/>
  <c r="V1081" i="11" s="1"/>
  <c r="E1081" i="11"/>
  <c r="D1081" i="11"/>
  <c r="C1081" i="11"/>
  <c r="B1081" i="11"/>
  <c r="A1081" i="11"/>
  <c r="S1081" i="11" s="1"/>
  <c r="S1080" i="11"/>
  <c r="P1080" i="11"/>
  <c r="M1080" i="11"/>
  <c r="L1080" i="11"/>
  <c r="K1080" i="11"/>
  <c r="J1080" i="11"/>
  <c r="I1080" i="11"/>
  <c r="H1080" i="11"/>
  <c r="G1080" i="11"/>
  <c r="F1080" i="11"/>
  <c r="Q1080" i="11" s="1"/>
  <c r="E1080" i="11"/>
  <c r="D1080" i="11"/>
  <c r="C1080" i="11"/>
  <c r="B1080" i="11"/>
  <c r="T1080" i="11" s="1"/>
  <c r="A1080" i="11"/>
  <c r="T1079" i="11"/>
  <c r="P1079" i="11"/>
  <c r="M1079" i="11"/>
  <c r="L1079" i="11"/>
  <c r="K1079" i="11"/>
  <c r="J1079" i="11"/>
  <c r="I1079" i="11"/>
  <c r="H1079" i="11"/>
  <c r="G1079" i="11"/>
  <c r="F1079" i="11"/>
  <c r="E1079" i="11"/>
  <c r="D1079" i="11"/>
  <c r="C1079" i="11"/>
  <c r="B1079" i="11"/>
  <c r="A1079" i="11"/>
  <c r="S1079" i="11" s="1"/>
  <c r="S1078" i="11"/>
  <c r="P1078" i="11"/>
  <c r="M1078" i="11"/>
  <c r="L1078" i="11"/>
  <c r="K1078" i="11"/>
  <c r="J1078" i="11"/>
  <c r="I1078" i="11"/>
  <c r="H1078" i="11"/>
  <c r="G1078" i="11"/>
  <c r="F1078" i="11"/>
  <c r="E1078" i="11"/>
  <c r="D1078" i="11"/>
  <c r="C1078" i="11"/>
  <c r="B1078" i="11"/>
  <c r="T1078" i="11" s="1"/>
  <c r="A1078" i="11"/>
  <c r="P1077" i="11"/>
  <c r="M1077" i="11"/>
  <c r="L1077" i="11"/>
  <c r="K1077" i="11"/>
  <c r="J1077" i="11"/>
  <c r="I1077" i="11"/>
  <c r="H1077" i="11"/>
  <c r="G1077" i="11"/>
  <c r="F1077" i="11"/>
  <c r="E1077" i="11"/>
  <c r="D1077" i="11"/>
  <c r="C1077" i="11"/>
  <c r="B1077" i="11"/>
  <c r="T1077" i="11" s="1"/>
  <c r="A1077" i="11"/>
  <c r="S1077" i="11" s="1"/>
  <c r="T1076" i="11"/>
  <c r="S1076" i="11"/>
  <c r="P1076" i="11"/>
  <c r="M1076" i="11"/>
  <c r="L1076" i="11"/>
  <c r="K1076" i="11"/>
  <c r="J1076" i="11"/>
  <c r="I1076" i="11"/>
  <c r="H1076" i="11"/>
  <c r="G1076" i="11"/>
  <c r="F1076" i="11"/>
  <c r="Q1076" i="11" s="1"/>
  <c r="E1076" i="11"/>
  <c r="D1076" i="11"/>
  <c r="C1076" i="11"/>
  <c r="B1076" i="11"/>
  <c r="A1076" i="11"/>
  <c r="T1075" i="11"/>
  <c r="P1075" i="11"/>
  <c r="M1075" i="11"/>
  <c r="L1075" i="11"/>
  <c r="K1075" i="11"/>
  <c r="J1075" i="11"/>
  <c r="I1075" i="11"/>
  <c r="H1075" i="11"/>
  <c r="G1075" i="11"/>
  <c r="F1075" i="11"/>
  <c r="Q1075" i="11" s="1"/>
  <c r="E1075" i="11"/>
  <c r="D1075" i="11"/>
  <c r="C1075" i="11"/>
  <c r="B1075" i="11"/>
  <c r="A1075" i="11"/>
  <c r="S1075" i="11" s="1"/>
  <c r="V1074" i="11"/>
  <c r="S1074" i="11"/>
  <c r="P1074" i="11"/>
  <c r="M1074" i="11"/>
  <c r="L1074" i="11"/>
  <c r="K1074" i="11"/>
  <c r="J1074" i="11"/>
  <c r="I1074" i="11"/>
  <c r="H1074" i="11"/>
  <c r="G1074" i="11"/>
  <c r="F1074" i="11"/>
  <c r="Q1074" i="11" s="1"/>
  <c r="E1074" i="11"/>
  <c r="D1074" i="11"/>
  <c r="C1074" i="11"/>
  <c r="B1074" i="11"/>
  <c r="T1074" i="11" s="1"/>
  <c r="A1074" i="11"/>
  <c r="T1073" i="11"/>
  <c r="P1073" i="11"/>
  <c r="M1073" i="11"/>
  <c r="L1073" i="11"/>
  <c r="K1073" i="11"/>
  <c r="J1073" i="11"/>
  <c r="I1073" i="11"/>
  <c r="H1073" i="11"/>
  <c r="G1073" i="11"/>
  <c r="F1073" i="11"/>
  <c r="Q1073" i="11" s="1"/>
  <c r="E1073" i="11"/>
  <c r="D1073" i="11"/>
  <c r="C1073" i="11"/>
  <c r="B1073" i="11"/>
  <c r="A1073" i="11"/>
  <c r="S1073" i="11" s="1"/>
  <c r="V1072" i="11"/>
  <c r="S1072" i="11"/>
  <c r="P1072" i="11"/>
  <c r="M1072" i="11"/>
  <c r="L1072" i="11"/>
  <c r="K1072" i="11"/>
  <c r="J1072" i="11"/>
  <c r="I1072" i="11"/>
  <c r="H1072" i="11"/>
  <c r="G1072" i="11"/>
  <c r="F1072" i="11"/>
  <c r="Q1072" i="11" s="1"/>
  <c r="E1072" i="11"/>
  <c r="D1072" i="11"/>
  <c r="C1072" i="11"/>
  <c r="B1072" i="11"/>
  <c r="T1072" i="11" s="1"/>
  <c r="A1072" i="11"/>
  <c r="T1071" i="11"/>
  <c r="P1071" i="11"/>
  <c r="M1071" i="11"/>
  <c r="L1071" i="11"/>
  <c r="K1071" i="11"/>
  <c r="J1071" i="11"/>
  <c r="I1071" i="11"/>
  <c r="H1071" i="11"/>
  <c r="G1071" i="11"/>
  <c r="F1071" i="11"/>
  <c r="Q1071" i="11" s="1"/>
  <c r="E1071" i="11"/>
  <c r="V1071" i="11" s="1"/>
  <c r="D1071" i="11"/>
  <c r="C1071" i="11"/>
  <c r="B1071" i="11"/>
  <c r="A1071" i="11"/>
  <c r="S1071" i="11" s="1"/>
  <c r="S1070" i="11"/>
  <c r="P1070" i="11"/>
  <c r="M1070" i="11"/>
  <c r="L1070" i="11"/>
  <c r="K1070" i="11"/>
  <c r="J1070" i="11"/>
  <c r="I1070" i="11"/>
  <c r="H1070" i="11"/>
  <c r="G1070" i="11"/>
  <c r="F1070" i="11"/>
  <c r="E1070" i="11"/>
  <c r="D1070" i="11"/>
  <c r="C1070" i="11"/>
  <c r="B1070" i="11"/>
  <c r="T1070" i="11" s="1"/>
  <c r="A1070" i="11"/>
  <c r="T1069" i="11"/>
  <c r="M1069" i="11"/>
  <c r="L1069" i="11"/>
  <c r="K1069" i="11"/>
  <c r="J1069" i="11"/>
  <c r="I1069" i="11"/>
  <c r="H1069" i="11"/>
  <c r="G1069" i="11"/>
  <c r="F1069" i="11"/>
  <c r="Q1069" i="11" s="1"/>
  <c r="E1069" i="11"/>
  <c r="V1069" i="11" s="1"/>
  <c r="D1069" i="11"/>
  <c r="C1069" i="11"/>
  <c r="B1069" i="11"/>
  <c r="A1069" i="11"/>
  <c r="S1069" i="11" s="1"/>
  <c r="T1068" i="11"/>
  <c r="S1068" i="11"/>
  <c r="P1068" i="11"/>
  <c r="M1068" i="11"/>
  <c r="L1068" i="11"/>
  <c r="K1068" i="11"/>
  <c r="J1068" i="11"/>
  <c r="I1068" i="11"/>
  <c r="H1068" i="11"/>
  <c r="G1068" i="11"/>
  <c r="F1068" i="11"/>
  <c r="E1068" i="11"/>
  <c r="D1068" i="11"/>
  <c r="C1068" i="11"/>
  <c r="B1068" i="11"/>
  <c r="A1068" i="11"/>
  <c r="T1067" i="11"/>
  <c r="M1067" i="11"/>
  <c r="L1067" i="11"/>
  <c r="K1067" i="11"/>
  <c r="J1067" i="11"/>
  <c r="I1067" i="11"/>
  <c r="H1067" i="11"/>
  <c r="G1067" i="11"/>
  <c r="F1067" i="11"/>
  <c r="Q1067" i="11" s="1"/>
  <c r="E1067" i="11"/>
  <c r="D1067" i="11"/>
  <c r="C1067" i="11"/>
  <c r="B1067" i="11"/>
  <c r="A1067" i="11"/>
  <c r="S1067" i="11" s="1"/>
  <c r="T1066" i="11"/>
  <c r="S1066" i="11"/>
  <c r="P1066" i="11"/>
  <c r="M1066" i="11"/>
  <c r="L1066" i="11"/>
  <c r="K1066" i="11"/>
  <c r="J1066" i="11"/>
  <c r="I1066" i="11"/>
  <c r="H1066" i="11"/>
  <c r="G1066" i="11"/>
  <c r="F1066" i="11"/>
  <c r="E1066" i="11"/>
  <c r="D1066" i="11"/>
  <c r="C1066" i="11"/>
  <c r="B1066" i="11"/>
  <c r="A1066" i="11"/>
  <c r="P1065" i="11"/>
  <c r="M1065" i="11"/>
  <c r="L1065" i="11"/>
  <c r="K1065" i="11"/>
  <c r="J1065" i="11"/>
  <c r="I1065" i="11"/>
  <c r="H1065" i="11"/>
  <c r="G1065" i="11"/>
  <c r="F1065" i="11"/>
  <c r="Q1065" i="11" s="1"/>
  <c r="E1065" i="11"/>
  <c r="D1065" i="11"/>
  <c r="C1065" i="11"/>
  <c r="B1065" i="11"/>
  <c r="T1065" i="11" s="1"/>
  <c r="A1065" i="11"/>
  <c r="S1065" i="11" s="1"/>
  <c r="S1064" i="11"/>
  <c r="P1064" i="11"/>
  <c r="M1064" i="11"/>
  <c r="L1064" i="11"/>
  <c r="K1064" i="11"/>
  <c r="J1064" i="11"/>
  <c r="I1064" i="11"/>
  <c r="H1064" i="11"/>
  <c r="G1064" i="11"/>
  <c r="F1064" i="11"/>
  <c r="E1064" i="11"/>
  <c r="D1064" i="11"/>
  <c r="C1064" i="11"/>
  <c r="B1064" i="11"/>
  <c r="T1064" i="11" s="1"/>
  <c r="A1064" i="11"/>
  <c r="M1063" i="11"/>
  <c r="L1063" i="11"/>
  <c r="K1063" i="11"/>
  <c r="J1063" i="11"/>
  <c r="I1063" i="11"/>
  <c r="H1063" i="11"/>
  <c r="G1063" i="11"/>
  <c r="F1063" i="11"/>
  <c r="Q1063" i="11" s="1"/>
  <c r="E1063" i="11"/>
  <c r="D1063" i="11"/>
  <c r="C1063" i="11"/>
  <c r="B1063" i="11"/>
  <c r="T1063" i="11" s="1"/>
  <c r="A1063" i="11"/>
  <c r="S1063" i="11" s="1"/>
  <c r="S1062" i="11"/>
  <c r="P1062" i="11"/>
  <c r="M1062" i="11"/>
  <c r="L1062" i="11"/>
  <c r="K1062" i="11"/>
  <c r="J1062" i="11"/>
  <c r="I1062" i="11"/>
  <c r="H1062" i="11"/>
  <c r="G1062" i="11"/>
  <c r="F1062" i="11"/>
  <c r="Q1062" i="11" s="1"/>
  <c r="E1062" i="11"/>
  <c r="D1062" i="11"/>
  <c r="C1062" i="11"/>
  <c r="B1062" i="11"/>
  <c r="T1062" i="11" s="1"/>
  <c r="A1062" i="11"/>
  <c r="M1061" i="11"/>
  <c r="L1061" i="11"/>
  <c r="K1061" i="11"/>
  <c r="J1061" i="11"/>
  <c r="I1061" i="11"/>
  <c r="H1061" i="11"/>
  <c r="G1061" i="11"/>
  <c r="F1061" i="11"/>
  <c r="Q1061" i="11" s="1"/>
  <c r="E1061" i="11"/>
  <c r="D1061" i="11"/>
  <c r="C1061" i="11"/>
  <c r="B1061" i="11"/>
  <c r="T1061" i="11" s="1"/>
  <c r="A1061" i="11"/>
  <c r="S1061" i="11" s="1"/>
  <c r="S1060" i="11"/>
  <c r="P1060" i="11"/>
  <c r="M1060" i="11"/>
  <c r="L1060" i="11"/>
  <c r="K1060" i="11"/>
  <c r="J1060" i="11"/>
  <c r="I1060" i="11"/>
  <c r="H1060" i="11"/>
  <c r="G1060" i="11"/>
  <c r="F1060" i="11"/>
  <c r="Q1060" i="11" s="1"/>
  <c r="E1060" i="11"/>
  <c r="D1060" i="11"/>
  <c r="C1060" i="11"/>
  <c r="B1060" i="11"/>
  <c r="T1060" i="11" s="1"/>
  <c r="A1060" i="11"/>
  <c r="M1059" i="11"/>
  <c r="L1059" i="11"/>
  <c r="K1059" i="11"/>
  <c r="J1059" i="11"/>
  <c r="I1059" i="11"/>
  <c r="H1059" i="11"/>
  <c r="G1059" i="11"/>
  <c r="F1059" i="11"/>
  <c r="Q1059" i="11" s="1"/>
  <c r="E1059" i="11"/>
  <c r="D1059" i="11"/>
  <c r="C1059" i="11"/>
  <c r="B1059" i="11"/>
  <c r="T1059" i="11" s="1"/>
  <c r="A1059" i="11"/>
  <c r="S1059" i="11" s="1"/>
  <c r="S1058" i="11"/>
  <c r="P1058" i="11"/>
  <c r="M1058" i="11"/>
  <c r="L1058" i="11"/>
  <c r="K1058" i="11"/>
  <c r="J1058" i="11"/>
  <c r="I1058" i="11"/>
  <c r="H1058" i="11"/>
  <c r="G1058" i="11"/>
  <c r="F1058" i="11"/>
  <c r="Q1058" i="11" s="1"/>
  <c r="E1058" i="11"/>
  <c r="D1058" i="11"/>
  <c r="C1058" i="11"/>
  <c r="B1058" i="11"/>
  <c r="T1058" i="11" s="1"/>
  <c r="A1058" i="11"/>
  <c r="M1057" i="11"/>
  <c r="L1057" i="11"/>
  <c r="K1057" i="11"/>
  <c r="J1057" i="11"/>
  <c r="I1057" i="11"/>
  <c r="H1057" i="11"/>
  <c r="G1057" i="11"/>
  <c r="F1057" i="11"/>
  <c r="Q1057" i="11" s="1"/>
  <c r="E1057" i="11"/>
  <c r="D1057" i="11"/>
  <c r="C1057" i="11"/>
  <c r="B1057" i="11"/>
  <c r="T1057" i="11" s="1"/>
  <c r="A1057" i="11"/>
  <c r="S1057" i="11" s="1"/>
  <c r="S1056" i="11"/>
  <c r="P1056" i="11"/>
  <c r="M1056" i="11"/>
  <c r="L1056" i="11"/>
  <c r="K1056" i="11"/>
  <c r="J1056" i="11"/>
  <c r="I1056" i="11"/>
  <c r="H1056" i="11"/>
  <c r="G1056" i="11"/>
  <c r="F1056" i="11"/>
  <c r="Q1056" i="11" s="1"/>
  <c r="E1056" i="11"/>
  <c r="D1056" i="11"/>
  <c r="C1056" i="11"/>
  <c r="B1056" i="11"/>
  <c r="T1056" i="11" s="1"/>
  <c r="A1056" i="11"/>
  <c r="M1055" i="11"/>
  <c r="L1055" i="11"/>
  <c r="K1055" i="11"/>
  <c r="J1055" i="11"/>
  <c r="I1055" i="11"/>
  <c r="H1055" i="11"/>
  <c r="G1055" i="11"/>
  <c r="F1055" i="11"/>
  <c r="Q1055" i="11" s="1"/>
  <c r="E1055" i="11"/>
  <c r="D1055" i="11"/>
  <c r="C1055" i="11"/>
  <c r="B1055" i="11"/>
  <c r="T1055" i="11" s="1"/>
  <c r="A1055" i="11"/>
  <c r="S1055" i="11" s="1"/>
  <c r="S1054" i="11"/>
  <c r="P1054" i="11"/>
  <c r="M1054" i="11"/>
  <c r="L1054" i="11"/>
  <c r="K1054" i="11"/>
  <c r="J1054" i="11"/>
  <c r="I1054" i="11"/>
  <c r="H1054" i="11"/>
  <c r="G1054" i="11"/>
  <c r="F1054" i="11"/>
  <c r="Q1054" i="11" s="1"/>
  <c r="E1054" i="11"/>
  <c r="D1054" i="11"/>
  <c r="C1054" i="11"/>
  <c r="B1054" i="11"/>
  <c r="T1054" i="11" s="1"/>
  <c r="A1054" i="11"/>
  <c r="M1053" i="11"/>
  <c r="L1053" i="11"/>
  <c r="K1053" i="11"/>
  <c r="J1053" i="11"/>
  <c r="I1053" i="11"/>
  <c r="H1053" i="11"/>
  <c r="G1053" i="11"/>
  <c r="F1053" i="11"/>
  <c r="Q1053" i="11" s="1"/>
  <c r="E1053" i="11"/>
  <c r="D1053" i="11"/>
  <c r="C1053" i="11"/>
  <c r="B1053" i="11"/>
  <c r="T1053" i="11" s="1"/>
  <c r="A1053" i="11"/>
  <c r="S1053" i="11" s="1"/>
  <c r="S1052" i="11"/>
  <c r="P1052" i="11"/>
  <c r="M1052" i="11"/>
  <c r="L1052" i="11"/>
  <c r="K1052" i="11"/>
  <c r="J1052" i="11"/>
  <c r="I1052" i="11"/>
  <c r="H1052" i="11"/>
  <c r="G1052" i="11"/>
  <c r="F1052" i="11"/>
  <c r="Q1052" i="11" s="1"/>
  <c r="E1052" i="11"/>
  <c r="D1052" i="11"/>
  <c r="C1052" i="11"/>
  <c r="B1052" i="11"/>
  <c r="T1052" i="11" s="1"/>
  <c r="A1052" i="11"/>
  <c r="M1051" i="11"/>
  <c r="L1051" i="11"/>
  <c r="K1051" i="11"/>
  <c r="J1051" i="11"/>
  <c r="I1051" i="11"/>
  <c r="H1051" i="11"/>
  <c r="G1051" i="11"/>
  <c r="F1051" i="11"/>
  <c r="Q1051" i="11" s="1"/>
  <c r="E1051" i="11"/>
  <c r="D1051" i="11"/>
  <c r="C1051" i="11"/>
  <c r="B1051" i="11"/>
  <c r="T1051" i="11" s="1"/>
  <c r="A1051" i="11"/>
  <c r="S1051" i="11" s="1"/>
  <c r="S1050" i="11"/>
  <c r="P1050" i="11"/>
  <c r="M1050" i="11"/>
  <c r="L1050" i="11"/>
  <c r="K1050" i="11"/>
  <c r="J1050" i="11"/>
  <c r="I1050" i="11"/>
  <c r="H1050" i="11"/>
  <c r="G1050" i="11"/>
  <c r="F1050" i="11"/>
  <c r="Q1050" i="11" s="1"/>
  <c r="E1050" i="11"/>
  <c r="D1050" i="11"/>
  <c r="C1050" i="11"/>
  <c r="B1050" i="11"/>
  <c r="T1050" i="11" s="1"/>
  <c r="A1050" i="11"/>
  <c r="M1049" i="11"/>
  <c r="L1049" i="11"/>
  <c r="K1049" i="11"/>
  <c r="J1049" i="11"/>
  <c r="I1049" i="11"/>
  <c r="H1049" i="11"/>
  <c r="G1049" i="11"/>
  <c r="F1049" i="11"/>
  <c r="Q1049" i="11" s="1"/>
  <c r="E1049" i="11"/>
  <c r="D1049" i="11"/>
  <c r="C1049" i="11"/>
  <c r="B1049" i="11"/>
  <c r="T1049" i="11" s="1"/>
  <c r="A1049" i="11"/>
  <c r="S1049" i="11" s="1"/>
  <c r="S1048" i="11"/>
  <c r="P1048" i="11"/>
  <c r="M1048" i="11"/>
  <c r="L1048" i="11"/>
  <c r="K1048" i="11"/>
  <c r="J1048" i="11"/>
  <c r="I1048" i="11"/>
  <c r="H1048" i="11"/>
  <c r="G1048" i="11"/>
  <c r="F1048" i="11"/>
  <c r="Q1048" i="11" s="1"/>
  <c r="E1048" i="11"/>
  <c r="D1048" i="11"/>
  <c r="C1048" i="11"/>
  <c r="B1048" i="11"/>
  <c r="T1048" i="11" s="1"/>
  <c r="A1048" i="11"/>
  <c r="M1047" i="11"/>
  <c r="L1047" i="11"/>
  <c r="K1047" i="11"/>
  <c r="J1047" i="11"/>
  <c r="I1047" i="11"/>
  <c r="H1047" i="11"/>
  <c r="G1047" i="11"/>
  <c r="F1047" i="11"/>
  <c r="Q1047" i="11" s="1"/>
  <c r="E1047" i="11"/>
  <c r="D1047" i="11"/>
  <c r="C1047" i="11"/>
  <c r="B1047" i="11"/>
  <c r="T1047" i="11" s="1"/>
  <c r="A1047" i="11"/>
  <c r="S1047" i="11" s="1"/>
  <c r="S1046" i="11"/>
  <c r="P1046" i="11"/>
  <c r="M1046" i="11"/>
  <c r="L1046" i="11"/>
  <c r="K1046" i="11"/>
  <c r="J1046" i="11"/>
  <c r="I1046" i="11"/>
  <c r="H1046" i="11"/>
  <c r="G1046" i="11"/>
  <c r="F1046" i="11"/>
  <c r="Q1046" i="11" s="1"/>
  <c r="E1046" i="11"/>
  <c r="D1046" i="11"/>
  <c r="C1046" i="11"/>
  <c r="B1046" i="11"/>
  <c r="T1046" i="11" s="1"/>
  <c r="A1046" i="11"/>
  <c r="M1045" i="11"/>
  <c r="L1045" i="11"/>
  <c r="K1045" i="11"/>
  <c r="J1045" i="11"/>
  <c r="I1045" i="11"/>
  <c r="H1045" i="11"/>
  <c r="G1045" i="11"/>
  <c r="F1045" i="11"/>
  <c r="Q1045" i="11" s="1"/>
  <c r="E1045" i="11"/>
  <c r="D1045" i="11"/>
  <c r="C1045" i="11"/>
  <c r="B1045" i="11"/>
  <c r="T1045" i="11" s="1"/>
  <c r="A1045" i="11"/>
  <c r="S1045" i="11" s="1"/>
  <c r="S1044" i="11"/>
  <c r="P1044" i="11"/>
  <c r="M1044" i="11"/>
  <c r="L1044" i="11"/>
  <c r="K1044" i="11"/>
  <c r="J1044" i="11"/>
  <c r="I1044" i="11"/>
  <c r="H1044" i="11"/>
  <c r="G1044" i="11"/>
  <c r="F1044" i="11"/>
  <c r="Q1044" i="11" s="1"/>
  <c r="E1044" i="11"/>
  <c r="D1044" i="11"/>
  <c r="C1044" i="11"/>
  <c r="B1044" i="11"/>
  <c r="T1044" i="11" s="1"/>
  <c r="A1044" i="11"/>
  <c r="M1043" i="11"/>
  <c r="L1043" i="11"/>
  <c r="K1043" i="11"/>
  <c r="J1043" i="11"/>
  <c r="I1043" i="11"/>
  <c r="H1043" i="11"/>
  <c r="G1043" i="11"/>
  <c r="F1043" i="11"/>
  <c r="Q1043" i="11" s="1"/>
  <c r="E1043" i="11"/>
  <c r="D1043" i="11"/>
  <c r="C1043" i="11"/>
  <c r="B1043" i="11"/>
  <c r="T1043" i="11" s="1"/>
  <c r="A1043" i="11"/>
  <c r="S1043" i="11" s="1"/>
  <c r="S1042" i="11"/>
  <c r="P1042" i="11"/>
  <c r="M1042" i="11"/>
  <c r="L1042" i="11"/>
  <c r="K1042" i="11"/>
  <c r="J1042" i="11"/>
  <c r="I1042" i="11"/>
  <c r="H1042" i="11"/>
  <c r="G1042" i="11"/>
  <c r="F1042" i="11"/>
  <c r="Q1042" i="11" s="1"/>
  <c r="E1042" i="11"/>
  <c r="D1042" i="11"/>
  <c r="C1042" i="11"/>
  <c r="B1042" i="11"/>
  <c r="T1042" i="11" s="1"/>
  <c r="A1042" i="11"/>
  <c r="M1041" i="11"/>
  <c r="L1041" i="11"/>
  <c r="K1041" i="11"/>
  <c r="J1041" i="11"/>
  <c r="I1041" i="11"/>
  <c r="H1041" i="11"/>
  <c r="G1041" i="11"/>
  <c r="F1041" i="11"/>
  <c r="Q1041" i="11" s="1"/>
  <c r="E1041" i="11"/>
  <c r="D1041" i="11"/>
  <c r="C1041" i="11"/>
  <c r="B1041" i="11"/>
  <c r="T1041" i="11" s="1"/>
  <c r="A1041" i="11"/>
  <c r="S1041" i="11" s="1"/>
  <c r="S1040" i="11"/>
  <c r="P1040" i="11"/>
  <c r="M1040" i="11"/>
  <c r="L1040" i="11"/>
  <c r="K1040" i="11"/>
  <c r="J1040" i="11"/>
  <c r="I1040" i="11"/>
  <c r="H1040" i="11"/>
  <c r="G1040" i="11"/>
  <c r="F1040" i="11"/>
  <c r="Q1040" i="11" s="1"/>
  <c r="E1040" i="11"/>
  <c r="D1040" i="11"/>
  <c r="C1040" i="11"/>
  <c r="B1040" i="11"/>
  <c r="T1040" i="11" s="1"/>
  <c r="A1040" i="11"/>
  <c r="M1039" i="11"/>
  <c r="L1039" i="11"/>
  <c r="K1039" i="11"/>
  <c r="J1039" i="11"/>
  <c r="I1039" i="11"/>
  <c r="H1039" i="11"/>
  <c r="G1039" i="11"/>
  <c r="F1039" i="11"/>
  <c r="Q1039" i="11" s="1"/>
  <c r="E1039" i="11"/>
  <c r="D1039" i="11"/>
  <c r="C1039" i="11"/>
  <c r="B1039" i="11"/>
  <c r="T1039" i="11" s="1"/>
  <c r="A1039" i="11"/>
  <c r="S1039" i="11" s="1"/>
  <c r="S1038" i="11"/>
  <c r="P1038" i="11"/>
  <c r="M1038" i="11"/>
  <c r="L1038" i="11"/>
  <c r="K1038" i="11"/>
  <c r="J1038" i="11"/>
  <c r="I1038" i="11"/>
  <c r="H1038" i="11"/>
  <c r="G1038" i="11"/>
  <c r="F1038" i="11"/>
  <c r="Q1038" i="11" s="1"/>
  <c r="E1038" i="11"/>
  <c r="D1038" i="11"/>
  <c r="C1038" i="11"/>
  <c r="B1038" i="11"/>
  <c r="T1038" i="11" s="1"/>
  <c r="A1038" i="11"/>
  <c r="M1037" i="11"/>
  <c r="L1037" i="11"/>
  <c r="K1037" i="11"/>
  <c r="J1037" i="11"/>
  <c r="I1037" i="11"/>
  <c r="H1037" i="11"/>
  <c r="G1037" i="11"/>
  <c r="F1037" i="11"/>
  <c r="Q1037" i="11" s="1"/>
  <c r="E1037" i="11"/>
  <c r="D1037" i="11"/>
  <c r="C1037" i="11"/>
  <c r="B1037" i="11"/>
  <c r="T1037" i="11" s="1"/>
  <c r="A1037" i="11"/>
  <c r="S1037" i="11" s="1"/>
  <c r="S1036" i="11"/>
  <c r="P1036" i="11"/>
  <c r="M1036" i="11"/>
  <c r="L1036" i="11"/>
  <c r="K1036" i="11"/>
  <c r="J1036" i="11"/>
  <c r="I1036" i="11"/>
  <c r="H1036" i="11"/>
  <c r="G1036" i="11"/>
  <c r="F1036" i="11"/>
  <c r="Q1036" i="11" s="1"/>
  <c r="E1036" i="11"/>
  <c r="D1036" i="11"/>
  <c r="C1036" i="11"/>
  <c r="B1036" i="11"/>
  <c r="T1036" i="11" s="1"/>
  <c r="A1036" i="11"/>
  <c r="M1035" i="11"/>
  <c r="L1035" i="11"/>
  <c r="K1035" i="11"/>
  <c r="J1035" i="11"/>
  <c r="I1035" i="11"/>
  <c r="H1035" i="11"/>
  <c r="G1035" i="11"/>
  <c r="F1035" i="11"/>
  <c r="Q1035" i="11" s="1"/>
  <c r="E1035" i="11"/>
  <c r="D1035" i="11"/>
  <c r="C1035" i="11"/>
  <c r="B1035" i="11"/>
  <c r="T1035" i="11" s="1"/>
  <c r="A1035" i="11"/>
  <c r="S1035" i="11" s="1"/>
  <c r="S1034" i="11"/>
  <c r="P1034" i="11"/>
  <c r="M1034" i="11"/>
  <c r="L1034" i="11"/>
  <c r="K1034" i="11"/>
  <c r="J1034" i="11"/>
  <c r="I1034" i="11"/>
  <c r="H1034" i="11"/>
  <c r="G1034" i="11"/>
  <c r="F1034" i="11"/>
  <c r="Q1034" i="11" s="1"/>
  <c r="E1034" i="11"/>
  <c r="D1034" i="11"/>
  <c r="C1034" i="11"/>
  <c r="B1034" i="11"/>
  <c r="T1034" i="11" s="1"/>
  <c r="A1034" i="11"/>
  <c r="M1033" i="11"/>
  <c r="L1033" i="11"/>
  <c r="K1033" i="11"/>
  <c r="J1033" i="11"/>
  <c r="I1033" i="11"/>
  <c r="H1033" i="11"/>
  <c r="G1033" i="11"/>
  <c r="F1033" i="11"/>
  <c r="Q1033" i="11" s="1"/>
  <c r="E1033" i="11"/>
  <c r="D1033" i="11"/>
  <c r="C1033" i="11"/>
  <c r="B1033" i="11"/>
  <c r="T1033" i="11" s="1"/>
  <c r="A1033" i="11"/>
  <c r="S1033" i="11" s="1"/>
  <c r="S1032" i="11"/>
  <c r="P1032" i="11"/>
  <c r="M1032" i="11"/>
  <c r="L1032" i="11"/>
  <c r="K1032" i="11"/>
  <c r="J1032" i="11"/>
  <c r="I1032" i="11"/>
  <c r="H1032" i="11"/>
  <c r="G1032" i="11"/>
  <c r="F1032" i="11"/>
  <c r="Q1032" i="11" s="1"/>
  <c r="E1032" i="11"/>
  <c r="D1032" i="11"/>
  <c r="C1032" i="11"/>
  <c r="B1032" i="11"/>
  <c r="T1032" i="11" s="1"/>
  <c r="A1032" i="11"/>
  <c r="M1031" i="11"/>
  <c r="L1031" i="11"/>
  <c r="K1031" i="11"/>
  <c r="J1031" i="11"/>
  <c r="I1031" i="11"/>
  <c r="H1031" i="11"/>
  <c r="G1031" i="11"/>
  <c r="F1031" i="11"/>
  <c r="Q1031" i="11" s="1"/>
  <c r="E1031" i="11"/>
  <c r="D1031" i="11"/>
  <c r="C1031" i="11"/>
  <c r="B1031" i="11"/>
  <c r="T1031" i="11" s="1"/>
  <c r="A1031" i="11"/>
  <c r="S1031" i="11" s="1"/>
  <c r="S1030" i="11"/>
  <c r="P1030" i="11"/>
  <c r="M1030" i="11"/>
  <c r="L1030" i="11"/>
  <c r="K1030" i="11"/>
  <c r="J1030" i="11"/>
  <c r="I1030" i="11"/>
  <c r="H1030" i="11"/>
  <c r="G1030" i="11"/>
  <c r="F1030" i="11"/>
  <c r="Q1030" i="11" s="1"/>
  <c r="E1030" i="11"/>
  <c r="D1030" i="11"/>
  <c r="C1030" i="11"/>
  <c r="B1030" i="11"/>
  <c r="T1030" i="11" s="1"/>
  <c r="A1030" i="11"/>
  <c r="M1029" i="11"/>
  <c r="L1029" i="11"/>
  <c r="K1029" i="11"/>
  <c r="J1029" i="11"/>
  <c r="I1029" i="11"/>
  <c r="H1029" i="11"/>
  <c r="G1029" i="11"/>
  <c r="F1029" i="11"/>
  <c r="Q1029" i="11" s="1"/>
  <c r="E1029" i="11"/>
  <c r="D1029" i="11"/>
  <c r="C1029" i="11"/>
  <c r="B1029" i="11"/>
  <c r="T1029" i="11" s="1"/>
  <c r="A1029" i="11"/>
  <c r="S1029" i="11" s="1"/>
  <c r="S1028" i="11"/>
  <c r="P1028" i="11"/>
  <c r="M1028" i="11"/>
  <c r="L1028" i="11"/>
  <c r="K1028" i="11"/>
  <c r="J1028" i="11"/>
  <c r="I1028" i="11"/>
  <c r="H1028" i="11"/>
  <c r="G1028" i="11"/>
  <c r="F1028" i="11"/>
  <c r="Q1028" i="11" s="1"/>
  <c r="E1028" i="11"/>
  <c r="D1028" i="11"/>
  <c r="C1028" i="11"/>
  <c r="B1028" i="11"/>
  <c r="T1028" i="11" s="1"/>
  <c r="A1028" i="11"/>
  <c r="M1027" i="11"/>
  <c r="L1027" i="11"/>
  <c r="K1027" i="11"/>
  <c r="J1027" i="11"/>
  <c r="I1027" i="11"/>
  <c r="H1027" i="11"/>
  <c r="G1027" i="11"/>
  <c r="F1027" i="11"/>
  <c r="Q1027" i="11" s="1"/>
  <c r="E1027" i="11"/>
  <c r="D1027" i="11"/>
  <c r="C1027" i="11"/>
  <c r="B1027" i="11"/>
  <c r="T1027" i="11" s="1"/>
  <c r="A1027" i="11"/>
  <c r="S1027" i="11" s="1"/>
  <c r="S1026" i="11"/>
  <c r="P1026" i="11"/>
  <c r="M1026" i="11"/>
  <c r="L1026" i="11"/>
  <c r="K1026" i="11"/>
  <c r="J1026" i="11"/>
  <c r="I1026" i="11"/>
  <c r="H1026" i="11"/>
  <c r="G1026" i="11"/>
  <c r="F1026" i="11"/>
  <c r="Q1026" i="11" s="1"/>
  <c r="E1026" i="11"/>
  <c r="D1026" i="11"/>
  <c r="C1026" i="11"/>
  <c r="B1026" i="11"/>
  <c r="T1026" i="11" s="1"/>
  <c r="A1026" i="11"/>
  <c r="M1025" i="11"/>
  <c r="L1025" i="11"/>
  <c r="K1025" i="11"/>
  <c r="J1025" i="11"/>
  <c r="I1025" i="11"/>
  <c r="H1025" i="11"/>
  <c r="G1025" i="11"/>
  <c r="F1025" i="11"/>
  <c r="Q1025" i="11" s="1"/>
  <c r="E1025" i="11"/>
  <c r="D1025" i="11"/>
  <c r="C1025" i="11"/>
  <c r="B1025" i="11"/>
  <c r="T1025" i="11" s="1"/>
  <c r="A1025" i="11"/>
  <c r="S1025" i="11" s="1"/>
  <c r="S1024" i="11"/>
  <c r="P1024" i="11"/>
  <c r="M1024" i="11"/>
  <c r="L1024" i="11"/>
  <c r="K1024" i="11"/>
  <c r="J1024" i="11"/>
  <c r="I1024" i="11"/>
  <c r="H1024" i="11"/>
  <c r="G1024" i="11"/>
  <c r="F1024" i="11"/>
  <c r="Q1024" i="11" s="1"/>
  <c r="E1024" i="11"/>
  <c r="D1024" i="11"/>
  <c r="C1024" i="11"/>
  <c r="B1024" i="11"/>
  <c r="T1024" i="11" s="1"/>
  <c r="A1024" i="11"/>
  <c r="M1023" i="11"/>
  <c r="L1023" i="11"/>
  <c r="K1023" i="11"/>
  <c r="J1023" i="11"/>
  <c r="I1023" i="11"/>
  <c r="H1023" i="11"/>
  <c r="G1023" i="11"/>
  <c r="F1023" i="11"/>
  <c r="Q1023" i="11" s="1"/>
  <c r="E1023" i="11"/>
  <c r="D1023" i="11"/>
  <c r="C1023" i="11"/>
  <c r="B1023" i="11"/>
  <c r="T1023" i="11" s="1"/>
  <c r="A1023" i="11"/>
  <c r="S1023" i="11" s="1"/>
  <c r="S1022" i="11"/>
  <c r="P1022" i="11"/>
  <c r="M1022" i="11"/>
  <c r="L1022" i="11"/>
  <c r="K1022" i="11"/>
  <c r="J1022" i="11"/>
  <c r="I1022" i="11"/>
  <c r="H1022" i="11"/>
  <c r="G1022" i="11"/>
  <c r="F1022" i="11"/>
  <c r="Q1022" i="11" s="1"/>
  <c r="E1022" i="11"/>
  <c r="D1022" i="11"/>
  <c r="C1022" i="11"/>
  <c r="B1022" i="11"/>
  <c r="T1022" i="11" s="1"/>
  <c r="A1022" i="11"/>
  <c r="M1021" i="11"/>
  <c r="L1021" i="11"/>
  <c r="K1021" i="11"/>
  <c r="J1021" i="11"/>
  <c r="I1021" i="11"/>
  <c r="H1021" i="11"/>
  <c r="G1021" i="11"/>
  <c r="F1021" i="11"/>
  <c r="Q1021" i="11" s="1"/>
  <c r="E1021" i="11"/>
  <c r="D1021" i="11"/>
  <c r="C1021" i="11"/>
  <c r="B1021" i="11"/>
  <c r="T1021" i="11" s="1"/>
  <c r="A1021" i="11"/>
  <c r="S1021" i="11" s="1"/>
  <c r="S1020" i="11"/>
  <c r="P1020" i="11"/>
  <c r="M1020" i="11"/>
  <c r="L1020" i="11"/>
  <c r="K1020" i="11"/>
  <c r="J1020" i="11"/>
  <c r="I1020" i="11"/>
  <c r="H1020" i="11"/>
  <c r="G1020" i="11"/>
  <c r="F1020" i="11"/>
  <c r="Q1020" i="11" s="1"/>
  <c r="E1020" i="11"/>
  <c r="D1020" i="11"/>
  <c r="C1020" i="11"/>
  <c r="B1020" i="11"/>
  <c r="T1020" i="11" s="1"/>
  <c r="A1020" i="11"/>
  <c r="M1019" i="11"/>
  <c r="L1019" i="11"/>
  <c r="K1019" i="11"/>
  <c r="J1019" i="11"/>
  <c r="I1019" i="11"/>
  <c r="H1019" i="11"/>
  <c r="G1019" i="11"/>
  <c r="F1019" i="11"/>
  <c r="Q1019" i="11" s="1"/>
  <c r="E1019" i="11"/>
  <c r="D1019" i="11"/>
  <c r="C1019" i="11"/>
  <c r="B1019" i="11"/>
  <c r="T1019" i="11" s="1"/>
  <c r="A1019" i="11"/>
  <c r="S1019" i="11" s="1"/>
  <c r="S1018" i="11"/>
  <c r="P1018" i="11"/>
  <c r="M1018" i="11"/>
  <c r="L1018" i="11"/>
  <c r="K1018" i="11"/>
  <c r="J1018" i="11"/>
  <c r="I1018" i="11"/>
  <c r="H1018" i="11"/>
  <c r="G1018" i="11"/>
  <c r="F1018" i="11"/>
  <c r="Q1018" i="11" s="1"/>
  <c r="E1018" i="11"/>
  <c r="D1018" i="11"/>
  <c r="C1018" i="11"/>
  <c r="B1018" i="11"/>
  <c r="T1018" i="11" s="1"/>
  <c r="A1018" i="11"/>
  <c r="M1017" i="11"/>
  <c r="L1017" i="11"/>
  <c r="K1017" i="11"/>
  <c r="J1017" i="11"/>
  <c r="I1017" i="11"/>
  <c r="H1017" i="11"/>
  <c r="G1017" i="11"/>
  <c r="F1017" i="11"/>
  <c r="Q1017" i="11" s="1"/>
  <c r="E1017" i="11"/>
  <c r="D1017" i="11"/>
  <c r="C1017" i="11"/>
  <c r="B1017" i="11"/>
  <c r="T1017" i="11" s="1"/>
  <c r="A1017" i="11"/>
  <c r="S1017" i="11" s="1"/>
  <c r="S1016" i="11"/>
  <c r="P1016" i="11"/>
  <c r="M1016" i="11"/>
  <c r="L1016" i="11"/>
  <c r="K1016" i="11"/>
  <c r="J1016" i="11"/>
  <c r="I1016" i="11"/>
  <c r="H1016" i="11"/>
  <c r="G1016" i="11"/>
  <c r="F1016" i="11"/>
  <c r="Q1016" i="11" s="1"/>
  <c r="E1016" i="11"/>
  <c r="D1016" i="11"/>
  <c r="C1016" i="11"/>
  <c r="B1016" i="11"/>
  <c r="T1016" i="11" s="1"/>
  <c r="A1016" i="11"/>
  <c r="M1015" i="11"/>
  <c r="L1015" i="11"/>
  <c r="K1015" i="11"/>
  <c r="J1015" i="11"/>
  <c r="I1015" i="11"/>
  <c r="H1015" i="11"/>
  <c r="G1015" i="11"/>
  <c r="F1015" i="11"/>
  <c r="Q1015" i="11" s="1"/>
  <c r="E1015" i="11"/>
  <c r="D1015" i="11"/>
  <c r="C1015" i="11"/>
  <c r="B1015" i="11"/>
  <c r="T1015" i="11" s="1"/>
  <c r="A1015" i="11"/>
  <c r="S1015" i="11" s="1"/>
  <c r="S1014" i="11"/>
  <c r="P1014" i="11"/>
  <c r="M1014" i="11"/>
  <c r="L1014" i="11"/>
  <c r="K1014" i="11"/>
  <c r="J1014" i="11"/>
  <c r="I1014" i="11"/>
  <c r="H1014" i="11"/>
  <c r="G1014" i="11"/>
  <c r="F1014" i="11"/>
  <c r="Q1014" i="11" s="1"/>
  <c r="E1014" i="11"/>
  <c r="D1014" i="11"/>
  <c r="C1014" i="11"/>
  <c r="B1014" i="11"/>
  <c r="T1014" i="11" s="1"/>
  <c r="A1014" i="11"/>
  <c r="M1013" i="11"/>
  <c r="L1013" i="11"/>
  <c r="K1013" i="11"/>
  <c r="J1013" i="11"/>
  <c r="I1013" i="11"/>
  <c r="H1013" i="11"/>
  <c r="G1013" i="11"/>
  <c r="F1013" i="11"/>
  <c r="Q1013" i="11" s="1"/>
  <c r="E1013" i="11"/>
  <c r="D1013" i="11"/>
  <c r="C1013" i="11"/>
  <c r="B1013" i="11"/>
  <c r="T1013" i="11" s="1"/>
  <c r="A1013" i="11"/>
  <c r="S1013" i="11" s="1"/>
  <c r="S1012" i="11"/>
  <c r="P1012" i="11"/>
  <c r="M1012" i="11"/>
  <c r="L1012" i="11"/>
  <c r="K1012" i="11"/>
  <c r="J1012" i="11"/>
  <c r="I1012" i="11"/>
  <c r="H1012" i="11"/>
  <c r="G1012" i="11"/>
  <c r="F1012" i="11"/>
  <c r="Q1012" i="11" s="1"/>
  <c r="E1012" i="11"/>
  <c r="D1012" i="11"/>
  <c r="C1012" i="11"/>
  <c r="B1012" i="11"/>
  <c r="T1012" i="11" s="1"/>
  <c r="A1012" i="11"/>
  <c r="M1011" i="11"/>
  <c r="L1011" i="11"/>
  <c r="K1011" i="11"/>
  <c r="J1011" i="11"/>
  <c r="I1011" i="11"/>
  <c r="H1011" i="11"/>
  <c r="G1011" i="11"/>
  <c r="F1011" i="11"/>
  <c r="Q1011" i="11" s="1"/>
  <c r="E1011" i="11"/>
  <c r="D1011" i="11"/>
  <c r="C1011" i="11"/>
  <c r="B1011" i="11"/>
  <c r="T1011" i="11" s="1"/>
  <c r="A1011" i="11"/>
  <c r="S1011" i="11" s="1"/>
  <c r="S1010" i="11"/>
  <c r="P1010" i="11"/>
  <c r="M1010" i="11"/>
  <c r="L1010" i="11"/>
  <c r="K1010" i="11"/>
  <c r="J1010" i="11"/>
  <c r="I1010" i="11"/>
  <c r="H1010" i="11"/>
  <c r="G1010" i="11"/>
  <c r="F1010" i="11"/>
  <c r="Q1010" i="11" s="1"/>
  <c r="E1010" i="11"/>
  <c r="D1010" i="11"/>
  <c r="C1010" i="11"/>
  <c r="B1010" i="11"/>
  <c r="T1010" i="11" s="1"/>
  <c r="A1010" i="11"/>
  <c r="M1009" i="11"/>
  <c r="L1009" i="11"/>
  <c r="K1009" i="11"/>
  <c r="J1009" i="11"/>
  <c r="I1009" i="11"/>
  <c r="H1009" i="11"/>
  <c r="G1009" i="11"/>
  <c r="F1009" i="11"/>
  <c r="Q1009" i="11" s="1"/>
  <c r="E1009" i="11"/>
  <c r="D1009" i="11"/>
  <c r="C1009" i="11"/>
  <c r="B1009" i="11"/>
  <c r="T1009" i="11" s="1"/>
  <c r="A1009" i="11"/>
  <c r="S1009" i="11" s="1"/>
  <c r="S1008" i="11"/>
  <c r="P1008" i="11"/>
  <c r="M1008" i="11"/>
  <c r="L1008" i="11"/>
  <c r="K1008" i="11"/>
  <c r="J1008" i="11"/>
  <c r="I1008" i="11"/>
  <c r="H1008" i="11"/>
  <c r="G1008" i="11"/>
  <c r="F1008" i="11"/>
  <c r="Q1008" i="11" s="1"/>
  <c r="E1008" i="11"/>
  <c r="D1008" i="11"/>
  <c r="C1008" i="11"/>
  <c r="B1008" i="11"/>
  <c r="T1008" i="11" s="1"/>
  <c r="A1008" i="11"/>
  <c r="M1007" i="11"/>
  <c r="L1007" i="11"/>
  <c r="K1007" i="11"/>
  <c r="J1007" i="11"/>
  <c r="I1007" i="11"/>
  <c r="H1007" i="11"/>
  <c r="G1007" i="11"/>
  <c r="F1007" i="11"/>
  <c r="Q1007" i="11" s="1"/>
  <c r="E1007" i="11"/>
  <c r="D1007" i="11"/>
  <c r="C1007" i="11"/>
  <c r="B1007" i="11"/>
  <c r="T1007" i="11" s="1"/>
  <c r="A1007" i="11"/>
  <c r="S1007" i="11" s="1"/>
  <c r="S1006" i="11"/>
  <c r="P1006" i="11"/>
  <c r="M1006" i="11"/>
  <c r="L1006" i="11"/>
  <c r="K1006" i="11"/>
  <c r="J1006" i="11"/>
  <c r="I1006" i="11"/>
  <c r="H1006" i="11"/>
  <c r="G1006" i="11"/>
  <c r="F1006" i="11"/>
  <c r="Q1006" i="11" s="1"/>
  <c r="E1006" i="11"/>
  <c r="D1006" i="11"/>
  <c r="C1006" i="11"/>
  <c r="B1006" i="11"/>
  <c r="T1006" i="11" s="1"/>
  <c r="A1006" i="11"/>
  <c r="M1005" i="11"/>
  <c r="L1005" i="11"/>
  <c r="K1005" i="11"/>
  <c r="J1005" i="11"/>
  <c r="I1005" i="11"/>
  <c r="H1005" i="11"/>
  <c r="G1005" i="11"/>
  <c r="F1005" i="11"/>
  <c r="Q1005" i="11" s="1"/>
  <c r="E1005" i="11"/>
  <c r="D1005" i="11"/>
  <c r="C1005" i="11"/>
  <c r="B1005" i="11"/>
  <c r="T1005" i="11" s="1"/>
  <c r="A1005" i="11"/>
  <c r="S1005" i="11" s="1"/>
  <c r="S1004" i="11"/>
  <c r="P1004" i="11"/>
  <c r="M1004" i="11"/>
  <c r="L1004" i="11"/>
  <c r="K1004" i="11"/>
  <c r="J1004" i="11"/>
  <c r="I1004" i="11"/>
  <c r="H1004" i="11"/>
  <c r="G1004" i="11"/>
  <c r="F1004" i="11"/>
  <c r="Q1004" i="11" s="1"/>
  <c r="E1004" i="11"/>
  <c r="D1004" i="11"/>
  <c r="C1004" i="11"/>
  <c r="B1004" i="11"/>
  <c r="T1004" i="11" s="1"/>
  <c r="A1004" i="11"/>
  <c r="M1003" i="11"/>
  <c r="L1003" i="11"/>
  <c r="K1003" i="11"/>
  <c r="J1003" i="11"/>
  <c r="I1003" i="11"/>
  <c r="H1003" i="11"/>
  <c r="G1003" i="11"/>
  <c r="F1003" i="11"/>
  <c r="Q1003" i="11" s="1"/>
  <c r="E1003" i="11"/>
  <c r="D1003" i="11"/>
  <c r="C1003" i="11"/>
  <c r="B1003" i="11"/>
  <c r="T1003" i="11" s="1"/>
  <c r="A1003" i="11"/>
  <c r="S1003" i="11" s="1"/>
  <c r="S1002" i="11"/>
  <c r="P1002" i="11"/>
  <c r="M1002" i="11"/>
  <c r="L1002" i="11"/>
  <c r="K1002" i="11"/>
  <c r="J1002" i="11"/>
  <c r="I1002" i="11"/>
  <c r="H1002" i="11"/>
  <c r="G1002" i="11"/>
  <c r="F1002" i="11"/>
  <c r="Q1002" i="11" s="1"/>
  <c r="E1002" i="11"/>
  <c r="D1002" i="11"/>
  <c r="C1002" i="11"/>
  <c r="B1002" i="11"/>
  <c r="T1002" i="11" s="1"/>
  <c r="A1002" i="11"/>
  <c r="M1001" i="11"/>
  <c r="L1001" i="11"/>
  <c r="K1001" i="11"/>
  <c r="J1001" i="11"/>
  <c r="I1001" i="11"/>
  <c r="H1001" i="11"/>
  <c r="G1001" i="11"/>
  <c r="F1001" i="11"/>
  <c r="Q1001" i="11" s="1"/>
  <c r="E1001" i="11"/>
  <c r="D1001" i="11"/>
  <c r="C1001" i="11"/>
  <c r="B1001" i="11"/>
  <c r="T1001" i="11" s="1"/>
  <c r="A1001" i="11"/>
  <c r="S1001" i="11" s="1"/>
  <c r="S1000" i="11"/>
  <c r="P1000" i="11"/>
  <c r="M1000" i="11"/>
  <c r="L1000" i="11"/>
  <c r="K1000" i="11"/>
  <c r="J1000" i="11"/>
  <c r="I1000" i="11"/>
  <c r="H1000" i="11"/>
  <c r="G1000" i="11"/>
  <c r="F1000" i="11"/>
  <c r="Q1000" i="11" s="1"/>
  <c r="E1000" i="11"/>
  <c r="D1000" i="11"/>
  <c r="C1000" i="11"/>
  <c r="B1000" i="11"/>
  <c r="T1000" i="11" s="1"/>
  <c r="A1000" i="11"/>
  <c r="M999" i="11"/>
  <c r="L999" i="11"/>
  <c r="K999" i="11"/>
  <c r="J999" i="11"/>
  <c r="I999" i="11"/>
  <c r="H999" i="11"/>
  <c r="G999" i="11"/>
  <c r="F999" i="11"/>
  <c r="Q999" i="11" s="1"/>
  <c r="E999" i="11"/>
  <c r="D999" i="11"/>
  <c r="C999" i="11"/>
  <c r="B999" i="11"/>
  <c r="T999" i="11" s="1"/>
  <c r="A999" i="11"/>
  <c r="S999" i="11" s="1"/>
  <c r="S998" i="11"/>
  <c r="P998" i="11"/>
  <c r="M998" i="11"/>
  <c r="L998" i="11"/>
  <c r="K998" i="11"/>
  <c r="J998" i="11"/>
  <c r="I998" i="11"/>
  <c r="H998" i="11"/>
  <c r="G998" i="11"/>
  <c r="F998" i="11"/>
  <c r="Q998" i="11" s="1"/>
  <c r="E998" i="11"/>
  <c r="D998" i="11"/>
  <c r="C998" i="11"/>
  <c r="B998" i="11"/>
  <c r="T998" i="11" s="1"/>
  <c r="A998" i="11"/>
  <c r="M997" i="11"/>
  <c r="L997" i="11"/>
  <c r="K997" i="11"/>
  <c r="J997" i="11"/>
  <c r="I997" i="11"/>
  <c r="H997" i="11"/>
  <c r="G997" i="11"/>
  <c r="F997" i="11"/>
  <c r="Q997" i="11" s="1"/>
  <c r="E997" i="11"/>
  <c r="D997" i="11"/>
  <c r="C997" i="11"/>
  <c r="B997" i="11"/>
  <c r="T997" i="11" s="1"/>
  <c r="A997" i="11"/>
  <c r="S997" i="11" s="1"/>
  <c r="S996" i="11"/>
  <c r="P996" i="11"/>
  <c r="M996" i="11"/>
  <c r="L996" i="11"/>
  <c r="K996" i="11"/>
  <c r="J996" i="11"/>
  <c r="I996" i="11"/>
  <c r="H996" i="11"/>
  <c r="G996" i="11"/>
  <c r="F996" i="11"/>
  <c r="Q996" i="11" s="1"/>
  <c r="E996" i="11"/>
  <c r="D996" i="11"/>
  <c r="C996" i="11"/>
  <c r="B996" i="11"/>
  <c r="T996" i="11" s="1"/>
  <c r="A996" i="11"/>
  <c r="M995" i="11"/>
  <c r="L995" i="11"/>
  <c r="K995" i="11"/>
  <c r="J995" i="11"/>
  <c r="I995" i="11"/>
  <c r="H995" i="11"/>
  <c r="G995" i="11"/>
  <c r="F995" i="11"/>
  <c r="Q995" i="11" s="1"/>
  <c r="E995" i="11"/>
  <c r="D995" i="11"/>
  <c r="C995" i="11"/>
  <c r="B995" i="11"/>
  <c r="T995" i="11" s="1"/>
  <c r="A995" i="11"/>
  <c r="S995" i="11" s="1"/>
  <c r="S994" i="11"/>
  <c r="P994" i="11"/>
  <c r="M994" i="11"/>
  <c r="L994" i="11"/>
  <c r="K994" i="11"/>
  <c r="J994" i="11"/>
  <c r="I994" i="11"/>
  <c r="H994" i="11"/>
  <c r="G994" i="11"/>
  <c r="F994" i="11"/>
  <c r="Q994" i="11" s="1"/>
  <c r="E994" i="11"/>
  <c r="D994" i="11"/>
  <c r="C994" i="11"/>
  <c r="B994" i="11"/>
  <c r="T994" i="11" s="1"/>
  <c r="A994" i="11"/>
  <c r="M993" i="11"/>
  <c r="L993" i="11"/>
  <c r="K993" i="11"/>
  <c r="J993" i="11"/>
  <c r="I993" i="11"/>
  <c r="H993" i="11"/>
  <c r="G993" i="11"/>
  <c r="F993" i="11"/>
  <c r="Q993" i="11" s="1"/>
  <c r="E993" i="11"/>
  <c r="D993" i="11"/>
  <c r="C993" i="11"/>
  <c r="B993" i="11"/>
  <c r="T993" i="11" s="1"/>
  <c r="A993" i="11"/>
  <c r="S993" i="11" s="1"/>
  <c r="S992" i="11"/>
  <c r="P992" i="11"/>
  <c r="M992" i="11"/>
  <c r="L992" i="11"/>
  <c r="K992" i="11"/>
  <c r="J992" i="11"/>
  <c r="I992" i="11"/>
  <c r="H992" i="11"/>
  <c r="G992" i="11"/>
  <c r="F992" i="11"/>
  <c r="Q992" i="11" s="1"/>
  <c r="E992" i="11"/>
  <c r="D992" i="11"/>
  <c r="C992" i="11"/>
  <c r="B992" i="11"/>
  <c r="T992" i="11" s="1"/>
  <c r="A992" i="11"/>
  <c r="M991" i="11"/>
  <c r="L991" i="11"/>
  <c r="K991" i="11"/>
  <c r="J991" i="11"/>
  <c r="I991" i="11"/>
  <c r="H991" i="11"/>
  <c r="G991" i="11"/>
  <c r="F991" i="11"/>
  <c r="Q991" i="11" s="1"/>
  <c r="E991" i="11"/>
  <c r="D991" i="11"/>
  <c r="C991" i="11"/>
  <c r="B991" i="11"/>
  <c r="T991" i="11" s="1"/>
  <c r="A991" i="11"/>
  <c r="S991" i="11" s="1"/>
  <c r="S990" i="11"/>
  <c r="P990" i="11"/>
  <c r="M990" i="11"/>
  <c r="L990" i="11"/>
  <c r="K990" i="11"/>
  <c r="J990" i="11"/>
  <c r="I990" i="11"/>
  <c r="H990" i="11"/>
  <c r="G990" i="11"/>
  <c r="F990" i="11"/>
  <c r="Q990" i="11" s="1"/>
  <c r="E990" i="11"/>
  <c r="D990" i="11"/>
  <c r="C990" i="11"/>
  <c r="B990" i="11"/>
  <c r="T990" i="11" s="1"/>
  <c r="A990" i="11"/>
  <c r="M989" i="11"/>
  <c r="L989" i="11"/>
  <c r="K989" i="11"/>
  <c r="J989" i="11"/>
  <c r="I989" i="11"/>
  <c r="H989" i="11"/>
  <c r="G989" i="11"/>
  <c r="F989" i="11"/>
  <c r="Q989" i="11" s="1"/>
  <c r="E989" i="11"/>
  <c r="D989" i="11"/>
  <c r="C989" i="11"/>
  <c r="B989" i="11"/>
  <c r="A989" i="11"/>
  <c r="S989" i="11" s="1"/>
  <c r="S988" i="11"/>
  <c r="P988" i="11"/>
  <c r="M988" i="11"/>
  <c r="L988" i="11"/>
  <c r="K988" i="11"/>
  <c r="J988" i="11"/>
  <c r="I988" i="11"/>
  <c r="H988" i="11"/>
  <c r="G988" i="11"/>
  <c r="F988" i="11"/>
  <c r="E988" i="11"/>
  <c r="D988" i="11"/>
  <c r="C988" i="11"/>
  <c r="B988" i="11"/>
  <c r="T988" i="11" s="1"/>
  <c r="A988" i="11"/>
  <c r="T987" i="11"/>
  <c r="M987" i="11"/>
  <c r="L987" i="11"/>
  <c r="K987" i="11"/>
  <c r="J987" i="11"/>
  <c r="I987" i="11"/>
  <c r="H987" i="11"/>
  <c r="G987" i="11"/>
  <c r="F987" i="11"/>
  <c r="Q987" i="11" s="1"/>
  <c r="E987" i="11"/>
  <c r="D987" i="11"/>
  <c r="C987" i="11"/>
  <c r="B987" i="11"/>
  <c r="A987" i="11"/>
  <c r="S987" i="11" s="1"/>
  <c r="P986" i="11"/>
  <c r="M986" i="11"/>
  <c r="L986" i="11"/>
  <c r="K986" i="11"/>
  <c r="J986" i="11"/>
  <c r="I986" i="11"/>
  <c r="H986" i="11"/>
  <c r="G986" i="11"/>
  <c r="F986" i="11"/>
  <c r="E986" i="11"/>
  <c r="D986" i="11"/>
  <c r="C986" i="11"/>
  <c r="B986" i="11"/>
  <c r="T986" i="11" s="1"/>
  <c r="A986" i="11"/>
  <c r="S986" i="11" s="1"/>
  <c r="T985" i="11"/>
  <c r="S985" i="11"/>
  <c r="P985" i="11"/>
  <c r="M985" i="11"/>
  <c r="L985" i="11"/>
  <c r="K985" i="11"/>
  <c r="J985" i="11"/>
  <c r="I985" i="11"/>
  <c r="H985" i="11"/>
  <c r="G985" i="11"/>
  <c r="F985" i="11"/>
  <c r="V985" i="11" s="1"/>
  <c r="E985" i="11"/>
  <c r="D985" i="11"/>
  <c r="C985" i="11"/>
  <c r="B985" i="11"/>
  <c r="A985" i="11"/>
  <c r="Q984" i="11"/>
  <c r="M984" i="11"/>
  <c r="L984" i="11"/>
  <c r="K984" i="11"/>
  <c r="J984" i="11"/>
  <c r="I984" i="11"/>
  <c r="H984" i="11"/>
  <c r="G984" i="11"/>
  <c r="F984" i="11"/>
  <c r="E984" i="11"/>
  <c r="P984" i="11" s="1"/>
  <c r="D984" i="11"/>
  <c r="C984" i="11"/>
  <c r="B984" i="11"/>
  <c r="T984" i="11" s="1"/>
  <c r="A984" i="11"/>
  <c r="S984" i="11" s="1"/>
  <c r="T983" i="11"/>
  <c r="S983" i="11"/>
  <c r="P983" i="11"/>
  <c r="M983" i="11"/>
  <c r="L983" i="11"/>
  <c r="K983" i="11"/>
  <c r="J983" i="11"/>
  <c r="I983" i="11"/>
  <c r="H983" i="11"/>
  <c r="G983" i="11"/>
  <c r="F983" i="11"/>
  <c r="V983" i="11" s="1"/>
  <c r="E983" i="11"/>
  <c r="D983" i="11"/>
  <c r="C983" i="11"/>
  <c r="B983" i="11"/>
  <c r="A983" i="11"/>
  <c r="Q982" i="11"/>
  <c r="M982" i="11"/>
  <c r="L982" i="11"/>
  <c r="K982" i="11"/>
  <c r="J982" i="11"/>
  <c r="I982" i="11"/>
  <c r="H982" i="11"/>
  <c r="G982" i="11"/>
  <c r="F982" i="11"/>
  <c r="V982" i="11" s="1"/>
  <c r="E982" i="11"/>
  <c r="P982" i="11" s="1"/>
  <c r="D982" i="11"/>
  <c r="C982" i="11"/>
  <c r="B982" i="11"/>
  <c r="T982" i="11" s="1"/>
  <c r="A982" i="11"/>
  <c r="S982" i="11" s="1"/>
  <c r="T981" i="11"/>
  <c r="S981" i="11"/>
  <c r="P981" i="11"/>
  <c r="M981" i="11"/>
  <c r="L981" i="11"/>
  <c r="K981" i="11"/>
  <c r="J981" i="11"/>
  <c r="I981" i="11"/>
  <c r="H981" i="11"/>
  <c r="G981" i="11"/>
  <c r="F981" i="11"/>
  <c r="V981" i="11" s="1"/>
  <c r="E981" i="11"/>
  <c r="D981" i="11"/>
  <c r="C981" i="11"/>
  <c r="B981" i="11"/>
  <c r="A981" i="11"/>
  <c r="M980" i="11"/>
  <c r="L980" i="11"/>
  <c r="K980" i="11"/>
  <c r="J980" i="11"/>
  <c r="I980" i="11"/>
  <c r="H980" i="11"/>
  <c r="G980" i="11"/>
  <c r="F980" i="11"/>
  <c r="Q980" i="11" s="1"/>
  <c r="E980" i="11"/>
  <c r="P980" i="11" s="1"/>
  <c r="D980" i="11"/>
  <c r="C980" i="11"/>
  <c r="B980" i="11"/>
  <c r="T980" i="11" s="1"/>
  <c r="A980" i="11"/>
  <c r="S980" i="11" s="1"/>
  <c r="T979" i="11"/>
  <c r="S979" i="11"/>
  <c r="P979" i="11"/>
  <c r="M979" i="11"/>
  <c r="L979" i="11"/>
  <c r="K979" i="11"/>
  <c r="J979" i="11"/>
  <c r="I979" i="11"/>
  <c r="H979" i="11"/>
  <c r="G979" i="11"/>
  <c r="F979" i="11"/>
  <c r="V979" i="11" s="1"/>
  <c r="E979" i="11"/>
  <c r="D979" i="11"/>
  <c r="C979" i="11"/>
  <c r="B979" i="11"/>
  <c r="A979" i="11"/>
  <c r="M978" i="11"/>
  <c r="L978" i="11"/>
  <c r="K978" i="11"/>
  <c r="J978" i="11"/>
  <c r="I978" i="11"/>
  <c r="H978" i="11"/>
  <c r="G978" i="11"/>
  <c r="F978" i="11"/>
  <c r="Q978" i="11" s="1"/>
  <c r="E978" i="11"/>
  <c r="D978" i="11"/>
  <c r="C978" i="11"/>
  <c r="B978" i="11"/>
  <c r="T978" i="11" s="1"/>
  <c r="A978" i="11"/>
  <c r="S978" i="11" s="1"/>
  <c r="T977" i="11"/>
  <c r="S977" i="11"/>
  <c r="P977" i="11"/>
  <c r="M977" i="11"/>
  <c r="L977" i="11"/>
  <c r="K977" i="11"/>
  <c r="J977" i="11"/>
  <c r="I977" i="11"/>
  <c r="H977" i="11"/>
  <c r="G977" i="11"/>
  <c r="F977" i="11"/>
  <c r="V977" i="11" s="1"/>
  <c r="E977" i="11"/>
  <c r="D977" i="11"/>
  <c r="C977" i="11"/>
  <c r="B977" i="11"/>
  <c r="A977" i="11"/>
  <c r="Q976" i="11"/>
  <c r="M976" i="11"/>
  <c r="L976" i="11"/>
  <c r="K976" i="11"/>
  <c r="J976" i="11"/>
  <c r="I976" i="11"/>
  <c r="H976" i="11"/>
  <c r="G976" i="11"/>
  <c r="F976" i="11"/>
  <c r="E976" i="11"/>
  <c r="P976" i="11" s="1"/>
  <c r="D976" i="11"/>
  <c r="C976" i="11"/>
  <c r="B976" i="11"/>
  <c r="T976" i="11" s="1"/>
  <c r="A976" i="11"/>
  <c r="S976" i="11" s="1"/>
  <c r="T975" i="11"/>
  <c r="S975" i="11"/>
  <c r="P975" i="11"/>
  <c r="M975" i="11"/>
  <c r="L975" i="11"/>
  <c r="K975" i="11"/>
  <c r="J975" i="11"/>
  <c r="I975" i="11"/>
  <c r="H975" i="11"/>
  <c r="G975" i="11"/>
  <c r="F975" i="11"/>
  <c r="V975" i="11" s="1"/>
  <c r="E975" i="11"/>
  <c r="D975" i="11"/>
  <c r="C975" i="11"/>
  <c r="B975" i="11"/>
  <c r="A975" i="11"/>
  <c r="Q974" i="11"/>
  <c r="M974" i="11"/>
  <c r="L974" i="11"/>
  <c r="K974" i="11"/>
  <c r="J974" i="11"/>
  <c r="I974" i="11"/>
  <c r="H974" i="11"/>
  <c r="G974" i="11"/>
  <c r="F974" i="11"/>
  <c r="V974" i="11" s="1"/>
  <c r="E974" i="11"/>
  <c r="P974" i="11" s="1"/>
  <c r="D974" i="11"/>
  <c r="C974" i="11"/>
  <c r="B974" i="11"/>
  <c r="T974" i="11" s="1"/>
  <c r="A974" i="11"/>
  <c r="S974" i="11" s="1"/>
  <c r="T973" i="11"/>
  <c r="S973" i="11"/>
  <c r="P973" i="11"/>
  <c r="M973" i="11"/>
  <c r="L973" i="11"/>
  <c r="K973" i="11"/>
  <c r="J973" i="11"/>
  <c r="I973" i="11"/>
  <c r="H973" i="11"/>
  <c r="G973" i="11"/>
  <c r="F973" i="11"/>
  <c r="V973" i="11" s="1"/>
  <c r="E973" i="11"/>
  <c r="D973" i="11"/>
  <c r="C973" i="11"/>
  <c r="B973" i="11"/>
  <c r="A973" i="11"/>
  <c r="M972" i="11"/>
  <c r="L972" i="11"/>
  <c r="K972" i="11"/>
  <c r="J972" i="11"/>
  <c r="I972" i="11"/>
  <c r="H972" i="11"/>
  <c r="G972" i="11"/>
  <c r="F972" i="11"/>
  <c r="Q972" i="11" s="1"/>
  <c r="E972" i="11"/>
  <c r="P972" i="11" s="1"/>
  <c r="D972" i="11"/>
  <c r="C972" i="11"/>
  <c r="B972" i="11"/>
  <c r="T972" i="11" s="1"/>
  <c r="A972" i="11"/>
  <c r="S972" i="11" s="1"/>
  <c r="T971" i="11"/>
  <c r="S971" i="11"/>
  <c r="P971" i="11"/>
  <c r="M971" i="11"/>
  <c r="L971" i="11"/>
  <c r="K971" i="11"/>
  <c r="J971" i="11"/>
  <c r="I971" i="11"/>
  <c r="H971" i="11"/>
  <c r="G971" i="11"/>
  <c r="F971" i="11"/>
  <c r="V971" i="11" s="1"/>
  <c r="E971" i="11"/>
  <c r="D971" i="11"/>
  <c r="C971" i="11"/>
  <c r="B971" i="11"/>
  <c r="A971" i="11"/>
  <c r="M970" i="11"/>
  <c r="L970" i="11"/>
  <c r="K970" i="11"/>
  <c r="J970" i="11"/>
  <c r="I970" i="11"/>
  <c r="H970" i="11"/>
  <c r="G970" i="11"/>
  <c r="F970" i="11"/>
  <c r="Q970" i="11" s="1"/>
  <c r="E970" i="11"/>
  <c r="D970" i="11"/>
  <c r="C970" i="11"/>
  <c r="B970" i="11"/>
  <c r="T970" i="11" s="1"/>
  <c r="A970" i="11"/>
  <c r="S970" i="11" s="1"/>
  <c r="T969" i="11"/>
  <c r="S969" i="11"/>
  <c r="P969" i="11"/>
  <c r="M969" i="11"/>
  <c r="L969" i="11"/>
  <c r="K969" i="11"/>
  <c r="J969" i="11"/>
  <c r="I969" i="11"/>
  <c r="H969" i="11"/>
  <c r="G969" i="11"/>
  <c r="F969" i="11"/>
  <c r="V969" i="11" s="1"/>
  <c r="E969" i="11"/>
  <c r="D969" i="11"/>
  <c r="C969" i="11"/>
  <c r="B969" i="11"/>
  <c r="A969" i="11"/>
  <c r="Q968" i="11"/>
  <c r="M968" i="11"/>
  <c r="L968" i="11"/>
  <c r="K968" i="11"/>
  <c r="J968" i="11"/>
  <c r="I968" i="11"/>
  <c r="H968" i="11"/>
  <c r="G968" i="11"/>
  <c r="F968" i="11"/>
  <c r="E968" i="11"/>
  <c r="P968" i="11" s="1"/>
  <c r="D968" i="11"/>
  <c r="C968" i="11"/>
  <c r="B968" i="11"/>
  <c r="T968" i="11" s="1"/>
  <c r="A968" i="11"/>
  <c r="S968" i="11" s="1"/>
  <c r="T967" i="11"/>
  <c r="S967" i="11"/>
  <c r="P967" i="11"/>
  <c r="M967" i="11"/>
  <c r="L967" i="11"/>
  <c r="K967" i="11"/>
  <c r="J967" i="11"/>
  <c r="I967" i="11"/>
  <c r="H967" i="11"/>
  <c r="G967" i="11"/>
  <c r="F967" i="11"/>
  <c r="V967" i="11" s="1"/>
  <c r="E967" i="11"/>
  <c r="D967" i="11"/>
  <c r="C967" i="11"/>
  <c r="B967" i="11"/>
  <c r="A967" i="11"/>
  <c r="Q966" i="11"/>
  <c r="M966" i="11"/>
  <c r="L966" i="11"/>
  <c r="K966" i="11"/>
  <c r="J966" i="11"/>
  <c r="I966" i="11"/>
  <c r="H966" i="11"/>
  <c r="G966" i="11"/>
  <c r="F966" i="11"/>
  <c r="V966" i="11" s="1"/>
  <c r="E966" i="11"/>
  <c r="P966" i="11" s="1"/>
  <c r="D966" i="11"/>
  <c r="C966" i="11"/>
  <c r="B966" i="11"/>
  <c r="T966" i="11" s="1"/>
  <c r="A966" i="11"/>
  <c r="S966" i="11" s="1"/>
  <c r="T965" i="11"/>
  <c r="S965" i="11"/>
  <c r="P965" i="11"/>
  <c r="M965" i="11"/>
  <c r="L965" i="11"/>
  <c r="K965" i="11"/>
  <c r="J965" i="11"/>
  <c r="I965" i="11"/>
  <c r="H965" i="11"/>
  <c r="G965" i="11"/>
  <c r="F965" i="11"/>
  <c r="V965" i="11" s="1"/>
  <c r="E965" i="11"/>
  <c r="D965" i="11"/>
  <c r="C965" i="11"/>
  <c r="B965" i="11"/>
  <c r="A965" i="11"/>
  <c r="M964" i="11"/>
  <c r="L964" i="11"/>
  <c r="K964" i="11"/>
  <c r="J964" i="11"/>
  <c r="I964" i="11"/>
  <c r="H964" i="11"/>
  <c r="G964" i="11"/>
  <c r="F964" i="11"/>
  <c r="Q964" i="11" s="1"/>
  <c r="E964" i="11"/>
  <c r="P964" i="11" s="1"/>
  <c r="D964" i="11"/>
  <c r="C964" i="11"/>
  <c r="B964" i="11"/>
  <c r="T964" i="11" s="1"/>
  <c r="A964" i="11"/>
  <c r="S964" i="11" s="1"/>
  <c r="T963" i="11"/>
  <c r="S963" i="11"/>
  <c r="P963" i="11"/>
  <c r="M963" i="11"/>
  <c r="L963" i="11"/>
  <c r="K963" i="11"/>
  <c r="J963" i="11"/>
  <c r="I963" i="11"/>
  <c r="H963" i="11"/>
  <c r="G963" i="11"/>
  <c r="F963" i="11"/>
  <c r="V963" i="11" s="1"/>
  <c r="E963" i="11"/>
  <c r="D963" i="11"/>
  <c r="C963" i="11"/>
  <c r="B963" i="11"/>
  <c r="A963" i="11"/>
  <c r="M962" i="11"/>
  <c r="L962" i="11"/>
  <c r="K962" i="11"/>
  <c r="J962" i="11"/>
  <c r="I962" i="11"/>
  <c r="H962" i="11"/>
  <c r="G962" i="11"/>
  <c r="F962" i="11"/>
  <c r="Q962" i="11" s="1"/>
  <c r="E962" i="11"/>
  <c r="D962" i="11"/>
  <c r="C962" i="11"/>
  <c r="B962" i="11"/>
  <c r="T962" i="11" s="1"/>
  <c r="A962" i="11"/>
  <c r="S962" i="11" s="1"/>
  <c r="T961" i="11"/>
  <c r="S961" i="11"/>
  <c r="P961" i="11"/>
  <c r="M961" i="11"/>
  <c r="L961" i="11"/>
  <c r="K961" i="11"/>
  <c r="J961" i="11"/>
  <c r="I961" i="11"/>
  <c r="H961" i="11"/>
  <c r="G961" i="11"/>
  <c r="F961" i="11"/>
  <c r="V961" i="11" s="1"/>
  <c r="E961" i="11"/>
  <c r="D961" i="11"/>
  <c r="C961" i="11"/>
  <c r="B961" i="11"/>
  <c r="A961" i="11"/>
  <c r="Q960" i="11"/>
  <c r="M960" i="11"/>
  <c r="L960" i="11"/>
  <c r="K960" i="11"/>
  <c r="J960" i="11"/>
  <c r="I960" i="11"/>
  <c r="H960" i="11"/>
  <c r="G960" i="11"/>
  <c r="F960" i="11"/>
  <c r="E960" i="11"/>
  <c r="P960" i="11" s="1"/>
  <c r="D960" i="11"/>
  <c r="C960" i="11"/>
  <c r="B960" i="11"/>
  <c r="T960" i="11" s="1"/>
  <c r="A960" i="11"/>
  <c r="S960" i="11" s="1"/>
  <c r="T959" i="11"/>
  <c r="S959" i="11"/>
  <c r="P959" i="11"/>
  <c r="M959" i="11"/>
  <c r="L959" i="11"/>
  <c r="K959" i="11"/>
  <c r="J959" i="11"/>
  <c r="I959" i="11"/>
  <c r="H959" i="11"/>
  <c r="G959" i="11"/>
  <c r="F959" i="11"/>
  <c r="V959" i="11" s="1"/>
  <c r="E959" i="11"/>
  <c r="D959" i="11"/>
  <c r="C959" i="11"/>
  <c r="B959" i="11"/>
  <c r="A959" i="11"/>
  <c r="Q958" i="11"/>
  <c r="M958" i="11"/>
  <c r="L958" i="11"/>
  <c r="K958" i="11"/>
  <c r="J958" i="11"/>
  <c r="I958" i="11"/>
  <c r="H958" i="11"/>
  <c r="G958" i="11"/>
  <c r="F958" i="11"/>
  <c r="V958" i="11" s="1"/>
  <c r="E958" i="11"/>
  <c r="P958" i="11" s="1"/>
  <c r="D958" i="11"/>
  <c r="C958" i="11"/>
  <c r="B958" i="11"/>
  <c r="T958" i="11" s="1"/>
  <c r="A958" i="11"/>
  <c r="S958" i="11" s="1"/>
  <c r="T957" i="11"/>
  <c r="S957" i="11"/>
  <c r="P957" i="11"/>
  <c r="M957" i="11"/>
  <c r="L957" i="11"/>
  <c r="K957" i="11"/>
  <c r="J957" i="11"/>
  <c r="I957" i="11"/>
  <c r="H957" i="11"/>
  <c r="G957" i="11"/>
  <c r="F957" i="11"/>
  <c r="V957" i="11" s="1"/>
  <c r="E957" i="11"/>
  <c r="D957" i="11"/>
  <c r="C957" i="11"/>
  <c r="B957" i="11"/>
  <c r="A957" i="11"/>
  <c r="V956" i="11"/>
  <c r="M956" i="11"/>
  <c r="L956" i="11"/>
  <c r="K956" i="11"/>
  <c r="J956" i="11"/>
  <c r="I956" i="11"/>
  <c r="H956" i="11"/>
  <c r="G956" i="11"/>
  <c r="F956" i="11"/>
  <c r="Q956" i="11" s="1"/>
  <c r="E956" i="11"/>
  <c r="P956" i="11" s="1"/>
  <c r="D956" i="11"/>
  <c r="C956" i="11"/>
  <c r="B956" i="11"/>
  <c r="T956" i="11" s="1"/>
  <c r="A956" i="11"/>
  <c r="S956" i="11" s="1"/>
  <c r="T955" i="11"/>
  <c r="S955" i="11"/>
  <c r="P955" i="11"/>
  <c r="M955" i="11"/>
  <c r="L955" i="11"/>
  <c r="K955" i="11"/>
  <c r="J955" i="11"/>
  <c r="I955" i="11"/>
  <c r="H955" i="11"/>
  <c r="G955" i="11"/>
  <c r="F955" i="11"/>
  <c r="V955" i="11" s="1"/>
  <c r="E955" i="11"/>
  <c r="D955" i="11"/>
  <c r="C955" i="11"/>
  <c r="B955" i="11"/>
  <c r="A955" i="11"/>
  <c r="M954" i="11"/>
  <c r="L954" i="11"/>
  <c r="K954" i="11"/>
  <c r="J954" i="11"/>
  <c r="I954" i="11"/>
  <c r="H954" i="11"/>
  <c r="G954" i="11"/>
  <c r="F954" i="11"/>
  <c r="Q954" i="11" s="1"/>
  <c r="E954" i="11"/>
  <c r="D954" i="11"/>
  <c r="C954" i="11"/>
  <c r="B954" i="11"/>
  <c r="T954" i="11" s="1"/>
  <c r="A954" i="11"/>
  <c r="S954" i="11" s="1"/>
  <c r="T953" i="11"/>
  <c r="S953" i="11"/>
  <c r="P953" i="11"/>
  <c r="M953" i="11"/>
  <c r="L953" i="11"/>
  <c r="K953" i="11"/>
  <c r="J953" i="11"/>
  <c r="I953" i="11"/>
  <c r="H953" i="11"/>
  <c r="G953" i="11"/>
  <c r="F953" i="11"/>
  <c r="V953" i="11" s="1"/>
  <c r="E953" i="11"/>
  <c r="D953" i="11"/>
  <c r="C953" i="11"/>
  <c r="B953" i="11"/>
  <c r="A953" i="11"/>
  <c r="Q952" i="11"/>
  <c r="M952" i="11"/>
  <c r="L952" i="11"/>
  <c r="K952" i="11"/>
  <c r="J952" i="11"/>
  <c r="I952" i="11"/>
  <c r="H952" i="11"/>
  <c r="G952" i="11"/>
  <c r="F952" i="11"/>
  <c r="E952" i="11"/>
  <c r="P952" i="11" s="1"/>
  <c r="D952" i="11"/>
  <c r="C952" i="11"/>
  <c r="B952" i="11"/>
  <c r="T952" i="11" s="1"/>
  <c r="A952" i="11"/>
  <c r="S952" i="11" s="1"/>
  <c r="T951" i="11"/>
  <c r="S951" i="11"/>
  <c r="P951" i="11"/>
  <c r="M951" i="11"/>
  <c r="L951" i="11"/>
  <c r="K951" i="11"/>
  <c r="J951" i="11"/>
  <c r="I951" i="11"/>
  <c r="H951" i="11"/>
  <c r="G951" i="11"/>
  <c r="F951" i="11"/>
  <c r="V951" i="11" s="1"/>
  <c r="E951" i="11"/>
  <c r="D951" i="11"/>
  <c r="C951" i="11"/>
  <c r="B951" i="11"/>
  <c r="A951" i="11"/>
  <c r="Q950" i="11"/>
  <c r="M950" i="11"/>
  <c r="L950" i="11"/>
  <c r="K950" i="11"/>
  <c r="J950" i="11"/>
  <c r="I950" i="11"/>
  <c r="H950" i="11"/>
  <c r="G950" i="11"/>
  <c r="F950" i="11"/>
  <c r="V950" i="11" s="1"/>
  <c r="E950" i="11"/>
  <c r="P950" i="11" s="1"/>
  <c r="D950" i="11"/>
  <c r="C950" i="11"/>
  <c r="B950" i="11"/>
  <c r="T950" i="11" s="1"/>
  <c r="A950" i="11"/>
  <c r="S950" i="11" s="1"/>
  <c r="T949" i="11"/>
  <c r="S949" i="11"/>
  <c r="P949" i="11"/>
  <c r="M949" i="11"/>
  <c r="L949" i="11"/>
  <c r="K949" i="11"/>
  <c r="J949" i="11"/>
  <c r="I949" i="11"/>
  <c r="H949" i="11"/>
  <c r="G949" i="11"/>
  <c r="F949" i="11"/>
  <c r="V949" i="11" s="1"/>
  <c r="E949" i="11"/>
  <c r="D949" i="11"/>
  <c r="C949" i="11"/>
  <c r="B949" i="11"/>
  <c r="A949" i="11"/>
  <c r="M948" i="11"/>
  <c r="L948" i="11"/>
  <c r="K948" i="11"/>
  <c r="J948" i="11"/>
  <c r="I948" i="11"/>
  <c r="H948" i="11"/>
  <c r="G948" i="11"/>
  <c r="F948" i="11"/>
  <c r="Q948" i="11" s="1"/>
  <c r="E948" i="11"/>
  <c r="P948" i="11" s="1"/>
  <c r="D948" i="11"/>
  <c r="C948" i="11"/>
  <c r="B948" i="11"/>
  <c r="T948" i="11" s="1"/>
  <c r="A948" i="11"/>
  <c r="S948" i="11" s="1"/>
  <c r="T947" i="11"/>
  <c r="S947" i="11"/>
  <c r="P947" i="11"/>
  <c r="M947" i="11"/>
  <c r="L947" i="11"/>
  <c r="K947" i="11"/>
  <c r="J947" i="11"/>
  <c r="I947" i="11"/>
  <c r="H947" i="11"/>
  <c r="G947" i="11"/>
  <c r="F947" i="11"/>
  <c r="V947" i="11" s="1"/>
  <c r="E947" i="11"/>
  <c r="D947" i="11"/>
  <c r="C947" i="11"/>
  <c r="B947" i="11"/>
  <c r="A947" i="11"/>
  <c r="M946" i="11"/>
  <c r="L946" i="11"/>
  <c r="K946" i="11"/>
  <c r="J946" i="11"/>
  <c r="I946" i="11"/>
  <c r="H946" i="11"/>
  <c r="G946" i="11"/>
  <c r="F946" i="11"/>
  <c r="Q946" i="11" s="1"/>
  <c r="E946" i="11"/>
  <c r="D946" i="11"/>
  <c r="C946" i="11"/>
  <c r="B946" i="11"/>
  <c r="T946" i="11" s="1"/>
  <c r="A946" i="11"/>
  <c r="S946" i="11" s="1"/>
  <c r="T945" i="11"/>
  <c r="S945" i="11"/>
  <c r="P945" i="11"/>
  <c r="M945" i="11"/>
  <c r="L945" i="11"/>
  <c r="K945" i="11"/>
  <c r="J945" i="11"/>
  <c r="I945" i="11"/>
  <c r="H945" i="11"/>
  <c r="G945" i="11"/>
  <c r="F945" i="11"/>
  <c r="V945" i="11" s="1"/>
  <c r="E945" i="11"/>
  <c r="D945" i="11"/>
  <c r="C945" i="11"/>
  <c r="B945" i="11"/>
  <c r="A945" i="11"/>
  <c r="Q944" i="11"/>
  <c r="M944" i="11"/>
  <c r="L944" i="11"/>
  <c r="K944" i="11"/>
  <c r="J944" i="11"/>
  <c r="I944" i="11"/>
  <c r="H944" i="11"/>
  <c r="G944" i="11"/>
  <c r="F944" i="11"/>
  <c r="E944" i="11"/>
  <c r="P944" i="11" s="1"/>
  <c r="D944" i="11"/>
  <c r="C944" i="11"/>
  <c r="B944" i="11"/>
  <c r="T944" i="11" s="1"/>
  <c r="A944" i="11"/>
  <c r="S944" i="11" s="1"/>
  <c r="T943" i="11"/>
  <c r="S943" i="11"/>
  <c r="P943" i="11"/>
  <c r="M943" i="11"/>
  <c r="L943" i="11"/>
  <c r="K943" i="11"/>
  <c r="J943" i="11"/>
  <c r="I943" i="11"/>
  <c r="H943" i="11"/>
  <c r="G943" i="11"/>
  <c r="F943" i="11"/>
  <c r="V943" i="11" s="1"/>
  <c r="E943" i="11"/>
  <c r="D943" i="11"/>
  <c r="C943" i="11"/>
  <c r="B943" i="11"/>
  <c r="A943" i="11"/>
  <c r="Q942" i="11"/>
  <c r="M942" i="11"/>
  <c r="L942" i="11"/>
  <c r="K942" i="11"/>
  <c r="J942" i="11"/>
  <c r="I942" i="11"/>
  <c r="H942" i="11"/>
  <c r="G942" i="11"/>
  <c r="F942" i="11"/>
  <c r="V942" i="11" s="1"/>
  <c r="E942" i="11"/>
  <c r="P942" i="11" s="1"/>
  <c r="D942" i="11"/>
  <c r="C942" i="11"/>
  <c r="B942" i="11"/>
  <c r="T942" i="11" s="1"/>
  <c r="A942" i="11"/>
  <c r="S942" i="11" s="1"/>
  <c r="T941" i="11"/>
  <c r="S941" i="11"/>
  <c r="P941" i="11"/>
  <c r="M941" i="11"/>
  <c r="L941" i="11"/>
  <c r="K941" i="11"/>
  <c r="J941" i="11"/>
  <c r="I941" i="11"/>
  <c r="H941" i="11"/>
  <c r="G941" i="11"/>
  <c r="F941" i="11"/>
  <c r="V941" i="11" s="1"/>
  <c r="E941" i="11"/>
  <c r="D941" i="11"/>
  <c r="C941" i="11"/>
  <c r="B941" i="11"/>
  <c r="A941" i="11"/>
  <c r="M940" i="11"/>
  <c r="L940" i="11"/>
  <c r="K940" i="11"/>
  <c r="J940" i="11"/>
  <c r="I940" i="11"/>
  <c r="H940" i="11"/>
  <c r="G940" i="11"/>
  <c r="F940" i="11"/>
  <c r="Q940" i="11" s="1"/>
  <c r="E940" i="11"/>
  <c r="P940" i="11" s="1"/>
  <c r="D940" i="11"/>
  <c r="C940" i="11"/>
  <c r="B940" i="11"/>
  <c r="T940" i="11" s="1"/>
  <c r="A940" i="11"/>
  <c r="S940" i="11" s="1"/>
  <c r="T939" i="11"/>
  <c r="S939" i="11"/>
  <c r="P939" i="11"/>
  <c r="M939" i="11"/>
  <c r="L939" i="11"/>
  <c r="K939" i="11"/>
  <c r="J939" i="11"/>
  <c r="I939" i="11"/>
  <c r="H939" i="11"/>
  <c r="G939" i="11"/>
  <c r="F939" i="11"/>
  <c r="V939" i="11" s="1"/>
  <c r="E939" i="11"/>
  <c r="D939" i="11"/>
  <c r="C939" i="11"/>
  <c r="B939" i="11"/>
  <c r="A939" i="11"/>
  <c r="M938" i="11"/>
  <c r="L938" i="11"/>
  <c r="K938" i="11"/>
  <c r="J938" i="11"/>
  <c r="I938" i="11"/>
  <c r="H938" i="11"/>
  <c r="G938" i="11"/>
  <c r="F938" i="11"/>
  <c r="Q938" i="11" s="1"/>
  <c r="E938" i="11"/>
  <c r="D938" i="11"/>
  <c r="C938" i="11"/>
  <c r="B938" i="11"/>
  <c r="T938" i="11" s="1"/>
  <c r="A938" i="11"/>
  <c r="S938" i="11" s="1"/>
  <c r="T937" i="11"/>
  <c r="S937" i="11"/>
  <c r="P937" i="11"/>
  <c r="M937" i="11"/>
  <c r="L937" i="11"/>
  <c r="K937" i="11"/>
  <c r="J937" i="11"/>
  <c r="I937" i="11"/>
  <c r="H937" i="11"/>
  <c r="G937" i="11"/>
  <c r="F937" i="11"/>
  <c r="V937" i="11" s="1"/>
  <c r="E937" i="11"/>
  <c r="D937" i="11"/>
  <c r="C937" i="11"/>
  <c r="B937" i="11"/>
  <c r="A937" i="11"/>
  <c r="Q936" i="11"/>
  <c r="M936" i="11"/>
  <c r="L936" i="11"/>
  <c r="K936" i="11"/>
  <c r="J936" i="11"/>
  <c r="I936" i="11"/>
  <c r="H936" i="11"/>
  <c r="G936" i="11"/>
  <c r="F936" i="11"/>
  <c r="E936" i="11"/>
  <c r="P936" i="11" s="1"/>
  <c r="D936" i="11"/>
  <c r="C936" i="11"/>
  <c r="B936" i="11"/>
  <c r="T936" i="11" s="1"/>
  <c r="A936" i="11"/>
  <c r="S936" i="11" s="1"/>
  <c r="T935" i="11"/>
  <c r="S935" i="11"/>
  <c r="P935" i="11"/>
  <c r="M935" i="11"/>
  <c r="L935" i="11"/>
  <c r="K935" i="11"/>
  <c r="J935" i="11"/>
  <c r="I935" i="11"/>
  <c r="H935" i="11"/>
  <c r="G935" i="11"/>
  <c r="F935" i="11"/>
  <c r="V935" i="11" s="1"/>
  <c r="E935" i="11"/>
  <c r="D935" i="11"/>
  <c r="C935" i="11"/>
  <c r="B935" i="11"/>
  <c r="A935" i="11"/>
  <c r="Q934" i="11"/>
  <c r="M934" i="11"/>
  <c r="L934" i="11"/>
  <c r="K934" i="11"/>
  <c r="J934" i="11"/>
  <c r="I934" i="11"/>
  <c r="H934" i="11"/>
  <c r="G934" i="11"/>
  <c r="F934" i="11"/>
  <c r="V934" i="11" s="1"/>
  <c r="E934" i="11"/>
  <c r="P934" i="11" s="1"/>
  <c r="D934" i="11"/>
  <c r="C934" i="11"/>
  <c r="B934" i="11"/>
  <c r="T934" i="11" s="1"/>
  <c r="A934" i="11"/>
  <c r="S934" i="11" s="1"/>
  <c r="T933" i="11"/>
  <c r="S933" i="11"/>
  <c r="P933" i="11"/>
  <c r="M933" i="11"/>
  <c r="L933" i="11"/>
  <c r="K933" i="11"/>
  <c r="J933" i="11"/>
  <c r="I933" i="11"/>
  <c r="H933" i="11"/>
  <c r="G933" i="11"/>
  <c r="F933" i="11"/>
  <c r="V933" i="11" s="1"/>
  <c r="E933" i="11"/>
  <c r="D933" i="11"/>
  <c r="C933" i="11"/>
  <c r="B933" i="11"/>
  <c r="A933" i="11"/>
  <c r="M932" i="11"/>
  <c r="L932" i="11"/>
  <c r="K932" i="11"/>
  <c r="J932" i="11"/>
  <c r="I932" i="11"/>
  <c r="H932" i="11"/>
  <c r="G932" i="11"/>
  <c r="F932" i="11"/>
  <c r="Q932" i="11" s="1"/>
  <c r="E932" i="11"/>
  <c r="P932" i="11" s="1"/>
  <c r="D932" i="11"/>
  <c r="C932" i="11"/>
  <c r="B932" i="11"/>
  <c r="T932" i="11" s="1"/>
  <c r="A932" i="11"/>
  <c r="S932" i="11" s="1"/>
  <c r="T931" i="11"/>
  <c r="S931" i="11"/>
  <c r="P931" i="11"/>
  <c r="M931" i="11"/>
  <c r="L931" i="11"/>
  <c r="K931" i="11"/>
  <c r="J931" i="11"/>
  <c r="I931" i="11"/>
  <c r="H931" i="11"/>
  <c r="G931" i="11"/>
  <c r="F931" i="11"/>
  <c r="V931" i="11" s="1"/>
  <c r="E931" i="11"/>
  <c r="D931" i="11"/>
  <c r="C931" i="11"/>
  <c r="B931" i="11"/>
  <c r="A931" i="11"/>
  <c r="M930" i="11"/>
  <c r="L930" i="11"/>
  <c r="K930" i="11"/>
  <c r="J930" i="11"/>
  <c r="I930" i="11"/>
  <c r="H930" i="11"/>
  <c r="G930" i="11"/>
  <c r="F930" i="11"/>
  <c r="Q930" i="11" s="1"/>
  <c r="E930" i="11"/>
  <c r="D930" i="11"/>
  <c r="C930" i="11"/>
  <c r="B930" i="11"/>
  <c r="T930" i="11" s="1"/>
  <c r="A930" i="11"/>
  <c r="S930" i="11" s="1"/>
  <c r="T929" i="11"/>
  <c r="S929" i="11"/>
  <c r="P929" i="11"/>
  <c r="M929" i="11"/>
  <c r="L929" i="11"/>
  <c r="K929" i="11"/>
  <c r="J929" i="11"/>
  <c r="I929" i="11"/>
  <c r="H929" i="11"/>
  <c r="G929" i="11"/>
  <c r="F929" i="11"/>
  <c r="V929" i="11" s="1"/>
  <c r="E929" i="11"/>
  <c r="D929" i="11"/>
  <c r="C929" i="11"/>
  <c r="B929" i="11"/>
  <c r="A929" i="11"/>
  <c r="Q928" i="11"/>
  <c r="M928" i="11"/>
  <c r="L928" i="11"/>
  <c r="K928" i="11"/>
  <c r="J928" i="11"/>
  <c r="I928" i="11"/>
  <c r="H928" i="11"/>
  <c r="G928" i="11"/>
  <c r="F928" i="11"/>
  <c r="E928" i="11"/>
  <c r="P928" i="11" s="1"/>
  <c r="D928" i="11"/>
  <c r="C928" i="11"/>
  <c r="B928" i="11"/>
  <c r="T928" i="11" s="1"/>
  <c r="A928" i="11"/>
  <c r="S928" i="11" s="1"/>
  <c r="T927" i="11"/>
  <c r="S927" i="11"/>
  <c r="P927" i="11"/>
  <c r="M927" i="11"/>
  <c r="L927" i="11"/>
  <c r="K927" i="11"/>
  <c r="J927" i="11"/>
  <c r="I927" i="11"/>
  <c r="H927" i="11"/>
  <c r="G927" i="11"/>
  <c r="F927" i="11"/>
  <c r="V927" i="11" s="1"/>
  <c r="E927" i="11"/>
  <c r="D927" i="11"/>
  <c r="C927" i="11"/>
  <c r="B927" i="11"/>
  <c r="A927" i="11"/>
  <c r="Q926" i="11"/>
  <c r="M926" i="11"/>
  <c r="L926" i="11"/>
  <c r="K926" i="11"/>
  <c r="J926" i="11"/>
  <c r="I926" i="11"/>
  <c r="H926" i="11"/>
  <c r="G926" i="11"/>
  <c r="F926" i="11"/>
  <c r="V926" i="11" s="1"/>
  <c r="E926" i="11"/>
  <c r="P926" i="11" s="1"/>
  <c r="D926" i="11"/>
  <c r="C926" i="11"/>
  <c r="B926" i="11"/>
  <c r="T926" i="11" s="1"/>
  <c r="A926" i="11"/>
  <c r="S926" i="11" s="1"/>
  <c r="T925" i="11"/>
  <c r="S925" i="11"/>
  <c r="P925" i="11"/>
  <c r="M925" i="11"/>
  <c r="L925" i="11"/>
  <c r="K925" i="11"/>
  <c r="J925" i="11"/>
  <c r="I925" i="11"/>
  <c r="H925" i="11"/>
  <c r="G925" i="11"/>
  <c r="F925" i="11"/>
  <c r="V925" i="11" s="1"/>
  <c r="E925" i="11"/>
  <c r="D925" i="11"/>
  <c r="C925" i="11"/>
  <c r="B925" i="11"/>
  <c r="A925" i="11"/>
  <c r="V924" i="11"/>
  <c r="M924" i="11"/>
  <c r="L924" i="11"/>
  <c r="K924" i="11"/>
  <c r="J924" i="11"/>
  <c r="I924" i="11"/>
  <c r="H924" i="11"/>
  <c r="G924" i="11"/>
  <c r="F924" i="11"/>
  <c r="Q924" i="11" s="1"/>
  <c r="E924" i="11"/>
  <c r="P924" i="11" s="1"/>
  <c r="D924" i="11"/>
  <c r="C924" i="11"/>
  <c r="B924" i="11"/>
  <c r="T924" i="11" s="1"/>
  <c r="A924" i="11"/>
  <c r="S924" i="11" s="1"/>
  <c r="T923" i="11"/>
  <c r="S923" i="11"/>
  <c r="P923" i="11"/>
  <c r="M923" i="11"/>
  <c r="L923" i="11"/>
  <c r="K923" i="11"/>
  <c r="J923" i="11"/>
  <c r="I923" i="11"/>
  <c r="H923" i="11"/>
  <c r="G923" i="11"/>
  <c r="F923" i="11"/>
  <c r="V923" i="11" s="1"/>
  <c r="E923" i="11"/>
  <c r="D923" i="11"/>
  <c r="C923" i="11"/>
  <c r="B923" i="11"/>
  <c r="A923" i="11"/>
  <c r="M922" i="11"/>
  <c r="L922" i="11"/>
  <c r="K922" i="11"/>
  <c r="J922" i="11"/>
  <c r="I922" i="11"/>
  <c r="H922" i="11"/>
  <c r="G922" i="11"/>
  <c r="F922" i="11"/>
  <c r="Q922" i="11" s="1"/>
  <c r="E922" i="11"/>
  <c r="D922" i="11"/>
  <c r="C922" i="11"/>
  <c r="B922" i="11"/>
  <c r="T922" i="11" s="1"/>
  <c r="A922" i="11"/>
  <c r="S922" i="11" s="1"/>
  <c r="T921" i="11"/>
  <c r="S921" i="11"/>
  <c r="P921" i="11"/>
  <c r="M921" i="11"/>
  <c r="L921" i="11"/>
  <c r="K921" i="11"/>
  <c r="J921" i="11"/>
  <c r="I921" i="11"/>
  <c r="H921" i="11"/>
  <c r="G921" i="11"/>
  <c r="F921" i="11"/>
  <c r="V921" i="11" s="1"/>
  <c r="E921" i="11"/>
  <c r="D921" i="11"/>
  <c r="C921" i="11"/>
  <c r="B921" i="11"/>
  <c r="A921" i="11"/>
  <c r="Q920" i="11"/>
  <c r="M920" i="11"/>
  <c r="L920" i="11"/>
  <c r="K920" i="11"/>
  <c r="J920" i="11"/>
  <c r="I920" i="11"/>
  <c r="H920" i="11"/>
  <c r="G920" i="11"/>
  <c r="F920" i="11"/>
  <c r="E920" i="11"/>
  <c r="P920" i="11" s="1"/>
  <c r="D920" i="11"/>
  <c r="C920" i="11"/>
  <c r="B920" i="11"/>
  <c r="T920" i="11" s="1"/>
  <c r="A920" i="11"/>
  <c r="S920" i="11" s="1"/>
  <c r="T919" i="11"/>
  <c r="S919" i="11"/>
  <c r="P919" i="11"/>
  <c r="M919" i="11"/>
  <c r="L919" i="11"/>
  <c r="K919" i="11"/>
  <c r="J919" i="11"/>
  <c r="I919" i="11"/>
  <c r="H919" i="11"/>
  <c r="G919" i="11"/>
  <c r="F919" i="11"/>
  <c r="V919" i="11" s="1"/>
  <c r="E919" i="11"/>
  <c r="D919" i="11"/>
  <c r="C919" i="11"/>
  <c r="B919" i="11"/>
  <c r="A919" i="11"/>
  <c r="Q918" i="11"/>
  <c r="M918" i="11"/>
  <c r="L918" i="11"/>
  <c r="K918" i="11"/>
  <c r="J918" i="11"/>
  <c r="I918" i="11"/>
  <c r="H918" i="11"/>
  <c r="G918" i="11"/>
  <c r="F918" i="11"/>
  <c r="V918" i="11" s="1"/>
  <c r="E918" i="11"/>
  <c r="P918" i="11" s="1"/>
  <c r="D918" i="11"/>
  <c r="C918" i="11"/>
  <c r="B918" i="11"/>
  <c r="T918" i="11" s="1"/>
  <c r="A918" i="11"/>
  <c r="S918" i="11" s="1"/>
  <c r="T917" i="11"/>
  <c r="S917" i="11"/>
  <c r="P917" i="11"/>
  <c r="M917" i="11"/>
  <c r="L917" i="11"/>
  <c r="K917" i="11"/>
  <c r="J917" i="11"/>
  <c r="I917" i="11"/>
  <c r="H917" i="11"/>
  <c r="G917" i="11"/>
  <c r="F917" i="11"/>
  <c r="V917" i="11" s="1"/>
  <c r="E917" i="11"/>
  <c r="D917" i="11"/>
  <c r="C917" i="11"/>
  <c r="B917" i="11"/>
  <c r="A917" i="11"/>
  <c r="M916" i="11"/>
  <c r="L916" i="11"/>
  <c r="K916" i="11"/>
  <c r="J916" i="11"/>
  <c r="I916" i="11"/>
  <c r="H916" i="11"/>
  <c r="G916" i="11"/>
  <c r="F916" i="11"/>
  <c r="Q916" i="11" s="1"/>
  <c r="E916" i="11"/>
  <c r="P916" i="11" s="1"/>
  <c r="D916" i="11"/>
  <c r="C916" i="11"/>
  <c r="B916" i="11"/>
  <c r="T916" i="11" s="1"/>
  <c r="A916" i="11"/>
  <c r="S916" i="11" s="1"/>
  <c r="T915" i="11"/>
  <c r="S915" i="11"/>
  <c r="P915" i="11"/>
  <c r="M915" i="11"/>
  <c r="L915" i="11"/>
  <c r="K915" i="11"/>
  <c r="J915" i="11"/>
  <c r="I915" i="11"/>
  <c r="H915" i="11"/>
  <c r="G915" i="11"/>
  <c r="F915" i="11"/>
  <c r="V915" i="11" s="1"/>
  <c r="E915" i="11"/>
  <c r="D915" i="11"/>
  <c r="C915" i="11"/>
  <c r="B915" i="11"/>
  <c r="A915" i="11"/>
  <c r="M914" i="11"/>
  <c r="L914" i="11"/>
  <c r="K914" i="11"/>
  <c r="J914" i="11"/>
  <c r="I914" i="11"/>
  <c r="H914" i="11"/>
  <c r="G914" i="11"/>
  <c r="F914" i="11"/>
  <c r="Q914" i="11" s="1"/>
  <c r="E914" i="11"/>
  <c r="D914" i="11"/>
  <c r="C914" i="11"/>
  <c r="B914" i="11"/>
  <c r="T914" i="11" s="1"/>
  <c r="A914" i="11"/>
  <c r="S914" i="11" s="1"/>
  <c r="T913" i="11"/>
  <c r="S913" i="11"/>
  <c r="P913" i="11"/>
  <c r="M913" i="11"/>
  <c r="L913" i="11"/>
  <c r="K913" i="11"/>
  <c r="J913" i="11"/>
  <c r="I913" i="11"/>
  <c r="H913" i="11"/>
  <c r="G913" i="11"/>
  <c r="F913" i="11"/>
  <c r="V913" i="11" s="1"/>
  <c r="E913" i="11"/>
  <c r="D913" i="11"/>
  <c r="C913" i="11"/>
  <c r="B913" i="11"/>
  <c r="A913" i="11"/>
  <c r="Q912" i="11"/>
  <c r="M912" i="11"/>
  <c r="L912" i="11"/>
  <c r="K912" i="11"/>
  <c r="J912" i="11"/>
  <c r="I912" i="11"/>
  <c r="H912" i="11"/>
  <c r="G912" i="11"/>
  <c r="F912" i="11"/>
  <c r="E912" i="11"/>
  <c r="P912" i="11" s="1"/>
  <c r="D912" i="11"/>
  <c r="C912" i="11"/>
  <c r="B912" i="11"/>
  <c r="T912" i="11" s="1"/>
  <c r="A912" i="11"/>
  <c r="S912" i="11" s="1"/>
  <c r="T911" i="11"/>
  <c r="S911" i="11"/>
  <c r="P911" i="11"/>
  <c r="M911" i="11"/>
  <c r="L911" i="11"/>
  <c r="K911" i="11"/>
  <c r="J911" i="11"/>
  <c r="I911" i="11"/>
  <c r="H911" i="11"/>
  <c r="G911" i="11"/>
  <c r="F911" i="11"/>
  <c r="V911" i="11" s="1"/>
  <c r="E911" i="11"/>
  <c r="D911" i="11"/>
  <c r="C911" i="11"/>
  <c r="B911" i="11"/>
  <c r="A911" i="11"/>
  <c r="Q910" i="11"/>
  <c r="M910" i="11"/>
  <c r="L910" i="11"/>
  <c r="K910" i="11"/>
  <c r="J910" i="11"/>
  <c r="I910" i="11"/>
  <c r="H910" i="11"/>
  <c r="G910" i="11"/>
  <c r="F910" i="11"/>
  <c r="V910" i="11" s="1"/>
  <c r="E910" i="11"/>
  <c r="P910" i="11" s="1"/>
  <c r="D910" i="11"/>
  <c r="C910" i="11"/>
  <c r="B910" i="11"/>
  <c r="T910" i="11" s="1"/>
  <c r="A910" i="11"/>
  <c r="S910" i="11" s="1"/>
  <c r="T909" i="11"/>
  <c r="S909" i="11"/>
  <c r="P909" i="11"/>
  <c r="M909" i="11"/>
  <c r="L909" i="11"/>
  <c r="K909" i="11"/>
  <c r="J909" i="11"/>
  <c r="I909" i="11"/>
  <c r="H909" i="11"/>
  <c r="G909" i="11"/>
  <c r="F909" i="11"/>
  <c r="V909" i="11" s="1"/>
  <c r="E909" i="11"/>
  <c r="D909" i="11"/>
  <c r="C909" i="11"/>
  <c r="B909" i="11"/>
  <c r="A909" i="11"/>
  <c r="M908" i="11"/>
  <c r="L908" i="11"/>
  <c r="K908" i="11"/>
  <c r="J908" i="11"/>
  <c r="I908" i="11"/>
  <c r="H908" i="11"/>
  <c r="G908" i="11"/>
  <c r="F908" i="11"/>
  <c r="Q908" i="11" s="1"/>
  <c r="E908" i="11"/>
  <c r="P908" i="11" s="1"/>
  <c r="D908" i="11"/>
  <c r="C908" i="11"/>
  <c r="B908" i="11"/>
  <c r="T908" i="11" s="1"/>
  <c r="A908" i="11"/>
  <c r="S908" i="11" s="1"/>
  <c r="T907" i="11"/>
  <c r="S907" i="11"/>
  <c r="P907" i="11"/>
  <c r="M907" i="11"/>
  <c r="L907" i="11"/>
  <c r="K907" i="11"/>
  <c r="J907" i="11"/>
  <c r="I907" i="11"/>
  <c r="H907" i="11"/>
  <c r="G907" i="11"/>
  <c r="F907" i="11"/>
  <c r="V907" i="11" s="1"/>
  <c r="E907" i="11"/>
  <c r="D907" i="11"/>
  <c r="C907" i="11"/>
  <c r="B907" i="11"/>
  <c r="A907" i="11"/>
  <c r="M906" i="11"/>
  <c r="L906" i="11"/>
  <c r="K906" i="11"/>
  <c r="J906" i="11"/>
  <c r="I906" i="11"/>
  <c r="H906" i="11"/>
  <c r="G906" i="11"/>
  <c r="F906" i="11"/>
  <c r="Q906" i="11" s="1"/>
  <c r="E906" i="11"/>
  <c r="D906" i="11"/>
  <c r="C906" i="11"/>
  <c r="B906" i="11"/>
  <c r="T906" i="11" s="1"/>
  <c r="A906" i="11"/>
  <c r="S906" i="11" s="1"/>
  <c r="T905" i="11"/>
  <c r="S905" i="11"/>
  <c r="P905" i="11"/>
  <c r="M905" i="11"/>
  <c r="L905" i="11"/>
  <c r="K905" i="11"/>
  <c r="J905" i="11"/>
  <c r="I905" i="11"/>
  <c r="H905" i="11"/>
  <c r="G905" i="11"/>
  <c r="F905" i="11"/>
  <c r="V905" i="11" s="1"/>
  <c r="E905" i="11"/>
  <c r="D905" i="11"/>
  <c r="C905" i="11"/>
  <c r="B905" i="11"/>
  <c r="A905" i="11"/>
  <c r="Q904" i="11"/>
  <c r="M904" i="11"/>
  <c r="L904" i="11"/>
  <c r="K904" i="11"/>
  <c r="J904" i="11"/>
  <c r="I904" i="11"/>
  <c r="H904" i="11"/>
  <c r="G904" i="11"/>
  <c r="F904" i="11"/>
  <c r="E904" i="11"/>
  <c r="P904" i="11" s="1"/>
  <c r="D904" i="11"/>
  <c r="C904" i="11"/>
  <c r="B904" i="11"/>
  <c r="T904" i="11" s="1"/>
  <c r="A904" i="11"/>
  <c r="S904" i="11" s="1"/>
  <c r="T903" i="11"/>
  <c r="S903" i="11"/>
  <c r="P903" i="11"/>
  <c r="M903" i="11"/>
  <c r="L903" i="11"/>
  <c r="K903" i="11"/>
  <c r="J903" i="11"/>
  <c r="I903" i="11"/>
  <c r="H903" i="11"/>
  <c r="G903" i="11"/>
  <c r="F903" i="11"/>
  <c r="V903" i="11" s="1"/>
  <c r="E903" i="11"/>
  <c r="D903" i="11"/>
  <c r="C903" i="11"/>
  <c r="B903" i="11"/>
  <c r="N903" i="11" s="1"/>
  <c r="A903" i="11"/>
  <c r="Q902" i="11"/>
  <c r="M902" i="11"/>
  <c r="L902" i="11"/>
  <c r="K902" i="11"/>
  <c r="J902" i="11"/>
  <c r="I902" i="11"/>
  <c r="H902" i="11"/>
  <c r="G902" i="11"/>
  <c r="F902" i="11"/>
  <c r="V902" i="11" s="1"/>
  <c r="E902" i="11"/>
  <c r="P902" i="11" s="1"/>
  <c r="D902" i="11"/>
  <c r="C902" i="11"/>
  <c r="B902" i="11"/>
  <c r="T902" i="11" s="1"/>
  <c r="A902" i="11"/>
  <c r="S902" i="11" s="1"/>
  <c r="T901" i="11"/>
  <c r="S901" i="11"/>
  <c r="P901" i="11"/>
  <c r="M901" i="11"/>
  <c r="L901" i="11"/>
  <c r="K901" i="11"/>
  <c r="J901" i="11"/>
  <c r="I901" i="11"/>
  <c r="H901" i="11"/>
  <c r="G901" i="11"/>
  <c r="F901" i="11"/>
  <c r="V901" i="11" s="1"/>
  <c r="E901" i="11"/>
  <c r="D901" i="11"/>
  <c r="C901" i="11"/>
  <c r="B901" i="11"/>
  <c r="A901" i="11"/>
  <c r="M900" i="11"/>
  <c r="L900" i="11"/>
  <c r="K900" i="11"/>
  <c r="J900" i="11"/>
  <c r="I900" i="11"/>
  <c r="H900" i="11"/>
  <c r="G900" i="11"/>
  <c r="F900" i="11"/>
  <c r="Q900" i="11" s="1"/>
  <c r="E900" i="11"/>
  <c r="P900" i="11" s="1"/>
  <c r="D900" i="11"/>
  <c r="C900" i="11"/>
  <c r="B900" i="11"/>
  <c r="T900" i="11" s="1"/>
  <c r="A900" i="11"/>
  <c r="S900" i="11" s="1"/>
  <c r="T899" i="11"/>
  <c r="S899" i="11"/>
  <c r="P899" i="11"/>
  <c r="M899" i="11"/>
  <c r="L899" i="11"/>
  <c r="K899" i="11"/>
  <c r="J899" i="11"/>
  <c r="I899" i="11"/>
  <c r="H899" i="11"/>
  <c r="G899" i="11"/>
  <c r="F899" i="11"/>
  <c r="V899" i="11" s="1"/>
  <c r="E899" i="11"/>
  <c r="D899" i="11"/>
  <c r="C899" i="11"/>
  <c r="B899" i="11"/>
  <c r="A899" i="11"/>
  <c r="M898" i="11"/>
  <c r="L898" i="11"/>
  <c r="K898" i="11"/>
  <c r="J898" i="11"/>
  <c r="I898" i="11"/>
  <c r="H898" i="11"/>
  <c r="G898" i="11"/>
  <c r="F898" i="11"/>
  <c r="Q898" i="11" s="1"/>
  <c r="E898" i="11"/>
  <c r="D898" i="11"/>
  <c r="C898" i="11"/>
  <c r="B898" i="11"/>
  <c r="T898" i="11" s="1"/>
  <c r="A898" i="11"/>
  <c r="S898" i="11" s="1"/>
  <c r="T897" i="11"/>
  <c r="S897" i="11"/>
  <c r="P897" i="11"/>
  <c r="M897" i="11"/>
  <c r="L897" i="11"/>
  <c r="K897" i="11"/>
  <c r="J897" i="11"/>
  <c r="I897" i="11"/>
  <c r="H897" i="11"/>
  <c r="G897" i="11"/>
  <c r="F897" i="11"/>
  <c r="V897" i="11" s="1"/>
  <c r="E897" i="11"/>
  <c r="D897" i="11"/>
  <c r="C897" i="11"/>
  <c r="B897" i="11"/>
  <c r="A897" i="11"/>
  <c r="Q896" i="11"/>
  <c r="M896" i="11"/>
  <c r="L896" i="11"/>
  <c r="K896" i="11"/>
  <c r="J896" i="11"/>
  <c r="I896" i="11"/>
  <c r="H896" i="11"/>
  <c r="G896" i="11"/>
  <c r="F896" i="11"/>
  <c r="E896" i="11"/>
  <c r="P896" i="11" s="1"/>
  <c r="D896" i="11"/>
  <c r="C896" i="11"/>
  <c r="B896" i="11"/>
  <c r="T896" i="11" s="1"/>
  <c r="A896" i="11"/>
  <c r="S896" i="11" s="1"/>
  <c r="T895" i="11"/>
  <c r="S895" i="11"/>
  <c r="P895" i="11"/>
  <c r="M895" i="11"/>
  <c r="L895" i="11"/>
  <c r="K895" i="11"/>
  <c r="J895" i="11"/>
  <c r="I895" i="11"/>
  <c r="H895" i="11"/>
  <c r="G895" i="11"/>
  <c r="F895" i="11"/>
  <c r="V895" i="11" s="1"/>
  <c r="E895" i="11"/>
  <c r="D895" i="11"/>
  <c r="C895" i="11"/>
  <c r="B895" i="11"/>
  <c r="A895" i="11"/>
  <c r="Q894" i="11"/>
  <c r="M894" i="11"/>
  <c r="L894" i="11"/>
  <c r="K894" i="11"/>
  <c r="J894" i="11"/>
  <c r="I894" i="11"/>
  <c r="H894" i="11"/>
  <c r="G894" i="11"/>
  <c r="F894" i="11"/>
  <c r="V894" i="11" s="1"/>
  <c r="E894" i="11"/>
  <c r="P894" i="11" s="1"/>
  <c r="D894" i="11"/>
  <c r="C894" i="11"/>
  <c r="B894" i="11"/>
  <c r="T894" i="11" s="1"/>
  <c r="A894" i="11"/>
  <c r="S894" i="11" s="1"/>
  <c r="T893" i="11"/>
  <c r="S893" i="11"/>
  <c r="P893" i="11"/>
  <c r="M893" i="11"/>
  <c r="L893" i="11"/>
  <c r="K893" i="11"/>
  <c r="J893" i="11"/>
  <c r="I893" i="11"/>
  <c r="H893" i="11"/>
  <c r="G893" i="11"/>
  <c r="F893" i="11"/>
  <c r="V893" i="11" s="1"/>
  <c r="E893" i="11"/>
  <c r="D893" i="11"/>
  <c r="C893" i="11"/>
  <c r="B893" i="11"/>
  <c r="A893" i="11"/>
  <c r="V892" i="11"/>
  <c r="M892" i="11"/>
  <c r="L892" i="11"/>
  <c r="K892" i="11"/>
  <c r="J892" i="11"/>
  <c r="I892" i="11"/>
  <c r="H892" i="11"/>
  <c r="G892" i="11"/>
  <c r="F892" i="11"/>
  <c r="Q892" i="11" s="1"/>
  <c r="E892" i="11"/>
  <c r="P892" i="11" s="1"/>
  <c r="D892" i="11"/>
  <c r="C892" i="11"/>
  <c r="B892" i="11"/>
  <c r="T892" i="11" s="1"/>
  <c r="A892" i="11"/>
  <c r="S892" i="11" s="1"/>
  <c r="T891" i="11"/>
  <c r="S891" i="11"/>
  <c r="P891" i="11"/>
  <c r="M891" i="11"/>
  <c r="L891" i="11"/>
  <c r="K891" i="11"/>
  <c r="J891" i="11"/>
  <c r="I891" i="11"/>
  <c r="H891" i="11"/>
  <c r="G891" i="11"/>
  <c r="F891" i="11"/>
  <c r="V891" i="11" s="1"/>
  <c r="E891" i="11"/>
  <c r="D891" i="11"/>
  <c r="C891" i="11"/>
  <c r="B891" i="11"/>
  <c r="A891" i="11"/>
  <c r="M890" i="11"/>
  <c r="L890" i="11"/>
  <c r="K890" i="11"/>
  <c r="J890" i="11"/>
  <c r="I890" i="11"/>
  <c r="H890" i="11"/>
  <c r="G890" i="11"/>
  <c r="F890" i="11"/>
  <c r="Q890" i="11" s="1"/>
  <c r="E890" i="11"/>
  <c r="D890" i="11"/>
  <c r="C890" i="11"/>
  <c r="B890" i="11"/>
  <c r="T890" i="11" s="1"/>
  <c r="A890" i="11"/>
  <c r="S890" i="11" s="1"/>
  <c r="T889" i="11"/>
  <c r="S889" i="11"/>
  <c r="P889" i="11"/>
  <c r="M889" i="11"/>
  <c r="L889" i="11"/>
  <c r="K889" i="11"/>
  <c r="J889" i="11"/>
  <c r="I889" i="11"/>
  <c r="H889" i="11"/>
  <c r="G889" i="11"/>
  <c r="F889" i="11"/>
  <c r="V889" i="11" s="1"/>
  <c r="E889" i="11"/>
  <c r="D889" i="11"/>
  <c r="C889" i="11"/>
  <c r="B889" i="11"/>
  <c r="A889" i="11"/>
  <c r="Q888" i="11"/>
  <c r="M888" i="11"/>
  <c r="L888" i="11"/>
  <c r="K888" i="11"/>
  <c r="J888" i="11"/>
  <c r="I888" i="11"/>
  <c r="H888" i="11"/>
  <c r="G888" i="11"/>
  <c r="F888" i="11"/>
  <c r="E888" i="11"/>
  <c r="P888" i="11" s="1"/>
  <c r="D888" i="11"/>
  <c r="C888" i="11"/>
  <c r="B888" i="11"/>
  <c r="T888" i="11" s="1"/>
  <c r="A888" i="11"/>
  <c r="S888" i="11" s="1"/>
  <c r="T887" i="11"/>
  <c r="S887" i="11"/>
  <c r="P887" i="11"/>
  <c r="M887" i="11"/>
  <c r="L887" i="11"/>
  <c r="K887" i="11"/>
  <c r="J887" i="11"/>
  <c r="I887" i="11"/>
  <c r="H887" i="11"/>
  <c r="G887" i="11"/>
  <c r="F887" i="11"/>
  <c r="V887" i="11" s="1"/>
  <c r="E887" i="11"/>
  <c r="D887" i="11"/>
  <c r="C887" i="11"/>
  <c r="B887" i="11"/>
  <c r="A887" i="11"/>
  <c r="Q886" i="11"/>
  <c r="M886" i="11"/>
  <c r="L886" i="11"/>
  <c r="K886" i="11"/>
  <c r="J886" i="11"/>
  <c r="I886" i="11"/>
  <c r="H886" i="11"/>
  <c r="G886" i="11"/>
  <c r="F886" i="11"/>
  <c r="V886" i="11" s="1"/>
  <c r="E886" i="11"/>
  <c r="P886" i="11" s="1"/>
  <c r="D886" i="11"/>
  <c r="C886" i="11"/>
  <c r="B886" i="11"/>
  <c r="T886" i="11" s="1"/>
  <c r="A886" i="11"/>
  <c r="S886" i="11" s="1"/>
  <c r="T885" i="11"/>
  <c r="S885" i="11"/>
  <c r="P885" i="11"/>
  <c r="M885" i="11"/>
  <c r="L885" i="11"/>
  <c r="K885" i="11"/>
  <c r="J885" i="11"/>
  <c r="I885" i="11"/>
  <c r="H885" i="11"/>
  <c r="G885" i="11"/>
  <c r="F885" i="11"/>
  <c r="V885" i="11" s="1"/>
  <c r="E885" i="11"/>
  <c r="D885" i="11"/>
  <c r="C885" i="11"/>
  <c r="B885" i="11"/>
  <c r="A885" i="11"/>
  <c r="M884" i="11"/>
  <c r="L884" i="11"/>
  <c r="K884" i="11"/>
  <c r="J884" i="11"/>
  <c r="I884" i="11"/>
  <c r="H884" i="11"/>
  <c r="G884" i="11"/>
  <c r="F884" i="11"/>
  <c r="Q884" i="11" s="1"/>
  <c r="E884" i="11"/>
  <c r="P884" i="11" s="1"/>
  <c r="D884" i="11"/>
  <c r="C884" i="11"/>
  <c r="B884" i="11"/>
  <c r="T884" i="11" s="1"/>
  <c r="A884" i="11"/>
  <c r="S884" i="11" s="1"/>
  <c r="T883" i="11"/>
  <c r="S883" i="11"/>
  <c r="P883" i="11"/>
  <c r="M883" i="11"/>
  <c r="L883" i="11"/>
  <c r="K883" i="11"/>
  <c r="J883" i="11"/>
  <c r="I883" i="11"/>
  <c r="H883" i="11"/>
  <c r="G883" i="11"/>
  <c r="F883" i="11"/>
  <c r="V883" i="11" s="1"/>
  <c r="E883" i="11"/>
  <c r="D883" i="11"/>
  <c r="C883" i="11"/>
  <c r="B883" i="11"/>
  <c r="A883" i="11"/>
  <c r="M882" i="11"/>
  <c r="L882" i="11"/>
  <c r="K882" i="11"/>
  <c r="J882" i="11"/>
  <c r="I882" i="11"/>
  <c r="H882" i="11"/>
  <c r="G882" i="11"/>
  <c r="F882" i="11"/>
  <c r="Q882" i="11" s="1"/>
  <c r="E882" i="11"/>
  <c r="D882" i="11"/>
  <c r="C882" i="11"/>
  <c r="B882" i="11"/>
  <c r="T882" i="11" s="1"/>
  <c r="A882" i="11"/>
  <c r="S882" i="11" s="1"/>
  <c r="T881" i="11"/>
  <c r="S881" i="11"/>
  <c r="P881" i="11"/>
  <c r="M881" i="11"/>
  <c r="L881" i="11"/>
  <c r="K881" i="11"/>
  <c r="J881" i="11"/>
  <c r="I881" i="11"/>
  <c r="H881" i="11"/>
  <c r="G881" i="11"/>
  <c r="F881" i="11"/>
  <c r="V881" i="11" s="1"/>
  <c r="E881" i="11"/>
  <c r="D881" i="11"/>
  <c r="C881" i="11"/>
  <c r="B881" i="11"/>
  <c r="A881" i="11"/>
  <c r="Q880" i="11"/>
  <c r="M880" i="11"/>
  <c r="L880" i="11"/>
  <c r="K880" i="11"/>
  <c r="J880" i="11"/>
  <c r="I880" i="11"/>
  <c r="H880" i="11"/>
  <c r="G880" i="11"/>
  <c r="F880" i="11"/>
  <c r="E880" i="11"/>
  <c r="P880" i="11" s="1"/>
  <c r="D880" i="11"/>
  <c r="C880" i="11"/>
  <c r="B880" i="11"/>
  <c r="T880" i="11" s="1"/>
  <c r="A880" i="11"/>
  <c r="S880" i="11" s="1"/>
  <c r="T879" i="11"/>
  <c r="S879" i="11"/>
  <c r="P879" i="11"/>
  <c r="M879" i="11"/>
  <c r="L879" i="11"/>
  <c r="K879" i="11"/>
  <c r="J879" i="11"/>
  <c r="I879" i="11"/>
  <c r="H879" i="11"/>
  <c r="G879" i="11"/>
  <c r="F879" i="11"/>
  <c r="V879" i="11" s="1"/>
  <c r="E879" i="11"/>
  <c r="D879" i="11"/>
  <c r="C879" i="11"/>
  <c r="B879" i="11"/>
  <c r="A879" i="11"/>
  <c r="Q878" i="11"/>
  <c r="M878" i="11"/>
  <c r="L878" i="11"/>
  <c r="K878" i="11"/>
  <c r="J878" i="11"/>
  <c r="I878" i="11"/>
  <c r="H878" i="11"/>
  <c r="G878" i="11"/>
  <c r="F878" i="11"/>
  <c r="V878" i="11" s="1"/>
  <c r="E878" i="11"/>
  <c r="P878" i="11" s="1"/>
  <c r="D878" i="11"/>
  <c r="C878" i="11"/>
  <c r="B878" i="11"/>
  <c r="T878" i="11" s="1"/>
  <c r="A878" i="11"/>
  <c r="S878" i="11" s="1"/>
  <c r="T877" i="11"/>
  <c r="S877" i="11"/>
  <c r="P877" i="11"/>
  <c r="M877" i="11"/>
  <c r="L877" i="11"/>
  <c r="K877" i="11"/>
  <c r="J877" i="11"/>
  <c r="I877" i="11"/>
  <c r="H877" i="11"/>
  <c r="G877" i="11"/>
  <c r="F877" i="11"/>
  <c r="V877" i="11" s="1"/>
  <c r="E877" i="11"/>
  <c r="D877" i="11"/>
  <c r="C877" i="11"/>
  <c r="B877" i="11"/>
  <c r="A877" i="11"/>
  <c r="M876" i="11"/>
  <c r="L876" i="11"/>
  <c r="K876" i="11"/>
  <c r="J876" i="11"/>
  <c r="I876" i="11"/>
  <c r="H876" i="11"/>
  <c r="G876" i="11"/>
  <c r="F876" i="11"/>
  <c r="Q876" i="11" s="1"/>
  <c r="E876" i="11"/>
  <c r="P876" i="11" s="1"/>
  <c r="D876" i="11"/>
  <c r="C876" i="11"/>
  <c r="B876" i="11"/>
  <c r="T876" i="11" s="1"/>
  <c r="A876" i="11"/>
  <c r="S876" i="11" s="1"/>
  <c r="T875" i="11"/>
  <c r="S875" i="11"/>
  <c r="P875" i="11"/>
  <c r="M875" i="11"/>
  <c r="L875" i="11"/>
  <c r="K875" i="11"/>
  <c r="J875" i="11"/>
  <c r="I875" i="11"/>
  <c r="H875" i="11"/>
  <c r="G875" i="11"/>
  <c r="F875" i="11"/>
  <c r="V875" i="11" s="1"/>
  <c r="E875" i="11"/>
  <c r="D875" i="11"/>
  <c r="C875" i="11"/>
  <c r="B875" i="11"/>
  <c r="A875" i="11"/>
  <c r="M874" i="11"/>
  <c r="L874" i="11"/>
  <c r="K874" i="11"/>
  <c r="J874" i="11"/>
  <c r="I874" i="11"/>
  <c r="H874" i="11"/>
  <c r="G874" i="11"/>
  <c r="F874" i="11"/>
  <c r="Q874" i="11" s="1"/>
  <c r="E874" i="11"/>
  <c r="D874" i="11"/>
  <c r="C874" i="11"/>
  <c r="B874" i="11"/>
  <c r="T874" i="11" s="1"/>
  <c r="A874" i="11"/>
  <c r="S874" i="11" s="1"/>
  <c r="T873" i="11"/>
  <c r="S873" i="11"/>
  <c r="P873" i="11"/>
  <c r="M873" i="11"/>
  <c r="L873" i="11"/>
  <c r="K873" i="11"/>
  <c r="J873" i="11"/>
  <c r="I873" i="11"/>
  <c r="H873" i="11"/>
  <c r="G873" i="11"/>
  <c r="F873" i="11"/>
  <c r="V873" i="11" s="1"/>
  <c r="E873" i="11"/>
  <c r="D873" i="11"/>
  <c r="C873" i="11"/>
  <c r="B873" i="11"/>
  <c r="A873" i="11"/>
  <c r="Q872" i="11"/>
  <c r="M872" i="11"/>
  <c r="L872" i="11"/>
  <c r="K872" i="11"/>
  <c r="J872" i="11"/>
  <c r="I872" i="11"/>
  <c r="H872" i="11"/>
  <c r="G872" i="11"/>
  <c r="F872" i="11"/>
  <c r="E872" i="11"/>
  <c r="P872" i="11" s="1"/>
  <c r="D872" i="11"/>
  <c r="C872" i="11"/>
  <c r="B872" i="11"/>
  <c r="T872" i="11" s="1"/>
  <c r="A872" i="11"/>
  <c r="S872" i="11" s="1"/>
  <c r="T871" i="11"/>
  <c r="S871" i="11"/>
  <c r="P871" i="11"/>
  <c r="M871" i="11"/>
  <c r="L871" i="11"/>
  <c r="K871" i="11"/>
  <c r="J871" i="11"/>
  <c r="I871" i="11"/>
  <c r="H871" i="11"/>
  <c r="G871" i="11"/>
  <c r="F871" i="11"/>
  <c r="V871" i="11" s="1"/>
  <c r="E871" i="11"/>
  <c r="D871" i="11"/>
  <c r="C871" i="11"/>
  <c r="B871" i="11"/>
  <c r="A871" i="11"/>
  <c r="Q870" i="11"/>
  <c r="M870" i="11"/>
  <c r="L870" i="11"/>
  <c r="K870" i="11"/>
  <c r="J870" i="11"/>
  <c r="I870" i="11"/>
  <c r="H870" i="11"/>
  <c r="G870" i="11"/>
  <c r="F870" i="11"/>
  <c r="V870" i="11" s="1"/>
  <c r="E870" i="11"/>
  <c r="P870" i="11" s="1"/>
  <c r="D870" i="11"/>
  <c r="C870" i="11"/>
  <c r="B870" i="11"/>
  <c r="T870" i="11" s="1"/>
  <c r="A870" i="11"/>
  <c r="S870" i="11" s="1"/>
  <c r="T869" i="11"/>
  <c r="S869" i="11"/>
  <c r="P869" i="11"/>
  <c r="M869" i="11"/>
  <c r="L869" i="11"/>
  <c r="K869" i="11"/>
  <c r="J869" i="11"/>
  <c r="I869" i="11"/>
  <c r="H869" i="11"/>
  <c r="G869" i="11"/>
  <c r="F869" i="11"/>
  <c r="V869" i="11" s="1"/>
  <c r="E869" i="11"/>
  <c r="D869" i="11"/>
  <c r="C869" i="11"/>
  <c r="B869" i="11"/>
  <c r="A869" i="11"/>
  <c r="M868" i="11"/>
  <c r="L868" i="11"/>
  <c r="K868" i="11"/>
  <c r="J868" i="11"/>
  <c r="I868" i="11"/>
  <c r="H868" i="11"/>
  <c r="G868" i="11"/>
  <c r="F868" i="11"/>
  <c r="Q868" i="11" s="1"/>
  <c r="E868" i="11"/>
  <c r="P868" i="11" s="1"/>
  <c r="D868" i="11"/>
  <c r="C868" i="11"/>
  <c r="B868" i="11"/>
  <c r="T868" i="11" s="1"/>
  <c r="A868" i="11"/>
  <c r="S868" i="11" s="1"/>
  <c r="T867" i="11"/>
  <c r="S867" i="11"/>
  <c r="P867" i="11"/>
  <c r="M867" i="11"/>
  <c r="L867" i="11"/>
  <c r="K867" i="11"/>
  <c r="J867" i="11"/>
  <c r="I867" i="11"/>
  <c r="H867" i="11"/>
  <c r="G867" i="11"/>
  <c r="F867" i="11"/>
  <c r="V867" i="11" s="1"/>
  <c r="E867" i="11"/>
  <c r="D867" i="11"/>
  <c r="C867" i="11"/>
  <c r="B867" i="11"/>
  <c r="A867" i="11"/>
  <c r="M866" i="11"/>
  <c r="L866" i="11"/>
  <c r="K866" i="11"/>
  <c r="J866" i="11"/>
  <c r="I866" i="11"/>
  <c r="H866" i="11"/>
  <c r="G866" i="11"/>
  <c r="F866" i="11"/>
  <c r="Q866" i="11" s="1"/>
  <c r="E866" i="11"/>
  <c r="D866" i="11"/>
  <c r="C866" i="11"/>
  <c r="B866" i="11"/>
  <c r="T866" i="11" s="1"/>
  <c r="A866" i="11"/>
  <c r="S866" i="11" s="1"/>
  <c r="T865" i="11"/>
  <c r="S865" i="11"/>
  <c r="Q865" i="11"/>
  <c r="P865" i="11"/>
  <c r="M865" i="11"/>
  <c r="L865" i="11"/>
  <c r="K865" i="11"/>
  <c r="J865" i="11"/>
  <c r="I865" i="11"/>
  <c r="H865" i="11"/>
  <c r="G865" i="11"/>
  <c r="F865" i="11"/>
  <c r="E865" i="11"/>
  <c r="V865" i="11" s="1"/>
  <c r="D865" i="11"/>
  <c r="C865" i="11"/>
  <c r="B865" i="11"/>
  <c r="A865" i="11"/>
  <c r="M864" i="11"/>
  <c r="L864" i="11"/>
  <c r="K864" i="11"/>
  <c r="J864" i="11"/>
  <c r="I864" i="11"/>
  <c r="H864" i="11"/>
  <c r="G864" i="11"/>
  <c r="F864" i="11"/>
  <c r="Q864" i="11" s="1"/>
  <c r="E864" i="11"/>
  <c r="D864" i="11"/>
  <c r="C864" i="11"/>
  <c r="B864" i="11"/>
  <c r="T864" i="11" s="1"/>
  <c r="A864" i="11"/>
  <c r="S864" i="11" s="1"/>
  <c r="T863" i="11"/>
  <c r="S863" i="11"/>
  <c r="Q863" i="11"/>
  <c r="P863" i="11"/>
  <c r="M863" i="11"/>
  <c r="L863" i="11"/>
  <c r="K863" i="11"/>
  <c r="J863" i="11"/>
  <c r="I863" i="11"/>
  <c r="H863" i="11"/>
  <c r="G863" i="11"/>
  <c r="F863" i="11"/>
  <c r="E863" i="11"/>
  <c r="V863" i="11" s="1"/>
  <c r="D863" i="11"/>
  <c r="C863" i="11"/>
  <c r="B863" i="11"/>
  <c r="A863" i="11"/>
  <c r="M862" i="11"/>
  <c r="L862" i="11"/>
  <c r="K862" i="11"/>
  <c r="J862" i="11"/>
  <c r="I862" i="11"/>
  <c r="H862" i="11"/>
  <c r="G862" i="11"/>
  <c r="F862" i="11"/>
  <c r="Q862" i="11" s="1"/>
  <c r="E862" i="11"/>
  <c r="D862" i="11"/>
  <c r="C862" i="11"/>
  <c r="B862" i="11"/>
  <c r="T862" i="11" s="1"/>
  <c r="A862" i="11"/>
  <c r="S862" i="11" s="1"/>
  <c r="T861" i="11"/>
  <c r="S861" i="11"/>
  <c r="Q861" i="11"/>
  <c r="P861" i="11"/>
  <c r="M861" i="11"/>
  <c r="L861" i="11"/>
  <c r="K861" i="11"/>
  <c r="J861" i="11"/>
  <c r="I861" i="11"/>
  <c r="H861" i="11"/>
  <c r="G861" i="11"/>
  <c r="F861" i="11"/>
  <c r="E861" i="11"/>
  <c r="V861" i="11" s="1"/>
  <c r="D861" i="11"/>
  <c r="C861" i="11"/>
  <c r="B861" i="11"/>
  <c r="A861" i="11"/>
  <c r="M860" i="11"/>
  <c r="L860" i="11"/>
  <c r="K860" i="11"/>
  <c r="J860" i="11"/>
  <c r="I860" i="11"/>
  <c r="H860" i="11"/>
  <c r="G860" i="11"/>
  <c r="F860" i="11"/>
  <c r="Q860" i="11" s="1"/>
  <c r="E860" i="11"/>
  <c r="D860" i="11"/>
  <c r="C860" i="11"/>
  <c r="B860" i="11"/>
  <c r="T860" i="11" s="1"/>
  <c r="A860" i="11"/>
  <c r="S860" i="11" s="1"/>
  <c r="T859" i="11"/>
  <c r="S859" i="11"/>
  <c r="Q859" i="11"/>
  <c r="P859" i="11"/>
  <c r="M859" i="11"/>
  <c r="L859" i="11"/>
  <c r="K859" i="11"/>
  <c r="J859" i="11"/>
  <c r="I859" i="11"/>
  <c r="H859" i="11"/>
  <c r="G859" i="11"/>
  <c r="F859" i="11"/>
  <c r="E859" i="11"/>
  <c r="V859" i="11" s="1"/>
  <c r="D859" i="11"/>
  <c r="C859" i="11"/>
  <c r="B859" i="11"/>
  <c r="A859" i="11"/>
  <c r="M858" i="11"/>
  <c r="L858" i="11"/>
  <c r="K858" i="11"/>
  <c r="J858" i="11"/>
  <c r="I858" i="11"/>
  <c r="H858" i="11"/>
  <c r="G858" i="11"/>
  <c r="F858" i="11"/>
  <c r="Q858" i="11" s="1"/>
  <c r="E858" i="11"/>
  <c r="D858" i="11"/>
  <c r="C858" i="11"/>
  <c r="B858" i="11"/>
  <c r="T858" i="11" s="1"/>
  <c r="A858" i="11"/>
  <c r="S858" i="11" s="1"/>
  <c r="T857" i="11"/>
  <c r="S857" i="11"/>
  <c r="Q857" i="11"/>
  <c r="P857" i="11"/>
  <c r="M857" i="11"/>
  <c r="L857" i="11"/>
  <c r="K857" i="11"/>
  <c r="J857" i="11"/>
  <c r="I857" i="11"/>
  <c r="H857" i="11"/>
  <c r="G857" i="11"/>
  <c r="F857" i="11"/>
  <c r="E857" i="11"/>
  <c r="V857" i="11" s="1"/>
  <c r="D857" i="11"/>
  <c r="C857" i="11"/>
  <c r="B857" i="11"/>
  <c r="A857" i="11"/>
  <c r="M856" i="11"/>
  <c r="L856" i="11"/>
  <c r="K856" i="11"/>
  <c r="J856" i="11"/>
  <c r="I856" i="11"/>
  <c r="H856" i="11"/>
  <c r="G856" i="11"/>
  <c r="F856" i="11"/>
  <c r="Q856" i="11" s="1"/>
  <c r="E856" i="11"/>
  <c r="D856" i="11"/>
  <c r="C856" i="11"/>
  <c r="B856" i="11"/>
  <c r="T856" i="11" s="1"/>
  <c r="A856" i="11"/>
  <c r="S856" i="11" s="1"/>
  <c r="T855" i="11"/>
  <c r="S855" i="11"/>
  <c r="Q855" i="11"/>
  <c r="P855" i="11"/>
  <c r="M855" i="11"/>
  <c r="L855" i="11"/>
  <c r="K855" i="11"/>
  <c r="J855" i="11"/>
  <c r="I855" i="11"/>
  <c r="H855" i="11"/>
  <c r="G855" i="11"/>
  <c r="F855" i="11"/>
  <c r="E855" i="11"/>
  <c r="V855" i="11" s="1"/>
  <c r="D855" i="11"/>
  <c r="C855" i="11"/>
  <c r="B855" i="11"/>
  <c r="A855" i="11"/>
  <c r="M854" i="11"/>
  <c r="L854" i="11"/>
  <c r="K854" i="11"/>
  <c r="J854" i="11"/>
  <c r="I854" i="11"/>
  <c r="H854" i="11"/>
  <c r="G854" i="11"/>
  <c r="F854" i="11"/>
  <c r="Q854" i="11" s="1"/>
  <c r="E854" i="11"/>
  <c r="D854" i="11"/>
  <c r="C854" i="11"/>
  <c r="B854" i="11"/>
  <c r="T854" i="11" s="1"/>
  <c r="A854" i="11"/>
  <c r="S854" i="11" s="1"/>
  <c r="T853" i="11"/>
  <c r="S853" i="11"/>
  <c r="Q853" i="11"/>
  <c r="P853" i="11"/>
  <c r="M853" i="11"/>
  <c r="L853" i="11"/>
  <c r="K853" i="11"/>
  <c r="J853" i="11"/>
  <c r="I853" i="11"/>
  <c r="H853" i="11"/>
  <c r="G853" i="11"/>
  <c r="F853" i="11"/>
  <c r="E853" i="11"/>
  <c r="V853" i="11" s="1"/>
  <c r="D853" i="11"/>
  <c r="C853" i="11"/>
  <c r="B853" i="11"/>
  <c r="A853" i="11"/>
  <c r="M852" i="11"/>
  <c r="L852" i="11"/>
  <c r="K852" i="11"/>
  <c r="J852" i="11"/>
  <c r="I852" i="11"/>
  <c r="H852" i="11"/>
  <c r="G852" i="11"/>
  <c r="F852" i="11"/>
  <c r="Q852" i="11" s="1"/>
  <c r="E852" i="11"/>
  <c r="D852" i="11"/>
  <c r="C852" i="11"/>
  <c r="B852" i="11"/>
  <c r="T852" i="11" s="1"/>
  <c r="A852" i="11"/>
  <c r="S852" i="11" s="1"/>
  <c r="T851" i="11"/>
  <c r="S851" i="11"/>
  <c r="Q851" i="11"/>
  <c r="P851" i="11"/>
  <c r="M851" i="11"/>
  <c r="L851" i="11"/>
  <c r="K851" i="11"/>
  <c r="J851" i="11"/>
  <c r="I851" i="11"/>
  <c r="H851" i="11"/>
  <c r="G851" i="11"/>
  <c r="F851" i="11"/>
  <c r="E851" i="11"/>
  <c r="V851" i="11" s="1"/>
  <c r="D851" i="11"/>
  <c r="C851" i="11"/>
  <c r="B851" i="11"/>
  <c r="A851" i="11"/>
  <c r="M850" i="11"/>
  <c r="L850" i="11"/>
  <c r="K850" i="11"/>
  <c r="J850" i="11"/>
  <c r="I850" i="11"/>
  <c r="H850" i="11"/>
  <c r="G850" i="11"/>
  <c r="F850" i="11"/>
  <c r="Q850" i="11" s="1"/>
  <c r="E850" i="11"/>
  <c r="D850" i="11"/>
  <c r="C850" i="11"/>
  <c r="B850" i="11"/>
  <c r="T850" i="11" s="1"/>
  <c r="A850" i="11"/>
  <c r="S850" i="11" s="1"/>
  <c r="T849" i="11"/>
  <c r="S849" i="11"/>
  <c r="Q849" i="11"/>
  <c r="P849" i="11"/>
  <c r="M849" i="11"/>
  <c r="L849" i="11"/>
  <c r="K849" i="11"/>
  <c r="J849" i="11"/>
  <c r="I849" i="11"/>
  <c r="H849" i="11"/>
  <c r="G849" i="11"/>
  <c r="F849" i="11"/>
  <c r="E849" i="11"/>
  <c r="V849" i="11" s="1"/>
  <c r="D849" i="11"/>
  <c r="C849" i="11"/>
  <c r="B849" i="11"/>
  <c r="A849" i="11"/>
  <c r="M848" i="11"/>
  <c r="L848" i="11"/>
  <c r="K848" i="11"/>
  <c r="J848" i="11"/>
  <c r="I848" i="11"/>
  <c r="H848" i="11"/>
  <c r="G848" i="11"/>
  <c r="F848" i="11"/>
  <c r="Q848" i="11" s="1"/>
  <c r="E848" i="11"/>
  <c r="D848" i="11"/>
  <c r="C848" i="11"/>
  <c r="B848" i="11"/>
  <c r="T848" i="11" s="1"/>
  <c r="A848" i="11"/>
  <c r="S848" i="11" s="1"/>
  <c r="T847" i="11"/>
  <c r="S847" i="11"/>
  <c r="Q847" i="11"/>
  <c r="P847" i="11"/>
  <c r="M847" i="11"/>
  <c r="L847" i="11"/>
  <c r="K847" i="11"/>
  <c r="J847" i="11"/>
  <c r="I847" i="11"/>
  <c r="H847" i="11"/>
  <c r="G847" i="11"/>
  <c r="F847" i="11"/>
  <c r="E847" i="11"/>
  <c r="V847" i="11" s="1"/>
  <c r="D847" i="11"/>
  <c r="C847" i="11"/>
  <c r="B847" i="11"/>
  <c r="A847" i="11"/>
  <c r="M846" i="11"/>
  <c r="L846" i="11"/>
  <c r="K846" i="11"/>
  <c r="J846" i="11"/>
  <c r="I846" i="11"/>
  <c r="H846" i="11"/>
  <c r="G846" i="11"/>
  <c r="F846" i="11"/>
  <c r="Q846" i="11" s="1"/>
  <c r="E846" i="11"/>
  <c r="D846" i="11"/>
  <c r="C846" i="11"/>
  <c r="B846" i="11"/>
  <c r="T846" i="11" s="1"/>
  <c r="A846" i="11"/>
  <c r="S846" i="11" s="1"/>
  <c r="T845" i="11"/>
  <c r="S845" i="11"/>
  <c r="Q845" i="11"/>
  <c r="P845" i="11"/>
  <c r="M845" i="11"/>
  <c r="L845" i="11"/>
  <c r="K845" i="11"/>
  <c r="J845" i="11"/>
  <c r="I845" i="11"/>
  <c r="H845" i="11"/>
  <c r="G845" i="11"/>
  <c r="F845" i="11"/>
  <c r="E845" i="11"/>
  <c r="V845" i="11" s="1"/>
  <c r="D845" i="11"/>
  <c r="C845" i="11"/>
  <c r="B845" i="11"/>
  <c r="A845" i="11"/>
  <c r="M844" i="11"/>
  <c r="L844" i="11"/>
  <c r="K844" i="11"/>
  <c r="J844" i="11"/>
  <c r="I844" i="11"/>
  <c r="H844" i="11"/>
  <c r="G844" i="11"/>
  <c r="F844" i="11"/>
  <c r="E844" i="11"/>
  <c r="P844" i="11" s="1"/>
  <c r="D844" i="11"/>
  <c r="C844" i="11"/>
  <c r="B844" i="11"/>
  <c r="T844" i="11" s="1"/>
  <c r="A844" i="11"/>
  <c r="S844" i="11" s="1"/>
  <c r="T843" i="11"/>
  <c r="Q843" i="11"/>
  <c r="M843" i="11"/>
  <c r="L843" i="11"/>
  <c r="K843" i="11"/>
  <c r="J843" i="11"/>
  <c r="I843" i="11"/>
  <c r="H843" i="11"/>
  <c r="G843" i="11"/>
  <c r="F843" i="11"/>
  <c r="E843" i="11"/>
  <c r="D843" i="11"/>
  <c r="C843" i="11"/>
  <c r="B843" i="11"/>
  <c r="A843" i="11"/>
  <c r="S843" i="11" s="1"/>
  <c r="M842" i="11"/>
  <c r="L842" i="11"/>
  <c r="K842" i="11"/>
  <c r="J842" i="11"/>
  <c r="I842" i="11"/>
  <c r="H842" i="11"/>
  <c r="G842" i="11"/>
  <c r="F842" i="11"/>
  <c r="Q842" i="11" s="1"/>
  <c r="E842" i="11"/>
  <c r="D842" i="11"/>
  <c r="C842" i="11"/>
  <c r="B842" i="11"/>
  <c r="T842" i="11" s="1"/>
  <c r="A842" i="11"/>
  <c r="S842" i="11" s="1"/>
  <c r="T841" i="11"/>
  <c r="Q841" i="11"/>
  <c r="M841" i="11"/>
  <c r="L841" i="11"/>
  <c r="K841" i="11"/>
  <c r="J841" i="11"/>
  <c r="I841" i="11"/>
  <c r="H841" i="11"/>
  <c r="G841" i="11"/>
  <c r="F841" i="11"/>
  <c r="E841" i="11"/>
  <c r="D841" i="11"/>
  <c r="C841" i="11"/>
  <c r="B841" i="11"/>
  <c r="A841" i="11"/>
  <c r="S841" i="11" s="1"/>
  <c r="V840" i="11"/>
  <c r="Q840" i="11"/>
  <c r="M840" i="11"/>
  <c r="L840" i="11"/>
  <c r="K840" i="11"/>
  <c r="J840" i="11"/>
  <c r="I840" i="11"/>
  <c r="H840" i="11"/>
  <c r="G840" i="11"/>
  <c r="F840" i="11"/>
  <c r="E840" i="11"/>
  <c r="P840" i="11" s="1"/>
  <c r="D840" i="11"/>
  <c r="C840" i="11"/>
  <c r="B840" i="11"/>
  <c r="T840" i="11" s="1"/>
  <c r="A840" i="11"/>
  <c r="S840" i="11" s="1"/>
  <c r="T839" i="11"/>
  <c r="Q839" i="11"/>
  <c r="P839" i="11"/>
  <c r="M839" i="11"/>
  <c r="L839" i="11"/>
  <c r="K839" i="11"/>
  <c r="J839" i="11"/>
  <c r="I839" i="11"/>
  <c r="H839" i="11"/>
  <c r="G839" i="11"/>
  <c r="F839" i="11"/>
  <c r="E839" i="11"/>
  <c r="D839" i="11"/>
  <c r="C839" i="11"/>
  <c r="B839" i="11"/>
  <c r="A839" i="11"/>
  <c r="S839" i="11" s="1"/>
  <c r="V838" i="11"/>
  <c r="S838" i="11"/>
  <c r="Q838" i="11"/>
  <c r="M838" i="11"/>
  <c r="L838" i="11"/>
  <c r="K838" i="11"/>
  <c r="J838" i="11"/>
  <c r="I838" i="11"/>
  <c r="H838" i="11"/>
  <c r="G838" i="11"/>
  <c r="F838" i="11"/>
  <c r="E838" i="11"/>
  <c r="P838" i="11" s="1"/>
  <c r="D838" i="11"/>
  <c r="C838" i="11"/>
  <c r="B838" i="11"/>
  <c r="T838" i="11" s="1"/>
  <c r="A838" i="11"/>
  <c r="T837" i="11"/>
  <c r="Q837" i="11"/>
  <c r="P837" i="11"/>
  <c r="M837" i="11"/>
  <c r="L837" i="11"/>
  <c r="K837" i="11"/>
  <c r="J837" i="11"/>
  <c r="I837" i="11"/>
  <c r="H837" i="11"/>
  <c r="G837" i="11"/>
  <c r="F837" i="11"/>
  <c r="E837" i="11"/>
  <c r="D837" i="11"/>
  <c r="C837" i="11"/>
  <c r="B837" i="11"/>
  <c r="A837" i="11"/>
  <c r="S837" i="11" s="1"/>
  <c r="S836" i="11"/>
  <c r="M836" i="11"/>
  <c r="L836" i="11"/>
  <c r="K836" i="11"/>
  <c r="J836" i="11"/>
  <c r="I836" i="11"/>
  <c r="H836" i="11"/>
  <c r="G836" i="11"/>
  <c r="F836" i="11"/>
  <c r="Q836" i="11" s="1"/>
  <c r="E836" i="11"/>
  <c r="P836" i="11" s="1"/>
  <c r="D836" i="11"/>
  <c r="C836" i="11"/>
  <c r="B836" i="11"/>
  <c r="T836" i="11" s="1"/>
  <c r="A836" i="11"/>
  <c r="T835" i="11"/>
  <c r="S835" i="11"/>
  <c r="Q835" i="11"/>
  <c r="M835" i="11"/>
  <c r="L835" i="11"/>
  <c r="K835" i="11"/>
  <c r="J835" i="11"/>
  <c r="I835" i="11"/>
  <c r="H835" i="11"/>
  <c r="G835" i="11"/>
  <c r="F835" i="11"/>
  <c r="E835" i="11"/>
  <c r="D835" i="11"/>
  <c r="C835" i="11"/>
  <c r="B835" i="11"/>
  <c r="A835" i="11"/>
  <c r="M834" i="11"/>
  <c r="L834" i="11"/>
  <c r="K834" i="11"/>
  <c r="J834" i="11"/>
  <c r="I834" i="11"/>
  <c r="H834" i="11"/>
  <c r="G834" i="11"/>
  <c r="F834" i="11"/>
  <c r="Q834" i="11" s="1"/>
  <c r="E834" i="11"/>
  <c r="D834" i="11"/>
  <c r="C834" i="11"/>
  <c r="B834" i="11"/>
  <c r="T834" i="11" s="1"/>
  <c r="A834" i="11"/>
  <c r="S834" i="11" s="1"/>
  <c r="T833" i="11"/>
  <c r="Q833" i="11"/>
  <c r="M833" i="11"/>
  <c r="L833" i="11"/>
  <c r="K833" i="11"/>
  <c r="J833" i="11"/>
  <c r="I833" i="11"/>
  <c r="H833" i="11"/>
  <c r="G833" i="11"/>
  <c r="F833" i="11"/>
  <c r="E833" i="11"/>
  <c r="D833" i="11"/>
  <c r="C833" i="11"/>
  <c r="B833" i="11"/>
  <c r="A833" i="11"/>
  <c r="S833" i="11" s="1"/>
  <c r="V832" i="11"/>
  <c r="Q832" i="11"/>
  <c r="M832" i="11"/>
  <c r="L832" i="11"/>
  <c r="K832" i="11"/>
  <c r="J832" i="11"/>
  <c r="I832" i="11"/>
  <c r="H832" i="11"/>
  <c r="G832" i="11"/>
  <c r="F832" i="11"/>
  <c r="E832" i="11"/>
  <c r="P832" i="11" s="1"/>
  <c r="D832" i="11"/>
  <c r="C832" i="11"/>
  <c r="B832" i="11"/>
  <c r="T832" i="11" s="1"/>
  <c r="A832" i="11"/>
  <c r="S832" i="11" s="1"/>
  <c r="T831" i="11"/>
  <c r="Q831" i="11"/>
  <c r="P831" i="11"/>
  <c r="M831" i="11"/>
  <c r="L831" i="11"/>
  <c r="K831" i="11"/>
  <c r="J831" i="11"/>
  <c r="I831" i="11"/>
  <c r="H831" i="11"/>
  <c r="G831" i="11"/>
  <c r="F831" i="11"/>
  <c r="E831" i="11"/>
  <c r="D831" i="11"/>
  <c r="C831" i="11"/>
  <c r="B831" i="11"/>
  <c r="A831" i="11"/>
  <c r="S831" i="11" s="1"/>
  <c r="V830" i="11"/>
  <c r="S830" i="11"/>
  <c r="Q830" i="11"/>
  <c r="M830" i="11"/>
  <c r="L830" i="11"/>
  <c r="K830" i="11"/>
  <c r="J830" i="11"/>
  <c r="I830" i="11"/>
  <c r="H830" i="11"/>
  <c r="G830" i="11"/>
  <c r="F830" i="11"/>
  <c r="E830" i="11"/>
  <c r="P830" i="11" s="1"/>
  <c r="D830" i="11"/>
  <c r="C830" i="11"/>
  <c r="B830" i="11"/>
  <c r="T830" i="11" s="1"/>
  <c r="A830" i="11"/>
  <c r="T829" i="11"/>
  <c r="Q829" i="11"/>
  <c r="P829" i="11"/>
  <c r="M829" i="11"/>
  <c r="L829" i="11"/>
  <c r="K829" i="11"/>
  <c r="J829" i="11"/>
  <c r="I829" i="11"/>
  <c r="H829" i="11"/>
  <c r="G829" i="11"/>
  <c r="F829" i="11"/>
  <c r="E829" i="11"/>
  <c r="D829" i="11"/>
  <c r="C829" i="11"/>
  <c r="B829" i="11"/>
  <c r="A829" i="11"/>
  <c r="S829" i="11" s="1"/>
  <c r="S828" i="11"/>
  <c r="M828" i="11"/>
  <c r="L828" i="11"/>
  <c r="K828" i="11"/>
  <c r="J828" i="11"/>
  <c r="I828" i="11"/>
  <c r="H828" i="11"/>
  <c r="G828" i="11"/>
  <c r="F828" i="11"/>
  <c r="Q828" i="11" s="1"/>
  <c r="E828" i="11"/>
  <c r="P828" i="11" s="1"/>
  <c r="D828" i="11"/>
  <c r="C828" i="11"/>
  <c r="B828" i="11"/>
  <c r="T828" i="11" s="1"/>
  <c r="A828" i="11"/>
  <c r="T827" i="11"/>
  <c r="S827" i="11"/>
  <c r="Q827" i="11"/>
  <c r="M827" i="11"/>
  <c r="L827" i="11"/>
  <c r="K827" i="11"/>
  <c r="J827" i="11"/>
  <c r="I827" i="11"/>
  <c r="H827" i="11"/>
  <c r="G827" i="11"/>
  <c r="F827" i="11"/>
  <c r="E827" i="11"/>
  <c r="D827" i="11"/>
  <c r="C827" i="11"/>
  <c r="B827" i="11"/>
  <c r="A827" i="11"/>
  <c r="M826" i="11"/>
  <c r="L826" i="11"/>
  <c r="K826" i="11"/>
  <c r="J826" i="11"/>
  <c r="I826" i="11"/>
  <c r="H826" i="11"/>
  <c r="G826" i="11"/>
  <c r="F826" i="11"/>
  <c r="Q826" i="11" s="1"/>
  <c r="E826" i="11"/>
  <c r="D826" i="11"/>
  <c r="C826" i="11"/>
  <c r="B826" i="11"/>
  <c r="T826" i="11" s="1"/>
  <c r="A826" i="11"/>
  <c r="S826" i="11" s="1"/>
  <c r="T825" i="11"/>
  <c r="Q825" i="11"/>
  <c r="M825" i="11"/>
  <c r="L825" i="11"/>
  <c r="K825" i="11"/>
  <c r="J825" i="11"/>
  <c r="I825" i="11"/>
  <c r="H825" i="11"/>
  <c r="G825" i="11"/>
  <c r="F825" i="11"/>
  <c r="E825" i="11"/>
  <c r="D825" i="11"/>
  <c r="C825" i="11"/>
  <c r="B825" i="11"/>
  <c r="A825" i="11"/>
  <c r="S825" i="11" s="1"/>
  <c r="V824" i="11"/>
  <c r="Q824" i="11"/>
  <c r="M824" i="11"/>
  <c r="L824" i="11"/>
  <c r="K824" i="11"/>
  <c r="J824" i="11"/>
  <c r="I824" i="11"/>
  <c r="H824" i="11"/>
  <c r="G824" i="11"/>
  <c r="F824" i="11"/>
  <c r="E824" i="11"/>
  <c r="P824" i="11" s="1"/>
  <c r="D824" i="11"/>
  <c r="C824" i="11"/>
  <c r="B824" i="11"/>
  <c r="T824" i="11" s="1"/>
  <c r="A824" i="11"/>
  <c r="S824" i="11" s="1"/>
  <c r="T823" i="11"/>
  <c r="Q823" i="11"/>
  <c r="P823" i="11"/>
  <c r="M823" i="11"/>
  <c r="L823" i="11"/>
  <c r="K823" i="11"/>
  <c r="J823" i="11"/>
  <c r="I823" i="11"/>
  <c r="H823" i="11"/>
  <c r="G823" i="11"/>
  <c r="F823" i="11"/>
  <c r="E823" i="11"/>
  <c r="D823" i="11"/>
  <c r="C823" i="11"/>
  <c r="B823" i="11"/>
  <c r="A823" i="11"/>
  <c r="S823" i="11" s="1"/>
  <c r="V822" i="11"/>
  <c r="S822" i="11"/>
  <c r="Q822" i="11"/>
  <c r="M822" i="11"/>
  <c r="L822" i="11"/>
  <c r="K822" i="11"/>
  <c r="J822" i="11"/>
  <c r="I822" i="11"/>
  <c r="H822" i="11"/>
  <c r="G822" i="11"/>
  <c r="F822" i="11"/>
  <c r="E822" i="11"/>
  <c r="P822" i="11" s="1"/>
  <c r="D822" i="11"/>
  <c r="C822" i="11"/>
  <c r="B822" i="11"/>
  <c r="T822" i="11" s="1"/>
  <c r="A822" i="11"/>
  <c r="T821" i="11"/>
  <c r="Q821" i="11"/>
  <c r="P821" i="11"/>
  <c r="M821" i="11"/>
  <c r="L821" i="11"/>
  <c r="K821" i="11"/>
  <c r="J821" i="11"/>
  <c r="I821" i="11"/>
  <c r="H821" i="11"/>
  <c r="G821" i="11"/>
  <c r="F821" i="11"/>
  <c r="E821" i="11"/>
  <c r="D821" i="11"/>
  <c r="C821" i="11"/>
  <c r="B821" i="11"/>
  <c r="A821" i="11"/>
  <c r="S821" i="11" s="1"/>
  <c r="S820" i="11"/>
  <c r="M820" i="11"/>
  <c r="L820" i="11"/>
  <c r="K820" i="11"/>
  <c r="J820" i="11"/>
  <c r="I820" i="11"/>
  <c r="H820" i="11"/>
  <c r="G820" i="11"/>
  <c r="F820" i="11"/>
  <c r="Q820" i="11" s="1"/>
  <c r="E820" i="11"/>
  <c r="P820" i="11" s="1"/>
  <c r="D820" i="11"/>
  <c r="C820" i="11"/>
  <c r="B820" i="11"/>
  <c r="T820" i="11" s="1"/>
  <c r="A820" i="11"/>
  <c r="T819" i="11"/>
  <c r="Q819" i="11"/>
  <c r="M819" i="11"/>
  <c r="L819" i="11"/>
  <c r="K819" i="11"/>
  <c r="J819" i="11"/>
  <c r="I819" i="11"/>
  <c r="H819" i="11"/>
  <c r="G819" i="11"/>
  <c r="F819" i="11"/>
  <c r="E819" i="11"/>
  <c r="D819" i="11"/>
  <c r="C819" i="11"/>
  <c r="B819" i="11"/>
  <c r="A819" i="11"/>
  <c r="S819" i="11" s="1"/>
  <c r="M818" i="11"/>
  <c r="L818" i="11"/>
  <c r="K818" i="11"/>
  <c r="J818" i="11"/>
  <c r="I818" i="11"/>
  <c r="H818" i="11"/>
  <c r="G818" i="11"/>
  <c r="F818" i="11"/>
  <c r="Q818" i="11" s="1"/>
  <c r="E818" i="11"/>
  <c r="D818" i="11"/>
  <c r="C818" i="11"/>
  <c r="B818" i="11"/>
  <c r="T818" i="11" s="1"/>
  <c r="A818" i="11"/>
  <c r="S818" i="11" s="1"/>
  <c r="T817" i="11"/>
  <c r="Q817" i="11"/>
  <c r="M817" i="11"/>
  <c r="L817" i="11"/>
  <c r="K817" i="11"/>
  <c r="J817" i="11"/>
  <c r="I817" i="11"/>
  <c r="H817" i="11"/>
  <c r="G817" i="11"/>
  <c r="F817" i="11"/>
  <c r="E817" i="11"/>
  <c r="D817" i="11"/>
  <c r="C817" i="11"/>
  <c r="B817" i="11"/>
  <c r="A817" i="11"/>
  <c r="S817" i="11" s="1"/>
  <c r="V816" i="11"/>
  <c r="Q816" i="11"/>
  <c r="M816" i="11"/>
  <c r="L816" i="11"/>
  <c r="K816" i="11"/>
  <c r="J816" i="11"/>
  <c r="I816" i="11"/>
  <c r="H816" i="11"/>
  <c r="G816" i="11"/>
  <c r="F816" i="11"/>
  <c r="E816" i="11"/>
  <c r="P816" i="11" s="1"/>
  <c r="D816" i="11"/>
  <c r="C816" i="11"/>
  <c r="B816" i="11"/>
  <c r="T816" i="11" s="1"/>
  <c r="A816" i="11"/>
  <c r="S816" i="11" s="1"/>
  <c r="T815" i="11"/>
  <c r="Q815" i="11"/>
  <c r="P815" i="11"/>
  <c r="M815" i="11"/>
  <c r="L815" i="11"/>
  <c r="K815" i="11"/>
  <c r="J815" i="11"/>
  <c r="I815" i="11"/>
  <c r="H815" i="11"/>
  <c r="G815" i="11"/>
  <c r="F815" i="11"/>
  <c r="E815" i="11"/>
  <c r="D815" i="11"/>
  <c r="C815" i="11"/>
  <c r="B815" i="11"/>
  <c r="A815" i="11"/>
  <c r="S815" i="11" s="1"/>
  <c r="V814" i="11"/>
  <c r="S814" i="11"/>
  <c r="Q814" i="11"/>
  <c r="M814" i="11"/>
  <c r="L814" i="11"/>
  <c r="K814" i="11"/>
  <c r="J814" i="11"/>
  <c r="I814" i="11"/>
  <c r="H814" i="11"/>
  <c r="G814" i="11"/>
  <c r="F814" i="11"/>
  <c r="E814" i="11"/>
  <c r="P814" i="11" s="1"/>
  <c r="D814" i="11"/>
  <c r="C814" i="11"/>
  <c r="B814" i="11"/>
  <c r="T814" i="11" s="1"/>
  <c r="A814" i="11"/>
  <c r="T813" i="11"/>
  <c r="Q813" i="11"/>
  <c r="P813" i="11"/>
  <c r="M813" i="11"/>
  <c r="L813" i="11"/>
  <c r="K813" i="11"/>
  <c r="J813" i="11"/>
  <c r="I813" i="11"/>
  <c r="H813" i="11"/>
  <c r="G813" i="11"/>
  <c r="F813" i="11"/>
  <c r="E813" i="11"/>
  <c r="D813" i="11"/>
  <c r="C813" i="11"/>
  <c r="B813" i="11"/>
  <c r="A813" i="11"/>
  <c r="S813" i="11" s="1"/>
  <c r="S812" i="11"/>
  <c r="M812" i="11"/>
  <c r="L812" i="11"/>
  <c r="K812" i="11"/>
  <c r="J812" i="11"/>
  <c r="I812" i="11"/>
  <c r="H812" i="11"/>
  <c r="G812" i="11"/>
  <c r="F812" i="11"/>
  <c r="Q812" i="11" s="1"/>
  <c r="E812" i="11"/>
  <c r="P812" i="11" s="1"/>
  <c r="D812" i="11"/>
  <c r="C812" i="11"/>
  <c r="B812" i="11"/>
  <c r="T812" i="11" s="1"/>
  <c r="A812" i="11"/>
  <c r="T811" i="11"/>
  <c r="Q811" i="11"/>
  <c r="M811" i="11"/>
  <c r="L811" i="11"/>
  <c r="K811" i="11"/>
  <c r="J811" i="11"/>
  <c r="I811" i="11"/>
  <c r="H811" i="11"/>
  <c r="G811" i="11"/>
  <c r="F811" i="11"/>
  <c r="E811" i="11"/>
  <c r="D811" i="11"/>
  <c r="C811" i="11"/>
  <c r="B811" i="11"/>
  <c r="A811" i="11"/>
  <c r="S811" i="11" s="1"/>
  <c r="M810" i="11"/>
  <c r="L810" i="11"/>
  <c r="K810" i="11"/>
  <c r="J810" i="11"/>
  <c r="I810" i="11"/>
  <c r="H810" i="11"/>
  <c r="G810" i="11"/>
  <c r="F810" i="11"/>
  <c r="Q810" i="11" s="1"/>
  <c r="E810" i="11"/>
  <c r="D810" i="11"/>
  <c r="C810" i="11"/>
  <c r="B810" i="11"/>
  <c r="T810" i="11" s="1"/>
  <c r="A810" i="11"/>
  <c r="S810" i="11" s="1"/>
  <c r="T809" i="11"/>
  <c r="Q809" i="11"/>
  <c r="M809" i="11"/>
  <c r="L809" i="11"/>
  <c r="K809" i="11"/>
  <c r="J809" i="11"/>
  <c r="I809" i="11"/>
  <c r="H809" i="11"/>
  <c r="G809" i="11"/>
  <c r="F809" i="11"/>
  <c r="E809" i="11"/>
  <c r="D809" i="11"/>
  <c r="C809" i="11"/>
  <c r="B809" i="11"/>
  <c r="A809" i="11"/>
  <c r="S809" i="11" s="1"/>
  <c r="V808" i="11"/>
  <c r="Q808" i="11"/>
  <c r="M808" i="11"/>
  <c r="L808" i="11"/>
  <c r="K808" i="11"/>
  <c r="J808" i="11"/>
  <c r="I808" i="11"/>
  <c r="H808" i="11"/>
  <c r="G808" i="11"/>
  <c r="F808" i="11"/>
  <c r="E808" i="11"/>
  <c r="P808" i="11" s="1"/>
  <c r="D808" i="11"/>
  <c r="C808" i="11"/>
  <c r="B808" i="11"/>
  <c r="T808" i="11" s="1"/>
  <c r="A808" i="11"/>
  <c r="S808" i="11" s="1"/>
  <c r="T807" i="11"/>
  <c r="Q807" i="11"/>
  <c r="P807" i="11"/>
  <c r="M807" i="11"/>
  <c r="L807" i="11"/>
  <c r="K807" i="11"/>
  <c r="J807" i="11"/>
  <c r="I807" i="11"/>
  <c r="H807" i="11"/>
  <c r="G807" i="11"/>
  <c r="F807" i="11"/>
  <c r="E807" i="11"/>
  <c r="D807" i="11"/>
  <c r="C807" i="11"/>
  <c r="B807" i="11"/>
  <c r="A807" i="11"/>
  <c r="S807" i="11" s="1"/>
  <c r="V806" i="11"/>
  <c r="S806" i="11"/>
  <c r="Q806" i="11"/>
  <c r="M806" i="11"/>
  <c r="L806" i="11"/>
  <c r="K806" i="11"/>
  <c r="J806" i="11"/>
  <c r="I806" i="11"/>
  <c r="H806" i="11"/>
  <c r="G806" i="11"/>
  <c r="F806" i="11"/>
  <c r="E806" i="11"/>
  <c r="P806" i="11" s="1"/>
  <c r="D806" i="11"/>
  <c r="C806" i="11"/>
  <c r="B806" i="11"/>
  <c r="T806" i="11" s="1"/>
  <c r="A806" i="11"/>
  <c r="T805" i="11"/>
  <c r="Q805" i="11"/>
  <c r="P805" i="11"/>
  <c r="M805" i="11"/>
  <c r="L805" i="11"/>
  <c r="K805" i="11"/>
  <c r="J805" i="11"/>
  <c r="I805" i="11"/>
  <c r="H805" i="11"/>
  <c r="G805" i="11"/>
  <c r="F805" i="11"/>
  <c r="E805" i="11"/>
  <c r="D805" i="11"/>
  <c r="C805" i="11"/>
  <c r="B805" i="11"/>
  <c r="A805" i="11"/>
  <c r="S805" i="11" s="1"/>
  <c r="S804" i="11"/>
  <c r="M804" i="11"/>
  <c r="L804" i="11"/>
  <c r="K804" i="11"/>
  <c r="J804" i="11"/>
  <c r="I804" i="11"/>
  <c r="H804" i="11"/>
  <c r="G804" i="11"/>
  <c r="F804" i="11"/>
  <c r="Q804" i="11" s="1"/>
  <c r="E804" i="11"/>
  <c r="P804" i="11" s="1"/>
  <c r="D804" i="11"/>
  <c r="C804" i="11"/>
  <c r="B804" i="11"/>
  <c r="T804" i="11" s="1"/>
  <c r="A804" i="11"/>
  <c r="T803" i="11"/>
  <c r="S803" i="11"/>
  <c r="Q803" i="11"/>
  <c r="M803" i="11"/>
  <c r="L803" i="11"/>
  <c r="K803" i="11"/>
  <c r="J803" i="11"/>
  <c r="I803" i="11"/>
  <c r="H803" i="11"/>
  <c r="G803" i="11"/>
  <c r="F803" i="11"/>
  <c r="E803" i="11"/>
  <c r="D803" i="11"/>
  <c r="C803" i="11"/>
  <c r="B803" i="11"/>
  <c r="A803" i="11"/>
  <c r="M802" i="11"/>
  <c r="L802" i="11"/>
  <c r="K802" i="11"/>
  <c r="J802" i="11"/>
  <c r="I802" i="11"/>
  <c r="H802" i="11"/>
  <c r="G802" i="11"/>
  <c r="F802" i="11"/>
  <c r="Q802" i="11" s="1"/>
  <c r="E802" i="11"/>
  <c r="D802" i="11"/>
  <c r="C802" i="11"/>
  <c r="B802" i="11"/>
  <c r="T802" i="11" s="1"/>
  <c r="A802" i="11"/>
  <c r="S802" i="11" s="1"/>
  <c r="T801" i="11"/>
  <c r="Q801" i="11"/>
  <c r="M801" i="11"/>
  <c r="L801" i="11"/>
  <c r="K801" i="11"/>
  <c r="J801" i="11"/>
  <c r="I801" i="11"/>
  <c r="H801" i="11"/>
  <c r="G801" i="11"/>
  <c r="F801" i="11"/>
  <c r="E801" i="11"/>
  <c r="D801" i="11"/>
  <c r="C801" i="11"/>
  <c r="B801" i="11"/>
  <c r="A801" i="11"/>
  <c r="S801" i="11" s="1"/>
  <c r="V800" i="11"/>
  <c r="Q800" i="11"/>
  <c r="M800" i="11"/>
  <c r="L800" i="11"/>
  <c r="K800" i="11"/>
  <c r="J800" i="11"/>
  <c r="I800" i="11"/>
  <c r="H800" i="11"/>
  <c r="G800" i="11"/>
  <c r="F800" i="11"/>
  <c r="E800" i="11"/>
  <c r="P800" i="11" s="1"/>
  <c r="D800" i="11"/>
  <c r="C800" i="11"/>
  <c r="B800" i="11"/>
  <c r="T800" i="11" s="1"/>
  <c r="A800" i="11"/>
  <c r="S800" i="11" s="1"/>
  <c r="T799" i="11"/>
  <c r="Q799" i="11"/>
  <c r="P799" i="11"/>
  <c r="M799" i="11"/>
  <c r="L799" i="11"/>
  <c r="K799" i="11"/>
  <c r="J799" i="11"/>
  <c r="I799" i="11"/>
  <c r="H799" i="11"/>
  <c r="G799" i="11"/>
  <c r="F799" i="11"/>
  <c r="E799" i="11"/>
  <c r="D799" i="11"/>
  <c r="C799" i="11"/>
  <c r="B799" i="11"/>
  <c r="A799" i="11"/>
  <c r="S799" i="11" s="1"/>
  <c r="V798" i="11"/>
  <c r="S798" i="11"/>
  <c r="Q798" i="11"/>
  <c r="M798" i="11"/>
  <c r="L798" i="11"/>
  <c r="K798" i="11"/>
  <c r="J798" i="11"/>
  <c r="I798" i="11"/>
  <c r="H798" i="11"/>
  <c r="G798" i="11"/>
  <c r="F798" i="11"/>
  <c r="E798" i="11"/>
  <c r="P798" i="11" s="1"/>
  <c r="D798" i="11"/>
  <c r="C798" i="11"/>
  <c r="B798" i="11"/>
  <c r="T798" i="11" s="1"/>
  <c r="A798" i="11"/>
  <c r="T797" i="11"/>
  <c r="Q797" i="11"/>
  <c r="P797" i="11"/>
  <c r="M797" i="11"/>
  <c r="L797" i="11"/>
  <c r="K797" i="11"/>
  <c r="J797" i="11"/>
  <c r="I797" i="11"/>
  <c r="H797" i="11"/>
  <c r="G797" i="11"/>
  <c r="F797" i="11"/>
  <c r="E797" i="11"/>
  <c r="D797" i="11"/>
  <c r="C797" i="11"/>
  <c r="B797" i="11"/>
  <c r="A797" i="11"/>
  <c r="S797" i="11" s="1"/>
  <c r="S796" i="11"/>
  <c r="M796" i="11"/>
  <c r="L796" i="11"/>
  <c r="K796" i="11"/>
  <c r="J796" i="11"/>
  <c r="I796" i="11"/>
  <c r="H796" i="11"/>
  <c r="G796" i="11"/>
  <c r="F796" i="11"/>
  <c r="Q796" i="11" s="1"/>
  <c r="E796" i="11"/>
  <c r="P796" i="11" s="1"/>
  <c r="D796" i="11"/>
  <c r="C796" i="11"/>
  <c r="B796" i="11"/>
  <c r="T796" i="11" s="1"/>
  <c r="A796" i="11"/>
  <c r="T795" i="11"/>
  <c r="S795" i="11"/>
  <c r="Q795" i="11"/>
  <c r="M795" i="11"/>
  <c r="L795" i="11"/>
  <c r="K795" i="11"/>
  <c r="J795" i="11"/>
  <c r="I795" i="11"/>
  <c r="H795" i="11"/>
  <c r="G795" i="11"/>
  <c r="F795" i="11"/>
  <c r="E795" i="11"/>
  <c r="D795" i="11"/>
  <c r="C795" i="11"/>
  <c r="B795" i="11"/>
  <c r="A795" i="11"/>
  <c r="M794" i="11"/>
  <c r="L794" i="11"/>
  <c r="K794" i="11"/>
  <c r="J794" i="11"/>
  <c r="I794" i="11"/>
  <c r="H794" i="11"/>
  <c r="G794" i="11"/>
  <c r="F794" i="11"/>
  <c r="Q794" i="11" s="1"/>
  <c r="E794" i="11"/>
  <c r="D794" i="11"/>
  <c r="C794" i="11"/>
  <c r="B794" i="11"/>
  <c r="T794" i="11" s="1"/>
  <c r="A794" i="11"/>
  <c r="S794" i="11" s="1"/>
  <c r="T793" i="11"/>
  <c r="Q793" i="11"/>
  <c r="M793" i="11"/>
  <c r="L793" i="11"/>
  <c r="K793" i="11"/>
  <c r="J793" i="11"/>
  <c r="I793" i="11"/>
  <c r="H793" i="11"/>
  <c r="G793" i="11"/>
  <c r="F793" i="11"/>
  <c r="E793" i="11"/>
  <c r="D793" i="11"/>
  <c r="C793" i="11"/>
  <c r="B793" i="11"/>
  <c r="A793" i="11"/>
  <c r="S793" i="11" s="1"/>
  <c r="V792" i="11"/>
  <c r="Q792" i="11"/>
  <c r="M792" i="11"/>
  <c r="L792" i="11"/>
  <c r="K792" i="11"/>
  <c r="J792" i="11"/>
  <c r="I792" i="11"/>
  <c r="H792" i="11"/>
  <c r="G792" i="11"/>
  <c r="F792" i="11"/>
  <c r="E792" i="11"/>
  <c r="P792" i="11" s="1"/>
  <c r="D792" i="11"/>
  <c r="C792" i="11"/>
  <c r="B792" i="11"/>
  <c r="T792" i="11" s="1"/>
  <c r="A792" i="11"/>
  <c r="S792" i="11" s="1"/>
  <c r="T791" i="11"/>
  <c r="Q791" i="11"/>
  <c r="P791" i="11"/>
  <c r="M791" i="11"/>
  <c r="L791" i="11"/>
  <c r="K791" i="11"/>
  <c r="J791" i="11"/>
  <c r="I791" i="11"/>
  <c r="H791" i="11"/>
  <c r="G791" i="11"/>
  <c r="F791" i="11"/>
  <c r="E791" i="11"/>
  <c r="D791" i="11"/>
  <c r="C791" i="11"/>
  <c r="B791" i="11"/>
  <c r="A791" i="11"/>
  <c r="S791" i="11" s="1"/>
  <c r="V790" i="11"/>
  <c r="S790" i="11"/>
  <c r="Q790" i="11"/>
  <c r="M790" i="11"/>
  <c r="L790" i="11"/>
  <c r="K790" i="11"/>
  <c r="J790" i="11"/>
  <c r="I790" i="11"/>
  <c r="H790" i="11"/>
  <c r="G790" i="11"/>
  <c r="F790" i="11"/>
  <c r="E790" i="11"/>
  <c r="P790" i="11" s="1"/>
  <c r="D790" i="11"/>
  <c r="C790" i="11"/>
  <c r="B790" i="11"/>
  <c r="T790" i="11" s="1"/>
  <c r="A790" i="11"/>
  <c r="T789" i="11"/>
  <c r="Q789" i="11"/>
  <c r="P789" i="11"/>
  <c r="M789" i="11"/>
  <c r="L789" i="11"/>
  <c r="K789" i="11"/>
  <c r="J789" i="11"/>
  <c r="I789" i="11"/>
  <c r="H789" i="11"/>
  <c r="G789" i="11"/>
  <c r="F789" i="11"/>
  <c r="E789" i="11"/>
  <c r="D789" i="11"/>
  <c r="C789" i="11"/>
  <c r="B789" i="11"/>
  <c r="A789" i="11"/>
  <c r="S789" i="11" s="1"/>
  <c r="S788" i="11"/>
  <c r="M788" i="11"/>
  <c r="L788" i="11"/>
  <c r="K788" i="11"/>
  <c r="J788" i="11"/>
  <c r="I788" i="11"/>
  <c r="H788" i="11"/>
  <c r="G788" i="11"/>
  <c r="F788" i="11"/>
  <c r="Q788" i="11" s="1"/>
  <c r="E788" i="11"/>
  <c r="P788" i="11" s="1"/>
  <c r="D788" i="11"/>
  <c r="C788" i="11"/>
  <c r="B788" i="11"/>
  <c r="T788" i="11" s="1"/>
  <c r="A788" i="11"/>
  <c r="T787" i="11"/>
  <c r="Q787" i="11"/>
  <c r="M787" i="11"/>
  <c r="L787" i="11"/>
  <c r="K787" i="11"/>
  <c r="J787" i="11"/>
  <c r="I787" i="11"/>
  <c r="H787" i="11"/>
  <c r="G787" i="11"/>
  <c r="F787" i="11"/>
  <c r="E787" i="11"/>
  <c r="D787" i="11"/>
  <c r="C787" i="11"/>
  <c r="B787" i="11"/>
  <c r="A787" i="11"/>
  <c r="S787" i="11" s="1"/>
  <c r="M786" i="11"/>
  <c r="L786" i="11"/>
  <c r="K786" i="11"/>
  <c r="J786" i="11"/>
  <c r="I786" i="11"/>
  <c r="H786" i="11"/>
  <c r="G786" i="11"/>
  <c r="F786" i="11"/>
  <c r="Q786" i="11" s="1"/>
  <c r="E786" i="11"/>
  <c r="D786" i="11"/>
  <c r="C786" i="11"/>
  <c r="B786" i="11"/>
  <c r="T786" i="11" s="1"/>
  <c r="A786" i="11"/>
  <c r="S786" i="11" s="1"/>
  <c r="T785" i="11"/>
  <c r="Q785" i="11"/>
  <c r="M785" i="11"/>
  <c r="L785" i="11"/>
  <c r="K785" i="11"/>
  <c r="J785" i="11"/>
  <c r="I785" i="11"/>
  <c r="H785" i="11"/>
  <c r="G785" i="11"/>
  <c r="F785" i="11"/>
  <c r="E785" i="11"/>
  <c r="D785" i="11"/>
  <c r="C785" i="11"/>
  <c r="B785" i="11"/>
  <c r="A785" i="11"/>
  <c r="S785" i="11" s="1"/>
  <c r="V784" i="11"/>
  <c r="Q784" i="11"/>
  <c r="M784" i="11"/>
  <c r="L784" i="11"/>
  <c r="K784" i="11"/>
  <c r="J784" i="11"/>
  <c r="I784" i="11"/>
  <c r="H784" i="11"/>
  <c r="G784" i="11"/>
  <c r="F784" i="11"/>
  <c r="E784" i="11"/>
  <c r="P784" i="11" s="1"/>
  <c r="D784" i="11"/>
  <c r="C784" i="11"/>
  <c r="B784" i="11"/>
  <c r="T784" i="11" s="1"/>
  <c r="A784" i="11"/>
  <c r="S784" i="11" s="1"/>
  <c r="T783" i="11"/>
  <c r="Q783" i="11"/>
  <c r="P783" i="11"/>
  <c r="M783" i="11"/>
  <c r="L783" i="11"/>
  <c r="K783" i="11"/>
  <c r="J783" i="11"/>
  <c r="I783" i="11"/>
  <c r="H783" i="11"/>
  <c r="G783" i="11"/>
  <c r="F783" i="11"/>
  <c r="E783" i="11"/>
  <c r="D783" i="11"/>
  <c r="C783" i="11"/>
  <c r="B783" i="11"/>
  <c r="A783" i="11"/>
  <c r="S783" i="11" s="1"/>
  <c r="V782" i="11"/>
  <c r="S782" i="11"/>
  <c r="Q782" i="11"/>
  <c r="M782" i="11"/>
  <c r="L782" i="11"/>
  <c r="K782" i="11"/>
  <c r="J782" i="11"/>
  <c r="I782" i="11"/>
  <c r="H782" i="11"/>
  <c r="G782" i="11"/>
  <c r="F782" i="11"/>
  <c r="E782" i="11"/>
  <c r="P782" i="11" s="1"/>
  <c r="D782" i="11"/>
  <c r="C782" i="11"/>
  <c r="B782" i="11"/>
  <c r="T782" i="11" s="1"/>
  <c r="A782" i="11"/>
  <c r="T781" i="11"/>
  <c r="P781" i="11"/>
  <c r="M781" i="11"/>
  <c r="L781" i="11"/>
  <c r="K781" i="11"/>
  <c r="J781" i="11"/>
  <c r="I781" i="11"/>
  <c r="H781" i="11"/>
  <c r="G781" i="11"/>
  <c r="F781" i="11"/>
  <c r="Q781" i="11" s="1"/>
  <c r="E781" i="11"/>
  <c r="D781" i="11"/>
  <c r="C781" i="11"/>
  <c r="B781" i="11"/>
  <c r="A781" i="11"/>
  <c r="S781" i="11" s="1"/>
  <c r="T780" i="11"/>
  <c r="Q780" i="11"/>
  <c r="P780" i="11"/>
  <c r="M780" i="11"/>
  <c r="L780" i="11"/>
  <c r="K780" i="11"/>
  <c r="J780" i="11"/>
  <c r="I780" i="11"/>
  <c r="H780" i="11"/>
  <c r="G780" i="11"/>
  <c r="F780" i="11"/>
  <c r="E780" i="11"/>
  <c r="V780" i="11" s="1"/>
  <c r="D780" i="11"/>
  <c r="C780" i="11"/>
  <c r="B780" i="11"/>
  <c r="A780" i="11"/>
  <c r="S780" i="11" s="1"/>
  <c r="V779" i="11"/>
  <c r="S779" i="11"/>
  <c r="M779" i="11"/>
  <c r="L779" i="11"/>
  <c r="K779" i="11"/>
  <c r="J779" i="11"/>
  <c r="I779" i="11"/>
  <c r="H779" i="11"/>
  <c r="G779" i="11"/>
  <c r="F779" i="11"/>
  <c r="Q779" i="11" s="1"/>
  <c r="E779" i="11"/>
  <c r="P779" i="11" s="1"/>
  <c r="D779" i="11"/>
  <c r="C779" i="11"/>
  <c r="B779" i="11"/>
  <c r="T779" i="11" s="1"/>
  <c r="A779" i="11"/>
  <c r="T778" i="11"/>
  <c r="Q778" i="11"/>
  <c r="P778" i="11"/>
  <c r="M778" i="11"/>
  <c r="L778" i="11"/>
  <c r="K778" i="11"/>
  <c r="J778" i="11"/>
  <c r="I778" i="11"/>
  <c r="H778" i="11"/>
  <c r="G778" i="11"/>
  <c r="F778" i="11"/>
  <c r="E778" i="11"/>
  <c r="V778" i="11" s="1"/>
  <c r="D778" i="11"/>
  <c r="C778" i="11"/>
  <c r="B778" i="11"/>
  <c r="A778" i="11"/>
  <c r="S778" i="11" s="1"/>
  <c r="S777" i="11"/>
  <c r="M777" i="11"/>
  <c r="L777" i="11"/>
  <c r="K777" i="11"/>
  <c r="J777" i="11"/>
  <c r="I777" i="11"/>
  <c r="H777" i="11"/>
  <c r="G777" i="11"/>
  <c r="F777" i="11"/>
  <c r="Q777" i="11" s="1"/>
  <c r="E777" i="11"/>
  <c r="P777" i="11" s="1"/>
  <c r="D777" i="11"/>
  <c r="C777" i="11"/>
  <c r="B777" i="11"/>
  <c r="T777" i="11" s="1"/>
  <c r="A777" i="11"/>
  <c r="T776" i="11"/>
  <c r="Q776" i="11"/>
  <c r="P776" i="11"/>
  <c r="M776" i="11"/>
  <c r="L776" i="11"/>
  <c r="K776" i="11"/>
  <c r="J776" i="11"/>
  <c r="I776" i="11"/>
  <c r="H776" i="11"/>
  <c r="G776" i="11"/>
  <c r="F776" i="11"/>
  <c r="E776" i="11"/>
  <c r="V776" i="11" s="1"/>
  <c r="D776" i="11"/>
  <c r="C776" i="11"/>
  <c r="B776" i="11"/>
  <c r="A776" i="11"/>
  <c r="S776" i="11" s="1"/>
  <c r="S775" i="11"/>
  <c r="M775" i="11"/>
  <c r="L775" i="11"/>
  <c r="K775" i="11"/>
  <c r="J775" i="11"/>
  <c r="I775" i="11"/>
  <c r="H775" i="11"/>
  <c r="G775" i="11"/>
  <c r="F775" i="11"/>
  <c r="Q775" i="11" s="1"/>
  <c r="E775" i="11"/>
  <c r="P775" i="11" s="1"/>
  <c r="D775" i="11"/>
  <c r="C775" i="11"/>
  <c r="B775" i="11"/>
  <c r="T775" i="11" s="1"/>
  <c r="A775" i="11"/>
  <c r="T774" i="11"/>
  <c r="Q774" i="11"/>
  <c r="P774" i="11"/>
  <c r="M774" i="11"/>
  <c r="L774" i="11"/>
  <c r="K774" i="11"/>
  <c r="J774" i="11"/>
  <c r="I774" i="11"/>
  <c r="H774" i="11"/>
  <c r="G774" i="11"/>
  <c r="F774" i="11"/>
  <c r="E774" i="11"/>
  <c r="V774" i="11" s="1"/>
  <c r="D774" i="11"/>
  <c r="C774" i="11"/>
  <c r="B774" i="11"/>
  <c r="A774" i="11"/>
  <c r="S774" i="11" s="1"/>
  <c r="V773" i="11"/>
  <c r="S773" i="11"/>
  <c r="M773" i="11"/>
  <c r="L773" i="11"/>
  <c r="K773" i="11"/>
  <c r="J773" i="11"/>
  <c r="I773" i="11"/>
  <c r="H773" i="11"/>
  <c r="G773" i="11"/>
  <c r="F773" i="11"/>
  <c r="Q773" i="11" s="1"/>
  <c r="E773" i="11"/>
  <c r="P773" i="11" s="1"/>
  <c r="D773" i="11"/>
  <c r="C773" i="11"/>
  <c r="B773" i="11"/>
  <c r="T773" i="11" s="1"/>
  <c r="A773" i="11"/>
  <c r="T772" i="11"/>
  <c r="Q772" i="11"/>
  <c r="P772" i="11"/>
  <c r="M772" i="11"/>
  <c r="L772" i="11"/>
  <c r="K772" i="11"/>
  <c r="J772" i="11"/>
  <c r="I772" i="11"/>
  <c r="H772" i="11"/>
  <c r="G772" i="11"/>
  <c r="F772" i="11"/>
  <c r="E772" i="11"/>
  <c r="V772" i="11" s="1"/>
  <c r="D772" i="11"/>
  <c r="C772" i="11"/>
  <c r="B772" i="11"/>
  <c r="A772" i="11"/>
  <c r="S772" i="11" s="1"/>
  <c r="V771" i="11"/>
  <c r="S771" i="11"/>
  <c r="M771" i="11"/>
  <c r="L771" i="11"/>
  <c r="K771" i="11"/>
  <c r="J771" i="11"/>
  <c r="I771" i="11"/>
  <c r="H771" i="11"/>
  <c r="G771" i="11"/>
  <c r="F771" i="11"/>
  <c r="Q771" i="11" s="1"/>
  <c r="E771" i="11"/>
  <c r="P771" i="11" s="1"/>
  <c r="D771" i="11"/>
  <c r="C771" i="11"/>
  <c r="B771" i="11"/>
  <c r="T771" i="11" s="1"/>
  <c r="A771" i="11"/>
  <c r="T770" i="11"/>
  <c r="Q770" i="11"/>
  <c r="P770" i="11"/>
  <c r="M770" i="11"/>
  <c r="L770" i="11"/>
  <c r="K770" i="11"/>
  <c r="J770" i="11"/>
  <c r="I770" i="11"/>
  <c r="H770" i="11"/>
  <c r="G770" i="11"/>
  <c r="F770" i="11"/>
  <c r="E770" i="11"/>
  <c r="V770" i="11" s="1"/>
  <c r="D770" i="11"/>
  <c r="C770" i="11"/>
  <c r="B770" i="11"/>
  <c r="A770" i="11"/>
  <c r="S770" i="11" s="1"/>
  <c r="S769" i="11"/>
  <c r="M769" i="11"/>
  <c r="L769" i="11"/>
  <c r="K769" i="11"/>
  <c r="J769" i="11"/>
  <c r="I769" i="11"/>
  <c r="H769" i="11"/>
  <c r="G769" i="11"/>
  <c r="F769" i="11"/>
  <c r="Q769" i="11" s="1"/>
  <c r="E769" i="11"/>
  <c r="P769" i="11" s="1"/>
  <c r="D769" i="11"/>
  <c r="C769" i="11"/>
  <c r="B769" i="11"/>
  <c r="T769" i="11" s="1"/>
  <c r="A769" i="11"/>
  <c r="T768" i="11"/>
  <c r="Q768" i="11"/>
  <c r="P768" i="11"/>
  <c r="M768" i="11"/>
  <c r="L768" i="11"/>
  <c r="K768" i="11"/>
  <c r="J768" i="11"/>
  <c r="I768" i="11"/>
  <c r="H768" i="11"/>
  <c r="G768" i="11"/>
  <c r="F768" i="11"/>
  <c r="E768" i="11"/>
  <c r="V768" i="11" s="1"/>
  <c r="D768" i="11"/>
  <c r="C768" i="11"/>
  <c r="B768" i="11"/>
  <c r="A768" i="11"/>
  <c r="S768" i="11" s="1"/>
  <c r="S767" i="11"/>
  <c r="M767" i="11"/>
  <c r="L767" i="11"/>
  <c r="K767" i="11"/>
  <c r="J767" i="11"/>
  <c r="I767" i="11"/>
  <c r="H767" i="11"/>
  <c r="G767" i="11"/>
  <c r="F767" i="11"/>
  <c r="Q767" i="11" s="1"/>
  <c r="E767" i="11"/>
  <c r="P767" i="11" s="1"/>
  <c r="D767" i="11"/>
  <c r="C767" i="11"/>
  <c r="B767" i="11"/>
  <c r="T767" i="11" s="1"/>
  <c r="A767" i="11"/>
  <c r="T766" i="11"/>
  <c r="Q766" i="11"/>
  <c r="P766" i="11"/>
  <c r="M766" i="11"/>
  <c r="L766" i="11"/>
  <c r="K766" i="11"/>
  <c r="J766" i="11"/>
  <c r="I766" i="11"/>
  <c r="H766" i="11"/>
  <c r="G766" i="11"/>
  <c r="F766" i="11"/>
  <c r="E766" i="11"/>
  <c r="V766" i="11" s="1"/>
  <c r="D766" i="11"/>
  <c r="C766" i="11"/>
  <c r="B766" i="11"/>
  <c r="A766" i="11"/>
  <c r="S766" i="11" s="1"/>
  <c r="V765" i="11"/>
  <c r="S765" i="11"/>
  <c r="M765" i="11"/>
  <c r="L765" i="11"/>
  <c r="K765" i="11"/>
  <c r="J765" i="11"/>
  <c r="I765" i="11"/>
  <c r="H765" i="11"/>
  <c r="G765" i="11"/>
  <c r="F765" i="11"/>
  <c r="Q765" i="11" s="1"/>
  <c r="E765" i="11"/>
  <c r="P765" i="11" s="1"/>
  <c r="D765" i="11"/>
  <c r="C765" i="11"/>
  <c r="B765" i="11"/>
  <c r="T765" i="11" s="1"/>
  <c r="A765" i="11"/>
  <c r="T764" i="11"/>
  <c r="Q764" i="11"/>
  <c r="P764" i="11"/>
  <c r="M764" i="11"/>
  <c r="L764" i="11"/>
  <c r="K764" i="11"/>
  <c r="J764" i="11"/>
  <c r="I764" i="11"/>
  <c r="H764" i="11"/>
  <c r="G764" i="11"/>
  <c r="F764" i="11"/>
  <c r="E764" i="11"/>
  <c r="V764" i="11" s="1"/>
  <c r="D764" i="11"/>
  <c r="C764" i="11"/>
  <c r="B764" i="11"/>
  <c r="A764" i="11"/>
  <c r="S764" i="11" s="1"/>
  <c r="V763" i="11"/>
  <c r="S763" i="11"/>
  <c r="M763" i="11"/>
  <c r="L763" i="11"/>
  <c r="K763" i="11"/>
  <c r="J763" i="11"/>
  <c r="I763" i="11"/>
  <c r="H763" i="11"/>
  <c r="G763" i="11"/>
  <c r="F763" i="11"/>
  <c r="Q763" i="11" s="1"/>
  <c r="E763" i="11"/>
  <c r="P763" i="11" s="1"/>
  <c r="D763" i="11"/>
  <c r="C763" i="11"/>
  <c r="B763" i="11"/>
  <c r="T763" i="11" s="1"/>
  <c r="A763" i="11"/>
  <c r="T762" i="11"/>
  <c r="Q762" i="11"/>
  <c r="P762" i="11"/>
  <c r="M762" i="11"/>
  <c r="L762" i="11"/>
  <c r="K762" i="11"/>
  <c r="J762" i="11"/>
  <c r="I762" i="11"/>
  <c r="H762" i="11"/>
  <c r="G762" i="11"/>
  <c r="F762" i="11"/>
  <c r="E762" i="11"/>
  <c r="V762" i="11" s="1"/>
  <c r="D762" i="11"/>
  <c r="C762" i="11"/>
  <c r="B762" i="11"/>
  <c r="A762" i="11"/>
  <c r="S762" i="11" s="1"/>
  <c r="S761" i="11"/>
  <c r="M761" i="11"/>
  <c r="L761" i="11"/>
  <c r="K761" i="11"/>
  <c r="J761" i="11"/>
  <c r="I761" i="11"/>
  <c r="H761" i="11"/>
  <c r="G761" i="11"/>
  <c r="F761" i="11"/>
  <c r="Q761" i="11" s="1"/>
  <c r="E761" i="11"/>
  <c r="P761" i="11" s="1"/>
  <c r="D761" i="11"/>
  <c r="C761" i="11"/>
  <c r="B761" i="11"/>
  <c r="T761" i="11" s="1"/>
  <c r="A761" i="11"/>
  <c r="T760" i="11"/>
  <c r="Q760" i="11"/>
  <c r="P760" i="11"/>
  <c r="M760" i="11"/>
  <c r="L760" i="11"/>
  <c r="K760" i="11"/>
  <c r="J760" i="11"/>
  <c r="I760" i="11"/>
  <c r="H760" i="11"/>
  <c r="G760" i="11"/>
  <c r="F760" i="11"/>
  <c r="E760" i="11"/>
  <c r="V760" i="11" s="1"/>
  <c r="D760" i="11"/>
  <c r="C760" i="11"/>
  <c r="B760" i="11"/>
  <c r="A760" i="11"/>
  <c r="S760" i="11" s="1"/>
  <c r="S759" i="11"/>
  <c r="M759" i="11"/>
  <c r="L759" i="11"/>
  <c r="K759" i="11"/>
  <c r="J759" i="11"/>
  <c r="I759" i="11"/>
  <c r="H759" i="11"/>
  <c r="G759" i="11"/>
  <c r="F759" i="11"/>
  <c r="Q759" i="11" s="1"/>
  <c r="E759" i="11"/>
  <c r="P759" i="11" s="1"/>
  <c r="D759" i="11"/>
  <c r="C759" i="11"/>
  <c r="B759" i="11"/>
  <c r="T759" i="11" s="1"/>
  <c r="A759" i="11"/>
  <c r="T758" i="11"/>
  <c r="Q758" i="11"/>
  <c r="P758" i="11"/>
  <c r="M758" i="11"/>
  <c r="L758" i="11"/>
  <c r="K758" i="11"/>
  <c r="J758" i="11"/>
  <c r="I758" i="11"/>
  <c r="H758" i="11"/>
  <c r="G758" i="11"/>
  <c r="F758" i="11"/>
  <c r="E758" i="11"/>
  <c r="V758" i="11" s="1"/>
  <c r="D758" i="11"/>
  <c r="C758" i="11"/>
  <c r="B758" i="11"/>
  <c r="A758" i="11"/>
  <c r="S758" i="11" s="1"/>
  <c r="V757" i="11"/>
  <c r="S757" i="11"/>
  <c r="M757" i="11"/>
  <c r="L757" i="11"/>
  <c r="K757" i="11"/>
  <c r="J757" i="11"/>
  <c r="I757" i="11"/>
  <c r="H757" i="11"/>
  <c r="G757" i="11"/>
  <c r="F757" i="11"/>
  <c r="Q757" i="11" s="1"/>
  <c r="E757" i="11"/>
  <c r="P757" i="11" s="1"/>
  <c r="D757" i="11"/>
  <c r="C757" i="11"/>
  <c r="B757" i="11"/>
  <c r="T757" i="11" s="1"/>
  <c r="A757" i="11"/>
  <c r="T756" i="11"/>
  <c r="Q756" i="11"/>
  <c r="P756" i="11"/>
  <c r="M756" i="11"/>
  <c r="L756" i="11"/>
  <c r="K756" i="11"/>
  <c r="J756" i="11"/>
  <c r="I756" i="11"/>
  <c r="H756" i="11"/>
  <c r="G756" i="11"/>
  <c r="F756" i="11"/>
  <c r="E756" i="11"/>
  <c r="V756" i="11" s="1"/>
  <c r="D756" i="11"/>
  <c r="C756" i="11"/>
  <c r="B756" i="11"/>
  <c r="A756" i="11"/>
  <c r="S756" i="11" s="1"/>
  <c r="V755" i="11"/>
  <c r="S755" i="11"/>
  <c r="M755" i="11"/>
  <c r="L755" i="11"/>
  <c r="K755" i="11"/>
  <c r="J755" i="11"/>
  <c r="I755" i="11"/>
  <c r="H755" i="11"/>
  <c r="G755" i="11"/>
  <c r="F755" i="11"/>
  <c r="Q755" i="11" s="1"/>
  <c r="E755" i="11"/>
  <c r="P755" i="11" s="1"/>
  <c r="D755" i="11"/>
  <c r="C755" i="11"/>
  <c r="B755" i="11"/>
  <c r="T755" i="11" s="1"/>
  <c r="A755" i="11"/>
  <c r="T754" i="11"/>
  <c r="Q754" i="11"/>
  <c r="P754" i="11"/>
  <c r="M754" i="11"/>
  <c r="L754" i="11"/>
  <c r="K754" i="11"/>
  <c r="J754" i="11"/>
  <c r="I754" i="11"/>
  <c r="H754" i="11"/>
  <c r="G754" i="11"/>
  <c r="F754" i="11"/>
  <c r="E754" i="11"/>
  <c r="V754" i="11" s="1"/>
  <c r="D754" i="11"/>
  <c r="C754" i="11"/>
  <c r="B754" i="11"/>
  <c r="A754" i="11"/>
  <c r="S754" i="11" s="1"/>
  <c r="S753" i="11"/>
  <c r="M753" i="11"/>
  <c r="L753" i="11"/>
  <c r="K753" i="11"/>
  <c r="J753" i="11"/>
  <c r="I753" i="11"/>
  <c r="H753" i="11"/>
  <c r="G753" i="11"/>
  <c r="F753" i="11"/>
  <c r="Q753" i="11" s="1"/>
  <c r="E753" i="11"/>
  <c r="P753" i="11" s="1"/>
  <c r="D753" i="11"/>
  <c r="C753" i="11"/>
  <c r="B753" i="11"/>
  <c r="T753" i="11" s="1"/>
  <c r="A753" i="11"/>
  <c r="T752" i="11"/>
  <c r="Q752" i="11"/>
  <c r="P752" i="11"/>
  <c r="M752" i="11"/>
  <c r="L752" i="11"/>
  <c r="K752" i="11"/>
  <c r="J752" i="11"/>
  <c r="I752" i="11"/>
  <c r="H752" i="11"/>
  <c r="G752" i="11"/>
  <c r="F752" i="11"/>
  <c r="E752" i="11"/>
  <c r="V752" i="11" s="1"/>
  <c r="D752" i="11"/>
  <c r="C752" i="11"/>
  <c r="B752" i="11"/>
  <c r="A752" i="11"/>
  <c r="S752" i="11" s="1"/>
  <c r="S751" i="11"/>
  <c r="M751" i="11"/>
  <c r="L751" i="11"/>
  <c r="K751" i="11"/>
  <c r="J751" i="11"/>
  <c r="I751" i="11"/>
  <c r="H751" i="11"/>
  <c r="G751" i="11"/>
  <c r="F751" i="11"/>
  <c r="Q751" i="11" s="1"/>
  <c r="E751" i="11"/>
  <c r="P751" i="11" s="1"/>
  <c r="D751" i="11"/>
  <c r="C751" i="11"/>
  <c r="B751" i="11"/>
  <c r="T751" i="11" s="1"/>
  <c r="A751" i="11"/>
  <c r="T750" i="11"/>
  <c r="Q750" i="11"/>
  <c r="P750" i="11"/>
  <c r="M750" i="11"/>
  <c r="L750" i="11"/>
  <c r="K750" i="11"/>
  <c r="J750" i="11"/>
  <c r="I750" i="11"/>
  <c r="H750" i="11"/>
  <c r="G750" i="11"/>
  <c r="F750" i="11"/>
  <c r="E750" i="11"/>
  <c r="V750" i="11" s="1"/>
  <c r="D750" i="11"/>
  <c r="C750" i="11"/>
  <c r="B750" i="11"/>
  <c r="A750" i="11"/>
  <c r="S750" i="11" s="1"/>
  <c r="V749" i="11"/>
  <c r="S749" i="11"/>
  <c r="M749" i="11"/>
  <c r="L749" i="11"/>
  <c r="K749" i="11"/>
  <c r="J749" i="11"/>
  <c r="I749" i="11"/>
  <c r="H749" i="11"/>
  <c r="G749" i="11"/>
  <c r="F749" i="11"/>
  <c r="Q749" i="11" s="1"/>
  <c r="E749" i="11"/>
  <c r="P749" i="11" s="1"/>
  <c r="D749" i="11"/>
  <c r="C749" i="11"/>
  <c r="B749" i="11"/>
  <c r="T749" i="11" s="1"/>
  <c r="A749" i="11"/>
  <c r="T748" i="11"/>
  <c r="Q748" i="11"/>
  <c r="P748" i="11"/>
  <c r="M748" i="11"/>
  <c r="L748" i="11"/>
  <c r="K748" i="11"/>
  <c r="J748" i="11"/>
  <c r="I748" i="11"/>
  <c r="H748" i="11"/>
  <c r="G748" i="11"/>
  <c r="F748" i="11"/>
  <c r="E748" i="11"/>
  <c r="V748" i="11" s="1"/>
  <c r="D748" i="11"/>
  <c r="C748" i="11"/>
  <c r="B748" i="11"/>
  <c r="A748" i="11"/>
  <c r="S748" i="11" s="1"/>
  <c r="V747" i="11"/>
  <c r="S747" i="11"/>
  <c r="M747" i="11"/>
  <c r="L747" i="11"/>
  <c r="K747" i="11"/>
  <c r="J747" i="11"/>
  <c r="I747" i="11"/>
  <c r="H747" i="11"/>
  <c r="G747" i="11"/>
  <c r="F747" i="11"/>
  <c r="Q747" i="11" s="1"/>
  <c r="E747" i="11"/>
  <c r="P747" i="11" s="1"/>
  <c r="D747" i="11"/>
  <c r="C747" i="11"/>
  <c r="B747" i="11"/>
  <c r="T747" i="11" s="1"/>
  <c r="A747" i="11"/>
  <c r="T746" i="11"/>
  <c r="Q746" i="11"/>
  <c r="P746" i="11"/>
  <c r="M746" i="11"/>
  <c r="L746" i="11"/>
  <c r="K746" i="11"/>
  <c r="J746" i="11"/>
  <c r="I746" i="11"/>
  <c r="H746" i="11"/>
  <c r="G746" i="11"/>
  <c r="F746" i="11"/>
  <c r="E746" i="11"/>
  <c r="V746" i="11" s="1"/>
  <c r="D746" i="11"/>
  <c r="C746" i="11"/>
  <c r="B746" i="11"/>
  <c r="A746" i="11"/>
  <c r="S746" i="11" s="1"/>
  <c r="S745" i="11"/>
  <c r="M745" i="11"/>
  <c r="L745" i="11"/>
  <c r="K745" i="11"/>
  <c r="J745" i="11"/>
  <c r="I745" i="11"/>
  <c r="H745" i="11"/>
  <c r="G745" i="11"/>
  <c r="F745" i="11"/>
  <c r="Q745" i="11" s="1"/>
  <c r="E745" i="11"/>
  <c r="P745" i="11" s="1"/>
  <c r="D745" i="11"/>
  <c r="C745" i="11"/>
  <c r="B745" i="11"/>
  <c r="T745" i="11" s="1"/>
  <c r="A745" i="11"/>
  <c r="T744" i="11"/>
  <c r="Q744" i="11"/>
  <c r="P744" i="11"/>
  <c r="M744" i="11"/>
  <c r="L744" i="11"/>
  <c r="K744" i="11"/>
  <c r="J744" i="11"/>
  <c r="I744" i="11"/>
  <c r="H744" i="11"/>
  <c r="G744" i="11"/>
  <c r="F744" i="11"/>
  <c r="E744" i="11"/>
  <c r="V744" i="11" s="1"/>
  <c r="D744" i="11"/>
  <c r="C744" i="11"/>
  <c r="B744" i="11"/>
  <c r="A744" i="11"/>
  <c r="S744" i="11" s="1"/>
  <c r="S743" i="11"/>
  <c r="M743" i="11"/>
  <c r="L743" i="11"/>
  <c r="K743" i="11"/>
  <c r="J743" i="11"/>
  <c r="I743" i="11"/>
  <c r="H743" i="11"/>
  <c r="G743" i="11"/>
  <c r="F743" i="11"/>
  <c r="Q743" i="11" s="1"/>
  <c r="E743" i="11"/>
  <c r="P743" i="11" s="1"/>
  <c r="D743" i="11"/>
  <c r="C743" i="11"/>
  <c r="B743" i="11"/>
  <c r="T743" i="11" s="1"/>
  <c r="A743" i="11"/>
  <c r="T742" i="11"/>
  <c r="Q742" i="11"/>
  <c r="P742" i="11"/>
  <c r="M742" i="11"/>
  <c r="L742" i="11"/>
  <c r="K742" i="11"/>
  <c r="J742" i="11"/>
  <c r="I742" i="11"/>
  <c r="H742" i="11"/>
  <c r="G742" i="11"/>
  <c r="F742" i="11"/>
  <c r="E742" i="11"/>
  <c r="V742" i="11" s="1"/>
  <c r="D742" i="11"/>
  <c r="C742" i="11"/>
  <c r="B742" i="11"/>
  <c r="A742" i="11"/>
  <c r="S742" i="11" s="1"/>
  <c r="V741" i="11"/>
  <c r="S741" i="11"/>
  <c r="M741" i="11"/>
  <c r="L741" i="11"/>
  <c r="K741" i="11"/>
  <c r="J741" i="11"/>
  <c r="I741" i="11"/>
  <c r="H741" i="11"/>
  <c r="G741" i="11"/>
  <c r="F741" i="11"/>
  <c r="Q741" i="11" s="1"/>
  <c r="E741" i="11"/>
  <c r="P741" i="11" s="1"/>
  <c r="D741" i="11"/>
  <c r="C741" i="11"/>
  <c r="B741" i="11"/>
  <c r="T741" i="11" s="1"/>
  <c r="A741" i="11"/>
  <c r="T740" i="11"/>
  <c r="Q740" i="11"/>
  <c r="P740" i="11"/>
  <c r="M740" i="11"/>
  <c r="L740" i="11"/>
  <c r="K740" i="11"/>
  <c r="J740" i="11"/>
  <c r="I740" i="11"/>
  <c r="H740" i="11"/>
  <c r="G740" i="11"/>
  <c r="F740" i="11"/>
  <c r="E740" i="11"/>
  <c r="V740" i="11" s="1"/>
  <c r="D740" i="11"/>
  <c r="C740" i="11"/>
  <c r="B740" i="11"/>
  <c r="A740" i="11"/>
  <c r="S740" i="11" s="1"/>
  <c r="V739" i="11"/>
  <c r="S739" i="11"/>
  <c r="M739" i="11"/>
  <c r="L739" i="11"/>
  <c r="K739" i="11"/>
  <c r="J739" i="11"/>
  <c r="I739" i="11"/>
  <c r="H739" i="11"/>
  <c r="G739" i="11"/>
  <c r="F739" i="11"/>
  <c r="Q739" i="11" s="1"/>
  <c r="E739" i="11"/>
  <c r="P739" i="11" s="1"/>
  <c r="D739" i="11"/>
  <c r="C739" i="11"/>
  <c r="B739" i="11"/>
  <c r="T739" i="11" s="1"/>
  <c r="A739" i="11"/>
  <c r="T738" i="11"/>
  <c r="Q738" i="11"/>
  <c r="P738" i="11"/>
  <c r="M738" i="11"/>
  <c r="L738" i="11"/>
  <c r="K738" i="11"/>
  <c r="J738" i="11"/>
  <c r="I738" i="11"/>
  <c r="H738" i="11"/>
  <c r="G738" i="11"/>
  <c r="F738" i="11"/>
  <c r="E738" i="11"/>
  <c r="V738" i="11" s="1"/>
  <c r="D738" i="11"/>
  <c r="C738" i="11"/>
  <c r="B738" i="11"/>
  <c r="A738" i="11"/>
  <c r="S738" i="11" s="1"/>
  <c r="S737" i="11"/>
  <c r="M737" i="11"/>
  <c r="L737" i="11"/>
  <c r="K737" i="11"/>
  <c r="J737" i="11"/>
  <c r="I737" i="11"/>
  <c r="H737" i="11"/>
  <c r="G737" i="11"/>
  <c r="F737" i="11"/>
  <c r="Q737" i="11" s="1"/>
  <c r="E737" i="11"/>
  <c r="P737" i="11" s="1"/>
  <c r="D737" i="11"/>
  <c r="C737" i="11"/>
  <c r="B737" i="11"/>
  <c r="T737" i="11" s="1"/>
  <c r="A737" i="11"/>
  <c r="T736" i="11"/>
  <c r="Q736" i="11"/>
  <c r="P736" i="11"/>
  <c r="M736" i="11"/>
  <c r="L736" i="11"/>
  <c r="K736" i="11"/>
  <c r="J736" i="11"/>
  <c r="I736" i="11"/>
  <c r="H736" i="11"/>
  <c r="G736" i="11"/>
  <c r="F736" i="11"/>
  <c r="E736" i="11"/>
  <c r="V736" i="11" s="1"/>
  <c r="D736" i="11"/>
  <c r="C736" i="11"/>
  <c r="B736" i="11"/>
  <c r="A736" i="11"/>
  <c r="S736" i="11" s="1"/>
  <c r="S735" i="11"/>
  <c r="M735" i="11"/>
  <c r="L735" i="11"/>
  <c r="K735" i="11"/>
  <c r="J735" i="11"/>
  <c r="I735" i="11"/>
  <c r="H735" i="11"/>
  <c r="G735" i="11"/>
  <c r="F735" i="11"/>
  <c r="Q735" i="11" s="1"/>
  <c r="E735" i="11"/>
  <c r="P735" i="11" s="1"/>
  <c r="D735" i="11"/>
  <c r="C735" i="11"/>
  <c r="B735" i="11"/>
  <c r="T735" i="11" s="1"/>
  <c r="A735" i="11"/>
  <c r="T734" i="11"/>
  <c r="Q734" i="11"/>
  <c r="P734" i="11"/>
  <c r="M734" i="11"/>
  <c r="L734" i="11"/>
  <c r="K734" i="11"/>
  <c r="J734" i="11"/>
  <c r="I734" i="11"/>
  <c r="H734" i="11"/>
  <c r="G734" i="11"/>
  <c r="F734" i="11"/>
  <c r="E734" i="11"/>
  <c r="V734" i="11" s="1"/>
  <c r="D734" i="11"/>
  <c r="C734" i="11"/>
  <c r="B734" i="11"/>
  <c r="A734" i="11"/>
  <c r="S734" i="11" s="1"/>
  <c r="V733" i="11"/>
  <c r="S733" i="11"/>
  <c r="M733" i="11"/>
  <c r="L733" i="11"/>
  <c r="K733" i="11"/>
  <c r="J733" i="11"/>
  <c r="I733" i="11"/>
  <c r="H733" i="11"/>
  <c r="G733" i="11"/>
  <c r="F733" i="11"/>
  <c r="Q733" i="11" s="1"/>
  <c r="E733" i="11"/>
  <c r="P733" i="11" s="1"/>
  <c r="D733" i="11"/>
  <c r="C733" i="11"/>
  <c r="B733" i="11"/>
  <c r="T733" i="11" s="1"/>
  <c r="A733" i="11"/>
  <c r="T732" i="11"/>
  <c r="Q732" i="11"/>
  <c r="P732" i="11"/>
  <c r="M732" i="11"/>
  <c r="L732" i="11"/>
  <c r="K732" i="11"/>
  <c r="J732" i="11"/>
  <c r="I732" i="11"/>
  <c r="H732" i="11"/>
  <c r="G732" i="11"/>
  <c r="F732" i="11"/>
  <c r="E732" i="11"/>
  <c r="V732" i="11" s="1"/>
  <c r="D732" i="11"/>
  <c r="C732" i="11"/>
  <c r="B732" i="11"/>
  <c r="A732" i="11"/>
  <c r="S732" i="11" s="1"/>
  <c r="V731" i="11"/>
  <c r="S731" i="11"/>
  <c r="M731" i="11"/>
  <c r="L731" i="11"/>
  <c r="K731" i="11"/>
  <c r="J731" i="11"/>
  <c r="I731" i="11"/>
  <c r="H731" i="11"/>
  <c r="G731" i="11"/>
  <c r="F731" i="11"/>
  <c r="Q731" i="11" s="1"/>
  <c r="E731" i="11"/>
  <c r="P731" i="11" s="1"/>
  <c r="D731" i="11"/>
  <c r="C731" i="11"/>
  <c r="B731" i="11"/>
  <c r="T731" i="11" s="1"/>
  <c r="A731" i="11"/>
  <c r="T730" i="11"/>
  <c r="Q730" i="11"/>
  <c r="P730" i="11"/>
  <c r="M730" i="11"/>
  <c r="L730" i="11"/>
  <c r="K730" i="11"/>
  <c r="J730" i="11"/>
  <c r="I730" i="11"/>
  <c r="H730" i="11"/>
  <c r="G730" i="11"/>
  <c r="F730" i="11"/>
  <c r="E730" i="11"/>
  <c r="V730" i="11" s="1"/>
  <c r="D730" i="11"/>
  <c r="C730" i="11"/>
  <c r="B730" i="11"/>
  <c r="A730" i="11"/>
  <c r="S730" i="11" s="1"/>
  <c r="S729" i="11"/>
  <c r="M729" i="11"/>
  <c r="L729" i="11"/>
  <c r="K729" i="11"/>
  <c r="J729" i="11"/>
  <c r="I729" i="11"/>
  <c r="H729" i="11"/>
  <c r="G729" i="11"/>
  <c r="F729" i="11"/>
  <c r="Q729" i="11" s="1"/>
  <c r="E729" i="11"/>
  <c r="P729" i="11" s="1"/>
  <c r="D729" i="11"/>
  <c r="C729" i="11"/>
  <c r="B729" i="11"/>
  <c r="T729" i="11" s="1"/>
  <c r="A729" i="11"/>
  <c r="T728" i="11"/>
  <c r="Q728" i="11"/>
  <c r="P728" i="11"/>
  <c r="M728" i="11"/>
  <c r="L728" i="11"/>
  <c r="K728" i="11"/>
  <c r="J728" i="11"/>
  <c r="I728" i="11"/>
  <c r="H728" i="11"/>
  <c r="G728" i="11"/>
  <c r="F728" i="11"/>
  <c r="E728" i="11"/>
  <c r="V728" i="11" s="1"/>
  <c r="D728" i="11"/>
  <c r="C728" i="11"/>
  <c r="B728" i="11"/>
  <c r="A728" i="11"/>
  <c r="S728" i="11" s="1"/>
  <c r="S727" i="11"/>
  <c r="M727" i="11"/>
  <c r="L727" i="11"/>
  <c r="K727" i="11"/>
  <c r="J727" i="11"/>
  <c r="I727" i="11"/>
  <c r="H727" i="11"/>
  <c r="G727" i="11"/>
  <c r="F727" i="11"/>
  <c r="Q727" i="11" s="1"/>
  <c r="E727" i="11"/>
  <c r="P727" i="11" s="1"/>
  <c r="D727" i="11"/>
  <c r="C727" i="11"/>
  <c r="B727" i="11"/>
  <c r="T727" i="11" s="1"/>
  <c r="A727" i="11"/>
  <c r="T726" i="11"/>
  <c r="Q726" i="11"/>
  <c r="P726" i="11"/>
  <c r="M726" i="11"/>
  <c r="L726" i="11"/>
  <c r="K726" i="11"/>
  <c r="J726" i="11"/>
  <c r="I726" i="11"/>
  <c r="H726" i="11"/>
  <c r="G726" i="11"/>
  <c r="F726" i="11"/>
  <c r="E726" i="11"/>
  <c r="V726" i="11" s="1"/>
  <c r="D726" i="11"/>
  <c r="C726" i="11"/>
  <c r="B726" i="11"/>
  <c r="A726" i="11"/>
  <c r="S726" i="11" s="1"/>
  <c r="V725" i="11"/>
  <c r="S725" i="11"/>
  <c r="M725" i="11"/>
  <c r="L725" i="11"/>
  <c r="K725" i="11"/>
  <c r="J725" i="11"/>
  <c r="I725" i="11"/>
  <c r="H725" i="11"/>
  <c r="G725" i="11"/>
  <c r="F725" i="11"/>
  <c r="Q725" i="11" s="1"/>
  <c r="E725" i="11"/>
  <c r="P725" i="11" s="1"/>
  <c r="D725" i="11"/>
  <c r="C725" i="11"/>
  <c r="B725" i="11"/>
  <c r="T725" i="11" s="1"/>
  <c r="A725" i="11"/>
  <c r="T724" i="11"/>
  <c r="Q724" i="11"/>
  <c r="P724" i="11"/>
  <c r="M724" i="11"/>
  <c r="L724" i="11"/>
  <c r="K724" i="11"/>
  <c r="J724" i="11"/>
  <c r="I724" i="11"/>
  <c r="H724" i="11"/>
  <c r="G724" i="11"/>
  <c r="F724" i="11"/>
  <c r="E724" i="11"/>
  <c r="V724" i="11" s="1"/>
  <c r="D724" i="11"/>
  <c r="C724" i="11"/>
  <c r="B724" i="11"/>
  <c r="A724" i="11"/>
  <c r="S724" i="11" s="1"/>
  <c r="V723" i="11"/>
  <c r="S723" i="11"/>
  <c r="M723" i="11"/>
  <c r="L723" i="11"/>
  <c r="K723" i="11"/>
  <c r="J723" i="11"/>
  <c r="I723" i="11"/>
  <c r="H723" i="11"/>
  <c r="G723" i="11"/>
  <c r="F723" i="11"/>
  <c r="Q723" i="11" s="1"/>
  <c r="E723" i="11"/>
  <c r="P723" i="11" s="1"/>
  <c r="D723" i="11"/>
  <c r="C723" i="11"/>
  <c r="B723" i="11"/>
  <c r="T723" i="11" s="1"/>
  <c r="A723" i="11"/>
  <c r="T722" i="11"/>
  <c r="Q722" i="11"/>
  <c r="P722" i="11"/>
  <c r="M722" i="11"/>
  <c r="L722" i="11"/>
  <c r="K722" i="11"/>
  <c r="J722" i="11"/>
  <c r="I722" i="11"/>
  <c r="H722" i="11"/>
  <c r="G722" i="11"/>
  <c r="F722" i="11"/>
  <c r="E722" i="11"/>
  <c r="V722" i="11" s="1"/>
  <c r="D722" i="11"/>
  <c r="C722" i="11"/>
  <c r="B722" i="11"/>
  <c r="A722" i="11"/>
  <c r="S722" i="11" s="1"/>
  <c r="S721" i="11"/>
  <c r="M721" i="11"/>
  <c r="L721" i="11"/>
  <c r="K721" i="11"/>
  <c r="J721" i="11"/>
  <c r="I721" i="11"/>
  <c r="H721" i="11"/>
  <c r="G721" i="11"/>
  <c r="F721" i="11"/>
  <c r="Q721" i="11" s="1"/>
  <c r="E721" i="11"/>
  <c r="P721" i="11" s="1"/>
  <c r="D721" i="11"/>
  <c r="C721" i="11"/>
  <c r="B721" i="11"/>
  <c r="T721" i="11" s="1"/>
  <c r="A721" i="11"/>
  <c r="T720" i="11"/>
  <c r="Q720" i="11"/>
  <c r="P720" i="11"/>
  <c r="M720" i="11"/>
  <c r="L720" i="11"/>
  <c r="K720" i="11"/>
  <c r="J720" i="11"/>
  <c r="I720" i="11"/>
  <c r="H720" i="11"/>
  <c r="G720" i="11"/>
  <c r="F720" i="11"/>
  <c r="E720" i="11"/>
  <c r="V720" i="11" s="1"/>
  <c r="D720" i="11"/>
  <c r="C720" i="11"/>
  <c r="B720" i="11"/>
  <c r="A720" i="11"/>
  <c r="S720" i="11" s="1"/>
  <c r="S719" i="11"/>
  <c r="M719" i="11"/>
  <c r="L719" i="11"/>
  <c r="K719" i="11"/>
  <c r="J719" i="11"/>
  <c r="I719" i="11"/>
  <c r="H719" i="11"/>
  <c r="G719" i="11"/>
  <c r="F719" i="11"/>
  <c r="Q719" i="11" s="1"/>
  <c r="E719" i="11"/>
  <c r="P719" i="11" s="1"/>
  <c r="D719" i="11"/>
  <c r="C719" i="11"/>
  <c r="B719" i="11"/>
  <c r="T719" i="11" s="1"/>
  <c r="A719" i="11"/>
  <c r="T718" i="11"/>
  <c r="Q718" i="11"/>
  <c r="P718" i="11"/>
  <c r="M718" i="11"/>
  <c r="L718" i="11"/>
  <c r="K718" i="11"/>
  <c r="J718" i="11"/>
  <c r="I718" i="11"/>
  <c r="H718" i="11"/>
  <c r="G718" i="11"/>
  <c r="F718" i="11"/>
  <c r="E718" i="11"/>
  <c r="V718" i="11" s="1"/>
  <c r="D718" i="11"/>
  <c r="C718" i="11"/>
  <c r="B718" i="11"/>
  <c r="A718" i="11"/>
  <c r="S718" i="11" s="1"/>
  <c r="V717" i="11"/>
  <c r="S717" i="11"/>
  <c r="M717" i="11"/>
  <c r="L717" i="11"/>
  <c r="K717" i="11"/>
  <c r="J717" i="11"/>
  <c r="I717" i="11"/>
  <c r="H717" i="11"/>
  <c r="G717" i="11"/>
  <c r="F717" i="11"/>
  <c r="Q717" i="11" s="1"/>
  <c r="E717" i="11"/>
  <c r="P717" i="11" s="1"/>
  <c r="D717" i="11"/>
  <c r="C717" i="11"/>
  <c r="B717" i="11"/>
  <c r="T717" i="11" s="1"/>
  <c r="A717" i="11"/>
  <c r="T716" i="11"/>
  <c r="Q716" i="11"/>
  <c r="P716" i="11"/>
  <c r="M716" i="11"/>
  <c r="L716" i="11"/>
  <c r="K716" i="11"/>
  <c r="J716" i="11"/>
  <c r="I716" i="11"/>
  <c r="H716" i="11"/>
  <c r="G716" i="11"/>
  <c r="F716" i="11"/>
  <c r="E716" i="11"/>
  <c r="V716" i="11" s="1"/>
  <c r="D716" i="11"/>
  <c r="C716" i="11"/>
  <c r="B716" i="11"/>
  <c r="A716" i="11"/>
  <c r="S716" i="11" s="1"/>
  <c r="V715" i="11"/>
  <c r="S715" i="11"/>
  <c r="M715" i="11"/>
  <c r="L715" i="11"/>
  <c r="K715" i="11"/>
  <c r="J715" i="11"/>
  <c r="I715" i="11"/>
  <c r="H715" i="11"/>
  <c r="G715" i="11"/>
  <c r="F715" i="11"/>
  <c r="Q715" i="11" s="1"/>
  <c r="E715" i="11"/>
  <c r="P715" i="11" s="1"/>
  <c r="D715" i="11"/>
  <c r="C715" i="11"/>
  <c r="B715" i="11"/>
  <c r="T715" i="11" s="1"/>
  <c r="A715" i="11"/>
  <c r="T714" i="11"/>
  <c r="Q714" i="11"/>
  <c r="P714" i="11"/>
  <c r="M714" i="11"/>
  <c r="L714" i="11"/>
  <c r="K714" i="11"/>
  <c r="J714" i="11"/>
  <c r="I714" i="11"/>
  <c r="H714" i="11"/>
  <c r="G714" i="11"/>
  <c r="F714" i="11"/>
  <c r="E714" i="11"/>
  <c r="V714" i="11" s="1"/>
  <c r="D714" i="11"/>
  <c r="C714" i="11"/>
  <c r="B714" i="11"/>
  <c r="A714" i="11"/>
  <c r="S714" i="11" s="1"/>
  <c r="S713" i="11"/>
  <c r="M713" i="11"/>
  <c r="L713" i="11"/>
  <c r="K713" i="11"/>
  <c r="J713" i="11"/>
  <c r="I713" i="11"/>
  <c r="H713" i="11"/>
  <c r="G713" i="11"/>
  <c r="F713" i="11"/>
  <c r="Q713" i="11" s="1"/>
  <c r="E713" i="11"/>
  <c r="P713" i="11" s="1"/>
  <c r="D713" i="11"/>
  <c r="C713" i="11"/>
  <c r="B713" i="11"/>
  <c r="T713" i="11" s="1"/>
  <c r="A713" i="11"/>
  <c r="T712" i="11"/>
  <c r="Q712" i="11"/>
  <c r="P712" i="11"/>
  <c r="M712" i="11"/>
  <c r="L712" i="11"/>
  <c r="K712" i="11"/>
  <c r="J712" i="11"/>
  <c r="I712" i="11"/>
  <c r="H712" i="11"/>
  <c r="G712" i="11"/>
  <c r="F712" i="11"/>
  <c r="E712" i="11"/>
  <c r="V712" i="11" s="1"/>
  <c r="D712" i="11"/>
  <c r="C712" i="11"/>
  <c r="B712" i="11"/>
  <c r="A712" i="11"/>
  <c r="S712" i="11" s="1"/>
  <c r="S711" i="11"/>
  <c r="M711" i="11"/>
  <c r="L711" i="11"/>
  <c r="K711" i="11"/>
  <c r="J711" i="11"/>
  <c r="I711" i="11"/>
  <c r="H711" i="11"/>
  <c r="G711" i="11"/>
  <c r="F711" i="11"/>
  <c r="Q711" i="11" s="1"/>
  <c r="E711" i="11"/>
  <c r="P711" i="11" s="1"/>
  <c r="D711" i="11"/>
  <c r="C711" i="11"/>
  <c r="B711" i="11"/>
  <c r="T711" i="11" s="1"/>
  <c r="A711" i="11"/>
  <c r="T710" i="11"/>
  <c r="Q710" i="11"/>
  <c r="P710" i="11"/>
  <c r="M710" i="11"/>
  <c r="L710" i="11"/>
  <c r="K710" i="11"/>
  <c r="J710" i="11"/>
  <c r="I710" i="11"/>
  <c r="H710" i="11"/>
  <c r="G710" i="11"/>
  <c r="F710" i="11"/>
  <c r="E710" i="11"/>
  <c r="V710" i="11" s="1"/>
  <c r="D710" i="11"/>
  <c r="C710" i="11"/>
  <c r="B710" i="11"/>
  <c r="A710" i="11"/>
  <c r="S710" i="11" s="1"/>
  <c r="V709" i="11"/>
  <c r="S709" i="11"/>
  <c r="M709" i="11"/>
  <c r="L709" i="11"/>
  <c r="K709" i="11"/>
  <c r="J709" i="11"/>
  <c r="I709" i="11"/>
  <c r="H709" i="11"/>
  <c r="G709" i="11"/>
  <c r="F709" i="11"/>
  <c r="Q709" i="11" s="1"/>
  <c r="E709" i="11"/>
  <c r="P709" i="11" s="1"/>
  <c r="D709" i="11"/>
  <c r="C709" i="11"/>
  <c r="B709" i="11"/>
  <c r="T709" i="11" s="1"/>
  <c r="A709" i="11"/>
  <c r="T708" i="11"/>
  <c r="Q708" i="11"/>
  <c r="P708" i="11"/>
  <c r="M708" i="11"/>
  <c r="L708" i="11"/>
  <c r="K708" i="11"/>
  <c r="J708" i="11"/>
  <c r="I708" i="11"/>
  <c r="H708" i="11"/>
  <c r="G708" i="11"/>
  <c r="F708" i="11"/>
  <c r="E708" i="11"/>
  <c r="V708" i="11" s="1"/>
  <c r="D708" i="11"/>
  <c r="C708" i="11"/>
  <c r="B708" i="11"/>
  <c r="A708" i="11"/>
  <c r="S708" i="11" s="1"/>
  <c r="V707" i="11"/>
  <c r="S707" i="11"/>
  <c r="M707" i="11"/>
  <c r="L707" i="11"/>
  <c r="K707" i="11"/>
  <c r="J707" i="11"/>
  <c r="I707" i="11"/>
  <c r="H707" i="11"/>
  <c r="G707" i="11"/>
  <c r="F707" i="11"/>
  <c r="Q707" i="11" s="1"/>
  <c r="E707" i="11"/>
  <c r="P707" i="11" s="1"/>
  <c r="D707" i="11"/>
  <c r="C707" i="11"/>
  <c r="B707" i="11"/>
  <c r="T707" i="11" s="1"/>
  <c r="A707" i="11"/>
  <c r="T706" i="11"/>
  <c r="Q706" i="11"/>
  <c r="P706" i="11"/>
  <c r="M706" i="11"/>
  <c r="L706" i="11"/>
  <c r="K706" i="11"/>
  <c r="J706" i="11"/>
  <c r="I706" i="11"/>
  <c r="H706" i="11"/>
  <c r="G706" i="11"/>
  <c r="F706" i="11"/>
  <c r="E706" i="11"/>
  <c r="V706" i="11" s="1"/>
  <c r="D706" i="11"/>
  <c r="C706" i="11"/>
  <c r="B706" i="11"/>
  <c r="A706" i="11"/>
  <c r="S706" i="11" s="1"/>
  <c r="S705" i="11"/>
  <c r="M705" i="11"/>
  <c r="L705" i="11"/>
  <c r="K705" i="11"/>
  <c r="J705" i="11"/>
  <c r="I705" i="11"/>
  <c r="H705" i="11"/>
  <c r="G705" i="11"/>
  <c r="F705" i="11"/>
  <c r="Q705" i="11" s="1"/>
  <c r="E705" i="11"/>
  <c r="P705" i="11" s="1"/>
  <c r="D705" i="11"/>
  <c r="C705" i="11"/>
  <c r="B705" i="11"/>
  <c r="T705" i="11" s="1"/>
  <c r="A705" i="11"/>
  <c r="T704" i="11"/>
  <c r="Q704" i="11"/>
  <c r="P704" i="11"/>
  <c r="M704" i="11"/>
  <c r="L704" i="11"/>
  <c r="K704" i="11"/>
  <c r="J704" i="11"/>
  <c r="I704" i="11"/>
  <c r="H704" i="11"/>
  <c r="G704" i="11"/>
  <c r="F704" i="11"/>
  <c r="E704" i="11"/>
  <c r="V704" i="11" s="1"/>
  <c r="D704" i="11"/>
  <c r="C704" i="11"/>
  <c r="B704" i="11"/>
  <c r="A704" i="11"/>
  <c r="S704" i="11" s="1"/>
  <c r="S703" i="11"/>
  <c r="M703" i="11"/>
  <c r="L703" i="11"/>
  <c r="K703" i="11"/>
  <c r="J703" i="11"/>
  <c r="I703" i="11"/>
  <c r="H703" i="11"/>
  <c r="G703" i="11"/>
  <c r="F703" i="11"/>
  <c r="Q703" i="11" s="1"/>
  <c r="E703" i="11"/>
  <c r="P703" i="11" s="1"/>
  <c r="D703" i="11"/>
  <c r="C703" i="11"/>
  <c r="B703" i="11"/>
  <c r="T703" i="11" s="1"/>
  <c r="A703" i="11"/>
  <c r="T702" i="11"/>
  <c r="Q702" i="11"/>
  <c r="P702" i="11"/>
  <c r="M702" i="11"/>
  <c r="L702" i="11"/>
  <c r="K702" i="11"/>
  <c r="J702" i="11"/>
  <c r="I702" i="11"/>
  <c r="H702" i="11"/>
  <c r="G702" i="11"/>
  <c r="F702" i="11"/>
  <c r="E702" i="11"/>
  <c r="V702" i="11" s="1"/>
  <c r="D702" i="11"/>
  <c r="C702" i="11"/>
  <c r="B702" i="11"/>
  <c r="A702" i="11"/>
  <c r="S702" i="11" s="1"/>
  <c r="V701" i="11"/>
  <c r="S701" i="11"/>
  <c r="M701" i="11"/>
  <c r="L701" i="11"/>
  <c r="K701" i="11"/>
  <c r="J701" i="11"/>
  <c r="I701" i="11"/>
  <c r="H701" i="11"/>
  <c r="G701" i="11"/>
  <c r="F701" i="11"/>
  <c r="Q701" i="11" s="1"/>
  <c r="E701" i="11"/>
  <c r="P701" i="11" s="1"/>
  <c r="D701" i="11"/>
  <c r="C701" i="11"/>
  <c r="B701" i="11"/>
  <c r="T701" i="11" s="1"/>
  <c r="A701" i="11"/>
  <c r="T700" i="11"/>
  <c r="Q700" i="11"/>
  <c r="P700" i="11"/>
  <c r="M700" i="11"/>
  <c r="L700" i="11"/>
  <c r="K700" i="11"/>
  <c r="J700" i="11"/>
  <c r="I700" i="11"/>
  <c r="H700" i="11"/>
  <c r="G700" i="11"/>
  <c r="F700" i="11"/>
  <c r="E700" i="11"/>
  <c r="V700" i="11" s="1"/>
  <c r="D700" i="11"/>
  <c r="C700" i="11"/>
  <c r="B700" i="11"/>
  <c r="A700" i="11"/>
  <c r="S700" i="11" s="1"/>
  <c r="V699" i="11"/>
  <c r="S699" i="11"/>
  <c r="M699" i="11"/>
  <c r="L699" i="11"/>
  <c r="K699" i="11"/>
  <c r="J699" i="11"/>
  <c r="I699" i="11"/>
  <c r="H699" i="11"/>
  <c r="G699" i="11"/>
  <c r="F699" i="11"/>
  <c r="Q699" i="11" s="1"/>
  <c r="E699" i="11"/>
  <c r="P699" i="11" s="1"/>
  <c r="D699" i="11"/>
  <c r="C699" i="11"/>
  <c r="B699" i="11"/>
  <c r="T699" i="11" s="1"/>
  <c r="A699" i="11"/>
  <c r="T698" i="11"/>
  <c r="Q698" i="11"/>
  <c r="P698" i="11"/>
  <c r="M698" i="11"/>
  <c r="L698" i="11"/>
  <c r="K698" i="11"/>
  <c r="J698" i="11"/>
  <c r="I698" i="11"/>
  <c r="H698" i="11"/>
  <c r="G698" i="11"/>
  <c r="F698" i="11"/>
  <c r="E698" i="11"/>
  <c r="V698" i="11" s="1"/>
  <c r="D698" i="11"/>
  <c r="C698" i="11"/>
  <c r="B698" i="11"/>
  <c r="A698" i="11"/>
  <c r="S698" i="11" s="1"/>
  <c r="S697" i="11"/>
  <c r="M697" i="11"/>
  <c r="L697" i="11"/>
  <c r="K697" i="11"/>
  <c r="J697" i="11"/>
  <c r="I697" i="11"/>
  <c r="H697" i="11"/>
  <c r="G697" i="11"/>
  <c r="F697" i="11"/>
  <c r="Q697" i="11" s="1"/>
  <c r="E697" i="11"/>
  <c r="P697" i="11" s="1"/>
  <c r="D697" i="11"/>
  <c r="C697" i="11"/>
  <c r="B697" i="11"/>
  <c r="T697" i="11" s="1"/>
  <c r="A697" i="11"/>
  <c r="T696" i="11"/>
  <c r="Q696" i="11"/>
  <c r="P696" i="11"/>
  <c r="M696" i="11"/>
  <c r="L696" i="11"/>
  <c r="K696" i="11"/>
  <c r="J696" i="11"/>
  <c r="I696" i="11"/>
  <c r="H696" i="11"/>
  <c r="G696" i="11"/>
  <c r="F696" i="11"/>
  <c r="E696" i="11"/>
  <c r="V696" i="11" s="1"/>
  <c r="D696" i="11"/>
  <c r="C696" i="11"/>
  <c r="B696" i="11"/>
  <c r="A696" i="11"/>
  <c r="S696" i="11" s="1"/>
  <c r="S695" i="11"/>
  <c r="M695" i="11"/>
  <c r="L695" i="11"/>
  <c r="K695" i="11"/>
  <c r="J695" i="11"/>
  <c r="I695" i="11"/>
  <c r="H695" i="11"/>
  <c r="G695" i="11"/>
  <c r="F695" i="11"/>
  <c r="Q695" i="11" s="1"/>
  <c r="E695" i="11"/>
  <c r="P695" i="11" s="1"/>
  <c r="D695" i="11"/>
  <c r="C695" i="11"/>
  <c r="B695" i="11"/>
  <c r="T695" i="11" s="1"/>
  <c r="A695" i="11"/>
  <c r="T694" i="11"/>
  <c r="Q694" i="11"/>
  <c r="P694" i="11"/>
  <c r="M694" i="11"/>
  <c r="L694" i="11"/>
  <c r="K694" i="11"/>
  <c r="J694" i="11"/>
  <c r="I694" i="11"/>
  <c r="H694" i="11"/>
  <c r="G694" i="11"/>
  <c r="F694" i="11"/>
  <c r="E694" i="11"/>
  <c r="V694" i="11" s="1"/>
  <c r="D694" i="11"/>
  <c r="C694" i="11"/>
  <c r="B694" i="11"/>
  <c r="A694" i="11"/>
  <c r="S694" i="11" s="1"/>
  <c r="V693" i="11"/>
  <c r="S693" i="11"/>
  <c r="M693" i="11"/>
  <c r="L693" i="11"/>
  <c r="K693" i="11"/>
  <c r="J693" i="11"/>
  <c r="I693" i="11"/>
  <c r="H693" i="11"/>
  <c r="G693" i="11"/>
  <c r="F693" i="11"/>
  <c r="Q693" i="11" s="1"/>
  <c r="E693" i="11"/>
  <c r="P693" i="11" s="1"/>
  <c r="D693" i="11"/>
  <c r="C693" i="11"/>
  <c r="B693" i="11"/>
  <c r="T693" i="11" s="1"/>
  <c r="A693" i="11"/>
  <c r="T692" i="11"/>
  <c r="Q692" i="11"/>
  <c r="P692" i="11"/>
  <c r="M692" i="11"/>
  <c r="L692" i="11"/>
  <c r="K692" i="11"/>
  <c r="J692" i="11"/>
  <c r="I692" i="11"/>
  <c r="H692" i="11"/>
  <c r="G692" i="11"/>
  <c r="F692" i="11"/>
  <c r="E692" i="11"/>
  <c r="V692" i="11" s="1"/>
  <c r="D692" i="11"/>
  <c r="C692" i="11"/>
  <c r="B692" i="11"/>
  <c r="A692" i="11"/>
  <c r="S692" i="11" s="1"/>
  <c r="V691" i="11"/>
  <c r="S691" i="11"/>
  <c r="M691" i="11"/>
  <c r="L691" i="11"/>
  <c r="K691" i="11"/>
  <c r="J691" i="11"/>
  <c r="I691" i="11"/>
  <c r="H691" i="11"/>
  <c r="G691" i="11"/>
  <c r="F691" i="11"/>
  <c r="Q691" i="11" s="1"/>
  <c r="E691" i="11"/>
  <c r="P691" i="11" s="1"/>
  <c r="D691" i="11"/>
  <c r="C691" i="11"/>
  <c r="B691" i="11"/>
  <c r="T691" i="11" s="1"/>
  <c r="A691" i="11"/>
  <c r="T690" i="11"/>
  <c r="Q690" i="11"/>
  <c r="P690" i="11"/>
  <c r="M690" i="11"/>
  <c r="L690" i="11"/>
  <c r="K690" i="11"/>
  <c r="J690" i="11"/>
  <c r="I690" i="11"/>
  <c r="H690" i="11"/>
  <c r="G690" i="11"/>
  <c r="F690" i="11"/>
  <c r="E690" i="11"/>
  <c r="V690" i="11" s="1"/>
  <c r="D690" i="11"/>
  <c r="C690" i="11"/>
  <c r="B690" i="11"/>
  <c r="A690" i="11"/>
  <c r="S690" i="11" s="1"/>
  <c r="S689" i="11"/>
  <c r="M689" i="11"/>
  <c r="L689" i="11"/>
  <c r="K689" i="11"/>
  <c r="J689" i="11"/>
  <c r="I689" i="11"/>
  <c r="H689" i="11"/>
  <c r="G689" i="11"/>
  <c r="F689" i="11"/>
  <c r="Q689" i="11" s="1"/>
  <c r="E689" i="11"/>
  <c r="P689" i="11" s="1"/>
  <c r="D689" i="11"/>
  <c r="C689" i="11"/>
  <c r="B689" i="11"/>
  <c r="T689" i="11" s="1"/>
  <c r="A689" i="11"/>
  <c r="T688" i="11"/>
  <c r="Q688" i="11"/>
  <c r="P688" i="11"/>
  <c r="M688" i="11"/>
  <c r="L688" i="11"/>
  <c r="K688" i="11"/>
  <c r="J688" i="11"/>
  <c r="I688" i="11"/>
  <c r="H688" i="11"/>
  <c r="G688" i="11"/>
  <c r="F688" i="11"/>
  <c r="E688" i="11"/>
  <c r="V688" i="11" s="1"/>
  <c r="D688" i="11"/>
  <c r="C688" i="11"/>
  <c r="B688" i="11"/>
  <c r="A688" i="11"/>
  <c r="S688" i="11" s="1"/>
  <c r="S687" i="11"/>
  <c r="M687" i="11"/>
  <c r="L687" i="11"/>
  <c r="K687" i="11"/>
  <c r="J687" i="11"/>
  <c r="I687" i="11"/>
  <c r="H687" i="11"/>
  <c r="G687" i="11"/>
  <c r="F687" i="11"/>
  <c r="Q687" i="11" s="1"/>
  <c r="E687" i="11"/>
  <c r="P687" i="11" s="1"/>
  <c r="D687" i="11"/>
  <c r="C687" i="11"/>
  <c r="B687" i="11"/>
  <c r="T687" i="11" s="1"/>
  <c r="A687" i="11"/>
  <c r="T686" i="11"/>
  <c r="Q686" i="11"/>
  <c r="P686" i="11"/>
  <c r="M686" i="11"/>
  <c r="L686" i="11"/>
  <c r="K686" i="11"/>
  <c r="J686" i="11"/>
  <c r="I686" i="11"/>
  <c r="H686" i="11"/>
  <c r="G686" i="11"/>
  <c r="F686" i="11"/>
  <c r="E686" i="11"/>
  <c r="V686" i="11" s="1"/>
  <c r="D686" i="11"/>
  <c r="C686" i="11"/>
  <c r="B686" i="11"/>
  <c r="A686" i="11"/>
  <c r="S686" i="11" s="1"/>
  <c r="V685" i="11"/>
  <c r="S685" i="11"/>
  <c r="M685" i="11"/>
  <c r="L685" i="11"/>
  <c r="K685" i="11"/>
  <c r="J685" i="11"/>
  <c r="I685" i="11"/>
  <c r="H685" i="11"/>
  <c r="G685" i="11"/>
  <c r="F685" i="11"/>
  <c r="Q685" i="11" s="1"/>
  <c r="E685" i="11"/>
  <c r="P685" i="11" s="1"/>
  <c r="D685" i="11"/>
  <c r="C685" i="11"/>
  <c r="B685" i="11"/>
  <c r="T685" i="11" s="1"/>
  <c r="A685" i="11"/>
  <c r="T684" i="11"/>
  <c r="Q684" i="11"/>
  <c r="P684" i="11"/>
  <c r="M684" i="11"/>
  <c r="L684" i="11"/>
  <c r="K684" i="11"/>
  <c r="J684" i="11"/>
  <c r="I684" i="11"/>
  <c r="H684" i="11"/>
  <c r="G684" i="11"/>
  <c r="F684" i="11"/>
  <c r="E684" i="11"/>
  <c r="V684" i="11" s="1"/>
  <c r="D684" i="11"/>
  <c r="C684" i="11"/>
  <c r="B684" i="11"/>
  <c r="A684" i="11"/>
  <c r="S684" i="11" s="1"/>
  <c r="V683" i="11"/>
  <c r="S683" i="11"/>
  <c r="M683" i="11"/>
  <c r="L683" i="11"/>
  <c r="K683" i="11"/>
  <c r="J683" i="11"/>
  <c r="I683" i="11"/>
  <c r="H683" i="11"/>
  <c r="G683" i="11"/>
  <c r="F683" i="11"/>
  <c r="Q683" i="11" s="1"/>
  <c r="E683" i="11"/>
  <c r="P683" i="11" s="1"/>
  <c r="D683" i="11"/>
  <c r="C683" i="11"/>
  <c r="B683" i="11"/>
  <c r="T683" i="11" s="1"/>
  <c r="A683" i="11"/>
  <c r="T682" i="11"/>
  <c r="Q682" i="11"/>
  <c r="P682" i="11"/>
  <c r="M682" i="11"/>
  <c r="L682" i="11"/>
  <c r="K682" i="11"/>
  <c r="J682" i="11"/>
  <c r="I682" i="11"/>
  <c r="H682" i="11"/>
  <c r="G682" i="11"/>
  <c r="F682" i="11"/>
  <c r="E682" i="11"/>
  <c r="V682" i="11" s="1"/>
  <c r="D682" i="11"/>
  <c r="C682" i="11"/>
  <c r="B682" i="11"/>
  <c r="A682" i="11"/>
  <c r="S682" i="11" s="1"/>
  <c r="S681" i="11"/>
  <c r="M681" i="11"/>
  <c r="L681" i="11"/>
  <c r="K681" i="11"/>
  <c r="J681" i="11"/>
  <c r="I681" i="11"/>
  <c r="H681" i="11"/>
  <c r="G681" i="11"/>
  <c r="F681" i="11"/>
  <c r="Q681" i="11" s="1"/>
  <c r="E681" i="11"/>
  <c r="P681" i="11" s="1"/>
  <c r="D681" i="11"/>
  <c r="C681" i="11"/>
  <c r="B681" i="11"/>
  <c r="T681" i="11" s="1"/>
  <c r="A681" i="11"/>
  <c r="T680" i="11"/>
  <c r="Q680" i="11"/>
  <c r="P680" i="11"/>
  <c r="M680" i="11"/>
  <c r="L680" i="11"/>
  <c r="K680" i="11"/>
  <c r="J680" i="11"/>
  <c r="I680" i="11"/>
  <c r="H680" i="11"/>
  <c r="G680" i="11"/>
  <c r="F680" i="11"/>
  <c r="E680" i="11"/>
  <c r="V680" i="11" s="1"/>
  <c r="D680" i="11"/>
  <c r="C680" i="11"/>
  <c r="B680" i="11"/>
  <c r="A680" i="11"/>
  <c r="S680" i="11" s="1"/>
  <c r="S679" i="11"/>
  <c r="M679" i="11"/>
  <c r="L679" i="11"/>
  <c r="K679" i="11"/>
  <c r="J679" i="11"/>
  <c r="I679" i="11"/>
  <c r="H679" i="11"/>
  <c r="G679" i="11"/>
  <c r="F679" i="11"/>
  <c r="Q679" i="11" s="1"/>
  <c r="E679" i="11"/>
  <c r="P679" i="11" s="1"/>
  <c r="D679" i="11"/>
  <c r="C679" i="11"/>
  <c r="B679" i="11"/>
  <c r="T679" i="11" s="1"/>
  <c r="A679" i="11"/>
  <c r="T678" i="11"/>
  <c r="Q678" i="11"/>
  <c r="P678" i="11"/>
  <c r="M678" i="11"/>
  <c r="L678" i="11"/>
  <c r="K678" i="11"/>
  <c r="J678" i="11"/>
  <c r="I678" i="11"/>
  <c r="H678" i="11"/>
  <c r="G678" i="11"/>
  <c r="F678" i="11"/>
  <c r="E678" i="11"/>
  <c r="V678" i="11" s="1"/>
  <c r="D678" i="11"/>
  <c r="C678" i="11"/>
  <c r="B678" i="11"/>
  <c r="A678" i="11"/>
  <c r="S678" i="11" s="1"/>
  <c r="V677" i="11"/>
  <c r="S677" i="11"/>
  <c r="M677" i="11"/>
  <c r="L677" i="11"/>
  <c r="K677" i="11"/>
  <c r="J677" i="11"/>
  <c r="I677" i="11"/>
  <c r="H677" i="11"/>
  <c r="G677" i="11"/>
  <c r="F677" i="11"/>
  <c r="Q677" i="11" s="1"/>
  <c r="E677" i="11"/>
  <c r="P677" i="11" s="1"/>
  <c r="D677" i="11"/>
  <c r="C677" i="11"/>
  <c r="B677" i="11"/>
  <c r="T677" i="11" s="1"/>
  <c r="A677" i="11"/>
  <c r="T676" i="11"/>
  <c r="Q676" i="11"/>
  <c r="P676" i="11"/>
  <c r="M676" i="11"/>
  <c r="L676" i="11"/>
  <c r="K676" i="11"/>
  <c r="J676" i="11"/>
  <c r="I676" i="11"/>
  <c r="H676" i="11"/>
  <c r="G676" i="11"/>
  <c r="F676" i="11"/>
  <c r="E676" i="11"/>
  <c r="V676" i="11" s="1"/>
  <c r="D676" i="11"/>
  <c r="C676" i="11"/>
  <c r="B676" i="11"/>
  <c r="A676" i="11"/>
  <c r="S676" i="11" s="1"/>
  <c r="V675" i="11"/>
  <c r="S675" i="11"/>
  <c r="M675" i="11"/>
  <c r="L675" i="11"/>
  <c r="K675" i="11"/>
  <c r="J675" i="11"/>
  <c r="I675" i="11"/>
  <c r="H675" i="11"/>
  <c r="G675" i="11"/>
  <c r="F675" i="11"/>
  <c r="Q675" i="11" s="1"/>
  <c r="E675" i="11"/>
  <c r="P675" i="11" s="1"/>
  <c r="D675" i="11"/>
  <c r="C675" i="11"/>
  <c r="B675" i="11"/>
  <c r="T675" i="11" s="1"/>
  <c r="A675" i="11"/>
  <c r="T674" i="11"/>
  <c r="Q674" i="11"/>
  <c r="P674" i="11"/>
  <c r="M674" i="11"/>
  <c r="L674" i="11"/>
  <c r="K674" i="11"/>
  <c r="J674" i="11"/>
  <c r="I674" i="11"/>
  <c r="H674" i="11"/>
  <c r="G674" i="11"/>
  <c r="F674" i="11"/>
  <c r="E674" i="11"/>
  <c r="V674" i="11" s="1"/>
  <c r="D674" i="11"/>
  <c r="C674" i="11"/>
  <c r="B674" i="11"/>
  <c r="A674" i="11"/>
  <c r="S674" i="11" s="1"/>
  <c r="S673" i="11"/>
  <c r="M673" i="11"/>
  <c r="L673" i="11"/>
  <c r="K673" i="11"/>
  <c r="J673" i="11"/>
  <c r="I673" i="11"/>
  <c r="H673" i="11"/>
  <c r="G673" i="11"/>
  <c r="F673" i="11"/>
  <c r="Q673" i="11" s="1"/>
  <c r="E673" i="11"/>
  <c r="P673" i="11" s="1"/>
  <c r="D673" i="11"/>
  <c r="C673" i="11"/>
  <c r="B673" i="11"/>
  <c r="T673" i="11" s="1"/>
  <c r="A673" i="11"/>
  <c r="T672" i="11"/>
  <c r="Q672" i="11"/>
  <c r="P672" i="11"/>
  <c r="M672" i="11"/>
  <c r="L672" i="11"/>
  <c r="K672" i="11"/>
  <c r="J672" i="11"/>
  <c r="I672" i="11"/>
  <c r="H672" i="11"/>
  <c r="G672" i="11"/>
  <c r="F672" i="11"/>
  <c r="E672" i="11"/>
  <c r="V672" i="11" s="1"/>
  <c r="D672" i="11"/>
  <c r="C672" i="11"/>
  <c r="B672" i="11"/>
  <c r="A672" i="11"/>
  <c r="S672" i="11" s="1"/>
  <c r="S671" i="11"/>
  <c r="M671" i="11"/>
  <c r="L671" i="11"/>
  <c r="K671" i="11"/>
  <c r="J671" i="11"/>
  <c r="I671" i="11"/>
  <c r="H671" i="11"/>
  <c r="G671" i="11"/>
  <c r="F671" i="11"/>
  <c r="Q671" i="11" s="1"/>
  <c r="E671" i="11"/>
  <c r="P671" i="11" s="1"/>
  <c r="D671" i="11"/>
  <c r="C671" i="11"/>
  <c r="B671" i="11"/>
  <c r="T671" i="11" s="1"/>
  <c r="A671" i="11"/>
  <c r="T670" i="11"/>
  <c r="Q670" i="11"/>
  <c r="P670" i="11"/>
  <c r="M670" i="11"/>
  <c r="L670" i="11"/>
  <c r="K670" i="11"/>
  <c r="J670" i="11"/>
  <c r="I670" i="11"/>
  <c r="H670" i="11"/>
  <c r="G670" i="11"/>
  <c r="F670" i="11"/>
  <c r="E670" i="11"/>
  <c r="V670" i="11" s="1"/>
  <c r="D670" i="11"/>
  <c r="C670" i="11"/>
  <c r="B670" i="11"/>
  <c r="A670" i="11"/>
  <c r="S670" i="11" s="1"/>
  <c r="V669" i="11"/>
  <c r="S669" i="11"/>
  <c r="M669" i="11"/>
  <c r="L669" i="11"/>
  <c r="K669" i="11"/>
  <c r="J669" i="11"/>
  <c r="I669" i="11"/>
  <c r="H669" i="11"/>
  <c r="G669" i="11"/>
  <c r="F669" i="11"/>
  <c r="Q669" i="11" s="1"/>
  <c r="E669" i="11"/>
  <c r="P669" i="11" s="1"/>
  <c r="D669" i="11"/>
  <c r="C669" i="11"/>
  <c r="B669" i="11"/>
  <c r="T669" i="11" s="1"/>
  <c r="A669" i="11"/>
  <c r="T668" i="11"/>
  <c r="Q668" i="11"/>
  <c r="P668" i="11"/>
  <c r="M668" i="11"/>
  <c r="L668" i="11"/>
  <c r="K668" i="11"/>
  <c r="J668" i="11"/>
  <c r="I668" i="11"/>
  <c r="H668" i="11"/>
  <c r="G668" i="11"/>
  <c r="F668" i="11"/>
  <c r="E668" i="11"/>
  <c r="V668" i="11" s="1"/>
  <c r="D668" i="11"/>
  <c r="C668" i="11"/>
  <c r="B668" i="11"/>
  <c r="A668" i="11"/>
  <c r="S668" i="11" s="1"/>
  <c r="V667" i="11"/>
  <c r="S667" i="11"/>
  <c r="M667" i="11"/>
  <c r="L667" i="11"/>
  <c r="K667" i="11"/>
  <c r="J667" i="11"/>
  <c r="I667" i="11"/>
  <c r="H667" i="11"/>
  <c r="G667" i="11"/>
  <c r="F667" i="11"/>
  <c r="Q667" i="11" s="1"/>
  <c r="E667" i="11"/>
  <c r="P667" i="11" s="1"/>
  <c r="D667" i="11"/>
  <c r="C667" i="11"/>
  <c r="B667" i="11"/>
  <c r="T667" i="11" s="1"/>
  <c r="A667" i="11"/>
  <c r="T666" i="11"/>
  <c r="Q666" i="11"/>
  <c r="P666" i="11"/>
  <c r="M666" i="11"/>
  <c r="L666" i="11"/>
  <c r="K666" i="11"/>
  <c r="J666" i="11"/>
  <c r="I666" i="11"/>
  <c r="H666" i="11"/>
  <c r="G666" i="11"/>
  <c r="F666" i="11"/>
  <c r="E666" i="11"/>
  <c r="V666" i="11" s="1"/>
  <c r="D666" i="11"/>
  <c r="C666" i="11"/>
  <c r="B666" i="11"/>
  <c r="A666" i="11"/>
  <c r="S666" i="11" s="1"/>
  <c r="S665" i="11"/>
  <c r="M665" i="11"/>
  <c r="L665" i="11"/>
  <c r="K665" i="11"/>
  <c r="J665" i="11"/>
  <c r="I665" i="11"/>
  <c r="H665" i="11"/>
  <c r="G665" i="11"/>
  <c r="F665" i="11"/>
  <c r="Q665" i="11" s="1"/>
  <c r="E665" i="11"/>
  <c r="P665" i="11" s="1"/>
  <c r="D665" i="11"/>
  <c r="C665" i="11"/>
  <c r="B665" i="11"/>
  <c r="T665" i="11" s="1"/>
  <c r="A665" i="11"/>
  <c r="T664" i="11"/>
  <c r="Q664" i="11"/>
  <c r="P664" i="11"/>
  <c r="M664" i="11"/>
  <c r="L664" i="11"/>
  <c r="K664" i="11"/>
  <c r="J664" i="11"/>
  <c r="I664" i="11"/>
  <c r="H664" i="11"/>
  <c r="G664" i="11"/>
  <c r="F664" i="11"/>
  <c r="E664" i="11"/>
  <c r="V664" i="11" s="1"/>
  <c r="D664" i="11"/>
  <c r="C664" i="11"/>
  <c r="B664" i="11"/>
  <c r="A664" i="11"/>
  <c r="S664" i="11" s="1"/>
  <c r="S663" i="11"/>
  <c r="M663" i="11"/>
  <c r="L663" i="11"/>
  <c r="K663" i="11"/>
  <c r="J663" i="11"/>
  <c r="I663" i="11"/>
  <c r="H663" i="11"/>
  <c r="G663" i="11"/>
  <c r="F663" i="11"/>
  <c r="Q663" i="11" s="1"/>
  <c r="E663" i="11"/>
  <c r="P663" i="11" s="1"/>
  <c r="D663" i="11"/>
  <c r="C663" i="11"/>
  <c r="B663" i="11"/>
  <c r="T663" i="11" s="1"/>
  <c r="A663" i="11"/>
  <c r="T662" i="11"/>
  <c r="Q662" i="11"/>
  <c r="P662" i="11"/>
  <c r="M662" i="11"/>
  <c r="L662" i="11"/>
  <c r="K662" i="11"/>
  <c r="J662" i="11"/>
  <c r="I662" i="11"/>
  <c r="H662" i="11"/>
  <c r="G662" i="11"/>
  <c r="F662" i="11"/>
  <c r="E662" i="11"/>
  <c r="V662" i="11" s="1"/>
  <c r="D662" i="11"/>
  <c r="C662" i="11"/>
  <c r="B662" i="11"/>
  <c r="A662" i="11"/>
  <c r="S662" i="11" s="1"/>
  <c r="V661" i="11"/>
  <c r="S661" i="11"/>
  <c r="M661" i="11"/>
  <c r="L661" i="11"/>
  <c r="K661" i="11"/>
  <c r="J661" i="11"/>
  <c r="I661" i="11"/>
  <c r="H661" i="11"/>
  <c r="G661" i="11"/>
  <c r="F661" i="11"/>
  <c r="Q661" i="11" s="1"/>
  <c r="E661" i="11"/>
  <c r="P661" i="11" s="1"/>
  <c r="D661" i="11"/>
  <c r="C661" i="11"/>
  <c r="B661" i="11"/>
  <c r="T661" i="11" s="1"/>
  <c r="A661" i="11"/>
  <c r="T660" i="11"/>
  <c r="Q660" i="11"/>
  <c r="P660" i="11"/>
  <c r="M660" i="11"/>
  <c r="L660" i="11"/>
  <c r="K660" i="11"/>
  <c r="J660" i="11"/>
  <c r="I660" i="11"/>
  <c r="H660" i="11"/>
  <c r="G660" i="11"/>
  <c r="F660" i="11"/>
  <c r="E660" i="11"/>
  <c r="V660" i="11" s="1"/>
  <c r="D660" i="11"/>
  <c r="C660" i="11"/>
  <c r="B660" i="11"/>
  <c r="A660" i="11"/>
  <c r="S660" i="11" s="1"/>
  <c r="V659" i="11"/>
  <c r="S659" i="11"/>
  <c r="M659" i="11"/>
  <c r="L659" i="11"/>
  <c r="K659" i="11"/>
  <c r="J659" i="11"/>
  <c r="I659" i="11"/>
  <c r="H659" i="11"/>
  <c r="G659" i="11"/>
  <c r="F659" i="11"/>
  <c r="Q659" i="11" s="1"/>
  <c r="E659" i="11"/>
  <c r="P659" i="11" s="1"/>
  <c r="D659" i="11"/>
  <c r="C659" i="11"/>
  <c r="B659" i="11"/>
  <c r="T659" i="11" s="1"/>
  <c r="A659" i="11"/>
  <c r="T658" i="11"/>
  <c r="Q658" i="11"/>
  <c r="P658" i="11"/>
  <c r="M658" i="11"/>
  <c r="L658" i="11"/>
  <c r="K658" i="11"/>
  <c r="J658" i="11"/>
  <c r="I658" i="11"/>
  <c r="H658" i="11"/>
  <c r="G658" i="11"/>
  <c r="F658" i="11"/>
  <c r="E658" i="11"/>
  <c r="V658" i="11" s="1"/>
  <c r="D658" i="11"/>
  <c r="C658" i="11"/>
  <c r="B658" i="11"/>
  <c r="A658" i="11"/>
  <c r="S658" i="11" s="1"/>
  <c r="S657" i="11"/>
  <c r="M657" i="11"/>
  <c r="L657" i="11"/>
  <c r="K657" i="11"/>
  <c r="J657" i="11"/>
  <c r="I657" i="11"/>
  <c r="H657" i="11"/>
  <c r="G657" i="11"/>
  <c r="F657" i="11"/>
  <c r="Q657" i="11" s="1"/>
  <c r="E657" i="11"/>
  <c r="P657" i="11" s="1"/>
  <c r="D657" i="11"/>
  <c r="C657" i="11"/>
  <c r="B657" i="11"/>
  <c r="T657" i="11" s="1"/>
  <c r="A657" i="11"/>
  <c r="T656" i="11"/>
  <c r="Q656" i="11"/>
  <c r="P656" i="11"/>
  <c r="M656" i="11"/>
  <c r="L656" i="11"/>
  <c r="K656" i="11"/>
  <c r="J656" i="11"/>
  <c r="I656" i="11"/>
  <c r="H656" i="11"/>
  <c r="G656" i="11"/>
  <c r="F656" i="11"/>
  <c r="E656" i="11"/>
  <c r="V656" i="11" s="1"/>
  <c r="D656" i="11"/>
  <c r="C656" i="11"/>
  <c r="B656" i="11"/>
  <c r="A656" i="11"/>
  <c r="S656" i="11" s="1"/>
  <c r="S655" i="11"/>
  <c r="M655" i="11"/>
  <c r="L655" i="11"/>
  <c r="K655" i="11"/>
  <c r="J655" i="11"/>
  <c r="I655" i="11"/>
  <c r="H655" i="11"/>
  <c r="G655" i="11"/>
  <c r="F655" i="11"/>
  <c r="Q655" i="11" s="1"/>
  <c r="E655" i="11"/>
  <c r="P655" i="11" s="1"/>
  <c r="D655" i="11"/>
  <c r="C655" i="11"/>
  <c r="B655" i="11"/>
  <c r="T655" i="11" s="1"/>
  <c r="A655" i="11"/>
  <c r="T654" i="11"/>
  <c r="Q654" i="11"/>
  <c r="P654" i="11"/>
  <c r="M654" i="11"/>
  <c r="L654" i="11"/>
  <c r="K654" i="11"/>
  <c r="J654" i="11"/>
  <c r="I654" i="11"/>
  <c r="H654" i="11"/>
  <c r="G654" i="11"/>
  <c r="F654" i="11"/>
  <c r="E654" i="11"/>
  <c r="V654" i="11" s="1"/>
  <c r="D654" i="11"/>
  <c r="C654" i="11"/>
  <c r="B654" i="11"/>
  <c r="A654" i="11"/>
  <c r="S654" i="11" s="1"/>
  <c r="V653" i="11"/>
  <c r="S653" i="11"/>
  <c r="M653" i="11"/>
  <c r="L653" i="11"/>
  <c r="K653" i="11"/>
  <c r="J653" i="11"/>
  <c r="I653" i="11"/>
  <c r="H653" i="11"/>
  <c r="G653" i="11"/>
  <c r="F653" i="11"/>
  <c r="Q653" i="11" s="1"/>
  <c r="E653" i="11"/>
  <c r="P653" i="11" s="1"/>
  <c r="D653" i="11"/>
  <c r="C653" i="11"/>
  <c r="B653" i="11"/>
  <c r="T653" i="11" s="1"/>
  <c r="A653" i="11"/>
  <c r="T652" i="11"/>
  <c r="Q652" i="11"/>
  <c r="P652" i="11"/>
  <c r="M652" i="11"/>
  <c r="L652" i="11"/>
  <c r="K652" i="11"/>
  <c r="J652" i="11"/>
  <c r="I652" i="11"/>
  <c r="H652" i="11"/>
  <c r="G652" i="11"/>
  <c r="F652" i="11"/>
  <c r="E652" i="11"/>
  <c r="V652" i="11" s="1"/>
  <c r="D652" i="11"/>
  <c r="C652" i="11"/>
  <c r="B652" i="11"/>
  <c r="A652" i="11"/>
  <c r="S652" i="11" s="1"/>
  <c r="V651" i="11"/>
  <c r="S651" i="11"/>
  <c r="M651" i="11"/>
  <c r="L651" i="11"/>
  <c r="K651" i="11"/>
  <c r="J651" i="11"/>
  <c r="I651" i="11"/>
  <c r="H651" i="11"/>
  <c r="G651" i="11"/>
  <c r="F651" i="11"/>
  <c r="Q651" i="11" s="1"/>
  <c r="E651" i="11"/>
  <c r="P651" i="11" s="1"/>
  <c r="D651" i="11"/>
  <c r="C651" i="11"/>
  <c r="B651" i="11"/>
  <c r="T651" i="11" s="1"/>
  <c r="A651" i="11"/>
  <c r="T650" i="11"/>
  <c r="Q650" i="11"/>
  <c r="P650" i="11"/>
  <c r="M650" i="11"/>
  <c r="L650" i="11"/>
  <c r="K650" i="11"/>
  <c r="J650" i="11"/>
  <c r="I650" i="11"/>
  <c r="H650" i="11"/>
  <c r="G650" i="11"/>
  <c r="F650" i="11"/>
  <c r="E650" i="11"/>
  <c r="V650" i="11" s="1"/>
  <c r="D650" i="11"/>
  <c r="C650" i="11"/>
  <c r="B650" i="11"/>
  <c r="A650" i="11"/>
  <c r="S650" i="11" s="1"/>
  <c r="S649" i="11"/>
  <c r="M649" i="11"/>
  <c r="L649" i="11"/>
  <c r="K649" i="11"/>
  <c r="J649" i="11"/>
  <c r="I649" i="11"/>
  <c r="H649" i="11"/>
  <c r="G649" i="11"/>
  <c r="F649" i="11"/>
  <c r="Q649" i="11" s="1"/>
  <c r="E649" i="11"/>
  <c r="P649" i="11" s="1"/>
  <c r="D649" i="11"/>
  <c r="C649" i="11"/>
  <c r="B649" i="11"/>
  <c r="T649" i="11" s="1"/>
  <c r="A649" i="11"/>
  <c r="T648" i="11"/>
  <c r="Q648" i="11"/>
  <c r="P648" i="11"/>
  <c r="M648" i="11"/>
  <c r="L648" i="11"/>
  <c r="K648" i="11"/>
  <c r="J648" i="11"/>
  <c r="I648" i="11"/>
  <c r="H648" i="11"/>
  <c r="G648" i="11"/>
  <c r="F648" i="11"/>
  <c r="E648" i="11"/>
  <c r="V648" i="11" s="1"/>
  <c r="D648" i="11"/>
  <c r="C648" i="11"/>
  <c r="B648" i="11"/>
  <c r="A648" i="11"/>
  <c r="S648" i="11" s="1"/>
  <c r="S647" i="11"/>
  <c r="M647" i="11"/>
  <c r="L647" i="11"/>
  <c r="K647" i="11"/>
  <c r="J647" i="11"/>
  <c r="I647" i="11"/>
  <c r="H647" i="11"/>
  <c r="G647" i="11"/>
  <c r="F647" i="11"/>
  <c r="Q647" i="11" s="1"/>
  <c r="E647" i="11"/>
  <c r="P647" i="11" s="1"/>
  <c r="D647" i="11"/>
  <c r="C647" i="11"/>
  <c r="B647" i="11"/>
  <c r="T647" i="11" s="1"/>
  <c r="A647" i="11"/>
  <c r="T646" i="11"/>
  <c r="Q646" i="11"/>
  <c r="P646" i="11"/>
  <c r="M646" i="11"/>
  <c r="L646" i="11"/>
  <c r="K646" i="11"/>
  <c r="J646" i="11"/>
  <c r="I646" i="11"/>
  <c r="H646" i="11"/>
  <c r="G646" i="11"/>
  <c r="F646" i="11"/>
  <c r="E646" i="11"/>
  <c r="V646" i="11" s="1"/>
  <c r="D646" i="11"/>
  <c r="C646" i="11"/>
  <c r="B646" i="11"/>
  <c r="A646" i="11"/>
  <c r="S646" i="11" s="1"/>
  <c r="V645" i="11"/>
  <c r="S645" i="11"/>
  <c r="M645" i="11"/>
  <c r="L645" i="11"/>
  <c r="K645" i="11"/>
  <c r="J645" i="11"/>
  <c r="I645" i="11"/>
  <c r="H645" i="11"/>
  <c r="G645" i="11"/>
  <c r="F645" i="11"/>
  <c r="Q645" i="11" s="1"/>
  <c r="E645" i="11"/>
  <c r="P645" i="11" s="1"/>
  <c r="D645" i="11"/>
  <c r="C645" i="11"/>
  <c r="B645" i="11"/>
  <c r="T645" i="11" s="1"/>
  <c r="A645" i="11"/>
  <c r="T644" i="11"/>
  <c r="Q644" i="11"/>
  <c r="P644" i="11"/>
  <c r="M644" i="11"/>
  <c r="L644" i="11"/>
  <c r="K644" i="11"/>
  <c r="J644" i="11"/>
  <c r="I644" i="11"/>
  <c r="H644" i="11"/>
  <c r="G644" i="11"/>
  <c r="F644" i="11"/>
  <c r="E644" i="11"/>
  <c r="V644" i="11" s="1"/>
  <c r="D644" i="11"/>
  <c r="C644" i="11"/>
  <c r="B644" i="11"/>
  <c r="A644" i="11"/>
  <c r="S644" i="11" s="1"/>
  <c r="V643" i="11"/>
  <c r="S643" i="11"/>
  <c r="M643" i="11"/>
  <c r="L643" i="11"/>
  <c r="K643" i="11"/>
  <c r="J643" i="11"/>
  <c r="I643" i="11"/>
  <c r="H643" i="11"/>
  <c r="G643" i="11"/>
  <c r="F643" i="11"/>
  <c r="Q643" i="11" s="1"/>
  <c r="E643" i="11"/>
  <c r="P643" i="11" s="1"/>
  <c r="D643" i="11"/>
  <c r="C643" i="11"/>
  <c r="B643" i="11"/>
  <c r="T643" i="11" s="1"/>
  <c r="A643" i="11"/>
  <c r="T642" i="11"/>
  <c r="Q642" i="11"/>
  <c r="P642" i="11"/>
  <c r="M642" i="11"/>
  <c r="L642" i="11"/>
  <c r="K642" i="11"/>
  <c r="J642" i="11"/>
  <c r="I642" i="11"/>
  <c r="H642" i="11"/>
  <c r="G642" i="11"/>
  <c r="F642" i="11"/>
  <c r="E642" i="11"/>
  <c r="V642" i="11" s="1"/>
  <c r="D642" i="11"/>
  <c r="C642" i="11"/>
  <c r="B642" i="11"/>
  <c r="A642" i="11"/>
  <c r="S642" i="11" s="1"/>
  <c r="S641" i="11"/>
  <c r="M641" i="11"/>
  <c r="L641" i="11"/>
  <c r="K641" i="11"/>
  <c r="J641" i="11"/>
  <c r="I641" i="11"/>
  <c r="H641" i="11"/>
  <c r="G641" i="11"/>
  <c r="F641" i="11"/>
  <c r="Q641" i="11" s="1"/>
  <c r="E641" i="11"/>
  <c r="P641" i="11" s="1"/>
  <c r="D641" i="11"/>
  <c r="C641" i="11"/>
  <c r="B641" i="11"/>
  <c r="T641" i="11" s="1"/>
  <c r="A641" i="11"/>
  <c r="T640" i="11"/>
  <c r="Q640" i="11"/>
  <c r="P640" i="11"/>
  <c r="M640" i="11"/>
  <c r="L640" i="11"/>
  <c r="K640" i="11"/>
  <c r="J640" i="11"/>
  <c r="I640" i="11"/>
  <c r="H640" i="11"/>
  <c r="G640" i="11"/>
  <c r="F640" i="11"/>
  <c r="E640" i="11"/>
  <c r="V640" i="11" s="1"/>
  <c r="D640" i="11"/>
  <c r="C640" i="11"/>
  <c r="B640" i="11"/>
  <c r="A640" i="11"/>
  <c r="S640" i="11" s="1"/>
  <c r="S639" i="11"/>
  <c r="M639" i="11"/>
  <c r="L639" i="11"/>
  <c r="K639" i="11"/>
  <c r="J639" i="11"/>
  <c r="I639" i="11"/>
  <c r="H639" i="11"/>
  <c r="G639" i="11"/>
  <c r="F639" i="11"/>
  <c r="Q639" i="11" s="1"/>
  <c r="E639" i="11"/>
  <c r="P639" i="11" s="1"/>
  <c r="D639" i="11"/>
  <c r="C639" i="11"/>
  <c r="B639" i="11"/>
  <c r="T639" i="11" s="1"/>
  <c r="A639" i="11"/>
  <c r="T638" i="11"/>
  <c r="Q638" i="11"/>
  <c r="P638" i="11"/>
  <c r="M638" i="11"/>
  <c r="L638" i="11"/>
  <c r="K638" i="11"/>
  <c r="J638" i="11"/>
  <c r="I638" i="11"/>
  <c r="H638" i="11"/>
  <c r="G638" i="11"/>
  <c r="F638" i="11"/>
  <c r="E638" i="11"/>
  <c r="V638" i="11" s="1"/>
  <c r="D638" i="11"/>
  <c r="C638" i="11"/>
  <c r="B638" i="11"/>
  <c r="A638" i="11"/>
  <c r="S638" i="11" s="1"/>
  <c r="V637" i="11"/>
  <c r="S637" i="11"/>
  <c r="M637" i="11"/>
  <c r="L637" i="11"/>
  <c r="K637" i="11"/>
  <c r="J637" i="11"/>
  <c r="I637" i="11"/>
  <c r="H637" i="11"/>
  <c r="G637" i="11"/>
  <c r="F637" i="11"/>
  <c r="Q637" i="11" s="1"/>
  <c r="E637" i="11"/>
  <c r="P637" i="11" s="1"/>
  <c r="D637" i="11"/>
  <c r="C637" i="11"/>
  <c r="B637" i="11"/>
  <c r="T637" i="11" s="1"/>
  <c r="A637" i="11"/>
  <c r="T636" i="11"/>
  <c r="Q636" i="11"/>
  <c r="P636" i="11"/>
  <c r="M636" i="11"/>
  <c r="L636" i="11"/>
  <c r="K636" i="11"/>
  <c r="J636" i="11"/>
  <c r="I636" i="11"/>
  <c r="H636" i="11"/>
  <c r="G636" i="11"/>
  <c r="F636" i="11"/>
  <c r="E636" i="11"/>
  <c r="V636" i="11" s="1"/>
  <c r="D636" i="11"/>
  <c r="C636" i="11"/>
  <c r="B636" i="11"/>
  <c r="A636" i="11"/>
  <c r="S636" i="11" s="1"/>
  <c r="V635" i="11"/>
  <c r="S635" i="11"/>
  <c r="M635" i="11"/>
  <c r="L635" i="11"/>
  <c r="K635" i="11"/>
  <c r="J635" i="11"/>
  <c r="I635" i="11"/>
  <c r="H635" i="11"/>
  <c r="G635" i="11"/>
  <c r="F635" i="11"/>
  <c r="Q635" i="11" s="1"/>
  <c r="E635" i="11"/>
  <c r="P635" i="11" s="1"/>
  <c r="D635" i="11"/>
  <c r="C635" i="11"/>
  <c r="B635" i="11"/>
  <c r="T635" i="11" s="1"/>
  <c r="A635" i="11"/>
  <c r="T634" i="11"/>
  <c r="Q634" i="11"/>
  <c r="P634" i="11"/>
  <c r="M634" i="11"/>
  <c r="L634" i="11"/>
  <c r="K634" i="11"/>
  <c r="J634" i="11"/>
  <c r="I634" i="11"/>
  <c r="H634" i="11"/>
  <c r="G634" i="11"/>
  <c r="F634" i="11"/>
  <c r="E634" i="11"/>
  <c r="V634" i="11" s="1"/>
  <c r="D634" i="11"/>
  <c r="C634" i="11"/>
  <c r="B634" i="11"/>
  <c r="A634" i="11"/>
  <c r="S634" i="11" s="1"/>
  <c r="S633" i="11"/>
  <c r="M633" i="11"/>
  <c r="L633" i="11"/>
  <c r="K633" i="11"/>
  <c r="J633" i="11"/>
  <c r="I633" i="11"/>
  <c r="H633" i="11"/>
  <c r="G633" i="11"/>
  <c r="F633" i="11"/>
  <c r="Q633" i="11" s="1"/>
  <c r="E633" i="11"/>
  <c r="P633" i="11" s="1"/>
  <c r="D633" i="11"/>
  <c r="C633" i="11"/>
  <c r="B633" i="11"/>
  <c r="T633" i="11" s="1"/>
  <c r="A633" i="11"/>
  <c r="T632" i="11"/>
  <c r="Q632" i="11"/>
  <c r="P632" i="11"/>
  <c r="M632" i="11"/>
  <c r="L632" i="11"/>
  <c r="K632" i="11"/>
  <c r="J632" i="11"/>
  <c r="I632" i="11"/>
  <c r="H632" i="11"/>
  <c r="G632" i="11"/>
  <c r="F632" i="11"/>
  <c r="E632" i="11"/>
  <c r="V632" i="11" s="1"/>
  <c r="D632" i="11"/>
  <c r="C632" i="11"/>
  <c r="B632" i="11"/>
  <c r="A632" i="11"/>
  <c r="S632" i="11" s="1"/>
  <c r="S631" i="11"/>
  <c r="M631" i="11"/>
  <c r="L631" i="11"/>
  <c r="K631" i="11"/>
  <c r="J631" i="11"/>
  <c r="I631" i="11"/>
  <c r="H631" i="11"/>
  <c r="G631" i="11"/>
  <c r="F631" i="11"/>
  <c r="Q631" i="11" s="1"/>
  <c r="E631" i="11"/>
  <c r="P631" i="11" s="1"/>
  <c r="D631" i="11"/>
  <c r="C631" i="11"/>
  <c r="B631" i="11"/>
  <c r="T631" i="11" s="1"/>
  <c r="A631" i="11"/>
  <c r="T630" i="11"/>
  <c r="Q630" i="11"/>
  <c r="P630" i="11"/>
  <c r="M630" i="11"/>
  <c r="L630" i="11"/>
  <c r="K630" i="11"/>
  <c r="J630" i="11"/>
  <c r="I630" i="11"/>
  <c r="H630" i="11"/>
  <c r="G630" i="11"/>
  <c r="F630" i="11"/>
  <c r="E630" i="11"/>
  <c r="V630" i="11" s="1"/>
  <c r="D630" i="11"/>
  <c r="C630" i="11"/>
  <c r="B630" i="11"/>
  <c r="A630" i="11"/>
  <c r="S630" i="11" s="1"/>
  <c r="V629" i="11"/>
  <c r="S629" i="11"/>
  <c r="M629" i="11"/>
  <c r="L629" i="11"/>
  <c r="K629" i="11"/>
  <c r="J629" i="11"/>
  <c r="I629" i="11"/>
  <c r="H629" i="11"/>
  <c r="G629" i="11"/>
  <c r="F629" i="11"/>
  <c r="Q629" i="11" s="1"/>
  <c r="E629" i="11"/>
  <c r="P629" i="11" s="1"/>
  <c r="D629" i="11"/>
  <c r="C629" i="11"/>
  <c r="B629" i="11"/>
  <c r="T629" i="11" s="1"/>
  <c r="A629" i="11"/>
  <c r="T628" i="11"/>
  <c r="Q628" i="11"/>
  <c r="P628" i="11"/>
  <c r="M628" i="11"/>
  <c r="L628" i="11"/>
  <c r="K628" i="11"/>
  <c r="J628" i="11"/>
  <c r="I628" i="11"/>
  <c r="H628" i="11"/>
  <c r="G628" i="11"/>
  <c r="F628" i="11"/>
  <c r="E628" i="11"/>
  <c r="V628" i="11" s="1"/>
  <c r="D628" i="11"/>
  <c r="C628" i="11"/>
  <c r="B628" i="11"/>
  <c r="A628" i="11"/>
  <c r="S628" i="11" s="1"/>
  <c r="V627" i="11"/>
  <c r="S627" i="11"/>
  <c r="M627" i="11"/>
  <c r="L627" i="11"/>
  <c r="K627" i="11"/>
  <c r="J627" i="11"/>
  <c r="I627" i="11"/>
  <c r="H627" i="11"/>
  <c r="G627" i="11"/>
  <c r="F627" i="11"/>
  <c r="Q627" i="11" s="1"/>
  <c r="E627" i="11"/>
  <c r="P627" i="11" s="1"/>
  <c r="D627" i="11"/>
  <c r="C627" i="11"/>
  <c r="B627" i="11"/>
  <c r="T627" i="11" s="1"/>
  <c r="A627" i="11"/>
  <c r="T626" i="11"/>
  <c r="Q626" i="11"/>
  <c r="P626" i="11"/>
  <c r="M626" i="11"/>
  <c r="L626" i="11"/>
  <c r="K626" i="11"/>
  <c r="J626" i="11"/>
  <c r="I626" i="11"/>
  <c r="H626" i="11"/>
  <c r="G626" i="11"/>
  <c r="F626" i="11"/>
  <c r="E626" i="11"/>
  <c r="V626" i="11" s="1"/>
  <c r="D626" i="11"/>
  <c r="C626" i="11"/>
  <c r="B626" i="11"/>
  <c r="A626" i="11"/>
  <c r="S626" i="11" s="1"/>
  <c r="S625" i="11"/>
  <c r="M625" i="11"/>
  <c r="L625" i="11"/>
  <c r="K625" i="11"/>
  <c r="J625" i="11"/>
  <c r="I625" i="11"/>
  <c r="H625" i="11"/>
  <c r="G625" i="11"/>
  <c r="F625" i="11"/>
  <c r="Q625" i="11" s="1"/>
  <c r="E625" i="11"/>
  <c r="P625" i="11" s="1"/>
  <c r="D625" i="11"/>
  <c r="C625" i="11"/>
  <c r="B625" i="11"/>
  <c r="T625" i="11" s="1"/>
  <c r="A625" i="11"/>
  <c r="T624" i="11"/>
  <c r="Q624" i="11"/>
  <c r="P624" i="11"/>
  <c r="M624" i="11"/>
  <c r="L624" i="11"/>
  <c r="K624" i="11"/>
  <c r="J624" i="11"/>
  <c r="I624" i="11"/>
  <c r="H624" i="11"/>
  <c r="G624" i="11"/>
  <c r="F624" i="11"/>
  <c r="E624" i="11"/>
  <c r="V624" i="11" s="1"/>
  <c r="D624" i="11"/>
  <c r="C624" i="11"/>
  <c r="B624" i="11"/>
  <c r="A624" i="11"/>
  <c r="S624" i="11" s="1"/>
  <c r="S623" i="11"/>
  <c r="M623" i="11"/>
  <c r="L623" i="11"/>
  <c r="K623" i="11"/>
  <c r="J623" i="11"/>
  <c r="I623" i="11"/>
  <c r="H623" i="11"/>
  <c r="G623" i="11"/>
  <c r="F623" i="11"/>
  <c r="Q623" i="11" s="1"/>
  <c r="E623" i="11"/>
  <c r="P623" i="11" s="1"/>
  <c r="D623" i="11"/>
  <c r="C623" i="11"/>
  <c r="B623" i="11"/>
  <c r="T623" i="11" s="1"/>
  <c r="A623" i="11"/>
  <c r="T622" i="11"/>
  <c r="Q622" i="11"/>
  <c r="P622" i="11"/>
  <c r="M622" i="11"/>
  <c r="L622" i="11"/>
  <c r="K622" i="11"/>
  <c r="J622" i="11"/>
  <c r="I622" i="11"/>
  <c r="H622" i="11"/>
  <c r="G622" i="11"/>
  <c r="F622" i="11"/>
  <c r="E622" i="11"/>
  <c r="V622" i="11" s="1"/>
  <c r="D622" i="11"/>
  <c r="C622" i="11"/>
  <c r="B622" i="11"/>
  <c r="A622" i="11"/>
  <c r="S622" i="11" s="1"/>
  <c r="S621" i="11"/>
  <c r="M621" i="11"/>
  <c r="L621" i="11"/>
  <c r="K621" i="11"/>
  <c r="J621" i="11"/>
  <c r="I621" i="11"/>
  <c r="H621" i="11"/>
  <c r="G621" i="11"/>
  <c r="F621" i="11"/>
  <c r="Q621" i="11" s="1"/>
  <c r="E621" i="11"/>
  <c r="P621" i="11" s="1"/>
  <c r="D621" i="11"/>
  <c r="C621" i="11"/>
  <c r="B621" i="11"/>
  <c r="T621" i="11" s="1"/>
  <c r="A621" i="11"/>
  <c r="T620" i="11"/>
  <c r="Q620" i="11"/>
  <c r="P620" i="11"/>
  <c r="M620" i="11"/>
  <c r="L620" i="11"/>
  <c r="K620" i="11"/>
  <c r="J620" i="11"/>
  <c r="I620" i="11"/>
  <c r="H620" i="11"/>
  <c r="G620" i="11"/>
  <c r="F620" i="11"/>
  <c r="E620" i="11"/>
  <c r="D620" i="11"/>
  <c r="C620" i="11"/>
  <c r="B620" i="11"/>
  <c r="A620" i="11"/>
  <c r="S620" i="11" s="1"/>
  <c r="S619" i="11"/>
  <c r="M619" i="11"/>
  <c r="L619" i="11"/>
  <c r="K619" i="11"/>
  <c r="J619" i="11"/>
  <c r="I619" i="11"/>
  <c r="H619" i="11"/>
  <c r="G619" i="11"/>
  <c r="F619" i="11"/>
  <c r="Q619" i="11" s="1"/>
  <c r="E619" i="11"/>
  <c r="P619" i="11" s="1"/>
  <c r="D619" i="11"/>
  <c r="C619" i="11"/>
  <c r="B619" i="11"/>
  <c r="T619" i="11" s="1"/>
  <c r="A619" i="11"/>
  <c r="T618" i="11"/>
  <c r="Q618" i="11"/>
  <c r="M618" i="11"/>
  <c r="L618" i="11"/>
  <c r="K618" i="11"/>
  <c r="J618" i="11"/>
  <c r="I618" i="11"/>
  <c r="H618" i="11"/>
  <c r="G618" i="11"/>
  <c r="F618" i="11"/>
  <c r="E618" i="11"/>
  <c r="D618" i="11"/>
  <c r="C618" i="11"/>
  <c r="B618" i="11"/>
  <c r="A618" i="11"/>
  <c r="S618" i="11" s="1"/>
  <c r="S617" i="11"/>
  <c r="M617" i="11"/>
  <c r="L617" i="11"/>
  <c r="K617" i="11"/>
  <c r="J617" i="11"/>
  <c r="I617" i="11"/>
  <c r="H617" i="11"/>
  <c r="G617" i="11"/>
  <c r="F617" i="11"/>
  <c r="Q617" i="11" s="1"/>
  <c r="E617" i="11"/>
  <c r="P617" i="11" s="1"/>
  <c r="D617" i="11"/>
  <c r="C617" i="11"/>
  <c r="B617" i="11"/>
  <c r="T617" i="11" s="1"/>
  <c r="A617" i="11"/>
  <c r="T616" i="11"/>
  <c r="Q616" i="11"/>
  <c r="M616" i="11"/>
  <c r="L616" i="11"/>
  <c r="K616" i="11"/>
  <c r="J616" i="11"/>
  <c r="I616" i="11"/>
  <c r="H616" i="11"/>
  <c r="G616" i="11"/>
  <c r="F616" i="11"/>
  <c r="E616" i="11"/>
  <c r="D616" i="11"/>
  <c r="C616" i="11"/>
  <c r="B616" i="11"/>
  <c r="A616" i="11"/>
  <c r="S616" i="11" s="1"/>
  <c r="S615" i="11"/>
  <c r="M615" i="11"/>
  <c r="L615" i="11"/>
  <c r="K615" i="11"/>
  <c r="J615" i="11"/>
  <c r="I615" i="11"/>
  <c r="H615" i="11"/>
  <c r="G615" i="11"/>
  <c r="F615" i="11"/>
  <c r="Q615" i="11" s="1"/>
  <c r="E615" i="11"/>
  <c r="P615" i="11" s="1"/>
  <c r="D615" i="11"/>
  <c r="C615" i="11"/>
  <c r="B615" i="11"/>
  <c r="T615" i="11" s="1"/>
  <c r="A615" i="11"/>
  <c r="T614" i="11"/>
  <c r="Q614" i="11"/>
  <c r="P614" i="11"/>
  <c r="M614" i="11"/>
  <c r="L614" i="11"/>
  <c r="K614" i="11"/>
  <c r="J614" i="11"/>
  <c r="I614" i="11"/>
  <c r="H614" i="11"/>
  <c r="G614" i="11"/>
  <c r="F614" i="11"/>
  <c r="E614" i="11"/>
  <c r="D614" i="11"/>
  <c r="C614" i="11"/>
  <c r="B614" i="11"/>
  <c r="A614" i="11"/>
  <c r="S614" i="11" s="1"/>
  <c r="S613" i="11"/>
  <c r="M613" i="11"/>
  <c r="L613" i="11"/>
  <c r="K613" i="11"/>
  <c r="J613" i="11"/>
  <c r="I613" i="11"/>
  <c r="H613" i="11"/>
  <c r="G613" i="11"/>
  <c r="F613" i="11"/>
  <c r="Q613" i="11" s="1"/>
  <c r="E613" i="11"/>
  <c r="P613" i="11" s="1"/>
  <c r="D613" i="11"/>
  <c r="C613" i="11"/>
  <c r="B613" i="11"/>
  <c r="T613" i="11" s="1"/>
  <c r="A613" i="11"/>
  <c r="T612" i="11"/>
  <c r="Q612" i="11"/>
  <c r="P612" i="11"/>
  <c r="M612" i="11"/>
  <c r="L612" i="11"/>
  <c r="K612" i="11"/>
  <c r="J612" i="11"/>
  <c r="I612" i="11"/>
  <c r="H612" i="11"/>
  <c r="G612" i="11"/>
  <c r="F612" i="11"/>
  <c r="E612" i="11"/>
  <c r="D612" i="11"/>
  <c r="C612" i="11"/>
  <c r="B612" i="11"/>
  <c r="A612" i="11"/>
  <c r="S612" i="11" s="1"/>
  <c r="S611" i="11"/>
  <c r="M611" i="11"/>
  <c r="L611" i="11"/>
  <c r="K611" i="11"/>
  <c r="J611" i="11"/>
  <c r="I611" i="11"/>
  <c r="H611" i="11"/>
  <c r="G611" i="11"/>
  <c r="F611" i="11"/>
  <c r="Q611" i="11" s="1"/>
  <c r="E611" i="11"/>
  <c r="P611" i="11" s="1"/>
  <c r="D611" i="11"/>
  <c r="C611" i="11"/>
  <c r="B611" i="11"/>
  <c r="T611" i="11" s="1"/>
  <c r="A611" i="11"/>
  <c r="T610" i="11"/>
  <c r="Q610" i="11"/>
  <c r="M610" i="11"/>
  <c r="L610" i="11"/>
  <c r="K610" i="11"/>
  <c r="J610" i="11"/>
  <c r="I610" i="11"/>
  <c r="H610" i="11"/>
  <c r="G610" i="11"/>
  <c r="F610" i="11"/>
  <c r="E610" i="11"/>
  <c r="D610" i="11"/>
  <c r="C610" i="11"/>
  <c r="B610" i="11"/>
  <c r="A610" i="11"/>
  <c r="S610" i="11" s="1"/>
  <c r="S609" i="11"/>
  <c r="M609" i="11"/>
  <c r="L609" i="11"/>
  <c r="K609" i="11"/>
  <c r="J609" i="11"/>
  <c r="I609" i="11"/>
  <c r="H609" i="11"/>
  <c r="G609" i="11"/>
  <c r="F609" i="11"/>
  <c r="Q609" i="11" s="1"/>
  <c r="E609" i="11"/>
  <c r="P609" i="11" s="1"/>
  <c r="D609" i="11"/>
  <c r="C609" i="11"/>
  <c r="B609" i="11"/>
  <c r="T609" i="11" s="1"/>
  <c r="A609" i="11"/>
  <c r="T608" i="11"/>
  <c r="Q608" i="11"/>
  <c r="M608" i="11"/>
  <c r="L608" i="11"/>
  <c r="K608" i="11"/>
  <c r="J608" i="11"/>
  <c r="I608" i="11"/>
  <c r="H608" i="11"/>
  <c r="G608" i="11"/>
  <c r="F608" i="11"/>
  <c r="E608" i="11"/>
  <c r="D608" i="11"/>
  <c r="C608" i="11"/>
  <c r="B608" i="11"/>
  <c r="A608" i="11"/>
  <c r="S608" i="11" s="1"/>
  <c r="S607" i="11"/>
  <c r="M607" i="11"/>
  <c r="L607" i="11"/>
  <c r="K607" i="11"/>
  <c r="J607" i="11"/>
  <c r="I607" i="11"/>
  <c r="H607" i="11"/>
  <c r="G607" i="11"/>
  <c r="F607" i="11"/>
  <c r="Q607" i="11" s="1"/>
  <c r="E607" i="11"/>
  <c r="P607" i="11" s="1"/>
  <c r="D607" i="11"/>
  <c r="C607" i="11"/>
  <c r="B607" i="11"/>
  <c r="T607" i="11" s="1"/>
  <c r="A607" i="11"/>
  <c r="T606" i="11"/>
  <c r="Q606" i="11"/>
  <c r="P606" i="11"/>
  <c r="M606" i="11"/>
  <c r="L606" i="11"/>
  <c r="K606" i="11"/>
  <c r="J606" i="11"/>
  <c r="I606" i="11"/>
  <c r="H606" i="11"/>
  <c r="G606" i="11"/>
  <c r="F606" i="11"/>
  <c r="E606" i="11"/>
  <c r="D606" i="11"/>
  <c r="C606" i="11"/>
  <c r="B606" i="11"/>
  <c r="A606" i="11"/>
  <c r="S606" i="11" s="1"/>
  <c r="S605" i="11"/>
  <c r="M605" i="11"/>
  <c r="L605" i="11"/>
  <c r="K605" i="11"/>
  <c r="J605" i="11"/>
  <c r="I605" i="11"/>
  <c r="H605" i="11"/>
  <c r="G605" i="11"/>
  <c r="F605" i="11"/>
  <c r="Q605" i="11" s="1"/>
  <c r="E605" i="11"/>
  <c r="P605" i="11" s="1"/>
  <c r="D605" i="11"/>
  <c r="C605" i="11"/>
  <c r="B605" i="11"/>
  <c r="T605" i="11" s="1"/>
  <c r="A605" i="11"/>
  <c r="T604" i="11"/>
  <c r="Q604" i="11"/>
  <c r="P604" i="11"/>
  <c r="M604" i="11"/>
  <c r="L604" i="11"/>
  <c r="K604" i="11"/>
  <c r="J604" i="11"/>
  <c r="I604" i="11"/>
  <c r="H604" i="11"/>
  <c r="G604" i="11"/>
  <c r="F604" i="11"/>
  <c r="E604" i="11"/>
  <c r="D604" i="11"/>
  <c r="C604" i="11"/>
  <c r="B604" i="11"/>
  <c r="A604" i="11"/>
  <c r="S604" i="11" s="1"/>
  <c r="S603" i="11"/>
  <c r="M603" i="11"/>
  <c r="L603" i="11"/>
  <c r="K603" i="11"/>
  <c r="J603" i="11"/>
  <c r="I603" i="11"/>
  <c r="H603" i="11"/>
  <c r="G603" i="11"/>
  <c r="F603" i="11"/>
  <c r="Q603" i="11" s="1"/>
  <c r="E603" i="11"/>
  <c r="P603" i="11" s="1"/>
  <c r="D603" i="11"/>
  <c r="C603" i="11"/>
  <c r="B603" i="11"/>
  <c r="T603" i="11" s="1"/>
  <c r="A603" i="11"/>
  <c r="T602" i="11"/>
  <c r="Q602" i="11"/>
  <c r="M602" i="11"/>
  <c r="L602" i="11"/>
  <c r="K602" i="11"/>
  <c r="J602" i="11"/>
  <c r="I602" i="11"/>
  <c r="H602" i="11"/>
  <c r="G602" i="11"/>
  <c r="F602" i="11"/>
  <c r="E602" i="11"/>
  <c r="D602" i="11"/>
  <c r="C602" i="11"/>
  <c r="B602" i="11"/>
  <c r="A602" i="11"/>
  <c r="S602" i="11" s="1"/>
  <c r="S601" i="11"/>
  <c r="M601" i="11"/>
  <c r="L601" i="11"/>
  <c r="K601" i="11"/>
  <c r="J601" i="11"/>
  <c r="I601" i="11"/>
  <c r="H601" i="11"/>
  <c r="G601" i="11"/>
  <c r="F601" i="11"/>
  <c r="Q601" i="11" s="1"/>
  <c r="E601" i="11"/>
  <c r="P601" i="11" s="1"/>
  <c r="D601" i="11"/>
  <c r="C601" i="11"/>
  <c r="B601" i="11"/>
  <c r="T601" i="11" s="1"/>
  <c r="A601" i="11"/>
  <c r="T600" i="11"/>
  <c r="Q600" i="11"/>
  <c r="M600" i="11"/>
  <c r="L600" i="11"/>
  <c r="K600" i="11"/>
  <c r="J600" i="11"/>
  <c r="I600" i="11"/>
  <c r="H600" i="11"/>
  <c r="G600" i="11"/>
  <c r="F600" i="11"/>
  <c r="E600" i="11"/>
  <c r="D600" i="11"/>
  <c r="C600" i="11"/>
  <c r="B600" i="11"/>
  <c r="A600" i="11"/>
  <c r="S600" i="11" s="1"/>
  <c r="S599" i="11"/>
  <c r="M599" i="11"/>
  <c r="L599" i="11"/>
  <c r="K599" i="11"/>
  <c r="J599" i="11"/>
  <c r="I599" i="11"/>
  <c r="H599" i="11"/>
  <c r="G599" i="11"/>
  <c r="F599" i="11"/>
  <c r="Q599" i="11" s="1"/>
  <c r="E599" i="11"/>
  <c r="P599" i="11" s="1"/>
  <c r="D599" i="11"/>
  <c r="C599" i="11"/>
  <c r="B599" i="11"/>
  <c r="T599" i="11" s="1"/>
  <c r="A599" i="11"/>
  <c r="T598" i="11"/>
  <c r="Q598" i="11"/>
  <c r="P598" i="11"/>
  <c r="M598" i="11"/>
  <c r="L598" i="11"/>
  <c r="K598" i="11"/>
  <c r="J598" i="11"/>
  <c r="I598" i="11"/>
  <c r="H598" i="11"/>
  <c r="G598" i="11"/>
  <c r="F598" i="11"/>
  <c r="E598" i="11"/>
  <c r="D598" i="11"/>
  <c r="C598" i="11"/>
  <c r="B598" i="11"/>
  <c r="A598" i="11"/>
  <c r="S598" i="11" s="1"/>
  <c r="S597" i="11"/>
  <c r="M597" i="11"/>
  <c r="L597" i="11"/>
  <c r="K597" i="11"/>
  <c r="J597" i="11"/>
  <c r="I597" i="11"/>
  <c r="H597" i="11"/>
  <c r="G597" i="11"/>
  <c r="F597" i="11"/>
  <c r="Q597" i="11" s="1"/>
  <c r="E597" i="11"/>
  <c r="P597" i="11" s="1"/>
  <c r="D597" i="11"/>
  <c r="C597" i="11"/>
  <c r="B597" i="11"/>
  <c r="T597" i="11" s="1"/>
  <c r="A597" i="11"/>
  <c r="T596" i="11"/>
  <c r="Q596" i="11"/>
  <c r="P596" i="11"/>
  <c r="M596" i="11"/>
  <c r="L596" i="11"/>
  <c r="K596" i="11"/>
  <c r="J596" i="11"/>
  <c r="I596" i="11"/>
  <c r="H596" i="11"/>
  <c r="G596" i="11"/>
  <c r="F596" i="11"/>
  <c r="E596" i="11"/>
  <c r="D596" i="11"/>
  <c r="C596" i="11"/>
  <c r="B596" i="11"/>
  <c r="A596" i="11"/>
  <c r="S596" i="11" s="1"/>
  <c r="S595" i="11"/>
  <c r="M595" i="11"/>
  <c r="L595" i="11"/>
  <c r="K595" i="11"/>
  <c r="J595" i="11"/>
  <c r="I595" i="11"/>
  <c r="H595" i="11"/>
  <c r="G595" i="11"/>
  <c r="F595" i="11"/>
  <c r="Q595" i="11" s="1"/>
  <c r="E595" i="11"/>
  <c r="P595" i="11" s="1"/>
  <c r="D595" i="11"/>
  <c r="C595" i="11"/>
  <c r="B595" i="11"/>
  <c r="T595" i="11" s="1"/>
  <c r="A595" i="11"/>
  <c r="T594" i="11"/>
  <c r="Q594" i="11"/>
  <c r="M594" i="11"/>
  <c r="L594" i="11"/>
  <c r="K594" i="11"/>
  <c r="J594" i="11"/>
  <c r="I594" i="11"/>
  <c r="H594" i="11"/>
  <c r="G594" i="11"/>
  <c r="F594" i="11"/>
  <c r="E594" i="11"/>
  <c r="D594" i="11"/>
  <c r="C594" i="11"/>
  <c r="B594" i="11"/>
  <c r="A594" i="11"/>
  <c r="S594" i="11" s="1"/>
  <c r="S593" i="11"/>
  <c r="M593" i="11"/>
  <c r="L593" i="11"/>
  <c r="K593" i="11"/>
  <c r="J593" i="11"/>
  <c r="I593" i="11"/>
  <c r="H593" i="11"/>
  <c r="G593" i="11"/>
  <c r="F593" i="11"/>
  <c r="Q593" i="11" s="1"/>
  <c r="E593" i="11"/>
  <c r="P593" i="11" s="1"/>
  <c r="D593" i="11"/>
  <c r="C593" i="11"/>
  <c r="B593" i="11"/>
  <c r="T593" i="11" s="1"/>
  <c r="A593" i="11"/>
  <c r="T592" i="11"/>
  <c r="Q592" i="11"/>
  <c r="M592" i="11"/>
  <c r="L592" i="11"/>
  <c r="K592" i="11"/>
  <c r="J592" i="11"/>
  <c r="I592" i="11"/>
  <c r="H592" i="11"/>
  <c r="G592" i="11"/>
  <c r="F592" i="11"/>
  <c r="E592" i="11"/>
  <c r="D592" i="11"/>
  <c r="C592" i="11"/>
  <c r="B592" i="11"/>
  <c r="A592" i="11"/>
  <c r="S592" i="11" s="1"/>
  <c r="S591" i="11"/>
  <c r="M591" i="11"/>
  <c r="L591" i="11"/>
  <c r="K591" i="11"/>
  <c r="J591" i="11"/>
  <c r="I591" i="11"/>
  <c r="H591" i="11"/>
  <c r="G591" i="11"/>
  <c r="F591" i="11"/>
  <c r="Q591" i="11" s="1"/>
  <c r="E591" i="11"/>
  <c r="P591" i="11" s="1"/>
  <c r="D591" i="11"/>
  <c r="C591" i="11"/>
  <c r="B591" i="11"/>
  <c r="T591" i="11" s="1"/>
  <c r="A591" i="11"/>
  <c r="T590" i="11"/>
  <c r="Q590" i="11"/>
  <c r="M590" i="11"/>
  <c r="L590" i="11"/>
  <c r="K590" i="11"/>
  <c r="J590" i="11"/>
  <c r="I590" i="11"/>
  <c r="H590" i="11"/>
  <c r="G590" i="11"/>
  <c r="F590" i="11"/>
  <c r="E590" i="11"/>
  <c r="D590" i="11"/>
  <c r="C590" i="11"/>
  <c r="B590" i="11"/>
  <c r="A590" i="11"/>
  <c r="S590" i="11" s="1"/>
  <c r="S589" i="11"/>
  <c r="M589" i="11"/>
  <c r="L589" i="11"/>
  <c r="K589" i="11"/>
  <c r="J589" i="11"/>
  <c r="I589" i="11"/>
  <c r="H589" i="11"/>
  <c r="G589" i="11"/>
  <c r="F589" i="11"/>
  <c r="Q589" i="11" s="1"/>
  <c r="E589" i="11"/>
  <c r="P589" i="11" s="1"/>
  <c r="D589" i="11"/>
  <c r="C589" i="11"/>
  <c r="B589" i="11"/>
  <c r="T589" i="11" s="1"/>
  <c r="A589" i="11"/>
  <c r="T588" i="11"/>
  <c r="Q588" i="11"/>
  <c r="P588" i="11"/>
  <c r="M588" i="11"/>
  <c r="L588" i="11"/>
  <c r="K588" i="11"/>
  <c r="J588" i="11"/>
  <c r="I588" i="11"/>
  <c r="H588" i="11"/>
  <c r="G588" i="11"/>
  <c r="F588" i="11"/>
  <c r="E588" i="11"/>
  <c r="D588" i="11"/>
  <c r="C588" i="11"/>
  <c r="B588" i="11"/>
  <c r="A588" i="11"/>
  <c r="S588" i="11" s="1"/>
  <c r="S587" i="11"/>
  <c r="M587" i="11"/>
  <c r="L587" i="11"/>
  <c r="K587" i="11"/>
  <c r="J587" i="11"/>
  <c r="I587" i="11"/>
  <c r="H587" i="11"/>
  <c r="G587" i="11"/>
  <c r="F587" i="11"/>
  <c r="Q587" i="11" s="1"/>
  <c r="E587" i="11"/>
  <c r="P587" i="11" s="1"/>
  <c r="D587" i="11"/>
  <c r="C587" i="11"/>
  <c r="B587" i="11"/>
  <c r="T587" i="11" s="1"/>
  <c r="A587" i="11"/>
  <c r="T586" i="11"/>
  <c r="Q586" i="11"/>
  <c r="M586" i="11"/>
  <c r="L586" i="11"/>
  <c r="K586" i="11"/>
  <c r="J586" i="11"/>
  <c r="I586" i="11"/>
  <c r="H586" i="11"/>
  <c r="G586" i="11"/>
  <c r="F586" i="11"/>
  <c r="E586" i="11"/>
  <c r="D586" i="11"/>
  <c r="C586" i="11"/>
  <c r="B586" i="11"/>
  <c r="A586" i="11"/>
  <c r="S586" i="11" s="1"/>
  <c r="S585" i="11"/>
  <c r="M585" i="11"/>
  <c r="L585" i="11"/>
  <c r="K585" i="11"/>
  <c r="J585" i="11"/>
  <c r="I585" i="11"/>
  <c r="H585" i="11"/>
  <c r="G585" i="11"/>
  <c r="F585" i="11"/>
  <c r="Q585" i="11" s="1"/>
  <c r="E585" i="11"/>
  <c r="P585" i="11" s="1"/>
  <c r="D585" i="11"/>
  <c r="C585" i="11"/>
  <c r="B585" i="11"/>
  <c r="T585" i="11" s="1"/>
  <c r="A585" i="11"/>
  <c r="T584" i="11"/>
  <c r="Q584" i="11"/>
  <c r="M584" i="11"/>
  <c r="L584" i="11"/>
  <c r="K584" i="11"/>
  <c r="J584" i="11"/>
  <c r="I584" i="11"/>
  <c r="H584" i="11"/>
  <c r="G584" i="11"/>
  <c r="F584" i="11"/>
  <c r="E584" i="11"/>
  <c r="D584" i="11"/>
  <c r="C584" i="11"/>
  <c r="B584" i="11"/>
  <c r="A584" i="11"/>
  <c r="S584" i="11" s="1"/>
  <c r="S583" i="11"/>
  <c r="M583" i="11"/>
  <c r="L583" i="11"/>
  <c r="K583" i="11"/>
  <c r="J583" i="11"/>
  <c r="I583" i="11"/>
  <c r="H583" i="11"/>
  <c r="G583" i="11"/>
  <c r="F583" i="11"/>
  <c r="Q583" i="11" s="1"/>
  <c r="E583" i="11"/>
  <c r="P583" i="11" s="1"/>
  <c r="D583" i="11"/>
  <c r="C583" i="11"/>
  <c r="B583" i="11"/>
  <c r="T583" i="11" s="1"/>
  <c r="A583" i="11"/>
  <c r="T582" i="11"/>
  <c r="Q582" i="11"/>
  <c r="P582" i="11"/>
  <c r="M582" i="11"/>
  <c r="L582" i="11"/>
  <c r="K582" i="11"/>
  <c r="J582" i="11"/>
  <c r="I582" i="11"/>
  <c r="H582" i="11"/>
  <c r="G582" i="11"/>
  <c r="F582" i="11"/>
  <c r="E582" i="11"/>
  <c r="D582" i="11"/>
  <c r="C582" i="11"/>
  <c r="B582" i="11"/>
  <c r="A582" i="11"/>
  <c r="S582" i="11" s="1"/>
  <c r="S581" i="11"/>
  <c r="M581" i="11"/>
  <c r="L581" i="11"/>
  <c r="K581" i="11"/>
  <c r="J581" i="11"/>
  <c r="I581" i="11"/>
  <c r="H581" i="11"/>
  <c r="G581" i="11"/>
  <c r="F581" i="11"/>
  <c r="Q581" i="11" s="1"/>
  <c r="E581" i="11"/>
  <c r="P581" i="11" s="1"/>
  <c r="D581" i="11"/>
  <c r="C581" i="11"/>
  <c r="B581" i="11"/>
  <c r="T581" i="11" s="1"/>
  <c r="A581" i="11"/>
  <c r="T580" i="11"/>
  <c r="Q580" i="11"/>
  <c r="P580" i="11"/>
  <c r="M580" i="11"/>
  <c r="L580" i="11"/>
  <c r="K580" i="11"/>
  <c r="J580" i="11"/>
  <c r="I580" i="11"/>
  <c r="H580" i="11"/>
  <c r="G580" i="11"/>
  <c r="F580" i="11"/>
  <c r="E580" i="11"/>
  <c r="D580" i="11"/>
  <c r="C580" i="11"/>
  <c r="B580" i="11"/>
  <c r="A580" i="11"/>
  <c r="S580" i="11" s="1"/>
  <c r="S579" i="11"/>
  <c r="M579" i="11"/>
  <c r="L579" i="11"/>
  <c r="K579" i="11"/>
  <c r="J579" i="11"/>
  <c r="I579" i="11"/>
  <c r="H579" i="11"/>
  <c r="G579" i="11"/>
  <c r="F579" i="11"/>
  <c r="Q579" i="11" s="1"/>
  <c r="E579" i="11"/>
  <c r="P579" i="11" s="1"/>
  <c r="D579" i="11"/>
  <c r="C579" i="11"/>
  <c r="B579" i="11"/>
  <c r="T579" i="11" s="1"/>
  <c r="A579" i="11"/>
  <c r="T578" i="11"/>
  <c r="Q578" i="11"/>
  <c r="M578" i="11"/>
  <c r="L578" i="11"/>
  <c r="K578" i="11"/>
  <c r="J578" i="11"/>
  <c r="I578" i="11"/>
  <c r="H578" i="11"/>
  <c r="G578" i="11"/>
  <c r="F578" i="11"/>
  <c r="E578" i="11"/>
  <c r="D578" i="11"/>
  <c r="C578" i="11"/>
  <c r="B578" i="11"/>
  <c r="A578" i="11"/>
  <c r="S578" i="11" s="1"/>
  <c r="S577" i="11"/>
  <c r="M577" i="11"/>
  <c r="L577" i="11"/>
  <c r="K577" i="11"/>
  <c r="J577" i="11"/>
  <c r="I577" i="11"/>
  <c r="H577" i="11"/>
  <c r="G577" i="11"/>
  <c r="F577" i="11"/>
  <c r="Q577" i="11" s="1"/>
  <c r="E577" i="11"/>
  <c r="P577" i="11" s="1"/>
  <c r="D577" i="11"/>
  <c r="C577" i="11"/>
  <c r="B577" i="11"/>
  <c r="T577" i="11" s="1"/>
  <c r="A577" i="11"/>
  <c r="T576" i="11"/>
  <c r="Q576" i="11"/>
  <c r="M576" i="11"/>
  <c r="L576" i="11"/>
  <c r="K576" i="11"/>
  <c r="J576" i="11"/>
  <c r="I576" i="11"/>
  <c r="H576" i="11"/>
  <c r="G576" i="11"/>
  <c r="F576" i="11"/>
  <c r="E576" i="11"/>
  <c r="D576" i="11"/>
  <c r="C576" i="11"/>
  <c r="B576" i="11"/>
  <c r="A576" i="11"/>
  <c r="S576" i="11" s="1"/>
  <c r="S575" i="11"/>
  <c r="M575" i="11"/>
  <c r="L575" i="11"/>
  <c r="K575" i="11"/>
  <c r="J575" i="11"/>
  <c r="I575" i="11"/>
  <c r="H575" i="11"/>
  <c r="G575" i="11"/>
  <c r="F575" i="11"/>
  <c r="Q575" i="11" s="1"/>
  <c r="E575" i="11"/>
  <c r="P575" i="11" s="1"/>
  <c r="D575" i="11"/>
  <c r="C575" i="11"/>
  <c r="B575" i="11"/>
  <c r="T575" i="11" s="1"/>
  <c r="A575" i="11"/>
  <c r="T574" i="11"/>
  <c r="Q574" i="11"/>
  <c r="P574" i="11"/>
  <c r="M574" i="11"/>
  <c r="L574" i="11"/>
  <c r="K574" i="11"/>
  <c r="J574" i="11"/>
  <c r="I574" i="11"/>
  <c r="H574" i="11"/>
  <c r="G574" i="11"/>
  <c r="F574" i="11"/>
  <c r="E574" i="11"/>
  <c r="D574" i="11"/>
  <c r="C574" i="11"/>
  <c r="B574" i="11"/>
  <c r="A574" i="11"/>
  <c r="S574" i="11" s="1"/>
  <c r="S573" i="11"/>
  <c r="M573" i="11"/>
  <c r="L573" i="11"/>
  <c r="K573" i="11"/>
  <c r="J573" i="11"/>
  <c r="I573" i="11"/>
  <c r="H573" i="11"/>
  <c r="G573" i="11"/>
  <c r="F573" i="11"/>
  <c r="Q573" i="11" s="1"/>
  <c r="E573" i="11"/>
  <c r="P573" i="11" s="1"/>
  <c r="D573" i="11"/>
  <c r="C573" i="11"/>
  <c r="B573" i="11"/>
  <c r="T573" i="11" s="1"/>
  <c r="A573" i="11"/>
  <c r="T572" i="11"/>
  <c r="Q572" i="11"/>
  <c r="P572" i="11"/>
  <c r="M572" i="11"/>
  <c r="L572" i="11"/>
  <c r="K572" i="11"/>
  <c r="J572" i="11"/>
  <c r="I572" i="11"/>
  <c r="H572" i="11"/>
  <c r="G572" i="11"/>
  <c r="F572" i="11"/>
  <c r="E572" i="11"/>
  <c r="D572" i="11"/>
  <c r="C572" i="11"/>
  <c r="B572" i="11"/>
  <c r="A572" i="11"/>
  <c r="S572" i="11" s="1"/>
  <c r="S571" i="11"/>
  <c r="M571" i="11"/>
  <c r="L571" i="11"/>
  <c r="K571" i="11"/>
  <c r="J571" i="11"/>
  <c r="I571" i="11"/>
  <c r="H571" i="11"/>
  <c r="G571" i="11"/>
  <c r="F571" i="11"/>
  <c r="Q571" i="11" s="1"/>
  <c r="E571" i="11"/>
  <c r="P571" i="11" s="1"/>
  <c r="D571" i="11"/>
  <c r="C571" i="11"/>
  <c r="B571" i="11"/>
  <c r="T571" i="11" s="1"/>
  <c r="A571" i="11"/>
  <c r="T570" i="11"/>
  <c r="Q570" i="11"/>
  <c r="M570" i="11"/>
  <c r="L570" i="11"/>
  <c r="K570" i="11"/>
  <c r="J570" i="11"/>
  <c r="I570" i="11"/>
  <c r="H570" i="11"/>
  <c r="G570" i="11"/>
  <c r="F570" i="11"/>
  <c r="E570" i="11"/>
  <c r="D570" i="11"/>
  <c r="C570" i="11"/>
  <c r="B570" i="11"/>
  <c r="A570" i="11"/>
  <c r="S570" i="11" s="1"/>
  <c r="S569" i="11"/>
  <c r="M569" i="11"/>
  <c r="L569" i="11"/>
  <c r="K569" i="11"/>
  <c r="J569" i="11"/>
  <c r="I569" i="11"/>
  <c r="H569" i="11"/>
  <c r="G569" i="11"/>
  <c r="F569" i="11"/>
  <c r="Q569" i="11" s="1"/>
  <c r="E569" i="11"/>
  <c r="P569" i="11" s="1"/>
  <c r="D569" i="11"/>
  <c r="C569" i="11"/>
  <c r="B569" i="11"/>
  <c r="T569" i="11" s="1"/>
  <c r="A569" i="11"/>
  <c r="T568" i="11"/>
  <c r="Q568" i="11"/>
  <c r="M568" i="11"/>
  <c r="L568" i="11"/>
  <c r="K568" i="11"/>
  <c r="J568" i="11"/>
  <c r="I568" i="11"/>
  <c r="H568" i="11"/>
  <c r="G568" i="11"/>
  <c r="F568" i="11"/>
  <c r="E568" i="11"/>
  <c r="D568" i="11"/>
  <c r="C568" i="11"/>
  <c r="B568" i="11"/>
  <c r="A568" i="11"/>
  <c r="S568" i="11" s="1"/>
  <c r="S567" i="11"/>
  <c r="M567" i="11"/>
  <c r="L567" i="11"/>
  <c r="K567" i="11"/>
  <c r="J567" i="11"/>
  <c r="I567" i="11"/>
  <c r="H567" i="11"/>
  <c r="G567" i="11"/>
  <c r="F567" i="11"/>
  <c r="Q567" i="11" s="1"/>
  <c r="E567" i="11"/>
  <c r="P567" i="11" s="1"/>
  <c r="D567" i="11"/>
  <c r="C567" i="11"/>
  <c r="B567" i="11"/>
  <c r="T567" i="11" s="1"/>
  <c r="A567" i="11"/>
  <c r="T566" i="11"/>
  <c r="Q566" i="11"/>
  <c r="P566" i="11"/>
  <c r="M566" i="11"/>
  <c r="L566" i="11"/>
  <c r="K566" i="11"/>
  <c r="J566" i="11"/>
  <c r="I566" i="11"/>
  <c r="H566" i="11"/>
  <c r="G566" i="11"/>
  <c r="F566" i="11"/>
  <c r="E566" i="11"/>
  <c r="D566" i="11"/>
  <c r="C566" i="11"/>
  <c r="B566" i="11"/>
  <c r="A566" i="11"/>
  <c r="S566" i="11" s="1"/>
  <c r="S565" i="11"/>
  <c r="M565" i="11"/>
  <c r="L565" i="11"/>
  <c r="K565" i="11"/>
  <c r="J565" i="11"/>
  <c r="I565" i="11"/>
  <c r="H565" i="11"/>
  <c r="G565" i="11"/>
  <c r="F565" i="11"/>
  <c r="Q565" i="11" s="1"/>
  <c r="E565" i="11"/>
  <c r="P565" i="11" s="1"/>
  <c r="D565" i="11"/>
  <c r="C565" i="11"/>
  <c r="B565" i="11"/>
  <c r="T565" i="11" s="1"/>
  <c r="A565" i="11"/>
  <c r="T564" i="11"/>
  <c r="Q564" i="11"/>
  <c r="P564" i="11"/>
  <c r="M564" i="11"/>
  <c r="L564" i="11"/>
  <c r="K564" i="11"/>
  <c r="J564" i="11"/>
  <c r="I564" i="11"/>
  <c r="H564" i="11"/>
  <c r="G564" i="11"/>
  <c r="F564" i="11"/>
  <c r="E564" i="11"/>
  <c r="D564" i="11"/>
  <c r="C564" i="11"/>
  <c r="B564" i="11"/>
  <c r="A564" i="11"/>
  <c r="S564" i="11" s="1"/>
  <c r="S563" i="11"/>
  <c r="M563" i="11"/>
  <c r="L563" i="11"/>
  <c r="K563" i="11"/>
  <c r="J563" i="11"/>
  <c r="I563" i="11"/>
  <c r="H563" i="11"/>
  <c r="G563" i="11"/>
  <c r="F563" i="11"/>
  <c r="Q563" i="11" s="1"/>
  <c r="E563" i="11"/>
  <c r="P563" i="11" s="1"/>
  <c r="D563" i="11"/>
  <c r="C563" i="11"/>
  <c r="B563" i="11"/>
  <c r="T563" i="11" s="1"/>
  <c r="A563" i="11"/>
  <c r="T562" i="11"/>
  <c r="Q562" i="11"/>
  <c r="M562" i="11"/>
  <c r="L562" i="11"/>
  <c r="K562" i="11"/>
  <c r="J562" i="11"/>
  <c r="I562" i="11"/>
  <c r="H562" i="11"/>
  <c r="G562" i="11"/>
  <c r="F562" i="11"/>
  <c r="E562" i="11"/>
  <c r="D562" i="11"/>
  <c r="C562" i="11"/>
  <c r="B562" i="11"/>
  <c r="A562" i="11"/>
  <c r="S562" i="11" s="1"/>
  <c r="S561" i="11"/>
  <c r="M561" i="11"/>
  <c r="L561" i="11"/>
  <c r="K561" i="11"/>
  <c r="J561" i="11"/>
  <c r="I561" i="11"/>
  <c r="H561" i="11"/>
  <c r="G561" i="11"/>
  <c r="F561" i="11"/>
  <c r="Q561" i="11" s="1"/>
  <c r="E561" i="11"/>
  <c r="P561" i="11" s="1"/>
  <c r="D561" i="11"/>
  <c r="C561" i="11"/>
  <c r="B561" i="11"/>
  <c r="T561" i="11" s="1"/>
  <c r="A561" i="11"/>
  <c r="T560" i="11"/>
  <c r="Q560" i="11"/>
  <c r="M560" i="11"/>
  <c r="L560" i="11"/>
  <c r="K560" i="11"/>
  <c r="J560" i="11"/>
  <c r="I560" i="11"/>
  <c r="H560" i="11"/>
  <c r="G560" i="11"/>
  <c r="F560" i="11"/>
  <c r="E560" i="11"/>
  <c r="D560" i="11"/>
  <c r="C560" i="11"/>
  <c r="B560" i="11"/>
  <c r="A560" i="11"/>
  <c r="S560" i="11" s="1"/>
  <c r="S559" i="11"/>
  <c r="M559" i="11"/>
  <c r="L559" i="11"/>
  <c r="K559" i="11"/>
  <c r="J559" i="11"/>
  <c r="I559" i="11"/>
  <c r="H559" i="11"/>
  <c r="G559" i="11"/>
  <c r="F559" i="11"/>
  <c r="Q559" i="11" s="1"/>
  <c r="E559" i="11"/>
  <c r="P559" i="11" s="1"/>
  <c r="D559" i="11"/>
  <c r="C559" i="11"/>
  <c r="B559" i="11"/>
  <c r="T559" i="11" s="1"/>
  <c r="A559" i="11"/>
  <c r="T558" i="11"/>
  <c r="Q558" i="11"/>
  <c r="P558" i="11"/>
  <c r="M558" i="11"/>
  <c r="L558" i="11"/>
  <c r="K558" i="11"/>
  <c r="J558" i="11"/>
  <c r="I558" i="11"/>
  <c r="H558" i="11"/>
  <c r="G558" i="11"/>
  <c r="F558" i="11"/>
  <c r="E558" i="11"/>
  <c r="D558" i="11"/>
  <c r="C558" i="11"/>
  <c r="B558" i="11"/>
  <c r="A558" i="11"/>
  <c r="S558" i="11" s="1"/>
  <c r="S557" i="11"/>
  <c r="M557" i="11"/>
  <c r="L557" i="11"/>
  <c r="K557" i="11"/>
  <c r="J557" i="11"/>
  <c r="I557" i="11"/>
  <c r="H557" i="11"/>
  <c r="G557" i="11"/>
  <c r="F557" i="11"/>
  <c r="Q557" i="11" s="1"/>
  <c r="E557" i="11"/>
  <c r="P557" i="11" s="1"/>
  <c r="D557" i="11"/>
  <c r="C557" i="11"/>
  <c r="B557" i="11"/>
  <c r="T557" i="11" s="1"/>
  <c r="A557" i="11"/>
  <c r="T556" i="11"/>
  <c r="Q556" i="11"/>
  <c r="P556" i="11"/>
  <c r="M556" i="11"/>
  <c r="L556" i="11"/>
  <c r="K556" i="11"/>
  <c r="J556" i="11"/>
  <c r="I556" i="11"/>
  <c r="H556" i="11"/>
  <c r="G556" i="11"/>
  <c r="F556" i="11"/>
  <c r="E556" i="11"/>
  <c r="D556" i="11"/>
  <c r="C556" i="11"/>
  <c r="B556" i="11"/>
  <c r="A556" i="11"/>
  <c r="S556" i="11" s="1"/>
  <c r="S555" i="11"/>
  <c r="M555" i="11"/>
  <c r="L555" i="11"/>
  <c r="K555" i="11"/>
  <c r="J555" i="11"/>
  <c r="I555" i="11"/>
  <c r="H555" i="11"/>
  <c r="G555" i="11"/>
  <c r="F555" i="11"/>
  <c r="Q555" i="11" s="1"/>
  <c r="E555" i="11"/>
  <c r="P555" i="11" s="1"/>
  <c r="D555" i="11"/>
  <c r="C555" i="11"/>
  <c r="B555" i="11"/>
  <c r="T555" i="11" s="1"/>
  <c r="A555" i="11"/>
  <c r="T554" i="11"/>
  <c r="Q554" i="11"/>
  <c r="M554" i="11"/>
  <c r="L554" i="11"/>
  <c r="K554" i="11"/>
  <c r="J554" i="11"/>
  <c r="I554" i="11"/>
  <c r="H554" i="11"/>
  <c r="G554" i="11"/>
  <c r="F554" i="11"/>
  <c r="E554" i="11"/>
  <c r="D554" i="11"/>
  <c r="C554" i="11"/>
  <c r="B554" i="11"/>
  <c r="A554" i="11"/>
  <c r="S554" i="11" s="1"/>
  <c r="S553" i="11"/>
  <c r="M553" i="11"/>
  <c r="L553" i="11"/>
  <c r="K553" i="11"/>
  <c r="J553" i="11"/>
  <c r="I553" i="11"/>
  <c r="H553" i="11"/>
  <c r="G553" i="11"/>
  <c r="F553" i="11"/>
  <c r="Q553" i="11" s="1"/>
  <c r="E553" i="11"/>
  <c r="P553" i="11" s="1"/>
  <c r="D553" i="11"/>
  <c r="C553" i="11"/>
  <c r="B553" i="11"/>
  <c r="T553" i="11" s="1"/>
  <c r="A553" i="11"/>
  <c r="T552" i="11"/>
  <c r="Q552" i="11"/>
  <c r="M552" i="11"/>
  <c r="L552" i="11"/>
  <c r="K552" i="11"/>
  <c r="J552" i="11"/>
  <c r="I552" i="11"/>
  <c r="H552" i="11"/>
  <c r="G552" i="11"/>
  <c r="F552" i="11"/>
  <c r="E552" i="11"/>
  <c r="D552" i="11"/>
  <c r="C552" i="11"/>
  <c r="B552" i="11"/>
  <c r="A552" i="11"/>
  <c r="S552" i="11" s="1"/>
  <c r="S551" i="11"/>
  <c r="M551" i="11"/>
  <c r="L551" i="11"/>
  <c r="K551" i="11"/>
  <c r="J551" i="11"/>
  <c r="I551" i="11"/>
  <c r="H551" i="11"/>
  <c r="G551" i="11"/>
  <c r="F551" i="11"/>
  <c r="Q551" i="11" s="1"/>
  <c r="E551" i="11"/>
  <c r="P551" i="11" s="1"/>
  <c r="D551" i="11"/>
  <c r="C551" i="11"/>
  <c r="B551" i="11"/>
  <c r="T551" i="11" s="1"/>
  <c r="A551" i="11"/>
  <c r="T550" i="11"/>
  <c r="Q550" i="11"/>
  <c r="P550" i="11"/>
  <c r="M550" i="11"/>
  <c r="L550" i="11"/>
  <c r="K550" i="11"/>
  <c r="J550" i="11"/>
  <c r="I550" i="11"/>
  <c r="H550" i="11"/>
  <c r="G550" i="11"/>
  <c r="F550" i="11"/>
  <c r="E550" i="11"/>
  <c r="D550" i="11"/>
  <c r="C550" i="11"/>
  <c r="B550" i="11"/>
  <c r="A550" i="11"/>
  <c r="S550" i="11" s="1"/>
  <c r="S549" i="11"/>
  <c r="M549" i="11"/>
  <c r="L549" i="11"/>
  <c r="K549" i="11"/>
  <c r="J549" i="11"/>
  <c r="I549" i="11"/>
  <c r="H549" i="11"/>
  <c r="G549" i="11"/>
  <c r="F549" i="11"/>
  <c r="Q549" i="11" s="1"/>
  <c r="E549" i="11"/>
  <c r="P549" i="11" s="1"/>
  <c r="D549" i="11"/>
  <c r="C549" i="11"/>
  <c r="B549" i="11"/>
  <c r="T549" i="11" s="1"/>
  <c r="A549" i="11"/>
  <c r="T548" i="11"/>
  <c r="Q548" i="11"/>
  <c r="P548" i="11"/>
  <c r="M548" i="11"/>
  <c r="L548" i="11"/>
  <c r="K548" i="11"/>
  <c r="J548" i="11"/>
  <c r="I548" i="11"/>
  <c r="H548" i="11"/>
  <c r="G548" i="11"/>
  <c r="F548" i="11"/>
  <c r="E548" i="11"/>
  <c r="D548" i="11"/>
  <c r="C548" i="11"/>
  <c r="B548" i="11"/>
  <c r="A548" i="11"/>
  <c r="S548" i="11" s="1"/>
  <c r="S547" i="11"/>
  <c r="M547" i="11"/>
  <c r="L547" i="11"/>
  <c r="K547" i="11"/>
  <c r="J547" i="11"/>
  <c r="I547" i="11"/>
  <c r="H547" i="11"/>
  <c r="G547" i="11"/>
  <c r="F547" i="11"/>
  <c r="Q547" i="11" s="1"/>
  <c r="E547" i="11"/>
  <c r="P547" i="11" s="1"/>
  <c r="D547" i="11"/>
  <c r="C547" i="11"/>
  <c r="B547" i="11"/>
  <c r="T547" i="11" s="1"/>
  <c r="A547" i="11"/>
  <c r="T546" i="11"/>
  <c r="Q546" i="11"/>
  <c r="M546" i="11"/>
  <c r="L546" i="11"/>
  <c r="K546" i="11"/>
  <c r="J546" i="11"/>
  <c r="I546" i="11"/>
  <c r="H546" i="11"/>
  <c r="G546" i="11"/>
  <c r="F546" i="11"/>
  <c r="E546" i="11"/>
  <c r="D546" i="11"/>
  <c r="C546" i="11"/>
  <c r="B546" i="11"/>
  <c r="A546" i="11"/>
  <c r="S546" i="11" s="1"/>
  <c r="S545" i="11"/>
  <c r="M545" i="11"/>
  <c r="L545" i="11"/>
  <c r="K545" i="11"/>
  <c r="J545" i="11"/>
  <c r="I545" i="11"/>
  <c r="H545" i="11"/>
  <c r="G545" i="11"/>
  <c r="F545" i="11"/>
  <c r="Q545" i="11" s="1"/>
  <c r="E545" i="11"/>
  <c r="P545" i="11" s="1"/>
  <c r="D545" i="11"/>
  <c r="C545" i="11"/>
  <c r="B545" i="11"/>
  <c r="T545" i="11" s="1"/>
  <c r="A545" i="11"/>
  <c r="T544" i="11"/>
  <c r="Q544" i="11"/>
  <c r="M544" i="11"/>
  <c r="L544" i="11"/>
  <c r="K544" i="11"/>
  <c r="J544" i="11"/>
  <c r="I544" i="11"/>
  <c r="H544" i="11"/>
  <c r="G544" i="11"/>
  <c r="F544" i="11"/>
  <c r="E544" i="11"/>
  <c r="D544" i="11"/>
  <c r="C544" i="11"/>
  <c r="B544" i="11"/>
  <c r="A544" i="11"/>
  <c r="S544" i="11" s="1"/>
  <c r="S543" i="11"/>
  <c r="M543" i="11"/>
  <c r="L543" i="11"/>
  <c r="K543" i="11"/>
  <c r="J543" i="11"/>
  <c r="I543" i="11"/>
  <c r="H543" i="11"/>
  <c r="G543" i="11"/>
  <c r="F543" i="11"/>
  <c r="Q543" i="11" s="1"/>
  <c r="E543" i="11"/>
  <c r="P543" i="11" s="1"/>
  <c r="D543" i="11"/>
  <c r="C543" i="11"/>
  <c r="B543" i="11"/>
  <c r="T543" i="11" s="1"/>
  <c r="A543" i="11"/>
  <c r="T542" i="11"/>
  <c r="Q542" i="11"/>
  <c r="P542" i="11"/>
  <c r="M542" i="11"/>
  <c r="L542" i="11"/>
  <c r="K542" i="11"/>
  <c r="J542" i="11"/>
  <c r="I542" i="11"/>
  <c r="H542" i="11"/>
  <c r="G542" i="11"/>
  <c r="F542" i="11"/>
  <c r="E542" i="11"/>
  <c r="D542" i="11"/>
  <c r="C542" i="11"/>
  <c r="B542" i="11"/>
  <c r="A542" i="11"/>
  <c r="S542" i="11" s="1"/>
  <c r="S541" i="11"/>
  <c r="M541" i="11"/>
  <c r="L541" i="11"/>
  <c r="K541" i="11"/>
  <c r="J541" i="11"/>
  <c r="I541" i="11"/>
  <c r="H541" i="11"/>
  <c r="G541" i="11"/>
  <c r="F541" i="11"/>
  <c r="Q541" i="11" s="1"/>
  <c r="E541" i="11"/>
  <c r="P541" i="11" s="1"/>
  <c r="D541" i="11"/>
  <c r="C541" i="11"/>
  <c r="B541" i="11"/>
  <c r="T541" i="11" s="1"/>
  <c r="A541" i="11"/>
  <c r="T540" i="11"/>
  <c r="Q540" i="11"/>
  <c r="P540" i="11"/>
  <c r="M540" i="11"/>
  <c r="L540" i="11"/>
  <c r="K540" i="11"/>
  <c r="J540" i="11"/>
  <c r="I540" i="11"/>
  <c r="H540" i="11"/>
  <c r="G540" i="11"/>
  <c r="F540" i="11"/>
  <c r="E540" i="11"/>
  <c r="D540" i="11"/>
  <c r="C540" i="11"/>
  <c r="B540" i="11"/>
  <c r="A540" i="11"/>
  <c r="S540" i="11" s="1"/>
  <c r="S539" i="11"/>
  <c r="M539" i="11"/>
  <c r="L539" i="11"/>
  <c r="K539" i="11"/>
  <c r="J539" i="11"/>
  <c r="I539" i="11"/>
  <c r="H539" i="11"/>
  <c r="G539" i="11"/>
  <c r="F539" i="11"/>
  <c r="Q539" i="11" s="1"/>
  <c r="E539" i="11"/>
  <c r="P539" i="11" s="1"/>
  <c r="D539" i="11"/>
  <c r="C539" i="11"/>
  <c r="B539" i="11"/>
  <c r="T539" i="11" s="1"/>
  <c r="A539" i="11"/>
  <c r="T538" i="11"/>
  <c r="Q538" i="11"/>
  <c r="M538" i="11"/>
  <c r="L538" i="11"/>
  <c r="K538" i="11"/>
  <c r="J538" i="11"/>
  <c r="I538" i="11"/>
  <c r="H538" i="11"/>
  <c r="G538" i="11"/>
  <c r="F538" i="11"/>
  <c r="E538" i="11"/>
  <c r="D538" i="11"/>
  <c r="C538" i="11"/>
  <c r="B538" i="11"/>
  <c r="A538" i="11"/>
  <c r="S538" i="11" s="1"/>
  <c r="S537" i="11"/>
  <c r="M537" i="11"/>
  <c r="L537" i="11"/>
  <c r="K537" i="11"/>
  <c r="J537" i="11"/>
  <c r="I537" i="11"/>
  <c r="H537" i="11"/>
  <c r="G537" i="11"/>
  <c r="F537" i="11"/>
  <c r="Q537" i="11" s="1"/>
  <c r="E537" i="11"/>
  <c r="P537" i="11" s="1"/>
  <c r="D537" i="11"/>
  <c r="C537" i="11"/>
  <c r="B537" i="11"/>
  <c r="T537" i="11" s="1"/>
  <c r="A537" i="11"/>
  <c r="T536" i="11"/>
  <c r="Q536" i="11"/>
  <c r="M536" i="11"/>
  <c r="L536" i="11"/>
  <c r="K536" i="11"/>
  <c r="J536" i="11"/>
  <c r="I536" i="11"/>
  <c r="H536" i="11"/>
  <c r="G536" i="11"/>
  <c r="F536" i="11"/>
  <c r="E536" i="11"/>
  <c r="D536" i="11"/>
  <c r="C536" i="11"/>
  <c r="B536" i="11"/>
  <c r="A536" i="11"/>
  <c r="S536" i="11" s="1"/>
  <c r="S535" i="11"/>
  <c r="M535" i="11"/>
  <c r="L535" i="11"/>
  <c r="K535" i="11"/>
  <c r="J535" i="11"/>
  <c r="I535" i="11"/>
  <c r="H535" i="11"/>
  <c r="G535" i="11"/>
  <c r="F535" i="11"/>
  <c r="Q535" i="11" s="1"/>
  <c r="E535" i="11"/>
  <c r="P535" i="11" s="1"/>
  <c r="D535" i="11"/>
  <c r="C535" i="11"/>
  <c r="B535" i="11"/>
  <c r="T535" i="11" s="1"/>
  <c r="A535" i="11"/>
  <c r="T534" i="11"/>
  <c r="Q534" i="11"/>
  <c r="P534" i="11"/>
  <c r="M534" i="11"/>
  <c r="L534" i="11"/>
  <c r="K534" i="11"/>
  <c r="J534" i="11"/>
  <c r="I534" i="11"/>
  <c r="H534" i="11"/>
  <c r="G534" i="11"/>
  <c r="F534" i="11"/>
  <c r="E534" i="11"/>
  <c r="D534" i="11"/>
  <c r="C534" i="11"/>
  <c r="B534" i="11"/>
  <c r="A534" i="11"/>
  <c r="S534" i="11" s="1"/>
  <c r="S533" i="11"/>
  <c r="M533" i="11"/>
  <c r="L533" i="11"/>
  <c r="K533" i="11"/>
  <c r="J533" i="11"/>
  <c r="I533" i="11"/>
  <c r="H533" i="11"/>
  <c r="G533" i="11"/>
  <c r="F533" i="11"/>
  <c r="Q533" i="11" s="1"/>
  <c r="E533" i="11"/>
  <c r="P533" i="11" s="1"/>
  <c r="D533" i="11"/>
  <c r="C533" i="11"/>
  <c r="B533" i="11"/>
  <c r="T533" i="11" s="1"/>
  <c r="A533" i="11"/>
  <c r="T532" i="11"/>
  <c r="Q532" i="11"/>
  <c r="P532" i="11"/>
  <c r="M532" i="11"/>
  <c r="L532" i="11"/>
  <c r="K532" i="11"/>
  <c r="J532" i="11"/>
  <c r="I532" i="11"/>
  <c r="H532" i="11"/>
  <c r="G532" i="11"/>
  <c r="F532" i="11"/>
  <c r="E532" i="11"/>
  <c r="D532" i="11"/>
  <c r="C532" i="11"/>
  <c r="B532" i="11"/>
  <c r="A532" i="11"/>
  <c r="S532" i="11" s="1"/>
  <c r="S531" i="11"/>
  <c r="M531" i="11"/>
  <c r="L531" i="11"/>
  <c r="K531" i="11"/>
  <c r="J531" i="11"/>
  <c r="I531" i="11"/>
  <c r="H531" i="11"/>
  <c r="G531" i="11"/>
  <c r="F531" i="11"/>
  <c r="Q531" i="11" s="1"/>
  <c r="E531" i="11"/>
  <c r="P531" i="11" s="1"/>
  <c r="D531" i="11"/>
  <c r="C531" i="11"/>
  <c r="B531" i="11"/>
  <c r="T531" i="11" s="1"/>
  <c r="A531" i="11"/>
  <c r="T530" i="11"/>
  <c r="Q530" i="11"/>
  <c r="M530" i="11"/>
  <c r="L530" i="11"/>
  <c r="K530" i="11"/>
  <c r="J530" i="11"/>
  <c r="I530" i="11"/>
  <c r="H530" i="11"/>
  <c r="G530" i="11"/>
  <c r="F530" i="11"/>
  <c r="E530" i="11"/>
  <c r="D530" i="11"/>
  <c r="C530" i="11"/>
  <c r="B530" i="11"/>
  <c r="A530" i="11"/>
  <c r="S530" i="11" s="1"/>
  <c r="S529" i="11"/>
  <c r="M529" i="11"/>
  <c r="L529" i="11"/>
  <c r="K529" i="11"/>
  <c r="J529" i="11"/>
  <c r="I529" i="11"/>
  <c r="H529" i="11"/>
  <c r="G529" i="11"/>
  <c r="F529" i="11"/>
  <c r="Q529" i="11" s="1"/>
  <c r="E529" i="11"/>
  <c r="P529" i="11" s="1"/>
  <c r="D529" i="11"/>
  <c r="C529" i="11"/>
  <c r="B529" i="11"/>
  <c r="T529" i="11" s="1"/>
  <c r="A529" i="11"/>
  <c r="T528" i="11"/>
  <c r="Q528" i="11"/>
  <c r="M528" i="11"/>
  <c r="L528" i="11"/>
  <c r="K528" i="11"/>
  <c r="J528" i="11"/>
  <c r="I528" i="11"/>
  <c r="H528" i="11"/>
  <c r="G528" i="11"/>
  <c r="F528" i="11"/>
  <c r="E528" i="11"/>
  <c r="D528" i="11"/>
  <c r="C528" i="11"/>
  <c r="B528" i="11"/>
  <c r="A528" i="11"/>
  <c r="S528" i="11" s="1"/>
  <c r="S527" i="11"/>
  <c r="M527" i="11"/>
  <c r="L527" i="11"/>
  <c r="K527" i="11"/>
  <c r="J527" i="11"/>
  <c r="I527" i="11"/>
  <c r="H527" i="11"/>
  <c r="G527" i="11"/>
  <c r="F527" i="11"/>
  <c r="Q527" i="11" s="1"/>
  <c r="E527" i="11"/>
  <c r="P527" i="11" s="1"/>
  <c r="D527" i="11"/>
  <c r="C527" i="11"/>
  <c r="B527" i="11"/>
  <c r="T527" i="11" s="1"/>
  <c r="A527" i="11"/>
  <c r="T526" i="11"/>
  <c r="Q526" i="11"/>
  <c r="P526" i="11"/>
  <c r="M526" i="11"/>
  <c r="L526" i="11"/>
  <c r="K526" i="11"/>
  <c r="J526" i="11"/>
  <c r="I526" i="11"/>
  <c r="H526" i="11"/>
  <c r="G526" i="11"/>
  <c r="F526" i="11"/>
  <c r="E526" i="11"/>
  <c r="D526" i="11"/>
  <c r="C526" i="11"/>
  <c r="B526" i="11"/>
  <c r="A526" i="11"/>
  <c r="S526" i="11" s="1"/>
  <c r="S525" i="11"/>
  <c r="M525" i="11"/>
  <c r="L525" i="11"/>
  <c r="K525" i="11"/>
  <c r="J525" i="11"/>
  <c r="I525" i="11"/>
  <c r="H525" i="11"/>
  <c r="G525" i="11"/>
  <c r="F525" i="11"/>
  <c r="Q525" i="11" s="1"/>
  <c r="E525" i="11"/>
  <c r="P525" i="11" s="1"/>
  <c r="D525" i="11"/>
  <c r="C525" i="11"/>
  <c r="B525" i="11"/>
  <c r="T525" i="11" s="1"/>
  <c r="A525" i="11"/>
  <c r="T524" i="11"/>
  <c r="Q524" i="11"/>
  <c r="P524" i="11"/>
  <c r="M524" i="11"/>
  <c r="L524" i="11"/>
  <c r="K524" i="11"/>
  <c r="J524" i="11"/>
  <c r="I524" i="11"/>
  <c r="H524" i="11"/>
  <c r="G524" i="11"/>
  <c r="F524" i="11"/>
  <c r="E524" i="11"/>
  <c r="D524" i="11"/>
  <c r="C524" i="11"/>
  <c r="B524" i="11"/>
  <c r="A524" i="11"/>
  <c r="S524" i="11" s="1"/>
  <c r="S523" i="11"/>
  <c r="M523" i="11"/>
  <c r="L523" i="11"/>
  <c r="K523" i="11"/>
  <c r="J523" i="11"/>
  <c r="I523" i="11"/>
  <c r="H523" i="11"/>
  <c r="G523" i="11"/>
  <c r="F523" i="11"/>
  <c r="Q523" i="11" s="1"/>
  <c r="E523" i="11"/>
  <c r="P523" i="11" s="1"/>
  <c r="D523" i="11"/>
  <c r="C523" i="11"/>
  <c r="B523" i="11"/>
  <c r="T523" i="11" s="1"/>
  <c r="A523" i="11"/>
  <c r="T522" i="11"/>
  <c r="Q522" i="11"/>
  <c r="M522" i="11"/>
  <c r="L522" i="11"/>
  <c r="K522" i="11"/>
  <c r="J522" i="11"/>
  <c r="I522" i="11"/>
  <c r="H522" i="11"/>
  <c r="G522" i="11"/>
  <c r="F522" i="11"/>
  <c r="E522" i="11"/>
  <c r="D522" i="11"/>
  <c r="C522" i="11"/>
  <c r="B522" i="11"/>
  <c r="A522" i="11"/>
  <c r="S522" i="11" s="1"/>
  <c r="S521" i="11"/>
  <c r="M521" i="11"/>
  <c r="L521" i="11"/>
  <c r="K521" i="11"/>
  <c r="J521" i="11"/>
  <c r="I521" i="11"/>
  <c r="H521" i="11"/>
  <c r="G521" i="11"/>
  <c r="F521" i="11"/>
  <c r="Q521" i="11" s="1"/>
  <c r="E521" i="11"/>
  <c r="P521" i="11" s="1"/>
  <c r="D521" i="11"/>
  <c r="C521" i="11"/>
  <c r="B521" i="11"/>
  <c r="T521" i="11" s="1"/>
  <c r="A521" i="11"/>
  <c r="T520" i="11"/>
  <c r="Q520" i="11"/>
  <c r="M520" i="11"/>
  <c r="L520" i="11"/>
  <c r="K520" i="11"/>
  <c r="J520" i="11"/>
  <c r="I520" i="11"/>
  <c r="H520" i="11"/>
  <c r="G520" i="11"/>
  <c r="F520" i="11"/>
  <c r="E520" i="11"/>
  <c r="D520" i="11"/>
  <c r="C520" i="11"/>
  <c r="B520" i="11"/>
  <c r="A520" i="11"/>
  <c r="S520" i="11" s="1"/>
  <c r="S519" i="11"/>
  <c r="M519" i="11"/>
  <c r="L519" i="11"/>
  <c r="K519" i="11"/>
  <c r="J519" i="11"/>
  <c r="I519" i="11"/>
  <c r="H519" i="11"/>
  <c r="G519" i="11"/>
  <c r="F519" i="11"/>
  <c r="Q519" i="11" s="1"/>
  <c r="E519" i="11"/>
  <c r="P519" i="11" s="1"/>
  <c r="D519" i="11"/>
  <c r="C519" i="11"/>
  <c r="B519" i="11"/>
  <c r="T519" i="11" s="1"/>
  <c r="A519" i="11"/>
  <c r="T518" i="11"/>
  <c r="Q518" i="11"/>
  <c r="P518" i="11"/>
  <c r="M518" i="11"/>
  <c r="L518" i="11"/>
  <c r="K518" i="11"/>
  <c r="J518" i="11"/>
  <c r="I518" i="11"/>
  <c r="H518" i="11"/>
  <c r="G518" i="11"/>
  <c r="F518" i="11"/>
  <c r="E518" i="11"/>
  <c r="D518" i="11"/>
  <c r="C518" i="11"/>
  <c r="B518" i="11"/>
  <c r="A518" i="11"/>
  <c r="S518" i="11" s="1"/>
  <c r="S517" i="11"/>
  <c r="M517" i="11"/>
  <c r="L517" i="11"/>
  <c r="K517" i="11"/>
  <c r="J517" i="11"/>
  <c r="I517" i="11"/>
  <c r="H517" i="11"/>
  <c r="G517" i="11"/>
  <c r="F517" i="11"/>
  <c r="Q517" i="11" s="1"/>
  <c r="E517" i="11"/>
  <c r="P517" i="11" s="1"/>
  <c r="D517" i="11"/>
  <c r="C517" i="11"/>
  <c r="B517" i="11"/>
  <c r="T517" i="11" s="1"/>
  <c r="A517" i="11"/>
  <c r="T516" i="11"/>
  <c r="Q516" i="11"/>
  <c r="P516" i="11"/>
  <c r="M516" i="11"/>
  <c r="L516" i="11"/>
  <c r="K516" i="11"/>
  <c r="J516" i="11"/>
  <c r="I516" i="11"/>
  <c r="H516" i="11"/>
  <c r="G516" i="11"/>
  <c r="F516" i="11"/>
  <c r="E516" i="11"/>
  <c r="D516" i="11"/>
  <c r="C516" i="11"/>
  <c r="B516" i="11"/>
  <c r="A516" i="11"/>
  <c r="S516" i="11" s="1"/>
  <c r="S515" i="11"/>
  <c r="M515" i="11"/>
  <c r="L515" i="11"/>
  <c r="K515" i="11"/>
  <c r="J515" i="11"/>
  <c r="I515" i="11"/>
  <c r="H515" i="11"/>
  <c r="G515" i="11"/>
  <c r="F515" i="11"/>
  <c r="Q515" i="11" s="1"/>
  <c r="E515" i="11"/>
  <c r="P515" i="11" s="1"/>
  <c r="D515" i="11"/>
  <c r="C515" i="11"/>
  <c r="B515" i="11"/>
  <c r="T515" i="11" s="1"/>
  <c r="A515" i="11"/>
  <c r="T514" i="11"/>
  <c r="Q514" i="11"/>
  <c r="M514" i="11"/>
  <c r="L514" i="11"/>
  <c r="K514" i="11"/>
  <c r="J514" i="11"/>
  <c r="I514" i="11"/>
  <c r="H514" i="11"/>
  <c r="G514" i="11"/>
  <c r="F514" i="11"/>
  <c r="E514" i="11"/>
  <c r="D514" i="11"/>
  <c r="C514" i="11"/>
  <c r="B514" i="11"/>
  <c r="A514" i="11"/>
  <c r="S514" i="11" s="1"/>
  <c r="S513" i="11"/>
  <c r="M513" i="11"/>
  <c r="L513" i="11"/>
  <c r="K513" i="11"/>
  <c r="J513" i="11"/>
  <c r="I513" i="11"/>
  <c r="H513" i="11"/>
  <c r="G513" i="11"/>
  <c r="F513" i="11"/>
  <c r="Q513" i="11" s="1"/>
  <c r="E513" i="11"/>
  <c r="P513" i="11" s="1"/>
  <c r="D513" i="11"/>
  <c r="C513" i="11"/>
  <c r="B513" i="11"/>
  <c r="T513" i="11" s="1"/>
  <c r="A513" i="11"/>
  <c r="T512" i="11"/>
  <c r="Q512" i="11"/>
  <c r="M512" i="11"/>
  <c r="L512" i="11"/>
  <c r="K512" i="11"/>
  <c r="J512" i="11"/>
  <c r="I512" i="11"/>
  <c r="H512" i="11"/>
  <c r="G512" i="11"/>
  <c r="F512" i="11"/>
  <c r="E512" i="11"/>
  <c r="D512" i="11"/>
  <c r="C512" i="11"/>
  <c r="B512" i="11"/>
  <c r="A512" i="11"/>
  <c r="S512" i="11" s="1"/>
  <c r="S511" i="11"/>
  <c r="M511" i="11"/>
  <c r="L511" i="11"/>
  <c r="K511" i="11"/>
  <c r="J511" i="11"/>
  <c r="I511" i="11"/>
  <c r="H511" i="11"/>
  <c r="G511" i="11"/>
  <c r="F511" i="11"/>
  <c r="Q511" i="11" s="1"/>
  <c r="E511" i="11"/>
  <c r="P511" i="11" s="1"/>
  <c r="D511" i="11"/>
  <c r="C511" i="11"/>
  <c r="B511" i="11"/>
  <c r="T511" i="11" s="1"/>
  <c r="A511" i="11"/>
  <c r="T510" i="11"/>
  <c r="Q510" i="11"/>
  <c r="P510" i="11"/>
  <c r="M510" i="11"/>
  <c r="L510" i="11"/>
  <c r="K510" i="11"/>
  <c r="J510" i="11"/>
  <c r="I510" i="11"/>
  <c r="H510" i="11"/>
  <c r="G510" i="11"/>
  <c r="F510" i="11"/>
  <c r="E510" i="11"/>
  <c r="D510" i="11"/>
  <c r="C510" i="11"/>
  <c r="B510" i="11"/>
  <c r="A510" i="11"/>
  <c r="S510" i="11" s="1"/>
  <c r="S509" i="11"/>
  <c r="M509" i="11"/>
  <c r="L509" i="11"/>
  <c r="K509" i="11"/>
  <c r="J509" i="11"/>
  <c r="I509" i="11"/>
  <c r="H509" i="11"/>
  <c r="G509" i="11"/>
  <c r="F509" i="11"/>
  <c r="Q509" i="11" s="1"/>
  <c r="E509" i="11"/>
  <c r="P509" i="11" s="1"/>
  <c r="D509" i="11"/>
  <c r="C509" i="11"/>
  <c r="B509" i="11"/>
  <c r="T509" i="11" s="1"/>
  <c r="A509" i="11"/>
  <c r="T508" i="11"/>
  <c r="Q508" i="11"/>
  <c r="P508" i="11"/>
  <c r="M508" i="11"/>
  <c r="L508" i="11"/>
  <c r="K508" i="11"/>
  <c r="J508" i="11"/>
  <c r="I508" i="11"/>
  <c r="H508" i="11"/>
  <c r="G508" i="11"/>
  <c r="F508" i="11"/>
  <c r="E508" i="11"/>
  <c r="D508" i="11"/>
  <c r="C508" i="11"/>
  <c r="B508" i="11"/>
  <c r="A508" i="11"/>
  <c r="S508" i="11" s="1"/>
  <c r="S507" i="11"/>
  <c r="M507" i="11"/>
  <c r="L507" i="11"/>
  <c r="K507" i="11"/>
  <c r="J507" i="11"/>
  <c r="I507" i="11"/>
  <c r="H507" i="11"/>
  <c r="G507" i="11"/>
  <c r="F507" i="11"/>
  <c r="Q507" i="11" s="1"/>
  <c r="E507" i="11"/>
  <c r="P507" i="11" s="1"/>
  <c r="D507" i="11"/>
  <c r="C507" i="11"/>
  <c r="B507" i="11"/>
  <c r="T507" i="11" s="1"/>
  <c r="A507" i="11"/>
  <c r="T506" i="11"/>
  <c r="Q506" i="11"/>
  <c r="M506" i="11"/>
  <c r="L506" i="11"/>
  <c r="K506" i="11"/>
  <c r="J506" i="11"/>
  <c r="I506" i="11"/>
  <c r="H506" i="11"/>
  <c r="G506" i="11"/>
  <c r="F506" i="11"/>
  <c r="E506" i="11"/>
  <c r="D506" i="11"/>
  <c r="C506" i="11"/>
  <c r="B506" i="11"/>
  <c r="A506" i="11"/>
  <c r="S506" i="11" s="1"/>
  <c r="S505" i="11"/>
  <c r="M505" i="11"/>
  <c r="L505" i="11"/>
  <c r="K505" i="11"/>
  <c r="J505" i="11"/>
  <c r="I505" i="11"/>
  <c r="H505" i="11"/>
  <c r="G505" i="11"/>
  <c r="F505" i="11"/>
  <c r="Q505" i="11" s="1"/>
  <c r="E505" i="11"/>
  <c r="P505" i="11" s="1"/>
  <c r="D505" i="11"/>
  <c r="C505" i="11"/>
  <c r="B505" i="11"/>
  <c r="T505" i="11" s="1"/>
  <c r="A505" i="11"/>
  <c r="T504" i="11"/>
  <c r="Q504" i="11"/>
  <c r="M504" i="11"/>
  <c r="L504" i="11"/>
  <c r="K504" i="11"/>
  <c r="J504" i="11"/>
  <c r="I504" i="11"/>
  <c r="H504" i="11"/>
  <c r="G504" i="11"/>
  <c r="F504" i="11"/>
  <c r="E504" i="11"/>
  <c r="D504" i="11"/>
  <c r="C504" i="11"/>
  <c r="B504" i="11"/>
  <c r="A504" i="11"/>
  <c r="S504" i="11" s="1"/>
  <c r="S503" i="11"/>
  <c r="M503" i="11"/>
  <c r="L503" i="11"/>
  <c r="K503" i="11"/>
  <c r="J503" i="11"/>
  <c r="I503" i="11"/>
  <c r="H503" i="11"/>
  <c r="G503" i="11"/>
  <c r="F503" i="11"/>
  <c r="Q503" i="11" s="1"/>
  <c r="E503" i="11"/>
  <c r="P503" i="11" s="1"/>
  <c r="D503" i="11"/>
  <c r="C503" i="11"/>
  <c r="B503" i="11"/>
  <c r="T503" i="11" s="1"/>
  <c r="A503" i="11"/>
  <c r="T502" i="11"/>
  <c r="Q502" i="11"/>
  <c r="P502" i="11"/>
  <c r="M502" i="11"/>
  <c r="L502" i="11"/>
  <c r="K502" i="11"/>
  <c r="J502" i="11"/>
  <c r="I502" i="11"/>
  <c r="H502" i="11"/>
  <c r="G502" i="11"/>
  <c r="F502" i="11"/>
  <c r="E502" i="11"/>
  <c r="D502" i="11"/>
  <c r="C502" i="11"/>
  <c r="B502" i="11"/>
  <c r="A502" i="11"/>
  <c r="S502" i="11" s="1"/>
  <c r="S501" i="11"/>
  <c r="M501" i="11"/>
  <c r="L501" i="11"/>
  <c r="K501" i="11"/>
  <c r="J501" i="11"/>
  <c r="I501" i="11"/>
  <c r="H501" i="11"/>
  <c r="G501" i="11"/>
  <c r="F501" i="11"/>
  <c r="Q501" i="11" s="1"/>
  <c r="E501" i="11"/>
  <c r="P501" i="11" s="1"/>
  <c r="D501" i="11"/>
  <c r="C501" i="11"/>
  <c r="B501" i="11"/>
  <c r="T501" i="11" s="1"/>
  <c r="A501" i="11"/>
  <c r="T500" i="11"/>
  <c r="Q500" i="11"/>
  <c r="P500" i="11"/>
  <c r="M500" i="11"/>
  <c r="L500" i="11"/>
  <c r="K500" i="11"/>
  <c r="J500" i="11"/>
  <c r="I500" i="11"/>
  <c r="H500" i="11"/>
  <c r="G500" i="11"/>
  <c r="F500" i="11"/>
  <c r="E500" i="11"/>
  <c r="D500" i="11"/>
  <c r="C500" i="11"/>
  <c r="B500" i="11"/>
  <c r="A500" i="11"/>
  <c r="S500" i="11" s="1"/>
  <c r="S499" i="11"/>
  <c r="M499" i="11"/>
  <c r="L499" i="11"/>
  <c r="K499" i="11"/>
  <c r="J499" i="11"/>
  <c r="I499" i="11"/>
  <c r="H499" i="11"/>
  <c r="G499" i="11"/>
  <c r="F499" i="11"/>
  <c r="Q499" i="11" s="1"/>
  <c r="E499" i="11"/>
  <c r="P499" i="11" s="1"/>
  <c r="D499" i="11"/>
  <c r="C499" i="11"/>
  <c r="B499" i="11"/>
  <c r="T499" i="11" s="1"/>
  <c r="A499" i="11"/>
  <c r="T498" i="11"/>
  <c r="Q498" i="11"/>
  <c r="M498" i="11"/>
  <c r="L498" i="11"/>
  <c r="K498" i="11"/>
  <c r="J498" i="11"/>
  <c r="I498" i="11"/>
  <c r="H498" i="11"/>
  <c r="G498" i="11"/>
  <c r="F498" i="11"/>
  <c r="E498" i="11"/>
  <c r="D498" i="11"/>
  <c r="C498" i="11"/>
  <c r="B498" i="11"/>
  <c r="A498" i="11"/>
  <c r="S498" i="11" s="1"/>
  <c r="S497" i="11"/>
  <c r="M497" i="11"/>
  <c r="L497" i="11"/>
  <c r="K497" i="11"/>
  <c r="J497" i="11"/>
  <c r="I497" i="11"/>
  <c r="H497" i="11"/>
  <c r="G497" i="11"/>
  <c r="F497" i="11"/>
  <c r="Q497" i="11" s="1"/>
  <c r="E497" i="11"/>
  <c r="P497" i="11" s="1"/>
  <c r="D497" i="11"/>
  <c r="C497" i="11"/>
  <c r="B497" i="11"/>
  <c r="T497" i="11" s="1"/>
  <c r="A497" i="11"/>
  <c r="T496" i="11"/>
  <c r="Q496" i="11"/>
  <c r="M496" i="11"/>
  <c r="L496" i="11"/>
  <c r="K496" i="11"/>
  <c r="J496" i="11"/>
  <c r="I496" i="11"/>
  <c r="H496" i="11"/>
  <c r="G496" i="11"/>
  <c r="F496" i="11"/>
  <c r="E496" i="11"/>
  <c r="D496" i="11"/>
  <c r="C496" i="11"/>
  <c r="B496" i="11"/>
  <c r="A496" i="11"/>
  <c r="S496" i="11" s="1"/>
  <c r="S495" i="11"/>
  <c r="M495" i="11"/>
  <c r="L495" i="11"/>
  <c r="K495" i="11"/>
  <c r="J495" i="11"/>
  <c r="I495" i="11"/>
  <c r="H495" i="11"/>
  <c r="G495" i="11"/>
  <c r="F495" i="11"/>
  <c r="Q495" i="11" s="1"/>
  <c r="E495" i="11"/>
  <c r="P495" i="11" s="1"/>
  <c r="D495" i="11"/>
  <c r="C495" i="11"/>
  <c r="B495" i="11"/>
  <c r="T495" i="11" s="1"/>
  <c r="A495" i="11"/>
  <c r="T494" i="11"/>
  <c r="Q494" i="11"/>
  <c r="M494" i="11"/>
  <c r="L494" i="11"/>
  <c r="K494" i="11"/>
  <c r="J494" i="11"/>
  <c r="I494" i="11"/>
  <c r="H494" i="11"/>
  <c r="G494" i="11"/>
  <c r="F494" i="11"/>
  <c r="E494" i="11"/>
  <c r="D494" i="11"/>
  <c r="C494" i="11"/>
  <c r="B494" i="11"/>
  <c r="A494" i="11"/>
  <c r="S494" i="11" s="1"/>
  <c r="V493" i="11"/>
  <c r="Q493" i="11"/>
  <c r="M493" i="11"/>
  <c r="L493" i="11"/>
  <c r="K493" i="11"/>
  <c r="J493" i="11"/>
  <c r="I493" i="11"/>
  <c r="H493" i="11"/>
  <c r="G493" i="11"/>
  <c r="F493" i="11"/>
  <c r="E493" i="11"/>
  <c r="P493" i="11" s="1"/>
  <c r="D493" i="11"/>
  <c r="C493" i="11"/>
  <c r="B493" i="11"/>
  <c r="T493" i="11" s="1"/>
  <c r="A493" i="11"/>
  <c r="S493" i="11" s="1"/>
  <c r="T492" i="11"/>
  <c r="Q492" i="11"/>
  <c r="P492" i="11"/>
  <c r="M492" i="11"/>
  <c r="L492" i="11"/>
  <c r="K492" i="11"/>
  <c r="J492" i="11"/>
  <c r="I492" i="11"/>
  <c r="H492" i="11"/>
  <c r="G492" i="11"/>
  <c r="F492" i="11"/>
  <c r="E492" i="11"/>
  <c r="D492" i="11"/>
  <c r="C492" i="11"/>
  <c r="B492" i="11"/>
  <c r="A492" i="11"/>
  <c r="S492" i="11" s="1"/>
  <c r="V491" i="11"/>
  <c r="S491" i="11"/>
  <c r="Q491" i="11"/>
  <c r="M491" i="11"/>
  <c r="L491" i="11"/>
  <c r="K491" i="11"/>
  <c r="J491" i="11"/>
  <c r="I491" i="11"/>
  <c r="H491" i="11"/>
  <c r="G491" i="11"/>
  <c r="F491" i="11"/>
  <c r="E491" i="11"/>
  <c r="P491" i="11" s="1"/>
  <c r="D491" i="11"/>
  <c r="C491" i="11"/>
  <c r="B491" i="11"/>
  <c r="T491" i="11" s="1"/>
  <c r="A491" i="11"/>
  <c r="T490" i="11"/>
  <c r="Q490" i="11"/>
  <c r="P490" i="11"/>
  <c r="M490" i="11"/>
  <c r="L490" i="11"/>
  <c r="K490" i="11"/>
  <c r="J490" i="11"/>
  <c r="I490" i="11"/>
  <c r="H490" i="11"/>
  <c r="G490" i="11"/>
  <c r="F490" i="11"/>
  <c r="E490" i="11"/>
  <c r="D490" i="11"/>
  <c r="C490" i="11"/>
  <c r="B490" i="11"/>
  <c r="A490" i="11"/>
  <c r="S490" i="11" s="1"/>
  <c r="S489" i="11"/>
  <c r="M489" i="11"/>
  <c r="L489" i="11"/>
  <c r="K489" i="11"/>
  <c r="J489" i="11"/>
  <c r="I489" i="11"/>
  <c r="H489" i="11"/>
  <c r="G489" i="11"/>
  <c r="F489" i="11"/>
  <c r="Q489" i="11" s="1"/>
  <c r="E489" i="11"/>
  <c r="P489" i="11" s="1"/>
  <c r="D489" i="11"/>
  <c r="C489" i="11"/>
  <c r="B489" i="11"/>
  <c r="T489" i="11" s="1"/>
  <c r="A489" i="11"/>
  <c r="T488" i="11"/>
  <c r="S488" i="11"/>
  <c r="Q488" i="11"/>
  <c r="M488" i="11"/>
  <c r="L488" i="11"/>
  <c r="K488" i="11"/>
  <c r="J488" i="11"/>
  <c r="I488" i="11"/>
  <c r="H488" i="11"/>
  <c r="G488" i="11"/>
  <c r="F488" i="11"/>
  <c r="E488" i="11"/>
  <c r="D488" i="11"/>
  <c r="C488" i="11"/>
  <c r="B488" i="11"/>
  <c r="A488" i="11"/>
  <c r="M487" i="11"/>
  <c r="L487" i="11"/>
  <c r="K487" i="11"/>
  <c r="J487" i="11"/>
  <c r="I487" i="11"/>
  <c r="H487" i="11"/>
  <c r="G487" i="11"/>
  <c r="F487" i="11"/>
  <c r="Q487" i="11" s="1"/>
  <c r="E487" i="11"/>
  <c r="D487" i="11"/>
  <c r="C487" i="11"/>
  <c r="B487" i="11"/>
  <c r="T487" i="11" s="1"/>
  <c r="A487" i="11"/>
  <c r="S487" i="11" s="1"/>
  <c r="T486" i="11"/>
  <c r="Q486" i="11"/>
  <c r="M486" i="11"/>
  <c r="L486" i="11"/>
  <c r="K486" i="11"/>
  <c r="J486" i="11"/>
  <c r="I486" i="11"/>
  <c r="H486" i="11"/>
  <c r="G486" i="11"/>
  <c r="F486" i="11"/>
  <c r="E486" i="11"/>
  <c r="D486" i="11"/>
  <c r="C486" i="11"/>
  <c r="B486" i="11"/>
  <c r="A486" i="11"/>
  <c r="S486" i="11" s="1"/>
  <c r="V485" i="11"/>
  <c r="Q485" i="11"/>
  <c r="M485" i="11"/>
  <c r="L485" i="11"/>
  <c r="K485" i="11"/>
  <c r="J485" i="11"/>
  <c r="I485" i="11"/>
  <c r="H485" i="11"/>
  <c r="G485" i="11"/>
  <c r="F485" i="11"/>
  <c r="E485" i="11"/>
  <c r="P485" i="11" s="1"/>
  <c r="D485" i="11"/>
  <c r="C485" i="11"/>
  <c r="B485" i="11"/>
  <c r="T485" i="11" s="1"/>
  <c r="A485" i="11"/>
  <c r="S485" i="11" s="1"/>
  <c r="T484" i="11"/>
  <c r="Q484" i="11"/>
  <c r="P484" i="11"/>
  <c r="M484" i="11"/>
  <c r="L484" i="11"/>
  <c r="K484" i="11"/>
  <c r="J484" i="11"/>
  <c r="I484" i="11"/>
  <c r="H484" i="11"/>
  <c r="G484" i="11"/>
  <c r="F484" i="11"/>
  <c r="E484" i="11"/>
  <c r="D484" i="11"/>
  <c r="C484" i="11"/>
  <c r="B484" i="11"/>
  <c r="A484" i="11"/>
  <c r="S484" i="11" s="1"/>
  <c r="V483" i="11"/>
  <c r="S483" i="11"/>
  <c r="Q483" i="11"/>
  <c r="M483" i="11"/>
  <c r="L483" i="11"/>
  <c r="K483" i="11"/>
  <c r="J483" i="11"/>
  <c r="I483" i="11"/>
  <c r="H483" i="11"/>
  <c r="G483" i="11"/>
  <c r="F483" i="11"/>
  <c r="E483" i="11"/>
  <c r="P483" i="11" s="1"/>
  <c r="D483" i="11"/>
  <c r="C483" i="11"/>
  <c r="B483" i="11"/>
  <c r="T483" i="11" s="1"/>
  <c r="A483" i="11"/>
  <c r="T482" i="11"/>
  <c r="Q482" i="11"/>
  <c r="P482" i="11"/>
  <c r="M482" i="11"/>
  <c r="L482" i="11"/>
  <c r="K482" i="11"/>
  <c r="J482" i="11"/>
  <c r="I482" i="11"/>
  <c r="H482" i="11"/>
  <c r="G482" i="11"/>
  <c r="F482" i="11"/>
  <c r="E482" i="11"/>
  <c r="D482" i="11"/>
  <c r="C482" i="11"/>
  <c r="B482" i="11"/>
  <c r="A482" i="11"/>
  <c r="S482" i="11" s="1"/>
  <c r="S481" i="11"/>
  <c r="M481" i="11"/>
  <c r="L481" i="11"/>
  <c r="K481" i="11"/>
  <c r="J481" i="11"/>
  <c r="I481" i="11"/>
  <c r="H481" i="11"/>
  <c r="G481" i="11"/>
  <c r="F481" i="11"/>
  <c r="Q481" i="11" s="1"/>
  <c r="E481" i="11"/>
  <c r="P481" i="11" s="1"/>
  <c r="D481" i="11"/>
  <c r="C481" i="11"/>
  <c r="B481" i="11"/>
  <c r="T481" i="11" s="1"/>
  <c r="A481" i="11"/>
  <c r="T480" i="11"/>
  <c r="Q480" i="11"/>
  <c r="M480" i="11"/>
  <c r="L480" i="11"/>
  <c r="K480" i="11"/>
  <c r="J480" i="11"/>
  <c r="I480" i="11"/>
  <c r="H480" i="11"/>
  <c r="G480" i="11"/>
  <c r="F480" i="11"/>
  <c r="E480" i="11"/>
  <c r="D480" i="11"/>
  <c r="C480" i="11"/>
  <c r="B480" i="11"/>
  <c r="A480" i="11"/>
  <c r="S480" i="11" s="1"/>
  <c r="M479" i="11"/>
  <c r="L479" i="11"/>
  <c r="K479" i="11"/>
  <c r="J479" i="11"/>
  <c r="I479" i="11"/>
  <c r="H479" i="11"/>
  <c r="G479" i="11"/>
  <c r="F479" i="11"/>
  <c r="Q479" i="11" s="1"/>
  <c r="E479" i="11"/>
  <c r="D479" i="11"/>
  <c r="C479" i="11"/>
  <c r="B479" i="11"/>
  <c r="T479" i="11" s="1"/>
  <c r="A479" i="11"/>
  <c r="S479" i="11" s="1"/>
  <c r="T478" i="11"/>
  <c r="Q478" i="11"/>
  <c r="M478" i="11"/>
  <c r="L478" i="11"/>
  <c r="K478" i="11"/>
  <c r="J478" i="11"/>
  <c r="I478" i="11"/>
  <c r="H478" i="11"/>
  <c r="G478" i="11"/>
  <c r="F478" i="11"/>
  <c r="E478" i="11"/>
  <c r="D478" i="11"/>
  <c r="C478" i="11"/>
  <c r="B478" i="11"/>
  <c r="A478" i="11"/>
  <c r="S478" i="11" s="1"/>
  <c r="V477" i="11"/>
  <c r="Q477" i="11"/>
  <c r="M477" i="11"/>
  <c r="L477" i="11"/>
  <c r="K477" i="11"/>
  <c r="J477" i="11"/>
  <c r="I477" i="11"/>
  <c r="H477" i="11"/>
  <c r="G477" i="11"/>
  <c r="F477" i="11"/>
  <c r="E477" i="11"/>
  <c r="P477" i="11" s="1"/>
  <c r="D477" i="11"/>
  <c r="C477" i="11"/>
  <c r="B477" i="11"/>
  <c r="T477" i="11" s="1"/>
  <c r="A477" i="11"/>
  <c r="S477" i="11" s="1"/>
  <c r="T476" i="11"/>
  <c r="Q476" i="11"/>
  <c r="P476" i="11"/>
  <c r="M476" i="11"/>
  <c r="L476" i="11"/>
  <c r="K476" i="11"/>
  <c r="J476" i="11"/>
  <c r="I476" i="11"/>
  <c r="H476" i="11"/>
  <c r="G476" i="11"/>
  <c r="F476" i="11"/>
  <c r="E476" i="11"/>
  <c r="D476" i="11"/>
  <c r="C476" i="11"/>
  <c r="B476" i="11"/>
  <c r="A476" i="11"/>
  <c r="S476" i="11" s="1"/>
  <c r="V475" i="11"/>
  <c r="S475" i="11"/>
  <c r="Q475" i="11"/>
  <c r="M475" i="11"/>
  <c r="L475" i="11"/>
  <c r="K475" i="11"/>
  <c r="J475" i="11"/>
  <c r="I475" i="11"/>
  <c r="H475" i="11"/>
  <c r="G475" i="11"/>
  <c r="F475" i="11"/>
  <c r="E475" i="11"/>
  <c r="P475" i="11" s="1"/>
  <c r="D475" i="11"/>
  <c r="C475" i="11"/>
  <c r="B475" i="11"/>
  <c r="T475" i="11" s="1"/>
  <c r="A475" i="11"/>
  <c r="T474" i="11"/>
  <c r="Q474" i="11"/>
  <c r="P474" i="11"/>
  <c r="M474" i="11"/>
  <c r="L474" i="11"/>
  <c r="K474" i="11"/>
  <c r="J474" i="11"/>
  <c r="I474" i="11"/>
  <c r="H474" i="11"/>
  <c r="G474" i="11"/>
  <c r="F474" i="11"/>
  <c r="E474" i="11"/>
  <c r="D474" i="11"/>
  <c r="C474" i="11"/>
  <c r="B474" i="11"/>
  <c r="A474" i="11"/>
  <c r="S474" i="11" s="1"/>
  <c r="S473" i="11"/>
  <c r="M473" i="11"/>
  <c r="L473" i="11"/>
  <c r="K473" i="11"/>
  <c r="J473" i="11"/>
  <c r="I473" i="11"/>
  <c r="H473" i="11"/>
  <c r="G473" i="11"/>
  <c r="F473" i="11"/>
  <c r="Q473" i="11" s="1"/>
  <c r="E473" i="11"/>
  <c r="P473" i="11" s="1"/>
  <c r="D473" i="11"/>
  <c r="C473" i="11"/>
  <c r="B473" i="11"/>
  <c r="T473" i="11" s="1"/>
  <c r="A473" i="11"/>
  <c r="T472" i="11"/>
  <c r="Q472" i="11"/>
  <c r="M472" i="11"/>
  <c r="L472" i="11"/>
  <c r="K472" i="11"/>
  <c r="J472" i="11"/>
  <c r="I472" i="11"/>
  <c r="H472" i="11"/>
  <c r="G472" i="11"/>
  <c r="F472" i="11"/>
  <c r="E472" i="11"/>
  <c r="D472" i="11"/>
  <c r="C472" i="11"/>
  <c r="B472" i="11"/>
  <c r="A472" i="11"/>
  <c r="S472" i="11" s="1"/>
  <c r="M471" i="11"/>
  <c r="L471" i="11"/>
  <c r="K471" i="11"/>
  <c r="J471" i="11"/>
  <c r="I471" i="11"/>
  <c r="H471" i="11"/>
  <c r="G471" i="11"/>
  <c r="F471" i="11"/>
  <c r="Q471" i="11" s="1"/>
  <c r="E471" i="11"/>
  <c r="D471" i="11"/>
  <c r="C471" i="11"/>
  <c r="B471" i="11"/>
  <c r="T471" i="11" s="1"/>
  <c r="A471" i="11"/>
  <c r="S471" i="11" s="1"/>
  <c r="T470" i="11"/>
  <c r="Q470" i="11"/>
  <c r="M470" i="11"/>
  <c r="L470" i="11"/>
  <c r="K470" i="11"/>
  <c r="J470" i="11"/>
  <c r="I470" i="11"/>
  <c r="H470" i="11"/>
  <c r="G470" i="11"/>
  <c r="F470" i="11"/>
  <c r="E470" i="11"/>
  <c r="D470" i="11"/>
  <c r="C470" i="11"/>
  <c r="B470" i="11"/>
  <c r="A470" i="11"/>
  <c r="S470" i="11" s="1"/>
  <c r="V469" i="11"/>
  <c r="Q469" i="11"/>
  <c r="M469" i="11"/>
  <c r="L469" i="11"/>
  <c r="K469" i="11"/>
  <c r="J469" i="11"/>
  <c r="I469" i="11"/>
  <c r="H469" i="11"/>
  <c r="G469" i="11"/>
  <c r="F469" i="11"/>
  <c r="E469" i="11"/>
  <c r="P469" i="11" s="1"/>
  <c r="D469" i="11"/>
  <c r="C469" i="11"/>
  <c r="B469" i="11"/>
  <c r="T469" i="11" s="1"/>
  <c r="A469" i="11"/>
  <c r="S469" i="11" s="1"/>
  <c r="T468" i="11"/>
  <c r="Q468" i="11"/>
  <c r="P468" i="11"/>
  <c r="M468" i="11"/>
  <c r="L468" i="11"/>
  <c r="K468" i="11"/>
  <c r="J468" i="11"/>
  <c r="I468" i="11"/>
  <c r="H468" i="11"/>
  <c r="G468" i="11"/>
  <c r="F468" i="11"/>
  <c r="E468" i="11"/>
  <c r="D468" i="11"/>
  <c r="C468" i="11"/>
  <c r="B468" i="11"/>
  <c r="A468" i="11"/>
  <c r="S468" i="11" s="1"/>
  <c r="V467" i="11"/>
  <c r="S467" i="11"/>
  <c r="Q467" i="11"/>
  <c r="M467" i="11"/>
  <c r="L467" i="11"/>
  <c r="K467" i="11"/>
  <c r="J467" i="11"/>
  <c r="I467" i="11"/>
  <c r="H467" i="11"/>
  <c r="G467" i="11"/>
  <c r="F467" i="11"/>
  <c r="E467" i="11"/>
  <c r="P467" i="11" s="1"/>
  <c r="D467" i="11"/>
  <c r="C467" i="11"/>
  <c r="B467" i="11"/>
  <c r="T467" i="11" s="1"/>
  <c r="A467" i="11"/>
  <c r="T466" i="11"/>
  <c r="Q466" i="11"/>
  <c r="P466" i="11"/>
  <c r="M466" i="11"/>
  <c r="L466" i="11"/>
  <c r="K466" i="11"/>
  <c r="J466" i="11"/>
  <c r="I466" i="11"/>
  <c r="H466" i="11"/>
  <c r="G466" i="11"/>
  <c r="F466" i="11"/>
  <c r="E466" i="11"/>
  <c r="D466" i="11"/>
  <c r="C466" i="11"/>
  <c r="B466" i="11"/>
  <c r="A466" i="11"/>
  <c r="S466" i="11" s="1"/>
  <c r="S465" i="11"/>
  <c r="M465" i="11"/>
  <c r="L465" i="11"/>
  <c r="K465" i="11"/>
  <c r="J465" i="11"/>
  <c r="I465" i="11"/>
  <c r="H465" i="11"/>
  <c r="G465" i="11"/>
  <c r="F465" i="11"/>
  <c r="Q465" i="11" s="1"/>
  <c r="E465" i="11"/>
  <c r="P465" i="11" s="1"/>
  <c r="D465" i="11"/>
  <c r="C465" i="11"/>
  <c r="B465" i="11"/>
  <c r="T465" i="11" s="1"/>
  <c r="A465" i="11"/>
  <c r="T464" i="11"/>
  <c r="Q464" i="11"/>
  <c r="M464" i="11"/>
  <c r="L464" i="11"/>
  <c r="K464" i="11"/>
  <c r="J464" i="11"/>
  <c r="I464" i="11"/>
  <c r="H464" i="11"/>
  <c r="G464" i="11"/>
  <c r="F464" i="11"/>
  <c r="E464" i="11"/>
  <c r="D464" i="11"/>
  <c r="C464" i="11"/>
  <c r="B464" i="11"/>
  <c r="A464" i="11"/>
  <c r="S464" i="11" s="1"/>
  <c r="M463" i="11"/>
  <c r="L463" i="11"/>
  <c r="K463" i="11"/>
  <c r="J463" i="11"/>
  <c r="I463" i="11"/>
  <c r="H463" i="11"/>
  <c r="G463" i="11"/>
  <c r="F463" i="11"/>
  <c r="Q463" i="11" s="1"/>
  <c r="E463" i="11"/>
  <c r="D463" i="11"/>
  <c r="C463" i="11"/>
  <c r="B463" i="11"/>
  <c r="T463" i="11" s="1"/>
  <c r="A463" i="11"/>
  <c r="S463" i="11" s="1"/>
  <c r="T462" i="11"/>
  <c r="Q462" i="11"/>
  <c r="M462" i="11"/>
  <c r="L462" i="11"/>
  <c r="K462" i="11"/>
  <c r="J462" i="11"/>
  <c r="I462" i="11"/>
  <c r="H462" i="11"/>
  <c r="G462" i="11"/>
  <c r="F462" i="11"/>
  <c r="E462" i="11"/>
  <c r="D462" i="11"/>
  <c r="C462" i="11"/>
  <c r="B462" i="11"/>
  <c r="A462" i="11"/>
  <c r="S462" i="11" s="1"/>
  <c r="V461" i="11"/>
  <c r="Q461" i="11"/>
  <c r="M461" i="11"/>
  <c r="L461" i="11"/>
  <c r="K461" i="11"/>
  <c r="J461" i="11"/>
  <c r="I461" i="11"/>
  <c r="H461" i="11"/>
  <c r="G461" i="11"/>
  <c r="F461" i="11"/>
  <c r="E461" i="11"/>
  <c r="P461" i="11" s="1"/>
  <c r="D461" i="11"/>
  <c r="C461" i="11"/>
  <c r="B461" i="11"/>
  <c r="T461" i="11" s="1"/>
  <c r="A461" i="11"/>
  <c r="S461" i="11" s="1"/>
  <c r="T460" i="11"/>
  <c r="Q460" i="11"/>
  <c r="P460" i="11"/>
  <c r="M460" i="11"/>
  <c r="L460" i="11"/>
  <c r="K460" i="11"/>
  <c r="J460" i="11"/>
  <c r="I460" i="11"/>
  <c r="H460" i="11"/>
  <c r="G460" i="11"/>
  <c r="F460" i="11"/>
  <c r="E460" i="11"/>
  <c r="D460" i="11"/>
  <c r="C460" i="11"/>
  <c r="B460" i="11"/>
  <c r="A460" i="11"/>
  <c r="S460" i="11" s="1"/>
  <c r="V459" i="11"/>
  <c r="S459" i="11"/>
  <c r="Q459" i="11"/>
  <c r="M459" i="11"/>
  <c r="L459" i="11"/>
  <c r="K459" i="11"/>
  <c r="J459" i="11"/>
  <c r="I459" i="11"/>
  <c r="H459" i="11"/>
  <c r="G459" i="11"/>
  <c r="F459" i="11"/>
  <c r="E459" i="11"/>
  <c r="P459" i="11" s="1"/>
  <c r="D459" i="11"/>
  <c r="C459" i="11"/>
  <c r="B459" i="11"/>
  <c r="T459" i="11" s="1"/>
  <c r="A459" i="11"/>
  <c r="T458" i="11"/>
  <c r="Q458" i="11"/>
  <c r="P458" i="11"/>
  <c r="M458" i="11"/>
  <c r="L458" i="11"/>
  <c r="K458" i="11"/>
  <c r="J458" i="11"/>
  <c r="I458" i="11"/>
  <c r="H458" i="11"/>
  <c r="G458" i="11"/>
  <c r="F458" i="11"/>
  <c r="E458" i="11"/>
  <c r="D458" i="11"/>
  <c r="C458" i="11"/>
  <c r="B458" i="11"/>
  <c r="A458" i="11"/>
  <c r="S458" i="11" s="1"/>
  <c r="S457" i="11"/>
  <c r="M457" i="11"/>
  <c r="L457" i="11"/>
  <c r="K457" i="11"/>
  <c r="J457" i="11"/>
  <c r="I457" i="11"/>
  <c r="H457" i="11"/>
  <c r="G457" i="11"/>
  <c r="F457" i="11"/>
  <c r="Q457" i="11" s="1"/>
  <c r="E457" i="11"/>
  <c r="P457" i="11" s="1"/>
  <c r="D457" i="11"/>
  <c r="C457" i="11"/>
  <c r="B457" i="11"/>
  <c r="T457" i="11" s="1"/>
  <c r="A457" i="11"/>
  <c r="T456" i="11"/>
  <c r="S456" i="11"/>
  <c r="Q456" i="11"/>
  <c r="M456" i="11"/>
  <c r="L456" i="11"/>
  <c r="K456" i="11"/>
  <c r="J456" i="11"/>
  <c r="I456" i="11"/>
  <c r="H456" i="11"/>
  <c r="G456" i="11"/>
  <c r="F456" i="11"/>
  <c r="E456" i="11"/>
  <c r="D456" i="11"/>
  <c r="C456" i="11"/>
  <c r="B456" i="11"/>
  <c r="A456" i="11"/>
  <c r="M455" i="11"/>
  <c r="L455" i="11"/>
  <c r="K455" i="11"/>
  <c r="J455" i="11"/>
  <c r="I455" i="11"/>
  <c r="H455" i="11"/>
  <c r="G455" i="11"/>
  <c r="F455" i="11"/>
  <c r="Q455" i="11" s="1"/>
  <c r="E455" i="11"/>
  <c r="D455" i="11"/>
  <c r="C455" i="11"/>
  <c r="B455" i="11"/>
  <c r="T455" i="11" s="1"/>
  <c r="A455" i="11"/>
  <c r="S455" i="11" s="1"/>
  <c r="T454" i="11"/>
  <c r="Q454" i="11"/>
  <c r="M454" i="11"/>
  <c r="L454" i="11"/>
  <c r="K454" i="11"/>
  <c r="J454" i="11"/>
  <c r="I454" i="11"/>
  <c r="H454" i="11"/>
  <c r="G454" i="11"/>
  <c r="F454" i="11"/>
  <c r="E454" i="11"/>
  <c r="D454" i="11"/>
  <c r="C454" i="11"/>
  <c r="B454" i="11"/>
  <c r="A454" i="11"/>
  <c r="S454" i="11" s="1"/>
  <c r="V453" i="11"/>
  <c r="Q453" i="11"/>
  <c r="M453" i="11"/>
  <c r="L453" i="11"/>
  <c r="K453" i="11"/>
  <c r="J453" i="11"/>
  <c r="I453" i="11"/>
  <c r="H453" i="11"/>
  <c r="G453" i="11"/>
  <c r="F453" i="11"/>
  <c r="E453" i="11"/>
  <c r="P453" i="11" s="1"/>
  <c r="D453" i="11"/>
  <c r="C453" i="11"/>
  <c r="B453" i="11"/>
  <c r="T453" i="11" s="1"/>
  <c r="A453" i="11"/>
  <c r="S453" i="11" s="1"/>
  <c r="T452" i="11"/>
  <c r="Q452" i="11"/>
  <c r="P452" i="11"/>
  <c r="M452" i="11"/>
  <c r="L452" i="11"/>
  <c r="K452" i="11"/>
  <c r="J452" i="11"/>
  <c r="I452" i="11"/>
  <c r="H452" i="11"/>
  <c r="G452" i="11"/>
  <c r="F452" i="11"/>
  <c r="E452" i="11"/>
  <c r="D452" i="11"/>
  <c r="C452" i="11"/>
  <c r="B452" i="11"/>
  <c r="A452" i="11"/>
  <c r="S452" i="11" s="1"/>
  <c r="V451" i="11"/>
  <c r="S451" i="11"/>
  <c r="Q451" i="11"/>
  <c r="M451" i="11"/>
  <c r="L451" i="11"/>
  <c r="K451" i="11"/>
  <c r="J451" i="11"/>
  <c r="I451" i="11"/>
  <c r="H451" i="11"/>
  <c r="G451" i="11"/>
  <c r="F451" i="11"/>
  <c r="E451" i="11"/>
  <c r="P451" i="11" s="1"/>
  <c r="D451" i="11"/>
  <c r="C451" i="11"/>
  <c r="B451" i="11"/>
  <c r="T451" i="11" s="1"/>
  <c r="A451" i="11"/>
  <c r="T450" i="11"/>
  <c r="Q450" i="11"/>
  <c r="P450" i="11"/>
  <c r="M450" i="11"/>
  <c r="L450" i="11"/>
  <c r="K450" i="11"/>
  <c r="J450" i="11"/>
  <c r="I450" i="11"/>
  <c r="H450" i="11"/>
  <c r="G450" i="11"/>
  <c r="F450" i="11"/>
  <c r="E450" i="11"/>
  <c r="D450" i="11"/>
  <c r="C450" i="11"/>
  <c r="B450" i="11"/>
  <c r="A450" i="11"/>
  <c r="S450" i="11" s="1"/>
  <c r="S449" i="11"/>
  <c r="M449" i="11"/>
  <c r="L449" i="11"/>
  <c r="K449" i="11"/>
  <c r="J449" i="11"/>
  <c r="I449" i="11"/>
  <c r="H449" i="11"/>
  <c r="G449" i="11"/>
  <c r="F449" i="11"/>
  <c r="Q449" i="11" s="1"/>
  <c r="E449" i="11"/>
  <c r="P449" i="11" s="1"/>
  <c r="D449" i="11"/>
  <c r="C449" i="11"/>
  <c r="B449" i="11"/>
  <c r="T449" i="11" s="1"/>
  <c r="A449" i="11"/>
  <c r="T448" i="11"/>
  <c r="Q448" i="11"/>
  <c r="M448" i="11"/>
  <c r="L448" i="11"/>
  <c r="K448" i="11"/>
  <c r="J448" i="11"/>
  <c r="I448" i="11"/>
  <c r="H448" i="11"/>
  <c r="G448" i="11"/>
  <c r="F448" i="11"/>
  <c r="E448" i="11"/>
  <c r="D448" i="11"/>
  <c r="C448" i="11"/>
  <c r="B448" i="11"/>
  <c r="A448" i="11"/>
  <c r="S448" i="11" s="1"/>
  <c r="M447" i="11"/>
  <c r="L447" i="11"/>
  <c r="K447" i="11"/>
  <c r="J447" i="11"/>
  <c r="I447" i="11"/>
  <c r="H447" i="11"/>
  <c r="G447" i="11"/>
  <c r="F447" i="11"/>
  <c r="Q447" i="11" s="1"/>
  <c r="E447" i="11"/>
  <c r="D447" i="11"/>
  <c r="C447" i="11"/>
  <c r="B447" i="11"/>
  <c r="T447" i="11" s="1"/>
  <c r="A447" i="11"/>
  <c r="S447" i="11" s="1"/>
  <c r="T446" i="11"/>
  <c r="Q446" i="11"/>
  <c r="M446" i="11"/>
  <c r="L446" i="11"/>
  <c r="K446" i="11"/>
  <c r="J446" i="11"/>
  <c r="I446" i="11"/>
  <c r="H446" i="11"/>
  <c r="G446" i="11"/>
  <c r="F446" i="11"/>
  <c r="E446" i="11"/>
  <c r="D446" i="11"/>
  <c r="C446" i="11"/>
  <c r="B446" i="11"/>
  <c r="A446" i="11"/>
  <c r="S446" i="11" s="1"/>
  <c r="V445" i="11"/>
  <c r="Q445" i="11"/>
  <c r="M445" i="11"/>
  <c r="L445" i="11"/>
  <c r="K445" i="11"/>
  <c r="J445" i="11"/>
  <c r="I445" i="11"/>
  <c r="H445" i="11"/>
  <c r="G445" i="11"/>
  <c r="F445" i="11"/>
  <c r="E445" i="11"/>
  <c r="P445" i="11" s="1"/>
  <c r="D445" i="11"/>
  <c r="C445" i="11"/>
  <c r="B445" i="11"/>
  <c r="T445" i="11" s="1"/>
  <c r="A445" i="11"/>
  <c r="S445" i="11" s="1"/>
  <c r="T444" i="11"/>
  <c r="Q444" i="11"/>
  <c r="P444" i="11"/>
  <c r="M444" i="11"/>
  <c r="L444" i="11"/>
  <c r="K444" i="11"/>
  <c r="J444" i="11"/>
  <c r="I444" i="11"/>
  <c r="H444" i="11"/>
  <c r="G444" i="11"/>
  <c r="F444" i="11"/>
  <c r="E444" i="11"/>
  <c r="D444" i="11"/>
  <c r="C444" i="11"/>
  <c r="B444" i="11"/>
  <c r="A444" i="11"/>
  <c r="S444" i="11" s="1"/>
  <c r="V443" i="11"/>
  <c r="S443" i="11"/>
  <c r="Q443" i="11"/>
  <c r="M443" i="11"/>
  <c r="L443" i="11"/>
  <c r="K443" i="11"/>
  <c r="J443" i="11"/>
  <c r="I443" i="11"/>
  <c r="H443" i="11"/>
  <c r="G443" i="11"/>
  <c r="F443" i="11"/>
  <c r="E443" i="11"/>
  <c r="P443" i="11" s="1"/>
  <c r="D443" i="11"/>
  <c r="C443" i="11"/>
  <c r="B443" i="11"/>
  <c r="T443" i="11" s="1"/>
  <c r="A443" i="11"/>
  <c r="T442" i="11"/>
  <c r="Q442" i="11"/>
  <c r="P442" i="11"/>
  <c r="M442" i="11"/>
  <c r="L442" i="11"/>
  <c r="K442" i="11"/>
  <c r="J442" i="11"/>
  <c r="I442" i="11"/>
  <c r="H442" i="11"/>
  <c r="G442" i="11"/>
  <c r="F442" i="11"/>
  <c r="E442" i="11"/>
  <c r="D442" i="11"/>
  <c r="C442" i="11"/>
  <c r="B442" i="11"/>
  <c r="A442" i="11"/>
  <c r="S442" i="11" s="1"/>
  <c r="S441" i="11"/>
  <c r="M441" i="11"/>
  <c r="L441" i="11"/>
  <c r="K441" i="11"/>
  <c r="J441" i="11"/>
  <c r="I441" i="11"/>
  <c r="H441" i="11"/>
  <c r="G441" i="11"/>
  <c r="F441" i="11"/>
  <c r="Q441" i="11" s="1"/>
  <c r="E441" i="11"/>
  <c r="P441" i="11" s="1"/>
  <c r="D441" i="11"/>
  <c r="C441" i="11"/>
  <c r="B441" i="11"/>
  <c r="T441" i="11" s="1"/>
  <c r="A441" i="11"/>
  <c r="T440" i="11"/>
  <c r="Q440" i="11"/>
  <c r="M440" i="11"/>
  <c r="L440" i="11"/>
  <c r="K440" i="11"/>
  <c r="J440" i="11"/>
  <c r="I440" i="11"/>
  <c r="H440" i="11"/>
  <c r="G440" i="11"/>
  <c r="F440" i="11"/>
  <c r="E440" i="11"/>
  <c r="D440" i="11"/>
  <c r="C440" i="11"/>
  <c r="B440" i="11"/>
  <c r="A440" i="11"/>
  <c r="S440" i="11" s="1"/>
  <c r="M439" i="11"/>
  <c r="L439" i="11"/>
  <c r="K439" i="11"/>
  <c r="J439" i="11"/>
  <c r="I439" i="11"/>
  <c r="H439" i="11"/>
  <c r="G439" i="11"/>
  <c r="F439" i="11"/>
  <c r="Q439" i="11" s="1"/>
  <c r="E439" i="11"/>
  <c r="D439" i="11"/>
  <c r="C439" i="11"/>
  <c r="B439" i="11"/>
  <c r="T439" i="11" s="1"/>
  <c r="A439" i="11"/>
  <c r="S439" i="11" s="1"/>
  <c r="T438" i="11"/>
  <c r="Q438" i="11"/>
  <c r="M438" i="11"/>
  <c r="L438" i="11"/>
  <c r="K438" i="11"/>
  <c r="J438" i="11"/>
  <c r="I438" i="11"/>
  <c r="H438" i="11"/>
  <c r="G438" i="11"/>
  <c r="F438" i="11"/>
  <c r="E438" i="11"/>
  <c r="D438" i="11"/>
  <c r="C438" i="11"/>
  <c r="B438" i="11"/>
  <c r="A438" i="11"/>
  <c r="S438" i="11" s="1"/>
  <c r="V437" i="11"/>
  <c r="Q437" i="11"/>
  <c r="M437" i="11"/>
  <c r="L437" i="11"/>
  <c r="K437" i="11"/>
  <c r="J437" i="11"/>
  <c r="I437" i="11"/>
  <c r="H437" i="11"/>
  <c r="G437" i="11"/>
  <c r="F437" i="11"/>
  <c r="E437" i="11"/>
  <c r="P437" i="11" s="1"/>
  <c r="D437" i="11"/>
  <c r="C437" i="11"/>
  <c r="B437" i="11"/>
  <c r="T437" i="11" s="1"/>
  <c r="A437" i="11"/>
  <c r="S437" i="11" s="1"/>
  <c r="T436" i="11"/>
  <c r="Q436" i="11"/>
  <c r="P436" i="11"/>
  <c r="M436" i="11"/>
  <c r="L436" i="11"/>
  <c r="K436" i="11"/>
  <c r="J436" i="11"/>
  <c r="I436" i="11"/>
  <c r="H436" i="11"/>
  <c r="G436" i="11"/>
  <c r="F436" i="11"/>
  <c r="E436" i="11"/>
  <c r="D436" i="11"/>
  <c r="C436" i="11"/>
  <c r="B436" i="11"/>
  <c r="A436" i="11"/>
  <c r="S436" i="11" s="1"/>
  <c r="V435" i="11"/>
  <c r="S435" i="11"/>
  <c r="Q435" i="11"/>
  <c r="M435" i="11"/>
  <c r="L435" i="11"/>
  <c r="K435" i="11"/>
  <c r="J435" i="11"/>
  <c r="I435" i="11"/>
  <c r="H435" i="11"/>
  <c r="G435" i="11"/>
  <c r="F435" i="11"/>
  <c r="E435" i="11"/>
  <c r="P435" i="11" s="1"/>
  <c r="D435" i="11"/>
  <c r="C435" i="11"/>
  <c r="B435" i="11"/>
  <c r="T435" i="11" s="1"/>
  <c r="A435" i="11"/>
  <c r="T434" i="11"/>
  <c r="Q434" i="11"/>
  <c r="P434" i="11"/>
  <c r="M434" i="11"/>
  <c r="L434" i="11"/>
  <c r="K434" i="11"/>
  <c r="J434" i="11"/>
  <c r="I434" i="11"/>
  <c r="H434" i="11"/>
  <c r="G434" i="11"/>
  <c r="F434" i="11"/>
  <c r="E434" i="11"/>
  <c r="D434" i="11"/>
  <c r="C434" i="11"/>
  <c r="B434" i="11"/>
  <c r="A434" i="11"/>
  <c r="S434" i="11" s="1"/>
  <c r="S433" i="11"/>
  <c r="M433" i="11"/>
  <c r="L433" i="11"/>
  <c r="K433" i="11"/>
  <c r="J433" i="11"/>
  <c r="I433" i="11"/>
  <c r="H433" i="11"/>
  <c r="G433" i="11"/>
  <c r="F433" i="11"/>
  <c r="Q433" i="11" s="1"/>
  <c r="E433" i="11"/>
  <c r="P433" i="11" s="1"/>
  <c r="D433" i="11"/>
  <c r="C433" i="11"/>
  <c r="B433" i="11"/>
  <c r="T433" i="11" s="1"/>
  <c r="A433" i="11"/>
  <c r="T432" i="11"/>
  <c r="Q432" i="11"/>
  <c r="M432" i="11"/>
  <c r="L432" i="11"/>
  <c r="K432" i="11"/>
  <c r="J432" i="11"/>
  <c r="I432" i="11"/>
  <c r="H432" i="11"/>
  <c r="G432" i="11"/>
  <c r="F432" i="11"/>
  <c r="E432" i="11"/>
  <c r="D432" i="11"/>
  <c r="C432" i="11"/>
  <c r="B432" i="11"/>
  <c r="A432" i="11"/>
  <c r="S432" i="11" s="1"/>
  <c r="M431" i="11"/>
  <c r="L431" i="11"/>
  <c r="K431" i="11"/>
  <c r="J431" i="11"/>
  <c r="I431" i="11"/>
  <c r="H431" i="11"/>
  <c r="G431" i="11"/>
  <c r="F431" i="11"/>
  <c r="Q431" i="11" s="1"/>
  <c r="E431" i="11"/>
  <c r="D431" i="11"/>
  <c r="C431" i="11"/>
  <c r="B431" i="11"/>
  <c r="T431" i="11" s="1"/>
  <c r="A431" i="11"/>
  <c r="S431" i="11" s="1"/>
  <c r="T430" i="11"/>
  <c r="Q430" i="11"/>
  <c r="M430" i="11"/>
  <c r="L430" i="11"/>
  <c r="K430" i="11"/>
  <c r="J430" i="11"/>
  <c r="I430" i="11"/>
  <c r="H430" i="11"/>
  <c r="G430" i="11"/>
  <c r="F430" i="11"/>
  <c r="E430" i="11"/>
  <c r="D430" i="11"/>
  <c r="C430" i="11"/>
  <c r="B430" i="11"/>
  <c r="A430" i="11"/>
  <c r="S430" i="11" s="1"/>
  <c r="V429" i="11"/>
  <c r="Q429" i="11"/>
  <c r="M429" i="11"/>
  <c r="L429" i="11"/>
  <c r="K429" i="11"/>
  <c r="J429" i="11"/>
  <c r="I429" i="11"/>
  <c r="H429" i="11"/>
  <c r="G429" i="11"/>
  <c r="F429" i="11"/>
  <c r="E429" i="11"/>
  <c r="P429" i="11" s="1"/>
  <c r="D429" i="11"/>
  <c r="C429" i="11"/>
  <c r="B429" i="11"/>
  <c r="T429" i="11" s="1"/>
  <c r="A429" i="11"/>
  <c r="S429" i="11" s="1"/>
  <c r="T428" i="11"/>
  <c r="Q428" i="11"/>
  <c r="P428" i="11"/>
  <c r="M428" i="11"/>
  <c r="L428" i="11"/>
  <c r="K428" i="11"/>
  <c r="J428" i="11"/>
  <c r="I428" i="11"/>
  <c r="H428" i="11"/>
  <c r="G428" i="11"/>
  <c r="F428" i="11"/>
  <c r="E428" i="11"/>
  <c r="D428" i="11"/>
  <c r="C428" i="11"/>
  <c r="B428" i="11"/>
  <c r="A428" i="11"/>
  <c r="S428" i="11" s="1"/>
  <c r="V427" i="11"/>
  <c r="S427" i="11"/>
  <c r="Q427" i="11"/>
  <c r="M427" i="11"/>
  <c r="L427" i="11"/>
  <c r="K427" i="11"/>
  <c r="J427" i="11"/>
  <c r="I427" i="11"/>
  <c r="H427" i="11"/>
  <c r="G427" i="11"/>
  <c r="F427" i="11"/>
  <c r="E427" i="11"/>
  <c r="P427" i="11" s="1"/>
  <c r="D427" i="11"/>
  <c r="C427" i="11"/>
  <c r="B427" i="11"/>
  <c r="T427" i="11" s="1"/>
  <c r="A427" i="11"/>
  <c r="T426" i="11"/>
  <c r="Q426" i="11"/>
  <c r="P426" i="11"/>
  <c r="M426" i="11"/>
  <c r="L426" i="11"/>
  <c r="K426" i="11"/>
  <c r="J426" i="11"/>
  <c r="I426" i="11"/>
  <c r="H426" i="11"/>
  <c r="G426" i="11"/>
  <c r="F426" i="11"/>
  <c r="E426" i="11"/>
  <c r="D426" i="11"/>
  <c r="C426" i="11"/>
  <c r="B426" i="11"/>
  <c r="A426" i="11"/>
  <c r="S426" i="11" s="1"/>
  <c r="S425" i="11"/>
  <c r="M425" i="11"/>
  <c r="L425" i="11"/>
  <c r="K425" i="11"/>
  <c r="J425" i="11"/>
  <c r="I425" i="11"/>
  <c r="H425" i="11"/>
  <c r="G425" i="11"/>
  <c r="F425" i="11"/>
  <c r="Q425" i="11" s="1"/>
  <c r="E425" i="11"/>
  <c r="P425" i="11" s="1"/>
  <c r="D425" i="11"/>
  <c r="C425" i="11"/>
  <c r="B425" i="11"/>
  <c r="T425" i="11" s="1"/>
  <c r="A425" i="11"/>
  <c r="T424" i="11"/>
  <c r="S424" i="11"/>
  <c r="Q424" i="11"/>
  <c r="M424" i="11"/>
  <c r="L424" i="11"/>
  <c r="K424" i="11"/>
  <c r="J424" i="11"/>
  <c r="I424" i="11"/>
  <c r="H424" i="11"/>
  <c r="G424" i="11"/>
  <c r="F424" i="11"/>
  <c r="E424" i="11"/>
  <c r="D424" i="11"/>
  <c r="C424" i="11"/>
  <c r="B424" i="11"/>
  <c r="A424" i="11"/>
  <c r="M423" i="11"/>
  <c r="L423" i="11"/>
  <c r="K423" i="11"/>
  <c r="J423" i="11"/>
  <c r="I423" i="11"/>
  <c r="H423" i="11"/>
  <c r="G423" i="11"/>
  <c r="F423" i="11"/>
  <c r="Q423" i="11" s="1"/>
  <c r="E423" i="11"/>
  <c r="D423" i="11"/>
  <c r="C423" i="11"/>
  <c r="B423" i="11"/>
  <c r="T423" i="11" s="1"/>
  <c r="A423" i="11"/>
  <c r="S423" i="11" s="1"/>
  <c r="T422" i="11"/>
  <c r="Q422" i="11"/>
  <c r="M422" i="11"/>
  <c r="L422" i="11"/>
  <c r="K422" i="11"/>
  <c r="J422" i="11"/>
  <c r="I422" i="11"/>
  <c r="H422" i="11"/>
  <c r="G422" i="11"/>
  <c r="F422" i="11"/>
  <c r="E422" i="11"/>
  <c r="D422" i="11"/>
  <c r="C422" i="11"/>
  <c r="B422" i="11"/>
  <c r="A422" i="11"/>
  <c r="S422" i="11" s="1"/>
  <c r="V421" i="11"/>
  <c r="Q421" i="11"/>
  <c r="M421" i="11"/>
  <c r="L421" i="11"/>
  <c r="K421" i="11"/>
  <c r="J421" i="11"/>
  <c r="I421" i="11"/>
  <c r="H421" i="11"/>
  <c r="G421" i="11"/>
  <c r="F421" i="11"/>
  <c r="E421" i="11"/>
  <c r="P421" i="11" s="1"/>
  <c r="D421" i="11"/>
  <c r="C421" i="11"/>
  <c r="B421" i="11"/>
  <c r="T421" i="11" s="1"/>
  <c r="A421" i="11"/>
  <c r="S421" i="11" s="1"/>
  <c r="T420" i="11"/>
  <c r="Q420" i="11"/>
  <c r="P420" i="11"/>
  <c r="M420" i="11"/>
  <c r="L420" i="11"/>
  <c r="K420" i="11"/>
  <c r="J420" i="11"/>
  <c r="I420" i="11"/>
  <c r="H420" i="11"/>
  <c r="G420" i="11"/>
  <c r="F420" i="11"/>
  <c r="E420" i="11"/>
  <c r="D420" i="11"/>
  <c r="C420" i="11"/>
  <c r="B420" i="11"/>
  <c r="A420" i="11"/>
  <c r="S420" i="11" s="1"/>
  <c r="V419" i="11"/>
  <c r="S419" i="11"/>
  <c r="Q419" i="11"/>
  <c r="M419" i="11"/>
  <c r="L419" i="11"/>
  <c r="K419" i="11"/>
  <c r="J419" i="11"/>
  <c r="I419" i="11"/>
  <c r="H419" i="11"/>
  <c r="G419" i="11"/>
  <c r="F419" i="11"/>
  <c r="E419" i="11"/>
  <c r="P419" i="11" s="1"/>
  <c r="D419" i="11"/>
  <c r="C419" i="11"/>
  <c r="B419" i="11"/>
  <c r="T419" i="11" s="1"/>
  <c r="A419" i="11"/>
  <c r="T418" i="11"/>
  <c r="Q418" i="11"/>
  <c r="P418" i="11"/>
  <c r="M418" i="11"/>
  <c r="L418" i="11"/>
  <c r="K418" i="11"/>
  <c r="J418" i="11"/>
  <c r="I418" i="11"/>
  <c r="H418" i="11"/>
  <c r="G418" i="11"/>
  <c r="F418" i="11"/>
  <c r="E418" i="11"/>
  <c r="D418" i="11"/>
  <c r="C418" i="11"/>
  <c r="B418" i="11"/>
  <c r="A418" i="11"/>
  <c r="S418" i="11" s="1"/>
  <c r="S417" i="11"/>
  <c r="M417" i="11"/>
  <c r="L417" i="11"/>
  <c r="K417" i="11"/>
  <c r="J417" i="11"/>
  <c r="I417" i="11"/>
  <c r="H417" i="11"/>
  <c r="G417" i="11"/>
  <c r="F417" i="11"/>
  <c r="Q417" i="11" s="1"/>
  <c r="E417" i="11"/>
  <c r="P417" i="11" s="1"/>
  <c r="D417" i="11"/>
  <c r="C417" i="11"/>
  <c r="B417" i="11"/>
  <c r="T417" i="11" s="1"/>
  <c r="A417" i="11"/>
  <c r="T416" i="11"/>
  <c r="Q416" i="11"/>
  <c r="M416" i="11"/>
  <c r="L416" i="11"/>
  <c r="K416" i="11"/>
  <c r="J416" i="11"/>
  <c r="I416" i="11"/>
  <c r="H416" i="11"/>
  <c r="G416" i="11"/>
  <c r="F416" i="11"/>
  <c r="E416" i="11"/>
  <c r="D416" i="11"/>
  <c r="C416" i="11"/>
  <c r="B416" i="11"/>
  <c r="A416" i="11"/>
  <c r="S416" i="11" s="1"/>
  <c r="M415" i="11"/>
  <c r="L415" i="11"/>
  <c r="K415" i="11"/>
  <c r="J415" i="11"/>
  <c r="I415" i="11"/>
  <c r="H415" i="11"/>
  <c r="G415" i="11"/>
  <c r="F415" i="11"/>
  <c r="Q415" i="11" s="1"/>
  <c r="E415" i="11"/>
  <c r="D415" i="11"/>
  <c r="C415" i="11"/>
  <c r="B415" i="11"/>
  <c r="T415" i="11" s="1"/>
  <c r="A415" i="11"/>
  <c r="S415" i="11" s="1"/>
  <c r="T414" i="11"/>
  <c r="Q414" i="11"/>
  <c r="M414" i="11"/>
  <c r="L414" i="11"/>
  <c r="K414" i="11"/>
  <c r="J414" i="11"/>
  <c r="I414" i="11"/>
  <c r="H414" i="11"/>
  <c r="G414" i="11"/>
  <c r="F414" i="11"/>
  <c r="E414" i="11"/>
  <c r="D414" i="11"/>
  <c r="C414" i="11"/>
  <c r="B414" i="11"/>
  <c r="A414" i="11"/>
  <c r="S414" i="11" s="1"/>
  <c r="V413" i="11"/>
  <c r="Q413" i="11"/>
  <c r="M413" i="11"/>
  <c r="L413" i="11"/>
  <c r="K413" i="11"/>
  <c r="J413" i="11"/>
  <c r="I413" i="11"/>
  <c r="H413" i="11"/>
  <c r="G413" i="11"/>
  <c r="F413" i="11"/>
  <c r="E413" i="11"/>
  <c r="P413" i="11" s="1"/>
  <c r="D413" i="11"/>
  <c r="C413" i="11"/>
  <c r="B413" i="11"/>
  <c r="T413" i="11" s="1"/>
  <c r="A413" i="11"/>
  <c r="S413" i="11" s="1"/>
  <c r="T412" i="11"/>
  <c r="Q412" i="11"/>
  <c r="P412" i="11"/>
  <c r="M412" i="11"/>
  <c r="L412" i="11"/>
  <c r="K412" i="11"/>
  <c r="J412" i="11"/>
  <c r="I412" i="11"/>
  <c r="H412" i="11"/>
  <c r="G412" i="11"/>
  <c r="F412" i="11"/>
  <c r="E412" i="11"/>
  <c r="D412" i="11"/>
  <c r="C412" i="11"/>
  <c r="B412" i="11"/>
  <c r="A412" i="11"/>
  <c r="S412" i="11" s="1"/>
  <c r="V411" i="11"/>
  <c r="S411" i="11"/>
  <c r="Q411" i="11"/>
  <c r="M411" i="11"/>
  <c r="L411" i="11"/>
  <c r="K411" i="11"/>
  <c r="J411" i="11"/>
  <c r="I411" i="11"/>
  <c r="H411" i="11"/>
  <c r="G411" i="11"/>
  <c r="F411" i="11"/>
  <c r="E411" i="11"/>
  <c r="P411" i="11" s="1"/>
  <c r="D411" i="11"/>
  <c r="C411" i="11"/>
  <c r="B411" i="11"/>
  <c r="T411" i="11" s="1"/>
  <c r="A411" i="11"/>
  <c r="T410" i="11"/>
  <c r="Q410" i="11"/>
  <c r="P410" i="11"/>
  <c r="M410" i="11"/>
  <c r="L410" i="11"/>
  <c r="K410" i="11"/>
  <c r="J410" i="11"/>
  <c r="I410" i="11"/>
  <c r="H410" i="11"/>
  <c r="G410" i="11"/>
  <c r="F410" i="11"/>
  <c r="E410" i="11"/>
  <c r="D410" i="11"/>
  <c r="C410" i="11"/>
  <c r="B410" i="11"/>
  <c r="A410" i="11"/>
  <c r="S410" i="11" s="1"/>
  <c r="S409" i="11"/>
  <c r="M409" i="11"/>
  <c r="L409" i="11"/>
  <c r="K409" i="11"/>
  <c r="J409" i="11"/>
  <c r="I409" i="11"/>
  <c r="H409" i="11"/>
  <c r="G409" i="11"/>
  <c r="F409" i="11"/>
  <c r="Q409" i="11" s="1"/>
  <c r="E409" i="11"/>
  <c r="P409" i="11" s="1"/>
  <c r="D409" i="11"/>
  <c r="C409" i="11"/>
  <c r="B409" i="11"/>
  <c r="T409" i="11" s="1"/>
  <c r="A409" i="11"/>
  <c r="T408" i="11"/>
  <c r="Q408" i="11"/>
  <c r="M408" i="11"/>
  <c r="L408" i="11"/>
  <c r="K408" i="11"/>
  <c r="J408" i="11"/>
  <c r="I408" i="11"/>
  <c r="H408" i="11"/>
  <c r="G408" i="11"/>
  <c r="F408" i="11"/>
  <c r="E408" i="11"/>
  <c r="D408" i="11"/>
  <c r="C408" i="11"/>
  <c r="B408" i="11"/>
  <c r="A408" i="11"/>
  <c r="S408" i="11" s="1"/>
  <c r="M407" i="11"/>
  <c r="L407" i="11"/>
  <c r="K407" i="11"/>
  <c r="J407" i="11"/>
  <c r="I407" i="11"/>
  <c r="H407" i="11"/>
  <c r="G407" i="11"/>
  <c r="F407" i="11"/>
  <c r="Q407" i="11" s="1"/>
  <c r="E407" i="11"/>
  <c r="D407" i="11"/>
  <c r="C407" i="11"/>
  <c r="B407" i="11"/>
  <c r="T407" i="11" s="1"/>
  <c r="A407" i="11"/>
  <c r="S407" i="11" s="1"/>
  <c r="T406" i="11"/>
  <c r="Q406" i="11"/>
  <c r="M406" i="11"/>
  <c r="L406" i="11"/>
  <c r="K406" i="11"/>
  <c r="J406" i="11"/>
  <c r="I406" i="11"/>
  <c r="H406" i="11"/>
  <c r="G406" i="11"/>
  <c r="F406" i="11"/>
  <c r="E406" i="11"/>
  <c r="D406" i="11"/>
  <c r="C406" i="11"/>
  <c r="B406" i="11"/>
  <c r="A406" i="11"/>
  <c r="S406" i="11" s="1"/>
  <c r="V405" i="11"/>
  <c r="Q405" i="11"/>
  <c r="M405" i="11"/>
  <c r="L405" i="11"/>
  <c r="K405" i="11"/>
  <c r="J405" i="11"/>
  <c r="I405" i="11"/>
  <c r="H405" i="11"/>
  <c r="G405" i="11"/>
  <c r="F405" i="11"/>
  <c r="E405" i="11"/>
  <c r="P405" i="11" s="1"/>
  <c r="D405" i="11"/>
  <c r="C405" i="11"/>
  <c r="B405" i="11"/>
  <c r="T405" i="11" s="1"/>
  <c r="A405" i="11"/>
  <c r="S405" i="11" s="1"/>
  <c r="T404" i="11"/>
  <c r="Q404" i="11"/>
  <c r="P404" i="11"/>
  <c r="M404" i="11"/>
  <c r="L404" i="11"/>
  <c r="K404" i="11"/>
  <c r="J404" i="11"/>
  <c r="I404" i="11"/>
  <c r="H404" i="11"/>
  <c r="G404" i="11"/>
  <c r="F404" i="11"/>
  <c r="E404" i="11"/>
  <c r="D404" i="11"/>
  <c r="C404" i="11"/>
  <c r="B404" i="11"/>
  <c r="A404" i="11"/>
  <c r="S404" i="11" s="1"/>
  <c r="V403" i="11"/>
  <c r="S403" i="11"/>
  <c r="Q403" i="11"/>
  <c r="M403" i="11"/>
  <c r="L403" i="11"/>
  <c r="K403" i="11"/>
  <c r="J403" i="11"/>
  <c r="I403" i="11"/>
  <c r="H403" i="11"/>
  <c r="G403" i="11"/>
  <c r="F403" i="11"/>
  <c r="E403" i="11"/>
  <c r="P403" i="11" s="1"/>
  <c r="D403" i="11"/>
  <c r="C403" i="11"/>
  <c r="B403" i="11"/>
  <c r="T403" i="11" s="1"/>
  <c r="A403" i="11"/>
  <c r="T402" i="11"/>
  <c r="Q402" i="11"/>
  <c r="P402" i="11"/>
  <c r="M402" i="11"/>
  <c r="L402" i="11"/>
  <c r="K402" i="11"/>
  <c r="J402" i="11"/>
  <c r="I402" i="11"/>
  <c r="H402" i="11"/>
  <c r="G402" i="11"/>
  <c r="F402" i="11"/>
  <c r="E402" i="11"/>
  <c r="D402" i="11"/>
  <c r="C402" i="11"/>
  <c r="B402" i="11"/>
  <c r="A402" i="11"/>
  <c r="S402" i="11" s="1"/>
  <c r="S401" i="11"/>
  <c r="M401" i="11"/>
  <c r="L401" i="11"/>
  <c r="K401" i="11"/>
  <c r="J401" i="11"/>
  <c r="I401" i="11"/>
  <c r="H401" i="11"/>
  <c r="G401" i="11"/>
  <c r="F401" i="11"/>
  <c r="Q401" i="11" s="1"/>
  <c r="E401" i="11"/>
  <c r="P401" i="11" s="1"/>
  <c r="D401" i="11"/>
  <c r="C401" i="11"/>
  <c r="B401" i="11"/>
  <c r="T401" i="11" s="1"/>
  <c r="A401" i="11"/>
  <c r="T400" i="11"/>
  <c r="Q400" i="11"/>
  <c r="M400" i="11"/>
  <c r="L400" i="11"/>
  <c r="K400" i="11"/>
  <c r="J400" i="11"/>
  <c r="I400" i="11"/>
  <c r="H400" i="11"/>
  <c r="G400" i="11"/>
  <c r="F400" i="11"/>
  <c r="E400" i="11"/>
  <c r="D400" i="11"/>
  <c r="C400" i="11"/>
  <c r="B400" i="11"/>
  <c r="A400" i="11"/>
  <c r="S400" i="11" s="1"/>
  <c r="M399" i="11"/>
  <c r="L399" i="11"/>
  <c r="K399" i="11"/>
  <c r="J399" i="11"/>
  <c r="I399" i="11"/>
  <c r="H399" i="11"/>
  <c r="G399" i="11"/>
  <c r="F399" i="11"/>
  <c r="Q399" i="11" s="1"/>
  <c r="E399" i="11"/>
  <c r="D399" i="11"/>
  <c r="C399" i="11"/>
  <c r="B399" i="11"/>
  <c r="T399" i="11" s="1"/>
  <c r="A399" i="11"/>
  <c r="S399" i="11" s="1"/>
  <c r="T398" i="11"/>
  <c r="Q398" i="11"/>
  <c r="M398" i="11"/>
  <c r="L398" i="11"/>
  <c r="K398" i="11"/>
  <c r="J398" i="11"/>
  <c r="I398" i="11"/>
  <c r="H398" i="11"/>
  <c r="G398" i="11"/>
  <c r="F398" i="11"/>
  <c r="E398" i="11"/>
  <c r="D398" i="11"/>
  <c r="C398" i="11"/>
  <c r="B398" i="11"/>
  <c r="A398" i="11"/>
  <c r="S398" i="11" s="1"/>
  <c r="V397" i="11"/>
  <c r="Q397" i="11"/>
  <c r="M397" i="11"/>
  <c r="L397" i="11"/>
  <c r="K397" i="11"/>
  <c r="J397" i="11"/>
  <c r="I397" i="11"/>
  <c r="H397" i="11"/>
  <c r="G397" i="11"/>
  <c r="F397" i="11"/>
  <c r="E397" i="11"/>
  <c r="P397" i="11" s="1"/>
  <c r="D397" i="11"/>
  <c r="C397" i="11"/>
  <c r="B397" i="11"/>
  <c r="T397" i="11" s="1"/>
  <c r="A397" i="11"/>
  <c r="S397" i="11" s="1"/>
  <c r="T396" i="11"/>
  <c r="Q396" i="11"/>
  <c r="P396" i="11"/>
  <c r="M396" i="11"/>
  <c r="L396" i="11"/>
  <c r="K396" i="11"/>
  <c r="J396" i="11"/>
  <c r="I396" i="11"/>
  <c r="H396" i="11"/>
  <c r="G396" i="11"/>
  <c r="F396" i="11"/>
  <c r="E396" i="11"/>
  <c r="D396" i="11"/>
  <c r="C396" i="11"/>
  <c r="B396" i="11"/>
  <c r="A396" i="11"/>
  <c r="S396" i="11" s="1"/>
  <c r="V395" i="11"/>
  <c r="S395" i="11"/>
  <c r="Q395" i="11"/>
  <c r="M395" i="11"/>
  <c r="L395" i="11"/>
  <c r="K395" i="11"/>
  <c r="J395" i="11"/>
  <c r="I395" i="11"/>
  <c r="H395" i="11"/>
  <c r="G395" i="11"/>
  <c r="F395" i="11"/>
  <c r="E395" i="11"/>
  <c r="P395" i="11" s="1"/>
  <c r="D395" i="11"/>
  <c r="C395" i="11"/>
  <c r="B395" i="11"/>
  <c r="T395" i="11" s="1"/>
  <c r="A395" i="11"/>
  <c r="T394" i="11"/>
  <c r="Q394" i="11"/>
  <c r="P394" i="11"/>
  <c r="M394" i="11"/>
  <c r="L394" i="11"/>
  <c r="K394" i="11"/>
  <c r="J394" i="11"/>
  <c r="I394" i="11"/>
  <c r="H394" i="11"/>
  <c r="G394" i="11"/>
  <c r="F394" i="11"/>
  <c r="E394" i="11"/>
  <c r="D394" i="11"/>
  <c r="C394" i="11"/>
  <c r="B394" i="11"/>
  <c r="A394" i="11"/>
  <c r="S394" i="11" s="1"/>
  <c r="S393" i="11"/>
  <c r="M393" i="11"/>
  <c r="L393" i="11"/>
  <c r="K393" i="11"/>
  <c r="J393" i="11"/>
  <c r="I393" i="11"/>
  <c r="H393" i="11"/>
  <c r="G393" i="11"/>
  <c r="F393" i="11"/>
  <c r="Q393" i="11" s="1"/>
  <c r="E393" i="11"/>
  <c r="P393" i="11" s="1"/>
  <c r="D393" i="11"/>
  <c r="C393" i="11"/>
  <c r="B393" i="11"/>
  <c r="T393" i="11" s="1"/>
  <c r="A393" i="11"/>
  <c r="T392" i="11"/>
  <c r="Q392" i="11"/>
  <c r="M392" i="11"/>
  <c r="L392" i="11"/>
  <c r="K392" i="11"/>
  <c r="J392" i="11"/>
  <c r="I392" i="11"/>
  <c r="H392" i="11"/>
  <c r="G392" i="11"/>
  <c r="F392" i="11"/>
  <c r="E392" i="11"/>
  <c r="D392" i="11"/>
  <c r="C392" i="11"/>
  <c r="B392" i="11"/>
  <c r="A392" i="11"/>
  <c r="S392" i="11" s="1"/>
  <c r="M391" i="11"/>
  <c r="L391" i="11"/>
  <c r="K391" i="11"/>
  <c r="J391" i="11"/>
  <c r="I391" i="11"/>
  <c r="H391" i="11"/>
  <c r="G391" i="11"/>
  <c r="F391" i="11"/>
  <c r="Q391" i="11" s="1"/>
  <c r="E391" i="11"/>
  <c r="D391" i="11"/>
  <c r="C391" i="11"/>
  <c r="B391" i="11"/>
  <c r="T391" i="11" s="1"/>
  <c r="A391" i="11"/>
  <c r="S391" i="11" s="1"/>
  <c r="T390" i="11"/>
  <c r="Q390" i="11"/>
  <c r="M390" i="11"/>
  <c r="L390" i="11"/>
  <c r="K390" i="11"/>
  <c r="J390" i="11"/>
  <c r="I390" i="11"/>
  <c r="H390" i="11"/>
  <c r="G390" i="11"/>
  <c r="F390" i="11"/>
  <c r="E390" i="11"/>
  <c r="D390" i="11"/>
  <c r="C390" i="11"/>
  <c r="B390" i="11"/>
  <c r="A390" i="11"/>
  <c r="S390" i="11" s="1"/>
  <c r="V389" i="11"/>
  <c r="Q389" i="11"/>
  <c r="M389" i="11"/>
  <c r="L389" i="11"/>
  <c r="K389" i="11"/>
  <c r="J389" i="11"/>
  <c r="I389" i="11"/>
  <c r="H389" i="11"/>
  <c r="G389" i="11"/>
  <c r="F389" i="11"/>
  <c r="E389" i="11"/>
  <c r="P389" i="11" s="1"/>
  <c r="D389" i="11"/>
  <c r="C389" i="11"/>
  <c r="B389" i="11"/>
  <c r="T389" i="11" s="1"/>
  <c r="A389" i="11"/>
  <c r="S389" i="11" s="1"/>
  <c r="T388" i="11"/>
  <c r="Q388" i="11"/>
  <c r="P388" i="11"/>
  <c r="M388" i="11"/>
  <c r="L388" i="11"/>
  <c r="K388" i="11"/>
  <c r="J388" i="11"/>
  <c r="I388" i="11"/>
  <c r="H388" i="11"/>
  <c r="G388" i="11"/>
  <c r="F388" i="11"/>
  <c r="E388" i="11"/>
  <c r="D388" i="11"/>
  <c r="C388" i="11"/>
  <c r="B388" i="11"/>
  <c r="A388" i="11"/>
  <c r="S388" i="11" s="1"/>
  <c r="V387" i="11"/>
  <c r="S387" i="11"/>
  <c r="Q387" i="11"/>
  <c r="M387" i="11"/>
  <c r="L387" i="11"/>
  <c r="K387" i="11"/>
  <c r="J387" i="11"/>
  <c r="I387" i="11"/>
  <c r="H387" i="11"/>
  <c r="G387" i="11"/>
  <c r="F387" i="11"/>
  <c r="E387" i="11"/>
  <c r="P387" i="11" s="1"/>
  <c r="D387" i="11"/>
  <c r="C387" i="11"/>
  <c r="B387" i="11"/>
  <c r="T387" i="11" s="1"/>
  <c r="A387" i="11"/>
  <c r="T386" i="11"/>
  <c r="Q386" i="11"/>
  <c r="P386" i="11"/>
  <c r="M386" i="11"/>
  <c r="L386" i="11"/>
  <c r="K386" i="11"/>
  <c r="J386" i="11"/>
  <c r="I386" i="11"/>
  <c r="H386" i="11"/>
  <c r="G386" i="11"/>
  <c r="F386" i="11"/>
  <c r="E386" i="11"/>
  <c r="D386" i="11"/>
  <c r="C386" i="11"/>
  <c r="B386" i="11"/>
  <c r="A386" i="11"/>
  <c r="S386" i="11" s="1"/>
  <c r="S385" i="11"/>
  <c r="M385" i="11"/>
  <c r="L385" i="11"/>
  <c r="K385" i="11"/>
  <c r="J385" i="11"/>
  <c r="I385" i="11"/>
  <c r="H385" i="11"/>
  <c r="G385" i="11"/>
  <c r="F385" i="11"/>
  <c r="Q385" i="11" s="1"/>
  <c r="E385" i="11"/>
  <c r="P385" i="11" s="1"/>
  <c r="D385" i="11"/>
  <c r="C385" i="11"/>
  <c r="B385" i="11"/>
  <c r="T385" i="11" s="1"/>
  <c r="A385" i="11"/>
  <c r="T384" i="11"/>
  <c r="Q384" i="11"/>
  <c r="M384" i="11"/>
  <c r="L384" i="11"/>
  <c r="K384" i="11"/>
  <c r="J384" i="11"/>
  <c r="I384" i="11"/>
  <c r="H384" i="11"/>
  <c r="G384" i="11"/>
  <c r="F384" i="11"/>
  <c r="E384" i="11"/>
  <c r="D384" i="11"/>
  <c r="C384" i="11"/>
  <c r="B384" i="11"/>
  <c r="A384" i="11"/>
  <c r="S384" i="11" s="1"/>
  <c r="M383" i="11"/>
  <c r="L383" i="11"/>
  <c r="K383" i="11"/>
  <c r="J383" i="11"/>
  <c r="I383" i="11"/>
  <c r="H383" i="11"/>
  <c r="G383" i="11"/>
  <c r="F383" i="11"/>
  <c r="Q383" i="11" s="1"/>
  <c r="E383" i="11"/>
  <c r="D383" i="11"/>
  <c r="C383" i="11"/>
  <c r="B383" i="11"/>
  <c r="T383" i="11" s="1"/>
  <c r="A383" i="11"/>
  <c r="S383" i="11" s="1"/>
  <c r="T382" i="11"/>
  <c r="Q382" i="11"/>
  <c r="M382" i="11"/>
  <c r="L382" i="11"/>
  <c r="K382" i="11"/>
  <c r="J382" i="11"/>
  <c r="I382" i="11"/>
  <c r="H382" i="11"/>
  <c r="G382" i="11"/>
  <c r="F382" i="11"/>
  <c r="E382" i="11"/>
  <c r="D382" i="11"/>
  <c r="C382" i="11"/>
  <c r="B382" i="11"/>
  <c r="A382" i="11"/>
  <c r="S382" i="11" s="1"/>
  <c r="V381" i="11"/>
  <c r="Q381" i="11"/>
  <c r="M381" i="11"/>
  <c r="L381" i="11"/>
  <c r="K381" i="11"/>
  <c r="J381" i="11"/>
  <c r="I381" i="11"/>
  <c r="H381" i="11"/>
  <c r="G381" i="11"/>
  <c r="F381" i="11"/>
  <c r="E381" i="11"/>
  <c r="P381" i="11" s="1"/>
  <c r="D381" i="11"/>
  <c r="C381" i="11"/>
  <c r="B381" i="11"/>
  <c r="T381" i="11" s="1"/>
  <c r="A381" i="11"/>
  <c r="S381" i="11" s="1"/>
  <c r="T380" i="11"/>
  <c r="Q380" i="11"/>
  <c r="P380" i="11"/>
  <c r="M380" i="11"/>
  <c r="L380" i="11"/>
  <c r="K380" i="11"/>
  <c r="J380" i="11"/>
  <c r="I380" i="11"/>
  <c r="H380" i="11"/>
  <c r="G380" i="11"/>
  <c r="F380" i="11"/>
  <c r="E380" i="11"/>
  <c r="D380" i="11"/>
  <c r="C380" i="11"/>
  <c r="B380" i="11"/>
  <c r="A380" i="11"/>
  <c r="S380" i="11" s="1"/>
  <c r="V379" i="11"/>
  <c r="S379" i="11"/>
  <c r="Q379" i="11"/>
  <c r="M379" i="11"/>
  <c r="L379" i="11"/>
  <c r="K379" i="11"/>
  <c r="J379" i="11"/>
  <c r="I379" i="11"/>
  <c r="H379" i="11"/>
  <c r="G379" i="11"/>
  <c r="F379" i="11"/>
  <c r="E379" i="11"/>
  <c r="P379" i="11" s="1"/>
  <c r="D379" i="11"/>
  <c r="C379" i="11"/>
  <c r="B379" i="11"/>
  <c r="T379" i="11" s="1"/>
  <c r="A379" i="11"/>
  <c r="T378" i="11"/>
  <c r="Q378" i="11"/>
  <c r="P378" i="11"/>
  <c r="M378" i="11"/>
  <c r="L378" i="11"/>
  <c r="K378" i="11"/>
  <c r="J378" i="11"/>
  <c r="I378" i="11"/>
  <c r="H378" i="11"/>
  <c r="G378" i="11"/>
  <c r="F378" i="11"/>
  <c r="E378" i="11"/>
  <c r="D378" i="11"/>
  <c r="C378" i="11"/>
  <c r="B378" i="11"/>
  <c r="A378" i="11"/>
  <c r="S378" i="11" s="1"/>
  <c r="S377" i="11"/>
  <c r="M377" i="11"/>
  <c r="L377" i="11"/>
  <c r="K377" i="11"/>
  <c r="J377" i="11"/>
  <c r="I377" i="11"/>
  <c r="H377" i="11"/>
  <c r="G377" i="11"/>
  <c r="F377" i="11"/>
  <c r="Q377" i="11" s="1"/>
  <c r="E377" i="11"/>
  <c r="P377" i="11" s="1"/>
  <c r="D377" i="11"/>
  <c r="C377" i="11"/>
  <c r="B377" i="11"/>
  <c r="T377" i="11" s="1"/>
  <c r="A377" i="11"/>
  <c r="T376" i="11"/>
  <c r="Q376" i="11"/>
  <c r="M376" i="11"/>
  <c r="L376" i="11"/>
  <c r="K376" i="11"/>
  <c r="J376" i="11"/>
  <c r="I376" i="11"/>
  <c r="H376" i="11"/>
  <c r="G376" i="11"/>
  <c r="F376" i="11"/>
  <c r="E376" i="11"/>
  <c r="D376" i="11"/>
  <c r="C376" i="11"/>
  <c r="B376" i="11"/>
  <c r="A376" i="11"/>
  <c r="S376" i="11" s="1"/>
  <c r="M375" i="11"/>
  <c r="L375" i="11"/>
  <c r="K375" i="11"/>
  <c r="J375" i="11"/>
  <c r="I375" i="11"/>
  <c r="H375" i="11"/>
  <c r="G375" i="11"/>
  <c r="F375" i="11"/>
  <c r="Q375" i="11" s="1"/>
  <c r="E375" i="11"/>
  <c r="D375" i="11"/>
  <c r="C375" i="11"/>
  <c r="B375" i="11"/>
  <c r="T375" i="11" s="1"/>
  <c r="A375" i="11"/>
  <c r="S375" i="11" s="1"/>
  <c r="T374" i="11"/>
  <c r="Q374" i="11"/>
  <c r="M374" i="11"/>
  <c r="L374" i="11"/>
  <c r="K374" i="11"/>
  <c r="J374" i="11"/>
  <c r="I374" i="11"/>
  <c r="H374" i="11"/>
  <c r="G374" i="11"/>
  <c r="F374" i="11"/>
  <c r="E374" i="11"/>
  <c r="D374" i="11"/>
  <c r="C374" i="11"/>
  <c r="B374" i="11"/>
  <c r="A374" i="11"/>
  <c r="S374" i="11" s="1"/>
  <c r="V373" i="11"/>
  <c r="Q373" i="11"/>
  <c r="M373" i="11"/>
  <c r="L373" i="11"/>
  <c r="K373" i="11"/>
  <c r="J373" i="11"/>
  <c r="I373" i="11"/>
  <c r="H373" i="11"/>
  <c r="G373" i="11"/>
  <c r="F373" i="11"/>
  <c r="E373" i="11"/>
  <c r="P373" i="11" s="1"/>
  <c r="D373" i="11"/>
  <c r="C373" i="11"/>
  <c r="B373" i="11"/>
  <c r="T373" i="11" s="1"/>
  <c r="A373" i="11"/>
  <c r="S373" i="11" s="1"/>
  <c r="T372" i="11"/>
  <c r="Q372" i="11"/>
  <c r="P372" i="11"/>
  <c r="M372" i="11"/>
  <c r="L372" i="11"/>
  <c r="K372" i="11"/>
  <c r="J372" i="11"/>
  <c r="I372" i="11"/>
  <c r="H372" i="11"/>
  <c r="G372" i="11"/>
  <c r="F372" i="11"/>
  <c r="E372" i="11"/>
  <c r="D372" i="11"/>
  <c r="C372" i="11"/>
  <c r="B372" i="11"/>
  <c r="A372" i="11"/>
  <c r="S372" i="11" s="1"/>
  <c r="V371" i="11"/>
  <c r="S371" i="11"/>
  <c r="Q371" i="11"/>
  <c r="M371" i="11"/>
  <c r="L371" i="11"/>
  <c r="K371" i="11"/>
  <c r="J371" i="11"/>
  <c r="I371" i="11"/>
  <c r="H371" i="11"/>
  <c r="G371" i="11"/>
  <c r="F371" i="11"/>
  <c r="E371" i="11"/>
  <c r="P371" i="11" s="1"/>
  <c r="D371" i="11"/>
  <c r="C371" i="11"/>
  <c r="B371" i="11"/>
  <c r="T371" i="11" s="1"/>
  <c r="A371" i="11"/>
  <c r="T370" i="11"/>
  <c r="Q370" i="11"/>
  <c r="P370" i="11"/>
  <c r="M370" i="11"/>
  <c r="L370" i="11"/>
  <c r="K370" i="11"/>
  <c r="J370" i="11"/>
  <c r="I370" i="11"/>
  <c r="H370" i="11"/>
  <c r="G370" i="11"/>
  <c r="F370" i="11"/>
  <c r="E370" i="11"/>
  <c r="D370" i="11"/>
  <c r="C370" i="11"/>
  <c r="B370" i="11"/>
  <c r="A370" i="11"/>
  <c r="S370" i="11" s="1"/>
  <c r="S369" i="11"/>
  <c r="M369" i="11"/>
  <c r="L369" i="11"/>
  <c r="K369" i="11"/>
  <c r="J369" i="11"/>
  <c r="I369" i="11"/>
  <c r="H369" i="11"/>
  <c r="G369" i="11"/>
  <c r="F369" i="11"/>
  <c r="Q369" i="11" s="1"/>
  <c r="E369" i="11"/>
  <c r="P369" i="11" s="1"/>
  <c r="D369" i="11"/>
  <c r="C369" i="11"/>
  <c r="B369" i="11"/>
  <c r="T369" i="11" s="1"/>
  <c r="A369" i="11"/>
  <c r="T368" i="11"/>
  <c r="Q368" i="11"/>
  <c r="M368" i="11"/>
  <c r="L368" i="11"/>
  <c r="K368" i="11"/>
  <c r="J368" i="11"/>
  <c r="I368" i="11"/>
  <c r="H368" i="11"/>
  <c r="G368" i="11"/>
  <c r="F368" i="11"/>
  <c r="E368" i="11"/>
  <c r="D368" i="11"/>
  <c r="C368" i="11"/>
  <c r="B368" i="11"/>
  <c r="A368" i="11"/>
  <c r="S368" i="11" s="1"/>
  <c r="M367" i="11"/>
  <c r="L367" i="11"/>
  <c r="K367" i="11"/>
  <c r="J367" i="11"/>
  <c r="I367" i="11"/>
  <c r="H367" i="11"/>
  <c r="G367" i="11"/>
  <c r="F367" i="11"/>
  <c r="Q367" i="11" s="1"/>
  <c r="E367" i="11"/>
  <c r="D367" i="11"/>
  <c r="C367" i="11"/>
  <c r="B367" i="11"/>
  <c r="T367" i="11" s="1"/>
  <c r="A367" i="11"/>
  <c r="S367" i="11" s="1"/>
  <c r="T366" i="11"/>
  <c r="Q366" i="11"/>
  <c r="M366" i="11"/>
  <c r="L366" i="11"/>
  <c r="K366" i="11"/>
  <c r="J366" i="11"/>
  <c r="I366" i="11"/>
  <c r="H366" i="11"/>
  <c r="G366" i="11"/>
  <c r="F366" i="11"/>
  <c r="E366" i="11"/>
  <c r="D366" i="11"/>
  <c r="C366" i="11"/>
  <c r="B366" i="11"/>
  <c r="A366" i="11"/>
  <c r="S366" i="11" s="1"/>
  <c r="V365" i="11"/>
  <c r="Q365" i="11"/>
  <c r="M365" i="11"/>
  <c r="L365" i="11"/>
  <c r="K365" i="11"/>
  <c r="J365" i="11"/>
  <c r="I365" i="11"/>
  <c r="H365" i="11"/>
  <c r="G365" i="11"/>
  <c r="F365" i="11"/>
  <c r="E365" i="11"/>
  <c r="P365" i="11" s="1"/>
  <c r="D365" i="11"/>
  <c r="C365" i="11"/>
  <c r="B365" i="11"/>
  <c r="T365" i="11" s="1"/>
  <c r="A365" i="11"/>
  <c r="S365" i="11" s="1"/>
  <c r="T364" i="11"/>
  <c r="Q364" i="11"/>
  <c r="P364" i="11"/>
  <c r="M364" i="11"/>
  <c r="L364" i="11"/>
  <c r="K364" i="11"/>
  <c r="J364" i="11"/>
  <c r="I364" i="11"/>
  <c r="H364" i="11"/>
  <c r="G364" i="11"/>
  <c r="F364" i="11"/>
  <c r="E364" i="11"/>
  <c r="D364" i="11"/>
  <c r="C364" i="11"/>
  <c r="B364" i="11"/>
  <c r="A364" i="11"/>
  <c r="S364" i="11" s="1"/>
  <c r="V363" i="11"/>
  <c r="S363" i="11"/>
  <c r="Q363" i="11"/>
  <c r="M363" i="11"/>
  <c r="L363" i="11"/>
  <c r="K363" i="11"/>
  <c r="J363" i="11"/>
  <c r="I363" i="11"/>
  <c r="H363" i="11"/>
  <c r="G363" i="11"/>
  <c r="F363" i="11"/>
  <c r="E363" i="11"/>
  <c r="P363" i="11" s="1"/>
  <c r="D363" i="11"/>
  <c r="C363" i="11"/>
  <c r="B363" i="11"/>
  <c r="T363" i="11" s="1"/>
  <c r="A363" i="11"/>
  <c r="T362" i="11"/>
  <c r="Q362" i="11"/>
  <c r="P362" i="11"/>
  <c r="M362" i="11"/>
  <c r="L362" i="11"/>
  <c r="K362" i="11"/>
  <c r="J362" i="11"/>
  <c r="I362" i="11"/>
  <c r="H362" i="11"/>
  <c r="G362" i="11"/>
  <c r="F362" i="11"/>
  <c r="E362" i="11"/>
  <c r="D362" i="11"/>
  <c r="C362" i="11"/>
  <c r="B362" i="11"/>
  <c r="A362" i="11"/>
  <c r="S362" i="11" s="1"/>
  <c r="S361" i="11"/>
  <c r="M361" i="11"/>
  <c r="L361" i="11"/>
  <c r="K361" i="11"/>
  <c r="J361" i="11"/>
  <c r="I361" i="11"/>
  <c r="H361" i="11"/>
  <c r="G361" i="11"/>
  <c r="F361" i="11"/>
  <c r="Q361" i="11" s="1"/>
  <c r="E361" i="11"/>
  <c r="P361" i="11" s="1"/>
  <c r="D361" i="11"/>
  <c r="C361" i="11"/>
  <c r="B361" i="11"/>
  <c r="T361" i="11" s="1"/>
  <c r="A361" i="11"/>
  <c r="T360" i="11"/>
  <c r="Q360" i="11"/>
  <c r="M360" i="11"/>
  <c r="L360" i="11"/>
  <c r="K360" i="11"/>
  <c r="J360" i="11"/>
  <c r="I360" i="11"/>
  <c r="H360" i="11"/>
  <c r="G360" i="11"/>
  <c r="F360" i="11"/>
  <c r="E360" i="11"/>
  <c r="D360" i="11"/>
  <c r="C360" i="11"/>
  <c r="B360" i="11"/>
  <c r="A360" i="11"/>
  <c r="S360" i="11" s="1"/>
  <c r="M359" i="11"/>
  <c r="L359" i="11"/>
  <c r="K359" i="11"/>
  <c r="J359" i="11"/>
  <c r="I359" i="11"/>
  <c r="H359" i="11"/>
  <c r="G359" i="11"/>
  <c r="F359" i="11"/>
  <c r="Q359" i="11" s="1"/>
  <c r="E359" i="11"/>
  <c r="D359" i="11"/>
  <c r="C359" i="11"/>
  <c r="B359" i="11"/>
  <c r="T359" i="11" s="1"/>
  <c r="A359" i="11"/>
  <c r="S359" i="11" s="1"/>
  <c r="T358" i="11"/>
  <c r="Q358" i="11"/>
  <c r="M358" i="11"/>
  <c r="L358" i="11"/>
  <c r="K358" i="11"/>
  <c r="J358" i="11"/>
  <c r="I358" i="11"/>
  <c r="H358" i="11"/>
  <c r="G358" i="11"/>
  <c r="F358" i="11"/>
  <c r="E358" i="11"/>
  <c r="D358" i="11"/>
  <c r="C358" i="11"/>
  <c r="B358" i="11"/>
  <c r="A358" i="11"/>
  <c r="S358" i="11" s="1"/>
  <c r="V357" i="11"/>
  <c r="Q357" i="11"/>
  <c r="M357" i="11"/>
  <c r="L357" i="11"/>
  <c r="K357" i="11"/>
  <c r="J357" i="11"/>
  <c r="I357" i="11"/>
  <c r="H357" i="11"/>
  <c r="G357" i="11"/>
  <c r="F357" i="11"/>
  <c r="E357" i="11"/>
  <c r="P357" i="11" s="1"/>
  <c r="D357" i="11"/>
  <c r="C357" i="11"/>
  <c r="B357" i="11"/>
  <c r="T357" i="11" s="1"/>
  <c r="A357" i="11"/>
  <c r="S357" i="11" s="1"/>
  <c r="T356" i="11"/>
  <c r="Q356" i="11"/>
  <c r="P356" i="11"/>
  <c r="M356" i="11"/>
  <c r="L356" i="11"/>
  <c r="K356" i="11"/>
  <c r="J356" i="11"/>
  <c r="I356" i="11"/>
  <c r="H356" i="11"/>
  <c r="G356" i="11"/>
  <c r="F356" i="11"/>
  <c r="E356" i="11"/>
  <c r="D356" i="11"/>
  <c r="C356" i="11"/>
  <c r="B356" i="11"/>
  <c r="A356" i="11"/>
  <c r="S356" i="11" s="1"/>
  <c r="V355" i="11"/>
  <c r="S355" i="11"/>
  <c r="Q355" i="11"/>
  <c r="M355" i="11"/>
  <c r="L355" i="11"/>
  <c r="K355" i="11"/>
  <c r="J355" i="11"/>
  <c r="I355" i="11"/>
  <c r="H355" i="11"/>
  <c r="G355" i="11"/>
  <c r="F355" i="11"/>
  <c r="E355" i="11"/>
  <c r="P355" i="11" s="1"/>
  <c r="D355" i="11"/>
  <c r="C355" i="11"/>
  <c r="B355" i="11"/>
  <c r="T355" i="11" s="1"/>
  <c r="A355" i="11"/>
  <c r="T354" i="11"/>
  <c r="Q354" i="11"/>
  <c r="P354" i="11"/>
  <c r="M354" i="11"/>
  <c r="L354" i="11"/>
  <c r="K354" i="11"/>
  <c r="J354" i="11"/>
  <c r="I354" i="11"/>
  <c r="H354" i="11"/>
  <c r="G354" i="11"/>
  <c r="F354" i="11"/>
  <c r="E354" i="11"/>
  <c r="D354" i="11"/>
  <c r="C354" i="11"/>
  <c r="B354" i="11"/>
  <c r="A354" i="11"/>
  <c r="S354" i="11" s="1"/>
  <c r="S353" i="11"/>
  <c r="M353" i="11"/>
  <c r="L353" i="11"/>
  <c r="K353" i="11"/>
  <c r="J353" i="11"/>
  <c r="I353" i="11"/>
  <c r="H353" i="11"/>
  <c r="G353" i="11"/>
  <c r="F353" i="11"/>
  <c r="Q353" i="11" s="1"/>
  <c r="E353" i="11"/>
  <c r="P353" i="11" s="1"/>
  <c r="D353" i="11"/>
  <c r="C353" i="11"/>
  <c r="B353" i="11"/>
  <c r="T353" i="11" s="1"/>
  <c r="A353" i="11"/>
  <c r="T352" i="11"/>
  <c r="Q352" i="11"/>
  <c r="M352" i="11"/>
  <c r="L352" i="11"/>
  <c r="K352" i="11"/>
  <c r="J352" i="11"/>
  <c r="I352" i="11"/>
  <c r="H352" i="11"/>
  <c r="G352" i="11"/>
  <c r="F352" i="11"/>
  <c r="E352" i="11"/>
  <c r="D352" i="11"/>
  <c r="C352" i="11"/>
  <c r="B352" i="11"/>
  <c r="A352" i="11"/>
  <c r="S352" i="11" s="1"/>
  <c r="M351" i="11"/>
  <c r="L351" i="11"/>
  <c r="K351" i="11"/>
  <c r="J351" i="11"/>
  <c r="I351" i="11"/>
  <c r="H351" i="11"/>
  <c r="G351" i="11"/>
  <c r="F351" i="11"/>
  <c r="Q351" i="11" s="1"/>
  <c r="E351" i="11"/>
  <c r="D351" i="11"/>
  <c r="C351" i="11"/>
  <c r="B351" i="11"/>
  <c r="T351" i="11" s="1"/>
  <c r="A351" i="11"/>
  <c r="S351" i="11" s="1"/>
  <c r="T350" i="11"/>
  <c r="Q350" i="11"/>
  <c r="M350" i="11"/>
  <c r="L350" i="11"/>
  <c r="K350" i="11"/>
  <c r="J350" i="11"/>
  <c r="I350" i="11"/>
  <c r="H350" i="11"/>
  <c r="G350" i="11"/>
  <c r="F350" i="11"/>
  <c r="E350" i="11"/>
  <c r="D350" i="11"/>
  <c r="C350" i="11"/>
  <c r="B350" i="11"/>
  <c r="A350" i="11"/>
  <c r="S350" i="11" s="1"/>
  <c r="V349" i="11"/>
  <c r="Q349" i="11"/>
  <c r="M349" i="11"/>
  <c r="L349" i="11"/>
  <c r="K349" i="11"/>
  <c r="J349" i="11"/>
  <c r="I349" i="11"/>
  <c r="H349" i="11"/>
  <c r="G349" i="11"/>
  <c r="F349" i="11"/>
  <c r="E349" i="11"/>
  <c r="P349" i="11" s="1"/>
  <c r="D349" i="11"/>
  <c r="C349" i="11"/>
  <c r="B349" i="11"/>
  <c r="T349" i="11" s="1"/>
  <c r="A349" i="11"/>
  <c r="S349" i="11" s="1"/>
  <c r="T348" i="11"/>
  <c r="Q348" i="11"/>
  <c r="P348" i="11"/>
  <c r="M348" i="11"/>
  <c r="L348" i="11"/>
  <c r="K348" i="11"/>
  <c r="J348" i="11"/>
  <c r="I348" i="11"/>
  <c r="H348" i="11"/>
  <c r="G348" i="11"/>
  <c r="F348" i="11"/>
  <c r="E348" i="11"/>
  <c r="D348" i="11"/>
  <c r="C348" i="11"/>
  <c r="B348" i="11"/>
  <c r="A348" i="11"/>
  <c r="S348" i="11" s="1"/>
  <c r="V347" i="11"/>
  <c r="S347" i="11"/>
  <c r="Q347" i="11"/>
  <c r="M347" i="11"/>
  <c r="L347" i="11"/>
  <c r="K347" i="11"/>
  <c r="J347" i="11"/>
  <c r="I347" i="11"/>
  <c r="H347" i="11"/>
  <c r="G347" i="11"/>
  <c r="F347" i="11"/>
  <c r="E347" i="11"/>
  <c r="P347" i="11" s="1"/>
  <c r="D347" i="11"/>
  <c r="C347" i="11"/>
  <c r="B347" i="11"/>
  <c r="T347" i="11" s="1"/>
  <c r="A347" i="11"/>
  <c r="T346" i="11"/>
  <c r="Q346" i="11"/>
  <c r="P346" i="11"/>
  <c r="M346" i="11"/>
  <c r="L346" i="11"/>
  <c r="K346" i="11"/>
  <c r="J346" i="11"/>
  <c r="I346" i="11"/>
  <c r="H346" i="11"/>
  <c r="G346" i="11"/>
  <c r="F346" i="11"/>
  <c r="E346" i="11"/>
  <c r="D346" i="11"/>
  <c r="C346" i="11"/>
  <c r="B346" i="11"/>
  <c r="A346" i="11"/>
  <c r="S346" i="11" s="1"/>
  <c r="S345" i="11"/>
  <c r="M345" i="11"/>
  <c r="L345" i="11"/>
  <c r="K345" i="11"/>
  <c r="J345" i="11"/>
  <c r="I345" i="11"/>
  <c r="H345" i="11"/>
  <c r="G345" i="11"/>
  <c r="F345" i="11"/>
  <c r="Q345" i="11" s="1"/>
  <c r="E345" i="11"/>
  <c r="P345" i="11" s="1"/>
  <c r="D345" i="11"/>
  <c r="C345" i="11"/>
  <c r="B345" i="11"/>
  <c r="T345" i="11" s="1"/>
  <c r="A345" i="11"/>
  <c r="T344" i="11"/>
  <c r="Q344" i="11"/>
  <c r="M344" i="11"/>
  <c r="L344" i="11"/>
  <c r="K344" i="11"/>
  <c r="J344" i="11"/>
  <c r="I344" i="11"/>
  <c r="H344" i="11"/>
  <c r="G344" i="11"/>
  <c r="F344" i="11"/>
  <c r="E344" i="11"/>
  <c r="D344" i="11"/>
  <c r="C344" i="11"/>
  <c r="B344" i="11"/>
  <c r="A344" i="11"/>
  <c r="S344" i="11" s="1"/>
  <c r="M343" i="11"/>
  <c r="L343" i="11"/>
  <c r="K343" i="11"/>
  <c r="J343" i="11"/>
  <c r="I343" i="11"/>
  <c r="H343" i="11"/>
  <c r="G343" i="11"/>
  <c r="F343" i="11"/>
  <c r="Q343" i="11" s="1"/>
  <c r="E343" i="11"/>
  <c r="D343" i="11"/>
  <c r="C343" i="11"/>
  <c r="B343" i="11"/>
  <c r="T343" i="11" s="1"/>
  <c r="A343" i="11"/>
  <c r="S343" i="11" s="1"/>
  <c r="T342" i="11"/>
  <c r="Q342" i="11"/>
  <c r="M342" i="11"/>
  <c r="L342" i="11"/>
  <c r="K342" i="11"/>
  <c r="J342" i="11"/>
  <c r="I342" i="11"/>
  <c r="H342" i="11"/>
  <c r="G342" i="11"/>
  <c r="F342" i="11"/>
  <c r="E342" i="11"/>
  <c r="D342" i="11"/>
  <c r="C342" i="11"/>
  <c r="B342" i="11"/>
  <c r="A342" i="11"/>
  <c r="S342" i="11" s="1"/>
  <c r="V341" i="11"/>
  <c r="Q341" i="11"/>
  <c r="M341" i="11"/>
  <c r="L341" i="11"/>
  <c r="K341" i="11"/>
  <c r="J341" i="11"/>
  <c r="I341" i="11"/>
  <c r="H341" i="11"/>
  <c r="G341" i="11"/>
  <c r="F341" i="11"/>
  <c r="E341" i="11"/>
  <c r="P341" i="11" s="1"/>
  <c r="D341" i="11"/>
  <c r="C341" i="11"/>
  <c r="B341" i="11"/>
  <c r="T341" i="11" s="1"/>
  <c r="A341" i="11"/>
  <c r="S341" i="11" s="1"/>
  <c r="T340" i="11"/>
  <c r="Q340" i="11"/>
  <c r="P340" i="11"/>
  <c r="M340" i="11"/>
  <c r="L340" i="11"/>
  <c r="K340" i="11"/>
  <c r="J340" i="11"/>
  <c r="I340" i="11"/>
  <c r="H340" i="11"/>
  <c r="G340" i="11"/>
  <c r="F340" i="11"/>
  <c r="E340" i="11"/>
  <c r="D340" i="11"/>
  <c r="C340" i="11"/>
  <c r="B340" i="11"/>
  <c r="A340" i="11"/>
  <c r="S340" i="11" s="1"/>
  <c r="V339" i="11"/>
  <c r="S339" i="11"/>
  <c r="Q339" i="11"/>
  <c r="M339" i="11"/>
  <c r="L339" i="11"/>
  <c r="K339" i="11"/>
  <c r="J339" i="11"/>
  <c r="I339" i="11"/>
  <c r="H339" i="11"/>
  <c r="G339" i="11"/>
  <c r="F339" i="11"/>
  <c r="E339" i="11"/>
  <c r="P339" i="11" s="1"/>
  <c r="D339" i="11"/>
  <c r="C339" i="11"/>
  <c r="B339" i="11"/>
  <c r="T339" i="11" s="1"/>
  <c r="A339" i="11"/>
  <c r="T338" i="11"/>
  <c r="Q338" i="11"/>
  <c r="P338" i="11"/>
  <c r="M338" i="11"/>
  <c r="L338" i="11"/>
  <c r="K338" i="11"/>
  <c r="J338" i="11"/>
  <c r="I338" i="11"/>
  <c r="H338" i="11"/>
  <c r="G338" i="11"/>
  <c r="F338" i="11"/>
  <c r="E338" i="11"/>
  <c r="D338" i="11"/>
  <c r="C338" i="11"/>
  <c r="B338" i="11"/>
  <c r="A338" i="11"/>
  <c r="S338" i="11" s="1"/>
  <c r="S337" i="11"/>
  <c r="M337" i="11"/>
  <c r="L337" i="11"/>
  <c r="K337" i="11"/>
  <c r="J337" i="11"/>
  <c r="I337" i="11"/>
  <c r="H337" i="11"/>
  <c r="G337" i="11"/>
  <c r="F337" i="11"/>
  <c r="Q337" i="11" s="1"/>
  <c r="E337" i="11"/>
  <c r="P337" i="11" s="1"/>
  <c r="D337" i="11"/>
  <c r="C337" i="11"/>
  <c r="B337" i="11"/>
  <c r="T337" i="11" s="1"/>
  <c r="A337" i="11"/>
  <c r="T336" i="11"/>
  <c r="S336" i="11"/>
  <c r="Q336" i="11"/>
  <c r="M336" i="11"/>
  <c r="L336" i="11"/>
  <c r="K336" i="11"/>
  <c r="J336" i="11"/>
  <c r="I336" i="11"/>
  <c r="H336" i="11"/>
  <c r="G336" i="11"/>
  <c r="F336" i="11"/>
  <c r="E336" i="11"/>
  <c r="D336" i="11"/>
  <c r="C336" i="11"/>
  <c r="B336" i="11"/>
  <c r="A336" i="11"/>
  <c r="M335" i="11"/>
  <c r="L335" i="11"/>
  <c r="K335" i="11"/>
  <c r="J335" i="11"/>
  <c r="I335" i="11"/>
  <c r="H335" i="11"/>
  <c r="G335" i="11"/>
  <c r="F335" i="11"/>
  <c r="Q335" i="11" s="1"/>
  <c r="E335" i="11"/>
  <c r="D335" i="11"/>
  <c r="C335" i="11"/>
  <c r="B335" i="11"/>
  <c r="T335" i="11" s="1"/>
  <c r="A335" i="11"/>
  <c r="S335" i="11" s="1"/>
  <c r="T334" i="11"/>
  <c r="Q334" i="11"/>
  <c r="M334" i="11"/>
  <c r="L334" i="11"/>
  <c r="K334" i="11"/>
  <c r="J334" i="11"/>
  <c r="I334" i="11"/>
  <c r="H334" i="11"/>
  <c r="G334" i="11"/>
  <c r="F334" i="11"/>
  <c r="E334" i="11"/>
  <c r="D334" i="11"/>
  <c r="C334" i="11"/>
  <c r="B334" i="11"/>
  <c r="A334" i="11"/>
  <c r="S334" i="11" s="1"/>
  <c r="V333" i="11"/>
  <c r="Q333" i="11"/>
  <c r="M333" i="11"/>
  <c r="L333" i="11"/>
  <c r="K333" i="11"/>
  <c r="J333" i="11"/>
  <c r="I333" i="11"/>
  <c r="H333" i="11"/>
  <c r="G333" i="11"/>
  <c r="F333" i="11"/>
  <c r="E333" i="11"/>
  <c r="P333" i="11" s="1"/>
  <c r="D333" i="11"/>
  <c r="C333" i="11"/>
  <c r="B333" i="11"/>
  <c r="T333" i="11" s="1"/>
  <c r="A333" i="11"/>
  <c r="S333" i="11" s="1"/>
  <c r="T332" i="11"/>
  <c r="Q332" i="11"/>
  <c r="P332" i="11"/>
  <c r="M332" i="11"/>
  <c r="L332" i="11"/>
  <c r="K332" i="11"/>
  <c r="J332" i="11"/>
  <c r="I332" i="11"/>
  <c r="H332" i="11"/>
  <c r="G332" i="11"/>
  <c r="F332" i="11"/>
  <c r="E332" i="11"/>
  <c r="D332" i="11"/>
  <c r="C332" i="11"/>
  <c r="B332" i="11"/>
  <c r="A332" i="11"/>
  <c r="S332" i="11" s="1"/>
  <c r="V331" i="11"/>
  <c r="S331" i="11"/>
  <c r="Q331" i="11"/>
  <c r="M331" i="11"/>
  <c r="L331" i="11"/>
  <c r="K331" i="11"/>
  <c r="J331" i="11"/>
  <c r="I331" i="11"/>
  <c r="H331" i="11"/>
  <c r="G331" i="11"/>
  <c r="F331" i="11"/>
  <c r="E331" i="11"/>
  <c r="P331" i="11" s="1"/>
  <c r="D331" i="11"/>
  <c r="C331" i="11"/>
  <c r="B331" i="11"/>
  <c r="T331" i="11" s="1"/>
  <c r="A331" i="11"/>
  <c r="P330" i="11"/>
  <c r="M330" i="11"/>
  <c r="L330" i="11"/>
  <c r="K330" i="11"/>
  <c r="J330" i="11"/>
  <c r="I330" i="11"/>
  <c r="H330" i="11"/>
  <c r="G330" i="11"/>
  <c r="F330" i="11"/>
  <c r="Q330" i="11" s="1"/>
  <c r="E330" i="11"/>
  <c r="D330" i="11"/>
  <c r="C330" i="11"/>
  <c r="B330" i="11"/>
  <c r="T330" i="11" s="1"/>
  <c r="A330" i="11"/>
  <c r="S330" i="11" s="1"/>
  <c r="T329" i="11"/>
  <c r="Q329" i="11"/>
  <c r="P329" i="11"/>
  <c r="M329" i="11"/>
  <c r="L329" i="11"/>
  <c r="K329" i="11"/>
  <c r="J329" i="11"/>
  <c r="I329" i="11"/>
  <c r="H329" i="11"/>
  <c r="G329" i="11"/>
  <c r="F329" i="11"/>
  <c r="E329" i="11"/>
  <c r="V329" i="11" s="1"/>
  <c r="D329" i="11"/>
  <c r="C329" i="11"/>
  <c r="B329" i="11"/>
  <c r="A329" i="11"/>
  <c r="S329" i="11" s="1"/>
  <c r="S328" i="11"/>
  <c r="M328" i="11"/>
  <c r="L328" i="11"/>
  <c r="K328" i="11"/>
  <c r="J328" i="11"/>
  <c r="I328" i="11"/>
  <c r="H328" i="11"/>
  <c r="G328" i="11"/>
  <c r="F328" i="11"/>
  <c r="Q328" i="11" s="1"/>
  <c r="E328" i="11"/>
  <c r="P328" i="11" s="1"/>
  <c r="D328" i="11"/>
  <c r="C328" i="11"/>
  <c r="B328" i="11"/>
  <c r="T328" i="11" s="1"/>
  <c r="A328" i="11"/>
  <c r="T327" i="11"/>
  <c r="Q327" i="11"/>
  <c r="P327" i="11"/>
  <c r="M327" i="11"/>
  <c r="L327" i="11"/>
  <c r="K327" i="11"/>
  <c r="J327" i="11"/>
  <c r="I327" i="11"/>
  <c r="H327" i="11"/>
  <c r="G327" i="11"/>
  <c r="F327" i="11"/>
  <c r="E327" i="11"/>
  <c r="V327" i="11" s="1"/>
  <c r="D327" i="11"/>
  <c r="C327" i="11"/>
  <c r="B327" i="11"/>
  <c r="A327" i="11"/>
  <c r="S327" i="11" s="1"/>
  <c r="S326" i="11"/>
  <c r="M326" i="11"/>
  <c r="L326" i="11"/>
  <c r="K326" i="11"/>
  <c r="J326" i="11"/>
  <c r="I326" i="11"/>
  <c r="H326" i="11"/>
  <c r="G326" i="11"/>
  <c r="F326" i="11"/>
  <c r="Q326" i="11" s="1"/>
  <c r="E326" i="11"/>
  <c r="P326" i="11" s="1"/>
  <c r="D326" i="11"/>
  <c r="C326" i="11"/>
  <c r="B326" i="11"/>
  <c r="T326" i="11" s="1"/>
  <c r="A326" i="11"/>
  <c r="T325" i="11"/>
  <c r="Q325" i="11"/>
  <c r="P325" i="11"/>
  <c r="M325" i="11"/>
  <c r="L325" i="11"/>
  <c r="K325" i="11"/>
  <c r="J325" i="11"/>
  <c r="I325" i="11"/>
  <c r="H325" i="11"/>
  <c r="G325" i="11"/>
  <c r="F325" i="11"/>
  <c r="E325" i="11"/>
  <c r="V325" i="11" s="1"/>
  <c r="D325" i="11"/>
  <c r="C325" i="11"/>
  <c r="B325" i="11"/>
  <c r="A325" i="11"/>
  <c r="S325" i="11" s="1"/>
  <c r="V324" i="11"/>
  <c r="S324" i="11"/>
  <c r="M324" i="11"/>
  <c r="L324" i="11"/>
  <c r="K324" i="11"/>
  <c r="J324" i="11"/>
  <c r="I324" i="11"/>
  <c r="H324" i="11"/>
  <c r="G324" i="11"/>
  <c r="F324" i="11"/>
  <c r="Q324" i="11" s="1"/>
  <c r="E324" i="11"/>
  <c r="P324" i="11" s="1"/>
  <c r="D324" i="11"/>
  <c r="C324" i="11"/>
  <c r="B324" i="11"/>
  <c r="T324" i="11" s="1"/>
  <c r="A324" i="11"/>
  <c r="T323" i="11"/>
  <c r="Q323" i="11"/>
  <c r="P323" i="11"/>
  <c r="M323" i="11"/>
  <c r="L323" i="11"/>
  <c r="K323" i="11"/>
  <c r="J323" i="11"/>
  <c r="I323" i="11"/>
  <c r="H323" i="11"/>
  <c r="G323" i="11"/>
  <c r="F323" i="11"/>
  <c r="E323" i="11"/>
  <c r="V323" i="11" s="1"/>
  <c r="D323" i="11"/>
  <c r="C323" i="11"/>
  <c r="B323" i="11"/>
  <c r="A323" i="11"/>
  <c r="S323" i="11" s="1"/>
  <c r="S322" i="11"/>
  <c r="M322" i="11"/>
  <c r="L322" i="11"/>
  <c r="K322" i="11"/>
  <c r="J322" i="11"/>
  <c r="I322" i="11"/>
  <c r="H322" i="11"/>
  <c r="G322" i="11"/>
  <c r="F322" i="11"/>
  <c r="Q322" i="11" s="1"/>
  <c r="E322" i="11"/>
  <c r="P322" i="11" s="1"/>
  <c r="D322" i="11"/>
  <c r="C322" i="11"/>
  <c r="B322" i="11"/>
  <c r="T322" i="11" s="1"/>
  <c r="A322" i="11"/>
  <c r="T321" i="11"/>
  <c r="Q321" i="11"/>
  <c r="P321" i="11"/>
  <c r="M321" i="11"/>
  <c r="L321" i="11"/>
  <c r="K321" i="11"/>
  <c r="J321" i="11"/>
  <c r="I321" i="11"/>
  <c r="H321" i="11"/>
  <c r="G321" i="11"/>
  <c r="F321" i="11"/>
  <c r="E321" i="11"/>
  <c r="V321" i="11" s="1"/>
  <c r="D321" i="11"/>
  <c r="C321" i="11"/>
  <c r="B321" i="11"/>
  <c r="A321" i="11"/>
  <c r="S321" i="11" s="1"/>
  <c r="S320" i="11"/>
  <c r="M320" i="11"/>
  <c r="L320" i="11"/>
  <c r="K320" i="11"/>
  <c r="J320" i="11"/>
  <c r="I320" i="11"/>
  <c r="H320" i="11"/>
  <c r="G320" i="11"/>
  <c r="F320" i="11"/>
  <c r="Q320" i="11" s="1"/>
  <c r="E320" i="11"/>
  <c r="P320" i="11" s="1"/>
  <c r="D320" i="11"/>
  <c r="C320" i="11"/>
  <c r="B320" i="11"/>
  <c r="T320" i="11" s="1"/>
  <c r="A320" i="11"/>
  <c r="T319" i="11"/>
  <c r="Q319" i="11"/>
  <c r="P319" i="11"/>
  <c r="M319" i="11"/>
  <c r="L319" i="11"/>
  <c r="K319" i="11"/>
  <c r="J319" i="11"/>
  <c r="I319" i="11"/>
  <c r="H319" i="11"/>
  <c r="G319" i="11"/>
  <c r="F319" i="11"/>
  <c r="E319" i="11"/>
  <c r="V319" i="11" s="1"/>
  <c r="D319" i="11"/>
  <c r="C319" i="11"/>
  <c r="B319" i="11"/>
  <c r="A319" i="11"/>
  <c r="S319" i="11" s="1"/>
  <c r="S318" i="11"/>
  <c r="M318" i="11"/>
  <c r="L318" i="11"/>
  <c r="K318" i="11"/>
  <c r="J318" i="11"/>
  <c r="I318" i="11"/>
  <c r="H318" i="11"/>
  <c r="G318" i="11"/>
  <c r="F318" i="11"/>
  <c r="Q318" i="11" s="1"/>
  <c r="E318" i="11"/>
  <c r="P318" i="11" s="1"/>
  <c r="D318" i="11"/>
  <c r="C318" i="11"/>
  <c r="B318" i="11"/>
  <c r="T318" i="11" s="1"/>
  <c r="A318" i="11"/>
  <c r="T317" i="11"/>
  <c r="Q317" i="11"/>
  <c r="P317" i="11"/>
  <c r="M317" i="11"/>
  <c r="L317" i="11"/>
  <c r="K317" i="11"/>
  <c r="J317" i="11"/>
  <c r="I317" i="11"/>
  <c r="H317" i="11"/>
  <c r="G317" i="11"/>
  <c r="F317" i="11"/>
  <c r="E317" i="11"/>
  <c r="V317" i="11" s="1"/>
  <c r="D317" i="11"/>
  <c r="C317" i="11"/>
  <c r="B317" i="11"/>
  <c r="A317" i="11"/>
  <c r="S317" i="11" s="1"/>
  <c r="V316" i="11"/>
  <c r="S316" i="11"/>
  <c r="M316" i="11"/>
  <c r="L316" i="11"/>
  <c r="K316" i="11"/>
  <c r="J316" i="11"/>
  <c r="I316" i="11"/>
  <c r="H316" i="11"/>
  <c r="G316" i="11"/>
  <c r="F316" i="11"/>
  <c r="Q316" i="11" s="1"/>
  <c r="E316" i="11"/>
  <c r="P316" i="11" s="1"/>
  <c r="D316" i="11"/>
  <c r="C316" i="11"/>
  <c r="B316" i="11"/>
  <c r="T316" i="11" s="1"/>
  <c r="A316" i="11"/>
  <c r="T315" i="11"/>
  <c r="Q315" i="11"/>
  <c r="P315" i="11"/>
  <c r="M315" i="11"/>
  <c r="L315" i="11"/>
  <c r="K315" i="11"/>
  <c r="J315" i="11"/>
  <c r="I315" i="11"/>
  <c r="H315" i="11"/>
  <c r="G315" i="11"/>
  <c r="F315" i="11"/>
  <c r="E315" i="11"/>
  <c r="V315" i="11" s="1"/>
  <c r="D315" i="11"/>
  <c r="C315" i="11"/>
  <c r="B315" i="11"/>
  <c r="A315" i="11"/>
  <c r="S315" i="11" s="1"/>
  <c r="S314" i="11"/>
  <c r="M314" i="11"/>
  <c r="L314" i="11"/>
  <c r="K314" i="11"/>
  <c r="J314" i="11"/>
  <c r="I314" i="11"/>
  <c r="H314" i="11"/>
  <c r="G314" i="11"/>
  <c r="F314" i="11"/>
  <c r="Q314" i="11" s="1"/>
  <c r="E314" i="11"/>
  <c r="P314" i="11" s="1"/>
  <c r="D314" i="11"/>
  <c r="C314" i="11"/>
  <c r="B314" i="11"/>
  <c r="T314" i="11" s="1"/>
  <c r="A314" i="11"/>
  <c r="T313" i="11"/>
  <c r="Q313" i="11"/>
  <c r="P313" i="11"/>
  <c r="M313" i="11"/>
  <c r="L313" i="11"/>
  <c r="K313" i="11"/>
  <c r="J313" i="11"/>
  <c r="I313" i="11"/>
  <c r="H313" i="11"/>
  <c r="G313" i="11"/>
  <c r="F313" i="11"/>
  <c r="E313" i="11"/>
  <c r="V313" i="11" s="1"/>
  <c r="D313" i="11"/>
  <c r="C313" i="11"/>
  <c r="B313" i="11"/>
  <c r="A313" i="11"/>
  <c r="S313" i="11" s="1"/>
  <c r="S312" i="11"/>
  <c r="M312" i="11"/>
  <c r="L312" i="11"/>
  <c r="K312" i="11"/>
  <c r="J312" i="11"/>
  <c r="I312" i="11"/>
  <c r="H312" i="11"/>
  <c r="G312" i="11"/>
  <c r="F312" i="11"/>
  <c r="Q312" i="11" s="1"/>
  <c r="E312" i="11"/>
  <c r="P312" i="11" s="1"/>
  <c r="D312" i="11"/>
  <c r="C312" i="11"/>
  <c r="B312" i="11"/>
  <c r="T312" i="11" s="1"/>
  <c r="A312" i="11"/>
  <c r="T311" i="11"/>
  <c r="Q311" i="11"/>
  <c r="P311" i="11"/>
  <c r="M311" i="11"/>
  <c r="L311" i="11"/>
  <c r="K311" i="11"/>
  <c r="J311" i="11"/>
  <c r="I311" i="11"/>
  <c r="H311" i="11"/>
  <c r="G311" i="11"/>
  <c r="F311" i="11"/>
  <c r="E311" i="11"/>
  <c r="V311" i="11" s="1"/>
  <c r="D311" i="11"/>
  <c r="C311" i="11"/>
  <c r="B311" i="11"/>
  <c r="A311" i="11"/>
  <c r="S311" i="11" s="1"/>
  <c r="S310" i="11"/>
  <c r="M310" i="11"/>
  <c r="L310" i="11"/>
  <c r="K310" i="11"/>
  <c r="J310" i="11"/>
  <c r="I310" i="11"/>
  <c r="H310" i="11"/>
  <c r="G310" i="11"/>
  <c r="F310" i="11"/>
  <c r="Q310" i="11" s="1"/>
  <c r="E310" i="11"/>
  <c r="P310" i="11" s="1"/>
  <c r="D310" i="11"/>
  <c r="C310" i="11"/>
  <c r="B310" i="11"/>
  <c r="T310" i="11" s="1"/>
  <c r="A310" i="11"/>
  <c r="T309" i="11"/>
  <c r="Q309" i="11"/>
  <c r="P309" i="11"/>
  <c r="M309" i="11"/>
  <c r="L309" i="11"/>
  <c r="K309" i="11"/>
  <c r="J309" i="11"/>
  <c r="I309" i="11"/>
  <c r="H309" i="11"/>
  <c r="G309" i="11"/>
  <c r="F309" i="11"/>
  <c r="E309" i="11"/>
  <c r="V309" i="11" s="1"/>
  <c r="D309" i="11"/>
  <c r="C309" i="11"/>
  <c r="B309" i="11"/>
  <c r="A309" i="11"/>
  <c r="S309" i="11" s="1"/>
  <c r="V308" i="11"/>
  <c r="S308" i="11"/>
  <c r="M308" i="11"/>
  <c r="L308" i="11"/>
  <c r="K308" i="11"/>
  <c r="J308" i="11"/>
  <c r="I308" i="11"/>
  <c r="H308" i="11"/>
  <c r="G308" i="11"/>
  <c r="F308" i="11"/>
  <c r="Q308" i="11" s="1"/>
  <c r="E308" i="11"/>
  <c r="P308" i="11" s="1"/>
  <c r="D308" i="11"/>
  <c r="C308" i="11"/>
  <c r="B308" i="11"/>
  <c r="T308" i="11" s="1"/>
  <c r="A308" i="11"/>
  <c r="T307" i="11"/>
  <c r="Q307" i="11"/>
  <c r="P307" i="11"/>
  <c r="M307" i="11"/>
  <c r="L307" i="11"/>
  <c r="K307" i="11"/>
  <c r="J307" i="11"/>
  <c r="I307" i="11"/>
  <c r="H307" i="11"/>
  <c r="G307" i="11"/>
  <c r="F307" i="11"/>
  <c r="E307" i="11"/>
  <c r="V307" i="11" s="1"/>
  <c r="D307" i="11"/>
  <c r="C307" i="11"/>
  <c r="B307" i="11"/>
  <c r="A307" i="11"/>
  <c r="S307" i="11" s="1"/>
  <c r="S306" i="11"/>
  <c r="M306" i="11"/>
  <c r="L306" i="11"/>
  <c r="K306" i="11"/>
  <c r="J306" i="11"/>
  <c r="I306" i="11"/>
  <c r="H306" i="11"/>
  <c r="G306" i="11"/>
  <c r="F306" i="11"/>
  <c r="Q306" i="11" s="1"/>
  <c r="E306" i="11"/>
  <c r="P306" i="11" s="1"/>
  <c r="D306" i="11"/>
  <c r="C306" i="11"/>
  <c r="B306" i="11"/>
  <c r="T306" i="11" s="1"/>
  <c r="A306" i="11"/>
  <c r="T305" i="11"/>
  <c r="Q305" i="11"/>
  <c r="P305" i="11"/>
  <c r="M305" i="11"/>
  <c r="L305" i="11"/>
  <c r="K305" i="11"/>
  <c r="J305" i="11"/>
  <c r="I305" i="11"/>
  <c r="H305" i="11"/>
  <c r="G305" i="11"/>
  <c r="F305" i="11"/>
  <c r="E305" i="11"/>
  <c r="V305" i="11" s="1"/>
  <c r="D305" i="11"/>
  <c r="C305" i="11"/>
  <c r="B305" i="11"/>
  <c r="A305" i="11"/>
  <c r="S305" i="11" s="1"/>
  <c r="S304" i="11"/>
  <c r="M304" i="11"/>
  <c r="L304" i="11"/>
  <c r="K304" i="11"/>
  <c r="J304" i="11"/>
  <c r="I304" i="11"/>
  <c r="H304" i="11"/>
  <c r="G304" i="11"/>
  <c r="F304" i="11"/>
  <c r="Q304" i="11" s="1"/>
  <c r="E304" i="11"/>
  <c r="P304" i="11" s="1"/>
  <c r="D304" i="11"/>
  <c r="C304" i="11"/>
  <c r="B304" i="11"/>
  <c r="T304" i="11" s="1"/>
  <c r="A304" i="11"/>
  <c r="T303" i="11"/>
  <c r="Q303" i="11"/>
  <c r="P303" i="11"/>
  <c r="M303" i="11"/>
  <c r="L303" i="11"/>
  <c r="K303" i="11"/>
  <c r="J303" i="11"/>
  <c r="I303" i="11"/>
  <c r="H303" i="11"/>
  <c r="G303" i="11"/>
  <c r="F303" i="11"/>
  <c r="E303" i="11"/>
  <c r="V303" i="11" s="1"/>
  <c r="D303" i="11"/>
  <c r="C303" i="11"/>
  <c r="B303" i="11"/>
  <c r="A303" i="11"/>
  <c r="S303" i="11" s="1"/>
  <c r="S302" i="11"/>
  <c r="M302" i="11"/>
  <c r="L302" i="11"/>
  <c r="K302" i="11"/>
  <c r="J302" i="11"/>
  <c r="I302" i="11"/>
  <c r="H302" i="11"/>
  <c r="G302" i="11"/>
  <c r="F302" i="11"/>
  <c r="Q302" i="11" s="1"/>
  <c r="E302" i="11"/>
  <c r="P302" i="11" s="1"/>
  <c r="D302" i="11"/>
  <c r="C302" i="11"/>
  <c r="B302" i="11"/>
  <c r="T302" i="11" s="1"/>
  <c r="A302" i="11"/>
  <c r="T301" i="11"/>
  <c r="Q301" i="11"/>
  <c r="P301" i="11"/>
  <c r="M301" i="11"/>
  <c r="L301" i="11"/>
  <c r="K301" i="11"/>
  <c r="J301" i="11"/>
  <c r="I301" i="11"/>
  <c r="H301" i="11"/>
  <c r="G301" i="11"/>
  <c r="F301" i="11"/>
  <c r="E301" i="11"/>
  <c r="V301" i="11" s="1"/>
  <c r="D301" i="11"/>
  <c r="C301" i="11"/>
  <c r="B301" i="11"/>
  <c r="A301" i="11"/>
  <c r="S301" i="11" s="1"/>
  <c r="V300" i="11"/>
  <c r="S300" i="11"/>
  <c r="M300" i="11"/>
  <c r="L300" i="11"/>
  <c r="K300" i="11"/>
  <c r="J300" i="11"/>
  <c r="I300" i="11"/>
  <c r="H300" i="11"/>
  <c r="G300" i="11"/>
  <c r="F300" i="11"/>
  <c r="Q300" i="11" s="1"/>
  <c r="E300" i="11"/>
  <c r="P300" i="11" s="1"/>
  <c r="D300" i="11"/>
  <c r="C300" i="11"/>
  <c r="B300" i="11"/>
  <c r="T300" i="11" s="1"/>
  <c r="A300" i="11"/>
  <c r="T299" i="11"/>
  <c r="Q299" i="11"/>
  <c r="P299" i="11"/>
  <c r="M299" i="11"/>
  <c r="L299" i="11"/>
  <c r="K299" i="11"/>
  <c r="J299" i="11"/>
  <c r="I299" i="11"/>
  <c r="H299" i="11"/>
  <c r="G299" i="11"/>
  <c r="F299" i="11"/>
  <c r="E299" i="11"/>
  <c r="V299" i="11" s="1"/>
  <c r="D299" i="11"/>
  <c r="C299" i="11"/>
  <c r="B299" i="11"/>
  <c r="A299" i="11"/>
  <c r="S299" i="11" s="1"/>
  <c r="S298" i="11"/>
  <c r="M298" i="11"/>
  <c r="L298" i="11"/>
  <c r="K298" i="11"/>
  <c r="J298" i="11"/>
  <c r="I298" i="11"/>
  <c r="H298" i="11"/>
  <c r="G298" i="11"/>
  <c r="F298" i="11"/>
  <c r="Q298" i="11" s="1"/>
  <c r="E298" i="11"/>
  <c r="P298" i="11" s="1"/>
  <c r="D298" i="11"/>
  <c r="C298" i="11"/>
  <c r="B298" i="11"/>
  <c r="T298" i="11" s="1"/>
  <c r="A298" i="11"/>
  <c r="T297" i="11"/>
  <c r="Q297" i="11"/>
  <c r="P297" i="11"/>
  <c r="M297" i="11"/>
  <c r="L297" i="11"/>
  <c r="K297" i="11"/>
  <c r="J297" i="11"/>
  <c r="I297" i="11"/>
  <c r="H297" i="11"/>
  <c r="G297" i="11"/>
  <c r="F297" i="11"/>
  <c r="E297" i="11"/>
  <c r="V297" i="11" s="1"/>
  <c r="D297" i="11"/>
  <c r="C297" i="11"/>
  <c r="B297" i="11"/>
  <c r="A297" i="11"/>
  <c r="S297" i="11" s="1"/>
  <c r="S296" i="11"/>
  <c r="M296" i="11"/>
  <c r="L296" i="11"/>
  <c r="K296" i="11"/>
  <c r="J296" i="11"/>
  <c r="I296" i="11"/>
  <c r="H296" i="11"/>
  <c r="G296" i="11"/>
  <c r="F296" i="11"/>
  <c r="Q296" i="11" s="1"/>
  <c r="E296" i="11"/>
  <c r="P296" i="11" s="1"/>
  <c r="D296" i="11"/>
  <c r="C296" i="11"/>
  <c r="B296" i="11"/>
  <c r="T296" i="11" s="1"/>
  <c r="A296" i="11"/>
  <c r="T295" i="11"/>
  <c r="Q295" i="11"/>
  <c r="P295" i="11"/>
  <c r="M295" i="11"/>
  <c r="L295" i="11"/>
  <c r="K295" i="11"/>
  <c r="J295" i="11"/>
  <c r="I295" i="11"/>
  <c r="H295" i="11"/>
  <c r="G295" i="11"/>
  <c r="F295" i="11"/>
  <c r="E295" i="11"/>
  <c r="V295" i="11" s="1"/>
  <c r="D295" i="11"/>
  <c r="C295" i="11"/>
  <c r="B295" i="11"/>
  <c r="A295" i="11"/>
  <c r="S295" i="11" s="1"/>
  <c r="S294" i="11"/>
  <c r="M294" i="11"/>
  <c r="L294" i="11"/>
  <c r="K294" i="11"/>
  <c r="J294" i="11"/>
  <c r="I294" i="11"/>
  <c r="H294" i="11"/>
  <c r="G294" i="11"/>
  <c r="F294" i="11"/>
  <c r="Q294" i="11" s="1"/>
  <c r="E294" i="11"/>
  <c r="P294" i="11" s="1"/>
  <c r="D294" i="11"/>
  <c r="C294" i="11"/>
  <c r="B294" i="11"/>
  <c r="T294" i="11" s="1"/>
  <c r="A294" i="11"/>
  <c r="T293" i="11"/>
  <c r="Q293" i="11"/>
  <c r="P293" i="11"/>
  <c r="M293" i="11"/>
  <c r="L293" i="11"/>
  <c r="K293" i="11"/>
  <c r="J293" i="11"/>
  <c r="I293" i="11"/>
  <c r="H293" i="11"/>
  <c r="G293" i="11"/>
  <c r="F293" i="11"/>
  <c r="E293" i="11"/>
  <c r="V293" i="11" s="1"/>
  <c r="D293" i="11"/>
  <c r="C293" i="11"/>
  <c r="B293" i="11"/>
  <c r="A293" i="11"/>
  <c r="S293" i="11" s="1"/>
  <c r="V292" i="11"/>
  <c r="S292" i="11"/>
  <c r="M292" i="11"/>
  <c r="L292" i="11"/>
  <c r="K292" i="11"/>
  <c r="J292" i="11"/>
  <c r="I292" i="11"/>
  <c r="H292" i="11"/>
  <c r="G292" i="11"/>
  <c r="F292" i="11"/>
  <c r="Q292" i="11" s="1"/>
  <c r="E292" i="11"/>
  <c r="P292" i="11" s="1"/>
  <c r="D292" i="11"/>
  <c r="C292" i="11"/>
  <c r="B292" i="11"/>
  <c r="T292" i="11" s="1"/>
  <c r="A292" i="11"/>
  <c r="T291" i="11"/>
  <c r="Q291" i="11"/>
  <c r="P291" i="11"/>
  <c r="M291" i="11"/>
  <c r="L291" i="11"/>
  <c r="K291" i="11"/>
  <c r="J291" i="11"/>
  <c r="I291" i="11"/>
  <c r="H291" i="11"/>
  <c r="G291" i="11"/>
  <c r="F291" i="11"/>
  <c r="E291" i="11"/>
  <c r="V291" i="11" s="1"/>
  <c r="D291" i="11"/>
  <c r="C291" i="11"/>
  <c r="B291" i="11"/>
  <c r="A291" i="11"/>
  <c r="S291" i="11" s="1"/>
  <c r="S290" i="11"/>
  <c r="M290" i="11"/>
  <c r="L290" i="11"/>
  <c r="K290" i="11"/>
  <c r="J290" i="11"/>
  <c r="I290" i="11"/>
  <c r="H290" i="11"/>
  <c r="G290" i="11"/>
  <c r="F290" i="11"/>
  <c r="Q290" i="11" s="1"/>
  <c r="E290" i="11"/>
  <c r="P290" i="11" s="1"/>
  <c r="D290" i="11"/>
  <c r="C290" i="11"/>
  <c r="B290" i="11"/>
  <c r="T290" i="11" s="1"/>
  <c r="A290" i="11"/>
  <c r="T289" i="11"/>
  <c r="Q289" i="11"/>
  <c r="P289" i="11"/>
  <c r="M289" i="11"/>
  <c r="L289" i="11"/>
  <c r="K289" i="11"/>
  <c r="J289" i="11"/>
  <c r="I289" i="11"/>
  <c r="H289" i="11"/>
  <c r="G289" i="11"/>
  <c r="F289" i="11"/>
  <c r="E289" i="11"/>
  <c r="V289" i="11" s="1"/>
  <c r="D289" i="11"/>
  <c r="C289" i="11"/>
  <c r="B289" i="11"/>
  <c r="A289" i="11"/>
  <c r="S289" i="11" s="1"/>
  <c r="S288" i="11"/>
  <c r="M288" i="11"/>
  <c r="L288" i="11"/>
  <c r="K288" i="11"/>
  <c r="J288" i="11"/>
  <c r="I288" i="11"/>
  <c r="H288" i="11"/>
  <c r="G288" i="11"/>
  <c r="F288" i="11"/>
  <c r="Q288" i="11" s="1"/>
  <c r="E288" i="11"/>
  <c r="P288" i="11" s="1"/>
  <c r="D288" i="11"/>
  <c r="C288" i="11"/>
  <c r="B288" i="11"/>
  <c r="T288" i="11" s="1"/>
  <c r="A288" i="11"/>
  <c r="T287" i="11"/>
  <c r="Q287" i="11"/>
  <c r="P287" i="11"/>
  <c r="M287" i="11"/>
  <c r="L287" i="11"/>
  <c r="K287" i="11"/>
  <c r="J287" i="11"/>
  <c r="I287" i="11"/>
  <c r="H287" i="11"/>
  <c r="G287" i="11"/>
  <c r="F287" i="11"/>
  <c r="E287" i="11"/>
  <c r="V287" i="11" s="1"/>
  <c r="D287" i="11"/>
  <c r="C287" i="11"/>
  <c r="B287" i="11"/>
  <c r="A287" i="11"/>
  <c r="S287" i="11" s="1"/>
  <c r="S286" i="11"/>
  <c r="M286" i="11"/>
  <c r="L286" i="11"/>
  <c r="K286" i="11"/>
  <c r="J286" i="11"/>
  <c r="I286" i="11"/>
  <c r="H286" i="11"/>
  <c r="G286" i="11"/>
  <c r="F286" i="11"/>
  <c r="Q286" i="11" s="1"/>
  <c r="E286" i="11"/>
  <c r="P286" i="11" s="1"/>
  <c r="D286" i="11"/>
  <c r="C286" i="11"/>
  <c r="B286" i="11"/>
  <c r="T286" i="11" s="1"/>
  <c r="A286" i="11"/>
  <c r="T285" i="11"/>
  <c r="Q285" i="11"/>
  <c r="P285" i="11"/>
  <c r="M285" i="11"/>
  <c r="L285" i="11"/>
  <c r="K285" i="11"/>
  <c r="J285" i="11"/>
  <c r="I285" i="11"/>
  <c r="H285" i="11"/>
  <c r="G285" i="11"/>
  <c r="F285" i="11"/>
  <c r="E285" i="11"/>
  <c r="V285" i="11" s="1"/>
  <c r="D285" i="11"/>
  <c r="C285" i="11"/>
  <c r="B285" i="11"/>
  <c r="A285" i="11"/>
  <c r="S285" i="11" s="1"/>
  <c r="V284" i="11"/>
  <c r="S284" i="11"/>
  <c r="M284" i="11"/>
  <c r="L284" i="11"/>
  <c r="K284" i="11"/>
  <c r="J284" i="11"/>
  <c r="I284" i="11"/>
  <c r="H284" i="11"/>
  <c r="G284" i="11"/>
  <c r="F284" i="11"/>
  <c r="Q284" i="11" s="1"/>
  <c r="E284" i="11"/>
  <c r="P284" i="11" s="1"/>
  <c r="D284" i="11"/>
  <c r="C284" i="11"/>
  <c r="B284" i="11"/>
  <c r="T284" i="11" s="1"/>
  <c r="A284" i="11"/>
  <c r="T283" i="11"/>
  <c r="Q283" i="11"/>
  <c r="P283" i="11"/>
  <c r="M283" i="11"/>
  <c r="L283" i="11"/>
  <c r="K283" i="11"/>
  <c r="J283" i="11"/>
  <c r="I283" i="11"/>
  <c r="H283" i="11"/>
  <c r="G283" i="11"/>
  <c r="F283" i="11"/>
  <c r="E283" i="11"/>
  <c r="V283" i="11" s="1"/>
  <c r="D283" i="11"/>
  <c r="C283" i="11"/>
  <c r="B283" i="11"/>
  <c r="A283" i="11"/>
  <c r="S283" i="11" s="1"/>
  <c r="S282" i="11"/>
  <c r="M282" i="11"/>
  <c r="L282" i="11"/>
  <c r="K282" i="11"/>
  <c r="J282" i="11"/>
  <c r="I282" i="11"/>
  <c r="H282" i="11"/>
  <c r="G282" i="11"/>
  <c r="F282" i="11"/>
  <c r="Q282" i="11" s="1"/>
  <c r="E282" i="11"/>
  <c r="P282" i="11" s="1"/>
  <c r="D282" i="11"/>
  <c r="C282" i="11"/>
  <c r="B282" i="11"/>
  <c r="T282" i="11" s="1"/>
  <c r="A282" i="11"/>
  <c r="T281" i="11"/>
  <c r="Q281" i="11"/>
  <c r="P281" i="11"/>
  <c r="M281" i="11"/>
  <c r="L281" i="11"/>
  <c r="K281" i="11"/>
  <c r="J281" i="11"/>
  <c r="I281" i="11"/>
  <c r="H281" i="11"/>
  <c r="G281" i="11"/>
  <c r="F281" i="11"/>
  <c r="E281" i="11"/>
  <c r="V281" i="11" s="1"/>
  <c r="D281" i="11"/>
  <c r="C281" i="11"/>
  <c r="B281" i="11"/>
  <c r="A281" i="11"/>
  <c r="S281" i="11" s="1"/>
  <c r="S280" i="11"/>
  <c r="M280" i="11"/>
  <c r="L280" i="11"/>
  <c r="K280" i="11"/>
  <c r="J280" i="11"/>
  <c r="I280" i="11"/>
  <c r="H280" i="11"/>
  <c r="G280" i="11"/>
  <c r="F280" i="11"/>
  <c r="Q280" i="11" s="1"/>
  <c r="E280" i="11"/>
  <c r="P280" i="11" s="1"/>
  <c r="D280" i="11"/>
  <c r="C280" i="11"/>
  <c r="B280" i="11"/>
  <c r="T280" i="11" s="1"/>
  <c r="A280" i="11"/>
  <c r="T279" i="11"/>
  <c r="Q279" i="11"/>
  <c r="P279" i="11"/>
  <c r="M279" i="11"/>
  <c r="L279" i="11"/>
  <c r="K279" i="11"/>
  <c r="J279" i="11"/>
  <c r="I279" i="11"/>
  <c r="H279" i="11"/>
  <c r="G279" i="11"/>
  <c r="F279" i="11"/>
  <c r="E279" i="11"/>
  <c r="V279" i="11" s="1"/>
  <c r="D279" i="11"/>
  <c r="C279" i="11"/>
  <c r="B279" i="11"/>
  <c r="A279" i="11"/>
  <c r="S279" i="11" s="1"/>
  <c r="S278" i="11"/>
  <c r="M278" i="11"/>
  <c r="L278" i="11"/>
  <c r="K278" i="11"/>
  <c r="J278" i="11"/>
  <c r="I278" i="11"/>
  <c r="H278" i="11"/>
  <c r="G278" i="11"/>
  <c r="F278" i="11"/>
  <c r="Q278" i="11" s="1"/>
  <c r="E278" i="11"/>
  <c r="P278" i="11" s="1"/>
  <c r="D278" i="11"/>
  <c r="C278" i="11"/>
  <c r="B278" i="11"/>
  <c r="T278" i="11" s="1"/>
  <c r="A278" i="11"/>
  <c r="T277" i="11"/>
  <c r="Q277" i="11"/>
  <c r="P277" i="11"/>
  <c r="M277" i="11"/>
  <c r="L277" i="11"/>
  <c r="K277" i="11"/>
  <c r="J277" i="11"/>
  <c r="I277" i="11"/>
  <c r="H277" i="11"/>
  <c r="G277" i="11"/>
  <c r="F277" i="11"/>
  <c r="E277" i="11"/>
  <c r="V277" i="11" s="1"/>
  <c r="D277" i="11"/>
  <c r="C277" i="11"/>
  <c r="B277" i="11"/>
  <c r="A277" i="11"/>
  <c r="S277" i="11" s="1"/>
  <c r="V276" i="11"/>
  <c r="S276" i="11"/>
  <c r="M276" i="11"/>
  <c r="L276" i="11"/>
  <c r="K276" i="11"/>
  <c r="J276" i="11"/>
  <c r="I276" i="11"/>
  <c r="H276" i="11"/>
  <c r="G276" i="11"/>
  <c r="F276" i="11"/>
  <c r="Q276" i="11" s="1"/>
  <c r="E276" i="11"/>
  <c r="P276" i="11" s="1"/>
  <c r="D276" i="11"/>
  <c r="C276" i="11"/>
  <c r="B276" i="11"/>
  <c r="T276" i="11" s="1"/>
  <c r="A276" i="11"/>
  <c r="T275" i="11"/>
  <c r="Q275" i="11"/>
  <c r="P275" i="11"/>
  <c r="M275" i="11"/>
  <c r="L275" i="11"/>
  <c r="K275" i="11"/>
  <c r="J275" i="11"/>
  <c r="I275" i="11"/>
  <c r="H275" i="11"/>
  <c r="G275" i="11"/>
  <c r="F275" i="11"/>
  <c r="E275" i="11"/>
  <c r="V275" i="11" s="1"/>
  <c r="D275" i="11"/>
  <c r="C275" i="11"/>
  <c r="B275" i="11"/>
  <c r="A275" i="11"/>
  <c r="S275" i="11" s="1"/>
  <c r="S274" i="11"/>
  <c r="M274" i="11"/>
  <c r="L274" i="11"/>
  <c r="K274" i="11"/>
  <c r="J274" i="11"/>
  <c r="I274" i="11"/>
  <c r="H274" i="11"/>
  <c r="G274" i="11"/>
  <c r="F274" i="11"/>
  <c r="Q274" i="11" s="1"/>
  <c r="E274" i="11"/>
  <c r="P274" i="11" s="1"/>
  <c r="D274" i="11"/>
  <c r="C274" i="11"/>
  <c r="B274" i="11"/>
  <c r="T274" i="11" s="1"/>
  <c r="A274" i="11"/>
  <c r="T273" i="11"/>
  <c r="Q273" i="11"/>
  <c r="P273" i="11"/>
  <c r="M273" i="11"/>
  <c r="L273" i="11"/>
  <c r="K273" i="11"/>
  <c r="J273" i="11"/>
  <c r="I273" i="11"/>
  <c r="H273" i="11"/>
  <c r="G273" i="11"/>
  <c r="F273" i="11"/>
  <c r="E273" i="11"/>
  <c r="V273" i="11" s="1"/>
  <c r="D273" i="11"/>
  <c r="C273" i="11"/>
  <c r="B273" i="11"/>
  <c r="A273" i="11"/>
  <c r="S273" i="11" s="1"/>
  <c r="S272" i="11"/>
  <c r="M272" i="11"/>
  <c r="L272" i="11"/>
  <c r="K272" i="11"/>
  <c r="J272" i="11"/>
  <c r="I272" i="11"/>
  <c r="H272" i="11"/>
  <c r="G272" i="11"/>
  <c r="F272" i="11"/>
  <c r="Q272" i="11" s="1"/>
  <c r="E272" i="11"/>
  <c r="P272" i="11" s="1"/>
  <c r="D272" i="11"/>
  <c r="C272" i="11"/>
  <c r="B272" i="11"/>
  <c r="T272" i="11" s="1"/>
  <c r="A272" i="11"/>
  <c r="T271" i="11"/>
  <c r="Q271" i="11"/>
  <c r="P271" i="11"/>
  <c r="M271" i="11"/>
  <c r="L271" i="11"/>
  <c r="K271" i="11"/>
  <c r="J271" i="11"/>
  <c r="I271" i="11"/>
  <c r="H271" i="11"/>
  <c r="G271" i="11"/>
  <c r="F271" i="11"/>
  <c r="E271" i="11"/>
  <c r="V271" i="11" s="1"/>
  <c r="D271" i="11"/>
  <c r="C271" i="11"/>
  <c r="B271" i="11"/>
  <c r="A271" i="11"/>
  <c r="S271" i="11" s="1"/>
  <c r="S270" i="11"/>
  <c r="M270" i="11"/>
  <c r="L270" i="11"/>
  <c r="K270" i="11"/>
  <c r="J270" i="11"/>
  <c r="I270" i="11"/>
  <c r="H270" i="11"/>
  <c r="G270" i="11"/>
  <c r="F270" i="11"/>
  <c r="Q270" i="11" s="1"/>
  <c r="E270" i="11"/>
  <c r="P270" i="11" s="1"/>
  <c r="D270" i="11"/>
  <c r="C270" i="11"/>
  <c r="B270" i="11"/>
  <c r="T270" i="11" s="1"/>
  <c r="A270" i="11"/>
  <c r="T269" i="11"/>
  <c r="Q269" i="11"/>
  <c r="P269" i="11"/>
  <c r="M269" i="11"/>
  <c r="L269" i="11"/>
  <c r="K269" i="11"/>
  <c r="J269" i="11"/>
  <c r="I269" i="11"/>
  <c r="H269" i="11"/>
  <c r="G269" i="11"/>
  <c r="F269" i="11"/>
  <c r="E269" i="11"/>
  <c r="V269" i="11" s="1"/>
  <c r="D269" i="11"/>
  <c r="C269" i="11"/>
  <c r="B269" i="11"/>
  <c r="A269" i="11"/>
  <c r="S269" i="11" s="1"/>
  <c r="V268" i="11"/>
  <c r="S268" i="11"/>
  <c r="M268" i="11"/>
  <c r="L268" i="11"/>
  <c r="K268" i="11"/>
  <c r="J268" i="11"/>
  <c r="I268" i="11"/>
  <c r="H268" i="11"/>
  <c r="G268" i="11"/>
  <c r="F268" i="11"/>
  <c r="Q268" i="11" s="1"/>
  <c r="E268" i="11"/>
  <c r="P268" i="11" s="1"/>
  <c r="D268" i="11"/>
  <c r="C268" i="11"/>
  <c r="B268" i="11"/>
  <c r="T268" i="11" s="1"/>
  <c r="A268" i="11"/>
  <c r="T267" i="11"/>
  <c r="Q267" i="11"/>
  <c r="P267" i="11"/>
  <c r="M267" i="11"/>
  <c r="L267" i="11"/>
  <c r="K267" i="11"/>
  <c r="J267" i="11"/>
  <c r="I267" i="11"/>
  <c r="H267" i="11"/>
  <c r="G267" i="11"/>
  <c r="F267" i="11"/>
  <c r="E267" i="11"/>
  <c r="V267" i="11" s="1"/>
  <c r="D267" i="11"/>
  <c r="C267" i="11"/>
  <c r="B267" i="11"/>
  <c r="A267" i="11"/>
  <c r="S267" i="11" s="1"/>
  <c r="S266" i="11"/>
  <c r="M266" i="11"/>
  <c r="L266" i="11"/>
  <c r="K266" i="11"/>
  <c r="J266" i="11"/>
  <c r="I266" i="11"/>
  <c r="H266" i="11"/>
  <c r="G266" i="11"/>
  <c r="F266" i="11"/>
  <c r="Q266" i="11" s="1"/>
  <c r="E266" i="11"/>
  <c r="P266" i="11" s="1"/>
  <c r="D266" i="11"/>
  <c r="C266" i="11"/>
  <c r="B266" i="11"/>
  <c r="T266" i="11" s="1"/>
  <c r="A266" i="11"/>
  <c r="T265" i="11"/>
  <c r="Q265" i="11"/>
  <c r="P265" i="11"/>
  <c r="M265" i="11"/>
  <c r="L265" i="11"/>
  <c r="K265" i="11"/>
  <c r="J265" i="11"/>
  <c r="I265" i="11"/>
  <c r="H265" i="11"/>
  <c r="G265" i="11"/>
  <c r="F265" i="11"/>
  <c r="E265" i="11"/>
  <c r="V265" i="11" s="1"/>
  <c r="D265" i="11"/>
  <c r="C265" i="11"/>
  <c r="B265" i="11"/>
  <c r="A265" i="11"/>
  <c r="S265" i="11" s="1"/>
  <c r="S264" i="11"/>
  <c r="M264" i="11"/>
  <c r="L264" i="11"/>
  <c r="K264" i="11"/>
  <c r="J264" i="11"/>
  <c r="I264" i="11"/>
  <c r="H264" i="11"/>
  <c r="G264" i="11"/>
  <c r="F264" i="11"/>
  <c r="Q264" i="11" s="1"/>
  <c r="E264" i="11"/>
  <c r="P264" i="11" s="1"/>
  <c r="D264" i="11"/>
  <c r="C264" i="11"/>
  <c r="B264" i="11"/>
  <c r="T264" i="11" s="1"/>
  <c r="A264" i="11"/>
  <c r="T263" i="11"/>
  <c r="Q263" i="11"/>
  <c r="P263" i="11"/>
  <c r="M263" i="11"/>
  <c r="L263" i="11"/>
  <c r="K263" i="11"/>
  <c r="J263" i="11"/>
  <c r="I263" i="11"/>
  <c r="H263" i="11"/>
  <c r="G263" i="11"/>
  <c r="F263" i="11"/>
  <c r="E263" i="11"/>
  <c r="V263" i="11" s="1"/>
  <c r="D263" i="11"/>
  <c r="C263" i="11"/>
  <c r="B263" i="11"/>
  <c r="A263" i="11"/>
  <c r="S263" i="11" s="1"/>
  <c r="V262" i="11"/>
  <c r="S262" i="11"/>
  <c r="M262" i="11"/>
  <c r="L262" i="11"/>
  <c r="K262" i="11"/>
  <c r="J262" i="11"/>
  <c r="I262" i="11"/>
  <c r="H262" i="11"/>
  <c r="G262" i="11"/>
  <c r="F262" i="11"/>
  <c r="Q262" i="11" s="1"/>
  <c r="E262" i="11"/>
  <c r="P262" i="11" s="1"/>
  <c r="D262" i="11"/>
  <c r="C262" i="11"/>
  <c r="B262" i="11"/>
  <c r="T262" i="11" s="1"/>
  <c r="A262" i="11"/>
  <c r="T261" i="11"/>
  <c r="Q261" i="11"/>
  <c r="P261" i="11"/>
  <c r="M261" i="11"/>
  <c r="L261" i="11"/>
  <c r="K261" i="11"/>
  <c r="J261" i="11"/>
  <c r="I261" i="11"/>
  <c r="H261" i="11"/>
  <c r="G261" i="11"/>
  <c r="F261" i="11"/>
  <c r="E261" i="11"/>
  <c r="V261" i="11" s="1"/>
  <c r="D261" i="11"/>
  <c r="C261" i="11"/>
  <c r="B261" i="11"/>
  <c r="A261" i="11"/>
  <c r="S261" i="11" s="1"/>
  <c r="V260" i="11"/>
  <c r="S260" i="11"/>
  <c r="M260" i="11"/>
  <c r="L260" i="11"/>
  <c r="K260" i="11"/>
  <c r="J260" i="11"/>
  <c r="I260" i="11"/>
  <c r="H260" i="11"/>
  <c r="G260" i="11"/>
  <c r="F260" i="11"/>
  <c r="Q260" i="11" s="1"/>
  <c r="E260" i="11"/>
  <c r="P260" i="11" s="1"/>
  <c r="D260" i="11"/>
  <c r="C260" i="11"/>
  <c r="B260" i="11"/>
  <c r="T260" i="11" s="1"/>
  <c r="A260" i="11"/>
  <c r="T259" i="11"/>
  <c r="Q259" i="11"/>
  <c r="P259" i="11"/>
  <c r="M259" i="11"/>
  <c r="L259" i="11"/>
  <c r="K259" i="11"/>
  <c r="J259" i="11"/>
  <c r="I259" i="11"/>
  <c r="H259" i="11"/>
  <c r="G259" i="11"/>
  <c r="F259" i="11"/>
  <c r="E259" i="11"/>
  <c r="V259" i="11" s="1"/>
  <c r="D259" i="11"/>
  <c r="C259" i="11"/>
  <c r="B259" i="11"/>
  <c r="A259" i="11"/>
  <c r="S259" i="11" s="1"/>
  <c r="S258" i="11"/>
  <c r="M258" i="11"/>
  <c r="L258" i="11"/>
  <c r="K258" i="11"/>
  <c r="J258" i="11"/>
  <c r="I258" i="11"/>
  <c r="H258" i="11"/>
  <c r="G258" i="11"/>
  <c r="F258" i="11"/>
  <c r="Q258" i="11" s="1"/>
  <c r="E258" i="11"/>
  <c r="P258" i="11" s="1"/>
  <c r="D258" i="11"/>
  <c r="C258" i="11"/>
  <c r="B258" i="11"/>
  <c r="T258" i="11" s="1"/>
  <c r="A258" i="11"/>
  <c r="T257" i="11"/>
  <c r="Q257" i="11"/>
  <c r="P257" i="11"/>
  <c r="M257" i="11"/>
  <c r="L257" i="11"/>
  <c r="K257" i="11"/>
  <c r="J257" i="11"/>
  <c r="I257" i="11"/>
  <c r="H257" i="11"/>
  <c r="G257" i="11"/>
  <c r="F257" i="11"/>
  <c r="E257" i="11"/>
  <c r="V257" i="11" s="1"/>
  <c r="D257" i="11"/>
  <c r="C257" i="11"/>
  <c r="B257" i="11"/>
  <c r="A257" i="11"/>
  <c r="S257" i="11" s="1"/>
  <c r="S256" i="11"/>
  <c r="M256" i="11"/>
  <c r="L256" i="11"/>
  <c r="K256" i="11"/>
  <c r="J256" i="11"/>
  <c r="I256" i="11"/>
  <c r="H256" i="11"/>
  <c r="G256" i="11"/>
  <c r="F256" i="11"/>
  <c r="Q256" i="11" s="1"/>
  <c r="E256" i="11"/>
  <c r="P256" i="11" s="1"/>
  <c r="D256" i="11"/>
  <c r="C256" i="11"/>
  <c r="B256" i="11"/>
  <c r="T256" i="11" s="1"/>
  <c r="A256" i="11"/>
  <c r="T255" i="11"/>
  <c r="Q255" i="11"/>
  <c r="P255" i="11"/>
  <c r="M255" i="11"/>
  <c r="L255" i="11"/>
  <c r="K255" i="11"/>
  <c r="J255" i="11"/>
  <c r="I255" i="11"/>
  <c r="H255" i="11"/>
  <c r="G255" i="11"/>
  <c r="F255" i="11"/>
  <c r="E255" i="11"/>
  <c r="V255" i="11" s="1"/>
  <c r="D255" i="11"/>
  <c r="C255" i="11"/>
  <c r="B255" i="11"/>
  <c r="A255" i="11"/>
  <c r="S255" i="11" s="1"/>
  <c r="V254" i="11"/>
  <c r="S254" i="11"/>
  <c r="M254" i="11"/>
  <c r="L254" i="11"/>
  <c r="K254" i="11"/>
  <c r="J254" i="11"/>
  <c r="I254" i="11"/>
  <c r="H254" i="11"/>
  <c r="G254" i="11"/>
  <c r="F254" i="11"/>
  <c r="Q254" i="11" s="1"/>
  <c r="E254" i="11"/>
  <c r="P254" i="11" s="1"/>
  <c r="D254" i="11"/>
  <c r="C254" i="11"/>
  <c r="B254" i="11"/>
  <c r="T254" i="11" s="1"/>
  <c r="A254" i="11"/>
  <c r="T253" i="11"/>
  <c r="Q253" i="11"/>
  <c r="P253" i="11"/>
  <c r="M253" i="11"/>
  <c r="L253" i="11"/>
  <c r="K253" i="11"/>
  <c r="J253" i="11"/>
  <c r="I253" i="11"/>
  <c r="H253" i="11"/>
  <c r="G253" i="11"/>
  <c r="F253" i="11"/>
  <c r="E253" i="11"/>
  <c r="V253" i="11" s="1"/>
  <c r="D253" i="11"/>
  <c r="C253" i="11"/>
  <c r="B253" i="11"/>
  <c r="A253" i="11"/>
  <c r="S253" i="11" s="1"/>
  <c r="V252" i="11"/>
  <c r="S252" i="11"/>
  <c r="M252" i="11"/>
  <c r="L252" i="11"/>
  <c r="K252" i="11"/>
  <c r="J252" i="11"/>
  <c r="I252" i="11"/>
  <c r="H252" i="11"/>
  <c r="G252" i="11"/>
  <c r="F252" i="11"/>
  <c r="Q252" i="11" s="1"/>
  <c r="E252" i="11"/>
  <c r="P252" i="11" s="1"/>
  <c r="D252" i="11"/>
  <c r="C252" i="11"/>
  <c r="B252" i="11"/>
  <c r="T252" i="11" s="1"/>
  <c r="A252" i="11"/>
  <c r="T251" i="11"/>
  <c r="Q251" i="11"/>
  <c r="P251" i="11"/>
  <c r="M251" i="11"/>
  <c r="L251" i="11"/>
  <c r="K251" i="11"/>
  <c r="J251" i="11"/>
  <c r="I251" i="11"/>
  <c r="H251" i="11"/>
  <c r="G251" i="11"/>
  <c r="F251" i="11"/>
  <c r="E251" i="11"/>
  <c r="V251" i="11" s="1"/>
  <c r="D251" i="11"/>
  <c r="C251" i="11"/>
  <c r="B251" i="11"/>
  <c r="A251" i="11"/>
  <c r="S251" i="11" s="1"/>
  <c r="S250" i="11"/>
  <c r="M250" i="11"/>
  <c r="L250" i="11"/>
  <c r="K250" i="11"/>
  <c r="J250" i="11"/>
  <c r="I250" i="11"/>
  <c r="H250" i="11"/>
  <c r="G250" i="11"/>
  <c r="F250" i="11"/>
  <c r="Q250" i="11" s="1"/>
  <c r="E250" i="11"/>
  <c r="P250" i="11" s="1"/>
  <c r="D250" i="11"/>
  <c r="C250" i="11"/>
  <c r="B250" i="11"/>
  <c r="T250" i="11" s="1"/>
  <c r="A250" i="11"/>
  <c r="T249" i="11"/>
  <c r="Q249" i="11"/>
  <c r="P249" i="11"/>
  <c r="M249" i="11"/>
  <c r="L249" i="11"/>
  <c r="K249" i="11"/>
  <c r="J249" i="11"/>
  <c r="I249" i="11"/>
  <c r="H249" i="11"/>
  <c r="G249" i="11"/>
  <c r="F249" i="11"/>
  <c r="E249" i="11"/>
  <c r="V249" i="11" s="1"/>
  <c r="D249" i="11"/>
  <c r="C249" i="11"/>
  <c r="B249" i="11"/>
  <c r="A249" i="11"/>
  <c r="S249" i="11" s="1"/>
  <c r="S248" i="11"/>
  <c r="M248" i="11"/>
  <c r="L248" i="11"/>
  <c r="K248" i="11"/>
  <c r="J248" i="11"/>
  <c r="I248" i="11"/>
  <c r="H248" i="11"/>
  <c r="G248" i="11"/>
  <c r="F248" i="11"/>
  <c r="Q248" i="11" s="1"/>
  <c r="E248" i="11"/>
  <c r="P248" i="11" s="1"/>
  <c r="D248" i="11"/>
  <c r="C248" i="11"/>
  <c r="B248" i="11"/>
  <c r="T248" i="11" s="1"/>
  <c r="A248" i="11"/>
  <c r="T247" i="11"/>
  <c r="Q247" i="11"/>
  <c r="P247" i="11"/>
  <c r="M247" i="11"/>
  <c r="L247" i="11"/>
  <c r="K247" i="11"/>
  <c r="J247" i="11"/>
  <c r="I247" i="11"/>
  <c r="H247" i="11"/>
  <c r="G247" i="11"/>
  <c r="F247" i="11"/>
  <c r="E247" i="11"/>
  <c r="V247" i="11" s="1"/>
  <c r="D247" i="11"/>
  <c r="C247" i="11"/>
  <c r="B247" i="11"/>
  <c r="A247" i="11"/>
  <c r="S247" i="11" s="1"/>
  <c r="V246" i="11"/>
  <c r="S246" i="11"/>
  <c r="M246" i="11"/>
  <c r="L246" i="11"/>
  <c r="K246" i="11"/>
  <c r="J246" i="11"/>
  <c r="I246" i="11"/>
  <c r="H246" i="11"/>
  <c r="G246" i="11"/>
  <c r="F246" i="11"/>
  <c r="Q246" i="11" s="1"/>
  <c r="E246" i="11"/>
  <c r="P246" i="11" s="1"/>
  <c r="D246" i="11"/>
  <c r="C246" i="11"/>
  <c r="B246" i="11"/>
  <c r="T246" i="11" s="1"/>
  <c r="A246" i="11"/>
  <c r="T245" i="11"/>
  <c r="Q245" i="11"/>
  <c r="P245" i="11"/>
  <c r="M245" i="11"/>
  <c r="L245" i="11"/>
  <c r="K245" i="11"/>
  <c r="J245" i="11"/>
  <c r="I245" i="11"/>
  <c r="H245" i="11"/>
  <c r="G245" i="11"/>
  <c r="F245" i="11"/>
  <c r="E245" i="11"/>
  <c r="V245" i="11" s="1"/>
  <c r="D245" i="11"/>
  <c r="C245" i="11"/>
  <c r="B245" i="11"/>
  <c r="A245" i="11"/>
  <c r="S245" i="11" s="1"/>
  <c r="V244" i="11"/>
  <c r="S244" i="11"/>
  <c r="M244" i="11"/>
  <c r="L244" i="11"/>
  <c r="K244" i="11"/>
  <c r="J244" i="11"/>
  <c r="I244" i="11"/>
  <c r="H244" i="11"/>
  <c r="G244" i="11"/>
  <c r="F244" i="11"/>
  <c r="Q244" i="11" s="1"/>
  <c r="E244" i="11"/>
  <c r="P244" i="11" s="1"/>
  <c r="D244" i="11"/>
  <c r="C244" i="11"/>
  <c r="B244" i="11"/>
  <c r="T244" i="11" s="1"/>
  <c r="A244" i="11"/>
  <c r="T243" i="11"/>
  <c r="Q243" i="11"/>
  <c r="P243" i="11"/>
  <c r="M243" i="11"/>
  <c r="L243" i="11"/>
  <c r="K243" i="11"/>
  <c r="J243" i="11"/>
  <c r="I243" i="11"/>
  <c r="H243" i="11"/>
  <c r="G243" i="11"/>
  <c r="F243" i="11"/>
  <c r="E243" i="11"/>
  <c r="V243" i="11" s="1"/>
  <c r="D243" i="11"/>
  <c r="C243" i="11"/>
  <c r="B243" i="11"/>
  <c r="A243" i="11"/>
  <c r="S243" i="11" s="1"/>
  <c r="S242" i="11"/>
  <c r="M242" i="11"/>
  <c r="L242" i="11"/>
  <c r="K242" i="11"/>
  <c r="J242" i="11"/>
  <c r="I242" i="11"/>
  <c r="H242" i="11"/>
  <c r="G242" i="11"/>
  <c r="F242" i="11"/>
  <c r="Q242" i="11" s="1"/>
  <c r="E242" i="11"/>
  <c r="P242" i="11" s="1"/>
  <c r="D242" i="11"/>
  <c r="C242" i="11"/>
  <c r="B242" i="11"/>
  <c r="T242" i="11" s="1"/>
  <c r="A242" i="11"/>
  <c r="T241" i="11"/>
  <c r="Q241" i="11"/>
  <c r="P241" i="11"/>
  <c r="M241" i="11"/>
  <c r="L241" i="11"/>
  <c r="K241" i="11"/>
  <c r="J241" i="11"/>
  <c r="I241" i="11"/>
  <c r="H241" i="11"/>
  <c r="G241" i="11"/>
  <c r="F241" i="11"/>
  <c r="E241" i="11"/>
  <c r="V241" i="11" s="1"/>
  <c r="D241" i="11"/>
  <c r="C241" i="11"/>
  <c r="B241" i="11"/>
  <c r="A241" i="11"/>
  <c r="S241" i="11" s="1"/>
  <c r="S240" i="11"/>
  <c r="M240" i="11"/>
  <c r="L240" i="11"/>
  <c r="K240" i="11"/>
  <c r="J240" i="11"/>
  <c r="I240" i="11"/>
  <c r="H240" i="11"/>
  <c r="G240" i="11"/>
  <c r="F240" i="11"/>
  <c r="Q240" i="11" s="1"/>
  <c r="E240" i="11"/>
  <c r="P240" i="11" s="1"/>
  <c r="D240" i="11"/>
  <c r="C240" i="11"/>
  <c r="B240" i="11"/>
  <c r="T240" i="11" s="1"/>
  <c r="A240" i="11"/>
  <c r="T239" i="11"/>
  <c r="Q239" i="11"/>
  <c r="M239" i="11"/>
  <c r="L239" i="11"/>
  <c r="K239" i="11"/>
  <c r="J239" i="11"/>
  <c r="I239" i="11"/>
  <c r="H239" i="11"/>
  <c r="G239" i="11"/>
  <c r="F239" i="11"/>
  <c r="E239" i="11"/>
  <c r="P239" i="11" s="1"/>
  <c r="D239" i="11"/>
  <c r="C239" i="11"/>
  <c r="B239" i="11"/>
  <c r="A239" i="11"/>
  <c r="S239" i="11" s="1"/>
  <c r="S238" i="11"/>
  <c r="M238" i="11"/>
  <c r="L238" i="11"/>
  <c r="K238" i="11"/>
  <c r="J238" i="11"/>
  <c r="I238" i="11"/>
  <c r="H238" i="11"/>
  <c r="G238" i="11"/>
  <c r="F238" i="11"/>
  <c r="Q238" i="11" s="1"/>
  <c r="E238" i="11"/>
  <c r="P238" i="11" s="1"/>
  <c r="D238" i="11"/>
  <c r="C238" i="11"/>
  <c r="B238" i="11"/>
  <c r="T238" i="11" s="1"/>
  <c r="A238" i="11"/>
  <c r="T237" i="11"/>
  <c r="Q237" i="11"/>
  <c r="M237" i="11"/>
  <c r="L237" i="11"/>
  <c r="K237" i="11"/>
  <c r="J237" i="11"/>
  <c r="I237" i="11"/>
  <c r="H237" i="11"/>
  <c r="G237" i="11"/>
  <c r="F237" i="11"/>
  <c r="E237" i="11"/>
  <c r="D237" i="11"/>
  <c r="C237" i="11"/>
  <c r="B237" i="11"/>
  <c r="A237" i="11"/>
  <c r="S237" i="11" s="1"/>
  <c r="S236" i="11"/>
  <c r="M236" i="11"/>
  <c r="L236" i="11"/>
  <c r="K236" i="11"/>
  <c r="J236" i="11"/>
  <c r="I236" i="11"/>
  <c r="H236" i="11"/>
  <c r="G236" i="11"/>
  <c r="F236" i="11"/>
  <c r="Q236" i="11" s="1"/>
  <c r="E236" i="11"/>
  <c r="P236" i="11" s="1"/>
  <c r="D236" i="11"/>
  <c r="C236" i="11"/>
  <c r="B236" i="11"/>
  <c r="T236" i="11" s="1"/>
  <c r="A236" i="11"/>
  <c r="T235" i="11"/>
  <c r="Q235" i="11"/>
  <c r="P235" i="11"/>
  <c r="M235" i="11"/>
  <c r="L235" i="11"/>
  <c r="K235" i="11"/>
  <c r="J235" i="11"/>
  <c r="I235" i="11"/>
  <c r="H235" i="11"/>
  <c r="G235" i="11"/>
  <c r="F235" i="11"/>
  <c r="E235" i="11"/>
  <c r="D235" i="11"/>
  <c r="C235" i="11"/>
  <c r="B235" i="11"/>
  <c r="A235" i="11"/>
  <c r="S235" i="11" s="1"/>
  <c r="S234" i="11"/>
  <c r="M234" i="11"/>
  <c r="L234" i="11"/>
  <c r="K234" i="11"/>
  <c r="J234" i="11"/>
  <c r="I234" i="11"/>
  <c r="H234" i="11"/>
  <c r="G234" i="11"/>
  <c r="F234" i="11"/>
  <c r="Q234" i="11" s="1"/>
  <c r="E234" i="11"/>
  <c r="P234" i="11" s="1"/>
  <c r="D234" i="11"/>
  <c r="C234" i="11"/>
  <c r="B234" i="11"/>
  <c r="T234" i="11" s="1"/>
  <c r="A234" i="11"/>
  <c r="T233" i="11"/>
  <c r="Q233" i="11"/>
  <c r="P233" i="11"/>
  <c r="M233" i="11"/>
  <c r="L233" i="11"/>
  <c r="K233" i="11"/>
  <c r="J233" i="11"/>
  <c r="I233" i="11"/>
  <c r="H233" i="11"/>
  <c r="G233" i="11"/>
  <c r="F233" i="11"/>
  <c r="E233" i="11"/>
  <c r="D233" i="11"/>
  <c r="C233" i="11"/>
  <c r="B233" i="11"/>
  <c r="A233" i="11"/>
  <c r="S233" i="11" s="1"/>
  <c r="S232" i="11"/>
  <c r="M232" i="11"/>
  <c r="L232" i="11"/>
  <c r="K232" i="11"/>
  <c r="J232" i="11"/>
  <c r="I232" i="11"/>
  <c r="H232" i="11"/>
  <c r="G232" i="11"/>
  <c r="F232" i="11"/>
  <c r="Q232" i="11" s="1"/>
  <c r="E232" i="11"/>
  <c r="P232" i="11" s="1"/>
  <c r="D232" i="11"/>
  <c r="C232" i="11"/>
  <c r="B232" i="11"/>
  <c r="T232" i="11" s="1"/>
  <c r="A232" i="11"/>
  <c r="T231" i="11"/>
  <c r="Q231" i="11"/>
  <c r="M231" i="11"/>
  <c r="L231" i="11"/>
  <c r="K231" i="11"/>
  <c r="J231" i="11"/>
  <c r="I231" i="11"/>
  <c r="H231" i="11"/>
  <c r="G231" i="11"/>
  <c r="F231" i="11"/>
  <c r="E231" i="11"/>
  <c r="P231" i="11" s="1"/>
  <c r="D231" i="11"/>
  <c r="C231" i="11"/>
  <c r="B231" i="11"/>
  <c r="A231" i="11"/>
  <c r="S231" i="11" s="1"/>
  <c r="S230" i="11"/>
  <c r="M230" i="11"/>
  <c r="L230" i="11"/>
  <c r="K230" i="11"/>
  <c r="J230" i="11"/>
  <c r="I230" i="11"/>
  <c r="H230" i="11"/>
  <c r="G230" i="11"/>
  <c r="F230" i="11"/>
  <c r="Q230" i="11" s="1"/>
  <c r="E230" i="11"/>
  <c r="P230" i="11" s="1"/>
  <c r="D230" i="11"/>
  <c r="C230" i="11"/>
  <c r="B230" i="11"/>
  <c r="T230" i="11" s="1"/>
  <c r="A230" i="11"/>
  <c r="T229" i="11"/>
  <c r="Q229" i="11"/>
  <c r="P229" i="11"/>
  <c r="M229" i="11"/>
  <c r="L229" i="11"/>
  <c r="K229" i="11"/>
  <c r="J229" i="11"/>
  <c r="I229" i="11"/>
  <c r="H229" i="11"/>
  <c r="G229" i="11"/>
  <c r="F229" i="11"/>
  <c r="E229" i="11"/>
  <c r="D229" i="11"/>
  <c r="C229" i="11"/>
  <c r="B229" i="11"/>
  <c r="A229" i="11"/>
  <c r="S229" i="11" s="1"/>
  <c r="S228" i="11"/>
  <c r="M228" i="11"/>
  <c r="L228" i="11"/>
  <c r="K228" i="11"/>
  <c r="J228" i="11"/>
  <c r="I228" i="11"/>
  <c r="H228" i="11"/>
  <c r="G228" i="11"/>
  <c r="F228" i="11"/>
  <c r="Q228" i="11" s="1"/>
  <c r="E228" i="11"/>
  <c r="P228" i="11" s="1"/>
  <c r="D228" i="11"/>
  <c r="C228" i="11"/>
  <c r="B228" i="11"/>
  <c r="T228" i="11" s="1"/>
  <c r="A228" i="11"/>
  <c r="T227" i="11"/>
  <c r="Q227" i="11"/>
  <c r="P227" i="11"/>
  <c r="M227" i="11"/>
  <c r="L227" i="11"/>
  <c r="K227" i="11"/>
  <c r="J227" i="11"/>
  <c r="I227" i="11"/>
  <c r="H227" i="11"/>
  <c r="G227" i="11"/>
  <c r="F227" i="11"/>
  <c r="E227" i="11"/>
  <c r="D227" i="11"/>
  <c r="C227" i="11"/>
  <c r="B227" i="11"/>
  <c r="A227" i="11"/>
  <c r="S227" i="11" s="1"/>
  <c r="S226" i="11"/>
  <c r="M226" i="11"/>
  <c r="L226" i="11"/>
  <c r="K226" i="11"/>
  <c r="J226" i="11"/>
  <c r="I226" i="11"/>
  <c r="H226" i="11"/>
  <c r="G226" i="11"/>
  <c r="F226" i="11"/>
  <c r="Q226" i="11" s="1"/>
  <c r="E226" i="11"/>
  <c r="P226" i="11" s="1"/>
  <c r="D226" i="11"/>
  <c r="C226" i="11"/>
  <c r="B226" i="11"/>
  <c r="T226" i="11" s="1"/>
  <c r="A226" i="11"/>
  <c r="T225" i="11"/>
  <c r="Q225" i="11"/>
  <c r="P225" i="11"/>
  <c r="M225" i="11"/>
  <c r="L225" i="11"/>
  <c r="K225" i="11"/>
  <c r="J225" i="11"/>
  <c r="I225" i="11"/>
  <c r="H225" i="11"/>
  <c r="G225" i="11"/>
  <c r="F225" i="11"/>
  <c r="E225" i="11"/>
  <c r="D225" i="11"/>
  <c r="C225" i="11"/>
  <c r="B225" i="11"/>
  <c r="A225" i="11"/>
  <c r="S225" i="11" s="1"/>
  <c r="S224" i="11"/>
  <c r="M224" i="11"/>
  <c r="L224" i="11"/>
  <c r="K224" i="11"/>
  <c r="J224" i="11"/>
  <c r="I224" i="11"/>
  <c r="H224" i="11"/>
  <c r="G224" i="11"/>
  <c r="F224" i="11"/>
  <c r="Q224" i="11" s="1"/>
  <c r="E224" i="11"/>
  <c r="P224" i="11" s="1"/>
  <c r="D224" i="11"/>
  <c r="C224" i="11"/>
  <c r="B224" i="11"/>
  <c r="T224" i="11" s="1"/>
  <c r="A224" i="11"/>
  <c r="T223" i="11"/>
  <c r="Q223" i="11"/>
  <c r="M223" i="11"/>
  <c r="L223" i="11"/>
  <c r="K223" i="11"/>
  <c r="J223" i="11"/>
  <c r="I223" i="11"/>
  <c r="H223" i="11"/>
  <c r="G223" i="11"/>
  <c r="F223" i="11"/>
  <c r="E223" i="11"/>
  <c r="P223" i="11" s="1"/>
  <c r="D223" i="11"/>
  <c r="C223" i="11"/>
  <c r="B223" i="11"/>
  <c r="A223" i="11"/>
  <c r="S223" i="11" s="1"/>
  <c r="S222" i="11"/>
  <c r="M222" i="11"/>
  <c r="L222" i="11"/>
  <c r="K222" i="11"/>
  <c r="J222" i="11"/>
  <c r="I222" i="11"/>
  <c r="H222" i="11"/>
  <c r="G222" i="11"/>
  <c r="F222" i="11"/>
  <c r="Q222" i="11" s="1"/>
  <c r="E222" i="11"/>
  <c r="P222" i="11" s="1"/>
  <c r="D222" i="11"/>
  <c r="C222" i="11"/>
  <c r="B222" i="11"/>
  <c r="T222" i="11" s="1"/>
  <c r="A222" i="11"/>
  <c r="T221" i="11"/>
  <c r="Q221" i="11"/>
  <c r="P221" i="11"/>
  <c r="M221" i="11"/>
  <c r="L221" i="11"/>
  <c r="K221" i="11"/>
  <c r="J221" i="11"/>
  <c r="I221" i="11"/>
  <c r="H221" i="11"/>
  <c r="G221" i="11"/>
  <c r="F221" i="11"/>
  <c r="E221" i="11"/>
  <c r="D221" i="11"/>
  <c r="C221" i="11"/>
  <c r="B221" i="11"/>
  <c r="A221" i="11"/>
  <c r="S221" i="11" s="1"/>
  <c r="S220" i="11"/>
  <c r="M220" i="11"/>
  <c r="L220" i="11"/>
  <c r="K220" i="11"/>
  <c r="J220" i="11"/>
  <c r="I220" i="11"/>
  <c r="H220" i="11"/>
  <c r="G220" i="11"/>
  <c r="F220" i="11"/>
  <c r="Q220" i="11" s="1"/>
  <c r="E220" i="11"/>
  <c r="P220" i="11" s="1"/>
  <c r="D220" i="11"/>
  <c r="C220" i="11"/>
  <c r="B220" i="11"/>
  <c r="T220" i="11" s="1"/>
  <c r="A220" i="11"/>
  <c r="T219" i="11"/>
  <c r="Q219" i="11"/>
  <c r="P219" i="11"/>
  <c r="M219" i="11"/>
  <c r="L219" i="11"/>
  <c r="K219" i="11"/>
  <c r="J219" i="11"/>
  <c r="I219" i="11"/>
  <c r="H219" i="11"/>
  <c r="G219" i="11"/>
  <c r="F219" i="11"/>
  <c r="E219" i="11"/>
  <c r="D219" i="11"/>
  <c r="C219" i="11"/>
  <c r="B219" i="11"/>
  <c r="A219" i="11"/>
  <c r="S219" i="11" s="1"/>
  <c r="S218" i="11"/>
  <c r="M218" i="11"/>
  <c r="L218" i="11"/>
  <c r="K218" i="11"/>
  <c r="J218" i="11"/>
  <c r="I218" i="11"/>
  <c r="H218" i="11"/>
  <c r="G218" i="11"/>
  <c r="F218" i="11"/>
  <c r="Q218" i="11" s="1"/>
  <c r="E218" i="11"/>
  <c r="P218" i="11" s="1"/>
  <c r="D218" i="11"/>
  <c r="C218" i="11"/>
  <c r="B218" i="11"/>
  <c r="T218" i="11" s="1"/>
  <c r="A218" i="11"/>
  <c r="T217" i="11"/>
  <c r="Q217" i="11"/>
  <c r="P217" i="11"/>
  <c r="M217" i="11"/>
  <c r="L217" i="11"/>
  <c r="K217" i="11"/>
  <c r="J217" i="11"/>
  <c r="I217" i="11"/>
  <c r="H217" i="11"/>
  <c r="G217" i="11"/>
  <c r="F217" i="11"/>
  <c r="E217" i="11"/>
  <c r="D217" i="11"/>
  <c r="C217" i="11"/>
  <c r="B217" i="11"/>
  <c r="A217" i="11"/>
  <c r="S217" i="11" s="1"/>
  <c r="S216" i="11"/>
  <c r="M216" i="11"/>
  <c r="L216" i="11"/>
  <c r="K216" i="11"/>
  <c r="J216" i="11"/>
  <c r="I216" i="11"/>
  <c r="H216" i="11"/>
  <c r="G216" i="11"/>
  <c r="F216" i="11"/>
  <c r="Q216" i="11" s="1"/>
  <c r="E216" i="11"/>
  <c r="P216" i="11" s="1"/>
  <c r="D216" i="11"/>
  <c r="C216" i="11"/>
  <c r="B216" i="11"/>
  <c r="T216" i="11" s="1"/>
  <c r="A216" i="11"/>
  <c r="T215" i="11"/>
  <c r="Q215" i="11"/>
  <c r="M215" i="11"/>
  <c r="L215" i="11"/>
  <c r="K215" i="11"/>
  <c r="J215" i="11"/>
  <c r="I215" i="11"/>
  <c r="H215" i="11"/>
  <c r="G215" i="11"/>
  <c r="F215" i="11"/>
  <c r="E215" i="11"/>
  <c r="P215" i="11" s="1"/>
  <c r="D215" i="11"/>
  <c r="C215" i="11"/>
  <c r="B215" i="11"/>
  <c r="A215" i="11"/>
  <c r="S215" i="11" s="1"/>
  <c r="S214" i="11"/>
  <c r="M214" i="11"/>
  <c r="L214" i="11"/>
  <c r="K214" i="11"/>
  <c r="J214" i="11"/>
  <c r="I214" i="11"/>
  <c r="H214" i="11"/>
  <c r="G214" i="11"/>
  <c r="F214" i="11"/>
  <c r="Q214" i="11" s="1"/>
  <c r="E214" i="11"/>
  <c r="P214" i="11" s="1"/>
  <c r="D214" i="11"/>
  <c r="C214" i="11"/>
  <c r="B214" i="11"/>
  <c r="T214" i="11" s="1"/>
  <c r="A214" i="11"/>
  <c r="T213" i="11"/>
  <c r="Q213" i="11"/>
  <c r="P213" i="11"/>
  <c r="M213" i="11"/>
  <c r="L213" i="11"/>
  <c r="K213" i="11"/>
  <c r="J213" i="11"/>
  <c r="I213" i="11"/>
  <c r="H213" i="11"/>
  <c r="G213" i="11"/>
  <c r="F213" i="11"/>
  <c r="E213" i="11"/>
  <c r="D213" i="11"/>
  <c r="C213" i="11"/>
  <c r="B213" i="11"/>
  <c r="A213" i="11"/>
  <c r="S213" i="11" s="1"/>
  <c r="S212" i="11"/>
  <c r="M212" i="11"/>
  <c r="L212" i="11"/>
  <c r="K212" i="11"/>
  <c r="J212" i="11"/>
  <c r="I212" i="11"/>
  <c r="H212" i="11"/>
  <c r="G212" i="11"/>
  <c r="F212" i="11"/>
  <c r="Q212" i="11" s="1"/>
  <c r="E212" i="11"/>
  <c r="P212" i="11" s="1"/>
  <c r="D212" i="11"/>
  <c r="C212" i="11"/>
  <c r="B212" i="11"/>
  <c r="T212" i="11" s="1"/>
  <c r="A212" i="11"/>
  <c r="T211" i="11"/>
  <c r="Q211" i="11"/>
  <c r="P211" i="11"/>
  <c r="M211" i="11"/>
  <c r="L211" i="11"/>
  <c r="K211" i="11"/>
  <c r="J211" i="11"/>
  <c r="I211" i="11"/>
  <c r="H211" i="11"/>
  <c r="G211" i="11"/>
  <c r="F211" i="11"/>
  <c r="E211" i="11"/>
  <c r="D211" i="11"/>
  <c r="C211" i="11"/>
  <c r="B211" i="11"/>
  <c r="A211" i="11"/>
  <c r="S211" i="11" s="1"/>
  <c r="S210" i="11"/>
  <c r="M210" i="11"/>
  <c r="L210" i="11"/>
  <c r="K210" i="11"/>
  <c r="J210" i="11"/>
  <c r="I210" i="11"/>
  <c r="H210" i="11"/>
  <c r="G210" i="11"/>
  <c r="F210" i="11"/>
  <c r="Q210" i="11" s="1"/>
  <c r="E210" i="11"/>
  <c r="P210" i="11" s="1"/>
  <c r="D210" i="11"/>
  <c r="C210" i="11"/>
  <c r="B210" i="11"/>
  <c r="T210" i="11" s="1"/>
  <c r="A210" i="11"/>
  <c r="T209" i="11"/>
  <c r="Q209" i="11"/>
  <c r="P209" i="11"/>
  <c r="M209" i="11"/>
  <c r="L209" i="11"/>
  <c r="K209" i="11"/>
  <c r="J209" i="11"/>
  <c r="I209" i="11"/>
  <c r="H209" i="11"/>
  <c r="G209" i="11"/>
  <c r="F209" i="11"/>
  <c r="E209" i="11"/>
  <c r="D209" i="11"/>
  <c r="C209" i="11"/>
  <c r="B209" i="11"/>
  <c r="A209" i="11"/>
  <c r="S209" i="11" s="1"/>
  <c r="S208" i="11"/>
  <c r="M208" i="11"/>
  <c r="L208" i="11"/>
  <c r="K208" i="11"/>
  <c r="J208" i="11"/>
  <c r="I208" i="11"/>
  <c r="H208" i="11"/>
  <c r="G208" i="11"/>
  <c r="F208" i="11"/>
  <c r="Q208" i="11" s="1"/>
  <c r="E208" i="11"/>
  <c r="P208" i="11" s="1"/>
  <c r="D208" i="11"/>
  <c r="C208" i="11"/>
  <c r="B208" i="11"/>
  <c r="T208" i="11" s="1"/>
  <c r="A208" i="11"/>
  <c r="T207" i="11"/>
  <c r="Q207" i="11"/>
  <c r="M207" i="11"/>
  <c r="L207" i="11"/>
  <c r="K207" i="11"/>
  <c r="J207" i="11"/>
  <c r="I207" i="11"/>
  <c r="H207" i="11"/>
  <c r="G207" i="11"/>
  <c r="F207" i="11"/>
  <c r="E207" i="11"/>
  <c r="P207" i="11" s="1"/>
  <c r="D207" i="11"/>
  <c r="C207" i="11"/>
  <c r="B207" i="11"/>
  <c r="A207" i="11"/>
  <c r="S207" i="11" s="1"/>
  <c r="S206" i="11"/>
  <c r="M206" i="11"/>
  <c r="L206" i="11"/>
  <c r="K206" i="11"/>
  <c r="J206" i="11"/>
  <c r="I206" i="11"/>
  <c r="H206" i="11"/>
  <c r="G206" i="11"/>
  <c r="F206" i="11"/>
  <c r="Q206" i="11" s="1"/>
  <c r="E206" i="11"/>
  <c r="P206" i="11" s="1"/>
  <c r="D206" i="11"/>
  <c r="C206" i="11"/>
  <c r="B206" i="11"/>
  <c r="T206" i="11" s="1"/>
  <c r="A206" i="11"/>
  <c r="T205" i="11"/>
  <c r="Q205" i="11"/>
  <c r="P205" i="11"/>
  <c r="M205" i="11"/>
  <c r="L205" i="11"/>
  <c r="K205" i="11"/>
  <c r="J205" i="11"/>
  <c r="I205" i="11"/>
  <c r="H205" i="11"/>
  <c r="G205" i="11"/>
  <c r="F205" i="11"/>
  <c r="E205" i="11"/>
  <c r="D205" i="11"/>
  <c r="C205" i="11"/>
  <c r="B205" i="11"/>
  <c r="A205" i="11"/>
  <c r="S205" i="11" s="1"/>
  <c r="S204" i="11"/>
  <c r="M204" i="11"/>
  <c r="L204" i="11"/>
  <c r="K204" i="11"/>
  <c r="J204" i="11"/>
  <c r="I204" i="11"/>
  <c r="H204" i="11"/>
  <c r="G204" i="11"/>
  <c r="F204" i="11"/>
  <c r="Q204" i="11" s="1"/>
  <c r="E204" i="11"/>
  <c r="P204" i="11" s="1"/>
  <c r="D204" i="11"/>
  <c r="C204" i="11"/>
  <c r="B204" i="11"/>
  <c r="T204" i="11" s="1"/>
  <c r="A204" i="11"/>
  <c r="T203" i="11"/>
  <c r="Q203" i="11"/>
  <c r="P203" i="11"/>
  <c r="M203" i="11"/>
  <c r="L203" i="11"/>
  <c r="K203" i="11"/>
  <c r="J203" i="11"/>
  <c r="I203" i="11"/>
  <c r="H203" i="11"/>
  <c r="G203" i="11"/>
  <c r="F203" i="11"/>
  <c r="E203" i="11"/>
  <c r="D203" i="11"/>
  <c r="C203" i="11"/>
  <c r="B203" i="11"/>
  <c r="A203" i="11"/>
  <c r="S203" i="11" s="1"/>
  <c r="S202" i="11"/>
  <c r="M202" i="11"/>
  <c r="L202" i="11"/>
  <c r="K202" i="11"/>
  <c r="J202" i="11"/>
  <c r="I202" i="11"/>
  <c r="H202" i="11"/>
  <c r="G202" i="11"/>
  <c r="F202" i="11"/>
  <c r="Q202" i="11" s="1"/>
  <c r="E202" i="11"/>
  <c r="P202" i="11" s="1"/>
  <c r="D202" i="11"/>
  <c r="C202" i="11"/>
  <c r="B202" i="11"/>
  <c r="T202" i="11" s="1"/>
  <c r="A202" i="11"/>
  <c r="T201" i="11"/>
  <c r="Q201" i="11"/>
  <c r="P201" i="11"/>
  <c r="M201" i="11"/>
  <c r="L201" i="11"/>
  <c r="K201" i="11"/>
  <c r="J201" i="11"/>
  <c r="I201" i="11"/>
  <c r="H201" i="11"/>
  <c r="G201" i="11"/>
  <c r="F201" i="11"/>
  <c r="E201" i="11"/>
  <c r="D201" i="11"/>
  <c r="C201" i="11"/>
  <c r="B201" i="11"/>
  <c r="A201" i="11"/>
  <c r="S201" i="11" s="1"/>
  <c r="S200" i="11"/>
  <c r="M200" i="11"/>
  <c r="L200" i="11"/>
  <c r="K200" i="11"/>
  <c r="J200" i="11"/>
  <c r="I200" i="11"/>
  <c r="H200" i="11"/>
  <c r="G200" i="11"/>
  <c r="F200" i="11"/>
  <c r="Q200" i="11" s="1"/>
  <c r="E200" i="11"/>
  <c r="P200" i="11" s="1"/>
  <c r="D200" i="11"/>
  <c r="C200" i="11"/>
  <c r="B200" i="11"/>
  <c r="T200" i="11" s="1"/>
  <c r="A200" i="11"/>
  <c r="T199" i="11"/>
  <c r="Q199" i="11"/>
  <c r="M199" i="11"/>
  <c r="L199" i="11"/>
  <c r="K199" i="11"/>
  <c r="J199" i="11"/>
  <c r="I199" i="11"/>
  <c r="H199" i="11"/>
  <c r="G199" i="11"/>
  <c r="F199" i="11"/>
  <c r="E199" i="11"/>
  <c r="P199" i="11" s="1"/>
  <c r="D199" i="11"/>
  <c r="C199" i="11"/>
  <c r="B199" i="11"/>
  <c r="A199" i="11"/>
  <c r="S199" i="11" s="1"/>
  <c r="S198" i="11"/>
  <c r="M198" i="11"/>
  <c r="L198" i="11"/>
  <c r="K198" i="11"/>
  <c r="J198" i="11"/>
  <c r="I198" i="11"/>
  <c r="H198" i="11"/>
  <c r="G198" i="11"/>
  <c r="F198" i="11"/>
  <c r="Q198" i="11" s="1"/>
  <c r="E198" i="11"/>
  <c r="P198" i="11" s="1"/>
  <c r="D198" i="11"/>
  <c r="C198" i="11"/>
  <c r="B198" i="11"/>
  <c r="T198" i="11" s="1"/>
  <c r="A198" i="11"/>
  <c r="T197" i="11"/>
  <c r="Q197" i="11"/>
  <c r="M197" i="11"/>
  <c r="L197" i="11"/>
  <c r="K197" i="11"/>
  <c r="J197" i="11"/>
  <c r="I197" i="11"/>
  <c r="H197" i="11"/>
  <c r="G197" i="11"/>
  <c r="F197" i="11"/>
  <c r="E197" i="11"/>
  <c r="D197" i="11"/>
  <c r="C197" i="11"/>
  <c r="B197" i="11"/>
  <c r="A197" i="11"/>
  <c r="S197" i="11" s="1"/>
  <c r="S196" i="11"/>
  <c r="M196" i="11"/>
  <c r="L196" i="11"/>
  <c r="K196" i="11"/>
  <c r="J196" i="11"/>
  <c r="I196" i="11"/>
  <c r="H196" i="11"/>
  <c r="G196" i="11"/>
  <c r="F196" i="11"/>
  <c r="Q196" i="11" s="1"/>
  <c r="E196" i="11"/>
  <c r="P196" i="11" s="1"/>
  <c r="D196" i="11"/>
  <c r="C196" i="11"/>
  <c r="B196" i="11"/>
  <c r="T196" i="11" s="1"/>
  <c r="A196" i="11"/>
  <c r="T195" i="11"/>
  <c r="Q195" i="11"/>
  <c r="P195" i="11"/>
  <c r="M195" i="11"/>
  <c r="L195" i="11"/>
  <c r="K195" i="11"/>
  <c r="J195" i="11"/>
  <c r="I195" i="11"/>
  <c r="H195" i="11"/>
  <c r="G195" i="11"/>
  <c r="F195" i="11"/>
  <c r="E195" i="11"/>
  <c r="D195" i="11"/>
  <c r="C195" i="11"/>
  <c r="B195" i="11"/>
  <c r="A195" i="11"/>
  <c r="S195" i="11" s="1"/>
  <c r="S194" i="11"/>
  <c r="M194" i="11"/>
  <c r="L194" i="11"/>
  <c r="K194" i="11"/>
  <c r="J194" i="11"/>
  <c r="I194" i="11"/>
  <c r="H194" i="11"/>
  <c r="G194" i="11"/>
  <c r="F194" i="11"/>
  <c r="Q194" i="11" s="1"/>
  <c r="E194" i="11"/>
  <c r="P194" i="11" s="1"/>
  <c r="D194" i="11"/>
  <c r="C194" i="11"/>
  <c r="B194" i="11"/>
  <c r="T194" i="11" s="1"/>
  <c r="A194" i="11"/>
  <c r="T193" i="11"/>
  <c r="Q193" i="11"/>
  <c r="P193" i="11"/>
  <c r="M193" i="11"/>
  <c r="L193" i="11"/>
  <c r="K193" i="11"/>
  <c r="J193" i="11"/>
  <c r="I193" i="11"/>
  <c r="H193" i="11"/>
  <c r="G193" i="11"/>
  <c r="F193" i="11"/>
  <c r="E193" i="11"/>
  <c r="D193" i="11"/>
  <c r="C193" i="11"/>
  <c r="B193" i="11"/>
  <c r="A193" i="11"/>
  <c r="S193" i="11" s="1"/>
  <c r="S192" i="11"/>
  <c r="M192" i="11"/>
  <c r="L192" i="11"/>
  <c r="K192" i="11"/>
  <c r="J192" i="11"/>
  <c r="I192" i="11"/>
  <c r="H192" i="11"/>
  <c r="G192" i="11"/>
  <c r="F192" i="11"/>
  <c r="Q192" i="11" s="1"/>
  <c r="E192" i="11"/>
  <c r="P192" i="11" s="1"/>
  <c r="D192" i="11"/>
  <c r="C192" i="11"/>
  <c r="B192" i="11"/>
  <c r="T192" i="11" s="1"/>
  <c r="A192" i="11"/>
  <c r="T191" i="11"/>
  <c r="Q191" i="11"/>
  <c r="M191" i="11"/>
  <c r="L191" i="11"/>
  <c r="K191" i="11"/>
  <c r="J191" i="11"/>
  <c r="I191" i="11"/>
  <c r="H191" i="11"/>
  <c r="G191" i="11"/>
  <c r="F191" i="11"/>
  <c r="E191" i="11"/>
  <c r="P191" i="11" s="1"/>
  <c r="D191" i="11"/>
  <c r="C191" i="11"/>
  <c r="B191" i="11"/>
  <c r="A191" i="11"/>
  <c r="S191" i="11" s="1"/>
  <c r="S190" i="11"/>
  <c r="M190" i="11"/>
  <c r="L190" i="11"/>
  <c r="K190" i="11"/>
  <c r="J190" i="11"/>
  <c r="I190" i="11"/>
  <c r="H190" i="11"/>
  <c r="G190" i="11"/>
  <c r="F190" i="11"/>
  <c r="Q190" i="11" s="1"/>
  <c r="E190" i="11"/>
  <c r="P190" i="11" s="1"/>
  <c r="D190" i="11"/>
  <c r="C190" i="11"/>
  <c r="B190" i="11"/>
  <c r="T190" i="11" s="1"/>
  <c r="A190" i="11"/>
  <c r="T189" i="11"/>
  <c r="Q189" i="11"/>
  <c r="M189" i="11"/>
  <c r="L189" i="11"/>
  <c r="K189" i="11"/>
  <c r="J189" i="11"/>
  <c r="I189" i="11"/>
  <c r="H189" i="11"/>
  <c r="G189" i="11"/>
  <c r="F189" i="11"/>
  <c r="E189" i="11"/>
  <c r="D189" i="11"/>
  <c r="C189" i="11"/>
  <c r="B189" i="11"/>
  <c r="A189" i="11"/>
  <c r="S189" i="11" s="1"/>
  <c r="S188" i="11"/>
  <c r="M188" i="11"/>
  <c r="L188" i="11"/>
  <c r="K188" i="11"/>
  <c r="J188" i="11"/>
  <c r="I188" i="11"/>
  <c r="H188" i="11"/>
  <c r="G188" i="11"/>
  <c r="F188" i="11"/>
  <c r="Q188" i="11" s="1"/>
  <c r="E188" i="11"/>
  <c r="P188" i="11" s="1"/>
  <c r="D188" i="11"/>
  <c r="C188" i="11"/>
  <c r="B188" i="11"/>
  <c r="T188" i="11" s="1"/>
  <c r="A188" i="11"/>
  <c r="T187" i="11"/>
  <c r="Q187" i="11"/>
  <c r="P187" i="11"/>
  <c r="M187" i="11"/>
  <c r="L187" i="11"/>
  <c r="K187" i="11"/>
  <c r="J187" i="11"/>
  <c r="I187" i="11"/>
  <c r="H187" i="11"/>
  <c r="G187" i="11"/>
  <c r="F187" i="11"/>
  <c r="E187" i="11"/>
  <c r="D187" i="11"/>
  <c r="C187" i="11"/>
  <c r="B187" i="11"/>
  <c r="A187" i="11"/>
  <c r="S187" i="11" s="1"/>
  <c r="S186" i="11"/>
  <c r="M186" i="11"/>
  <c r="L186" i="11"/>
  <c r="K186" i="11"/>
  <c r="J186" i="11"/>
  <c r="I186" i="11"/>
  <c r="H186" i="11"/>
  <c r="G186" i="11"/>
  <c r="F186" i="11"/>
  <c r="Q186" i="11" s="1"/>
  <c r="E186" i="11"/>
  <c r="P186" i="11" s="1"/>
  <c r="D186" i="11"/>
  <c r="C186" i="11"/>
  <c r="B186" i="11"/>
  <c r="T186" i="11" s="1"/>
  <c r="A186" i="11"/>
  <c r="T185" i="11"/>
  <c r="Q185" i="11"/>
  <c r="P185" i="11"/>
  <c r="M185" i="11"/>
  <c r="L185" i="11"/>
  <c r="K185" i="11"/>
  <c r="J185" i="11"/>
  <c r="I185" i="11"/>
  <c r="H185" i="11"/>
  <c r="G185" i="11"/>
  <c r="F185" i="11"/>
  <c r="E185" i="11"/>
  <c r="D185" i="11"/>
  <c r="C185" i="11"/>
  <c r="B185" i="11"/>
  <c r="A185" i="11"/>
  <c r="S185" i="11" s="1"/>
  <c r="S184" i="11"/>
  <c r="M184" i="11"/>
  <c r="L184" i="11"/>
  <c r="K184" i="11"/>
  <c r="J184" i="11"/>
  <c r="I184" i="11"/>
  <c r="H184" i="11"/>
  <c r="G184" i="11"/>
  <c r="F184" i="11"/>
  <c r="Q184" i="11" s="1"/>
  <c r="E184" i="11"/>
  <c r="P184" i="11" s="1"/>
  <c r="D184" i="11"/>
  <c r="C184" i="11"/>
  <c r="B184" i="11"/>
  <c r="T184" i="11" s="1"/>
  <c r="A184" i="11"/>
  <c r="T183" i="11"/>
  <c r="Q183" i="11"/>
  <c r="M183" i="11"/>
  <c r="L183" i="11"/>
  <c r="K183" i="11"/>
  <c r="J183" i="11"/>
  <c r="I183" i="11"/>
  <c r="H183" i="11"/>
  <c r="G183" i="11"/>
  <c r="F183" i="11"/>
  <c r="E183" i="11"/>
  <c r="P183" i="11" s="1"/>
  <c r="D183" i="11"/>
  <c r="C183" i="11"/>
  <c r="B183" i="11"/>
  <c r="A183" i="11"/>
  <c r="S183" i="11" s="1"/>
  <c r="S182" i="11"/>
  <c r="M182" i="11"/>
  <c r="L182" i="11"/>
  <c r="K182" i="11"/>
  <c r="J182" i="11"/>
  <c r="I182" i="11"/>
  <c r="H182" i="11"/>
  <c r="G182" i="11"/>
  <c r="F182" i="11"/>
  <c r="Q182" i="11" s="1"/>
  <c r="E182" i="11"/>
  <c r="P182" i="11" s="1"/>
  <c r="D182" i="11"/>
  <c r="C182" i="11"/>
  <c r="B182" i="11"/>
  <c r="T182" i="11" s="1"/>
  <c r="A182" i="11"/>
  <c r="T181" i="11"/>
  <c r="Q181" i="11"/>
  <c r="M181" i="11"/>
  <c r="L181" i="11"/>
  <c r="K181" i="11"/>
  <c r="J181" i="11"/>
  <c r="I181" i="11"/>
  <c r="H181" i="11"/>
  <c r="G181" i="11"/>
  <c r="F181" i="11"/>
  <c r="E181" i="11"/>
  <c r="D181" i="11"/>
  <c r="C181" i="11"/>
  <c r="B181" i="11"/>
  <c r="A181" i="11"/>
  <c r="S181" i="11" s="1"/>
  <c r="S180" i="11"/>
  <c r="M180" i="11"/>
  <c r="L180" i="11"/>
  <c r="K180" i="11"/>
  <c r="J180" i="11"/>
  <c r="I180" i="11"/>
  <c r="H180" i="11"/>
  <c r="G180" i="11"/>
  <c r="F180" i="11"/>
  <c r="Q180" i="11" s="1"/>
  <c r="E180" i="11"/>
  <c r="P180" i="11" s="1"/>
  <c r="D180" i="11"/>
  <c r="C180" i="11"/>
  <c r="B180" i="11"/>
  <c r="T180" i="11" s="1"/>
  <c r="A180" i="11"/>
  <c r="T179" i="11"/>
  <c r="Q179" i="11"/>
  <c r="P179" i="11"/>
  <c r="M179" i="11"/>
  <c r="L179" i="11"/>
  <c r="K179" i="11"/>
  <c r="J179" i="11"/>
  <c r="I179" i="11"/>
  <c r="H179" i="11"/>
  <c r="G179" i="11"/>
  <c r="F179" i="11"/>
  <c r="E179" i="11"/>
  <c r="D179" i="11"/>
  <c r="C179" i="11"/>
  <c r="B179" i="11"/>
  <c r="A179" i="11"/>
  <c r="S179" i="11" s="1"/>
  <c r="S178" i="11"/>
  <c r="M178" i="11"/>
  <c r="L178" i="11"/>
  <c r="K178" i="11"/>
  <c r="J178" i="11"/>
  <c r="I178" i="11"/>
  <c r="H178" i="11"/>
  <c r="G178" i="11"/>
  <c r="F178" i="11"/>
  <c r="Q178" i="11" s="1"/>
  <c r="E178" i="11"/>
  <c r="P178" i="11" s="1"/>
  <c r="D178" i="11"/>
  <c r="C178" i="11"/>
  <c r="B178" i="11"/>
  <c r="T178" i="11" s="1"/>
  <c r="A178" i="11"/>
  <c r="T177" i="11"/>
  <c r="Q177" i="11"/>
  <c r="P177" i="11"/>
  <c r="M177" i="11"/>
  <c r="L177" i="11"/>
  <c r="K177" i="11"/>
  <c r="J177" i="11"/>
  <c r="I177" i="11"/>
  <c r="H177" i="11"/>
  <c r="G177" i="11"/>
  <c r="F177" i="11"/>
  <c r="E177" i="11"/>
  <c r="D177" i="11"/>
  <c r="C177" i="11"/>
  <c r="B177" i="11"/>
  <c r="A177" i="11"/>
  <c r="S177" i="11" s="1"/>
  <c r="S176" i="11"/>
  <c r="M176" i="11"/>
  <c r="L176" i="11"/>
  <c r="K176" i="11"/>
  <c r="J176" i="11"/>
  <c r="I176" i="11"/>
  <c r="H176" i="11"/>
  <c r="G176" i="11"/>
  <c r="F176" i="11"/>
  <c r="Q176" i="11" s="1"/>
  <c r="E176" i="11"/>
  <c r="P176" i="11" s="1"/>
  <c r="D176" i="11"/>
  <c r="C176" i="11"/>
  <c r="B176" i="11"/>
  <c r="T176" i="11" s="1"/>
  <c r="A176" i="11"/>
  <c r="T175" i="11"/>
  <c r="Q175" i="11"/>
  <c r="M175" i="11"/>
  <c r="L175" i="11"/>
  <c r="K175" i="11"/>
  <c r="J175" i="11"/>
  <c r="I175" i="11"/>
  <c r="H175" i="11"/>
  <c r="G175" i="11"/>
  <c r="F175" i="11"/>
  <c r="E175" i="11"/>
  <c r="P175" i="11" s="1"/>
  <c r="D175" i="11"/>
  <c r="C175" i="11"/>
  <c r="B175" i="11"/>
  <c r="A175" i="11"/>
  <c r="S175" i="11" s="1"/>
  <c r="S174" i="11"/>
  <c r="M174" i="11"/>
  <c r="L174" i="11"/>
  <c r="K174" i="11"/>
  <c r="J174" i="11"/>
  <c r="I174" i="11"/>
  <c r="H174" i="11"/>
  <c r="G174" i="11"/>
  <c r="F174" i="11"/>
  <c r="Q174" i="11" s="1"/>
  <c r="E174" i="11"/>
  <c r="P174" i="11" s="1"/>
  <c r="D174" i="11"/>
  <c r="C174" i="11"/>
  <c r="B174" i="11"/>
  <c r="T174" i="11" s="1"/>
  <c r="A174" i="11"/>
  <c r="T173" i="11"/>
  <c r="Q173" i="11"/>
  <c r="M173" i="11"/>
  <c r="L173" i="11"/>
  <c r="K173" i="11"/>
  <c r="J173" i="11"/>
  <c r="I173" i="11"/>
  <c r="H173" i="11"/>
  <c r="G173" i="11"/>
  <c r="F173" i="11"/>
  <c r="E173" i="11"/>
  <c r="D173" i="11"/>
  <c r="C173" i="11"/>
  <c r="B173" i="11"/>
  <c r="A173" i="11"/>
  <c r="S173" i="11" s="1"/>
  <c r="S172" i="11"/>
  <c r="M172" i="11"/>
  <c r="L172" i="11"/>
  <c r="K172" i="11"/>
  <c r="J172" i="11"/>
  <c r="I172" i="11"/>
  <c r="H172" i="11"/>
  <c r="G172" i="11"/>
  <c r="F172" i="11"/>
  <c r="Q172" i="11" s="1"/>
  <c r="E172" i="11"/>
  <c r="P172" i="11" s="1"/>
  <c r="D172" i="11"/>
  <c r="C172" i="11"/>
  <c r="B172" i="11"/>
  <c r="T172" i="11" s="1"/>
  <c r="A172" i="11"/>
  <c r="T171" i="11"/>
  <c r="Q171" i="11"/>
  <c r="P171" i="11"/>
  <c r="M171" i="11"/>
  <c r="L171" i="11"/>
  <c r="K171" i="11"/>
  <c r="J171" i="11"/>
  <c r="I171" i="11"/>
  <c r="H171" i="11"/>
  <c r="G171" i="11"/>
  <c r="F171" i="11"/>
  <c r="E171" i="11"/>
  <c r="D171" i="11"/>
  <c r="C171" i="11"/>
  <c r="B171" i="11"/>
  <c r="A171" i="11"/>
  <c r="S171" i="11" s="1"/>
  <c r="S170" i="11"/>
  <c r="M170" i="11"/>
  <c r="L170" i="11"/>
  <c r="K170" i="11"/>
  <c r="J170" i="11"/>
  <c r="I170" i="11"/>
  <c r="H170" i="11"/>
  <c r="G170" i="11"/>
  <c r="F170" i="11"/>
  <c r="Q170" i="11" s="1"/>
  <c r="E170" i="11"/>
  <c r="P170" i="11" s="1"/>
  <c r="D170" i="11"/>
  <c r="C170" i="11"/>
  <c r="B170" i="11"/>
  <c r="T170" i="11" s="1"/>
  <c r="A170" i="11"/>
  <c r="T169" i="11"/>
  <c r="Q169" i="11"/>
  <c r="P169" i="11"/>
  <c r="M169" i="11"/>
  <c r="L169" i="11"/>
  <c r="K169" i="11"/>
  <c r="J169" i="11"/>
  <c r="I169" i="11"/>
  <c r="H169" i="11"/>
  <c r="G169" i="11"/>
  <c r="F169" i="11"/>
  <c r="E169" i="11"/>
  <c r="D169" i="11"/>
  <c r="C169" i="11"/>
  <c r="B169" i="11"/>
  <c r="A169" i="11"/>
  <c r="S169" i="11" s="1"/>
  <c r="S168" i="11"/>
  <c r="M168" i="11"/>
  <c r="L168" i="11"/>
  <c r="K168" i="11"/>
  <c r="J168" i="11"/>
  <c r="I168" i="11"/>
  <c r="H168" i="11"/>
  <c r="G168" i="11"/>
  <c r="F168" i="11"/>
  <c r="Q168" i="11" s="1"/>
  <c r="E168" i="11"/>
  <c r="P168" i="11" s="1"/>
  <c r="D168" i="11"/>
  <c r="C168" i="11"/>
  <c r="B168" i="11"/>
  <c r="T168" i="11" s="1"/>
  <c r="A168" i="11"/>
  <c r="T167" i="11"/>
  <c r="Q167" i="11"/>
  <c r="M167" i="11"/>
  <c r="L167" i="11"/>
  <c r="K167" i="11"/>
  <c r="J167" i="11"/>
  <c r="I167" i="11"/>
  <c r="H167" i="11"/>
  <c r="G167" i="11"/>
  <c r="F167" i="11"/>
  <c r="E167" i="11"/>
  <c r="P167" i="11" s="1"/>
  <c r="D167" i="11"/>
  <c r="C167" i="11"/>
  <c r="B167" i="11"/>
  <c r="A167" i="11"/>
  <c r="S167" i="11" s="1"/>
  <c r="S166" i="11"/>
  <c r="M166" i="11"/>
  <c r="L166" i="11"/>
  <c r="K166" i="11"/>
  <c r="J166" i="11"/>
  <c r="I166" i="11"/>
  <c r="H166" i="11"/>
  <c r="G166" i="11"/>
  <c r="F166" i="11"/>
  <c r="Q166" i="11" s="1"/>
  <c r="E166" i="11"/>
  <c r="P166" i="11" s="1"/>
  <c r="D166" i="11"/>
  <c r="C166" i="11"/>
  <c r="B166" i="11"/>
  <c r="T166" i="11" s="1"/>
  <c r="A166" i="11"/>
  <c r="T165" i="11"/>
  <c r="Q165" i="11"/>
  <c r="P165" i="11"/>
  <c r="M165" i="11"/>
  <c r="L165" i="11"/>
  <c r="K165" i="11"/>
  <c r="J165" i="11"/>
  <c r="I165" i="11"/>
  <c r="H165" i="11"/>
  <c r="G165" i="11"/>
  <c r="F165" i="11"/>
  <c r="E165" i="11"/>
  <c r="D165" i="11"/>
  <c r="C165" i="11"/>
  <c r="B165" i="11"/>
  <c r="A165" i="11"/>
  <c r="S165" i="11" s="1"/>
  <c r="S164" i="11"/>
  <c r="M164" i="11"/>
  <c r="L164" i="11"/>
  <c r="K164" i="11"/>
  <c r="J164" i="11"/>
  <c r="I164" i="11"/>
  <c r="H164" i="11"/>
  <c r="G164" i="11"/>
  <c r="F164" i="11"/>
  <c r="Q164" i="11" s="1"/>
  <c r="E164" i="11"/>
  <c r="P164" i="11" s="1"/>
  <c r="D164" i="11"/>
  <c r="C164" i="11"/>
  <c r="B164" i="11"/>
  <c r="T164" i="11" s="1"/>
  <c r="A164" i="11"/>
  <c r="T163" i="11"/>
  <c r="Q163" i="11"/>
  <c r="P163" i="11"/>
  <c r="M163" i="11"/>
  <c r="L163" i="11"/>
  <c r="K163" i="11"/>
  <c r="J163" i="11"/>
  <c r="I163" i="11"/>
  <c r="H163" i="11"/>
  <c r="G163" i="11"/>
  <c r="F163" i="11"/>
  <c r="E163" i="11"/>
  <c r="D163" i="11"/>
  <c r="C163" i="11"/>
  <c r="B163" i="11"/>
  <c r="A163" i="11"/>
  <c r="S163" i="11" s="1"/>
  <c r="S162" i="11"/>
  <c r="M162" i="11"/>
  <c r="L162" i="11"/>
  <c r="K162" i="11"/>
  <c r="J162" i="11"/>
  <c r="I162" i="11"/>
  <c r="H162" i="11"/>
  <c r="G162" i="11"/>
  <c r="F162" i="11"/>
  <c r="Q162" i="11" s="1"/>
  <c r="E162" i="11"/>
  <c r="P162" i="11" s="1"/>
  <c r="D162" i="11"/>
  <c r="C162" i="11"/>
  <c r="B162" i="11"/>
  <c r="T162" i="11" s="1"/>
  <c r="A162" i="11"/>
  <c r="T161" i="11"/>
  <c r="Q161" i="11"/>
  <c r="P161" i="11"/>
  <c r="M161" i="11"/>
  <c r="L161" i="11"/>
  <c r="K161" i="11"/>
  <c r="J161" i="11"/>
  <c r="I161" i="11"/>
  <c r="H161" i="11"/>
  <c r="G161" i="11"/>
  <c r="F161" i="11"/>
  <c r="E161" i="11"/>
  <c r="D161" i="11"/>
  <c r="C161" i="11"/>
  <c r="B161" i="11"/>
  <c r="A161" i="11"/>
  <c r="S161" i="11" s="1"/>
  <c r="S160" i="11"/>
  <c r="M160" i="11"/>
  <c r="L160" i="11"/>
  <c r="K160" i="11"/>
  <c r="J160" i="11"/>
  <c r="I160" i="11"/>
  <c r="H160" i="11"/>
  <c r="G160" i="11"/>
  <c r="F160" i="11"/>
  <c r="Q160" i="11" s="1"/>
  <c r="E160" i="11"/>
  <c r="P160" i="11" s="1"/>
  <c r="D160" i="11"/>
  <c r="C160" i="11"/>
  <c r="B160" i="11"/>
  <c r="T160" i="11" s="1"/>
  <c r="A160" i="11"/>
  <c r="T159" i="11"/>
  <c r="Q159" i="11"/>
  <c r="M159" i="11"/>
  <c r="L159" i="11"/>
  <c r="K159" i="11"/>
  <c r="J159" i="11"/>
  <c r="I159" i="11"/>
  <c r="H159" i="11"/>
  <c r="G159" i="11"/>
  <c r="F159" i="11"/>
  <c r="E159" i="11"/>
  <c r="P159" i="11" s="1"/>
  <c r="D159" i="11"/>
  <c r="C159" i="11"/>
  <c r="B159" i="11"/>
  <c r="A159" i="11"/>
  <c r="S159" i="11" s="1"/>
  <c r="S158" i="11"/>
  <c r="M158" i="11"/>
  <c r="L158" i="11"/>
  <c r="K158" i="11"/>
  <c r="J158" i="11"/>
  <c r="I158" i="11"/>
  <c r="H158" i="11"/>
  <c r="G158" i="11"/>
  <c r="F158" i="11"/>
  <c r="Q158" i="11" s="1"/>
  <c r="E158" i="11"/>
  <c r="P158" i="11" s="1"/>
  <c r="D158" i="11"/>
  <c r="C158" i="11"/>
  <c r="B158" i="11"/>
  <c r="T158" i="11" s="1"/>
  <c r="A158" i="11"/>
  <c r="T157" i="11"/>
  <c r="Q157" i="11"/>
  <c r="P157" i="11"/>
  <c r="M157" i="11"/>
  <c r="L157" i="11"/>
  <c r="K157" i="11"/>
  <c r="J157" i="11"/>
  <c r="I157" i="11"/>
  <c r="H157" i="11"/>
  <c r="G157" i="11"/>
  <c r="F157" i="11"/>
  <c r="E157" i="11"/>
  <c r="D157" i="11"/>
  <c r="C157" i="11"/>
  <c r="B157" i="11"/>
  <c r="A157" i="11"/>
  <c r="S157" i="11" s="1"/>
  <c r="S156" i="11"/>
  <c r="M156" i="11"/>
  <c r="L156" i="11"/>
  <c r="K156" i="11"/>
  <c r="J156" i="11"/>
  <c r="I156" i="11"/>
  <c r="H156" i="11"/>
  <c r="G156" i="11"/>
  <c r="F156" i="11"/>
  <c r="Q156" i="11" s="1"/>
  <c r="E156" i="11"/>
  <c r="P156" i="11" s="1"/>
  <c r="D156" i="11"/>
  <c r="C156" i="11"/>
  <c r="B156" i="11"/>
  <c r="T156" i="11" s="1"/>
  <c r="A156" i="11"/>
  <c r="T155" i="11"/>
  <c r="Q155" i="11"/>
  <c r="P155" i="11"/>
  <c r="M155" i="11"/>
  <c r="L155" i="11"/>
  <c r="K155" i="11"/>
  <c r="J155" i="11"/>
  <c r="I155" i="11"/>
  <c r="H155" i="11"/>
  <c r="G155" i="11"/>
  <c r="F155" i="11"/>
  <c r="E155" i="11"/>
  <c r="D155" i="11"/>
  <c r="C155" i="11"/>
  <c r="B155" i="11"/>
  <c r="A155" i="11"/>
  <c r="S155" i="11" s="1"/>
  <c r="S154" i="11"/>
  <c r="M154" i="11"/>
  <c r="L154" i="11"/>
  <c r="K154" i="11"/>
  <c r="J154" i="11"/>
  <c r="I154" i="11"/>
  <c r="H154" i="11"/>
  <c r="G154" i="11"/>
  <c r="F154" i="11"/>
  <c r="Q154" i="11" s="1"/>
  <c r="E154" i="11"/>
  <c r="P154" i="11" s="1"/>
  <c r="D154" i="11"/>
  <c r="C154" i="11"/>
  <c r="B154" i="11"/>
  <c r="T154" i="11" s="1"/>
  <c r="A154" i="11"/>
  <c r="T153" i="11"/>
  <c r="Q153" i="11"/>
  <c r="P153" i="11"/>
  <c r="M153" i="11"/>
  <c r="L153" i="11"/>
  <c r="K153" i="11"/>
  <c r="J153" i="11"/>
  <c r="I153" i="11"/>
  <c r="H153" i="11"/>
  <c r="G153" i="11"/>
  <c r="F153" i="11"/>
  <c r="E153" i="11"/>
  <c r="D153" i="11"/>
  <c r="C153" i="11"/>
  <c r="B153" i="11"/>
  <c r="A153" i="11"/>
  <c r="S153" i="11" s="1"/>
  <c r="S152" i="11"/>
  <c r="M152" i="11"/>
  <c r="L152" i="11"/>
  <c r="K152" i="11"/>
  <c r="J152" i="11"/>
  <c r="I152" i="11"/>
  <c r="H152" i="11"/>
  <c r="G152" i="11"/>
  <c r="F152" i="11"/>
  <c r="Q152" i="11" s="1"/>
  <c r="E152" i="11"/>
  <c r="P152" i="11" s="1"/>
  <c r="D152" i="11"/>
  <c r="C152" i="11"/>
  <c r="B152" i="11"/>
  <c r="T152" i="11" s="1"/>
  <c r="A152" i="11"/>
  <c r="T151" i="11"/>
  <c r="Q151" i="11"/>
  <c r="M151" i="11"/>
  <c r="L151" i="11"/>
  <c r="K151" i="11"/>
  <c r="J151" i="11"/>
  <c r="I151" i="11"/>
  <c r="H151" i="11"/>
  <c r="G151" i="11"/>
  <c r="F151" i="11"/>
  <c r="E151" i="11"/>
  <c r="P151" i="11" s="1"/>
  <c r="D151" i="11"/>
  <c r="C151" i="11"/>
  <c r="B151" i="11"/>
  <c r="A151" i="11"/>
  <c r="S151" i="11" s="1"/>
  <c r="S150" i="11"/>
  <c r="M150" i="11"/>
  <c r="L150" i="11"/>
  <c r="K150" i="11"/>
  <c r="J150" i="11"/>
  <c r="I150" i="11"/>
  <c r="H150" i="11"/>
  <c r="G150" i="11"/>
  <c r="F150" i="11"/>
  <c r="Q150" i="11" s="1"/>
  <c r="E150" i="11"/>
  <c r="P150" i="11" s="1"/>
  <c r="D150" i="11"/>
  <c r="C150" i="11"/>
  <c r="B150" i="11"/>
  <c r="T150" i="11" s="1"/>
  <c r="A150" i="11"/>
  <c r="T149" i="11"/>
  <c r="Q149" i="11"/>
  <c r="P149" i="11"/>
  <c r="M149" i="11"/>
  <c r="L149" i="11"/>
  <c r="K149" i="11"/>
  <c r="J149" i="11"/>
  <c r="I149" i="11"/>
  <c r="H149" i="11"/>
  <c r="G149" i="11"/>
  <c r="F149" i="11"/>
  <c r="E149" i="11"/>
  <c r="D149" i="11"/>
  <c r="C149" i="11"/>
  <c r="B149" i="11"/>
  <c r="A149" i="11"/>
  <c r="S149" i="11" s="1"/>
  <c r="S148" i="11"/>
  <c r="M148" i="11"/>
  <c r="L148" i="11"/>
  <c r="K148" i="11"/>
  <c r="J148" i="11"/>
  <c r="I148" i="11"/>
  <c r="H148" i="11"/>
  <c r="G148" i="11"/>
  <c r="F148" i="11"/>
  <c r="Q148" i="11" s="1"/>
  <c r="E148" i="11"/>
  <c r="P148" i="11" s="1"/>
  <c r="D148" i="11"/>
  <c r="C148" i="11"/>
  <c r="B148" i="11"/>
  <c r="T148" i="11" s="1"/>
  <c r="A148" i="11"/>
  <c r="T147" i="11"/>
  <c r="Q147" i="11"/>
  <c r="P147" i="11"/>
  <c r="M147" i="11"/>
  <c r="L147" i="11"/>
  <c r="K147" i="11"/>
  <c r="J147" i="11"/>
  <c r="I147" i="11"/>
  <c r="H147" i="11"/>
  <c r="G147" i="11"/>
  <c r="F147" i="11"/>
  <c r="E147" i="11"/>
  <c r="D147" i="11"/>
  <c r="C147" i="11"/>
  <c r="B147" i="11"/>
  <c r="A147" i="11"/>
  <c r="S147" i="11" s="1"/>
  <c r="S146" i="11"/>
  <c r="M146" i="11"/>
  <c r="L146" i="11"/>
  <c r="K146" i="11"/>
  <c r="J146" i="11"/>
  <c r="I146" i="11"/>
  <c r="H146" i="11"/>
  <c r="G146" i="11"/>
  <c r="F146" i="11"/>
  <c r="Q146" i="11" s="1"/>
  <c r="E146" i="11"/>
  <c r="P146" i="11" s="1"/>
  <c r="D146" i="11"/>
  <c r="C146" i="11"/>
  <c r="B146" i="11"/>
  <c r="T146" i="11" s="1"/>
  <c r="A146" i="11"/>
  <c r="T145" i="11"/>
  <c r="Q145" i="11"/>
  <c r="P145" i="11"/>
  <c r="M145" i="11"/>
  <c r="L145" i="11"/>
  <c r="K145" i="11"/>
  <c r="J145" i="11"/>
  <c r="I145" i="11"/>
  <c r="H145" i="11"/>
  <c r="G145" i="11"/>
  <c r="F145" i="11"/>
  <c r="E145" i="11"/>
  <c r="D145" i="11"/>
  <c r="C145" i="11"/>
  <c r="B145" i="11"/>
  <c r="A145" i="11"/>
  <c r="S145" i="11" s="1"/>
  <c r="S144" i="11"/>
  <c r="M144" i="11"/>
  <c r="L144" i="11"/>
  <c r="K144" i="11"/>
  <c r="J144" i="11"/>
  <c r="I144" i="11"/>
  <c r="H144" i="11"/>
  <c r="G144" i="11"/>
  <c r="F144" i="11"/>
  <c r="Q144" i="11" s="1"/>
  <c r="E144" i="11"/>
  <c r="P144" i="11" s="1"/>
  <c r="D144" i="11"/>
  <c r="C144" i="11"/>
  <c r="B144" i="11"/>
  <c r="T144" i="11" s="1"/>
  <c r="A144" i="11"/>
  <c r="T143" i="11"/>
  <c r="Q143" i="11"/>
  <c r="M143" i="11"/>
  <c r="L143" i="11"/>
  <c r="K143" i="11"/>
  <c r="J143" i="11"/>
  <c r="I143" i="11"/>
  <c r="H143" i="11"/>
  <c r="G143" i="11"/>
  <c r="F143" i="11"/>
  <c r="E143" i="11"/>
  <c r="P143" i="11" s="1"/>
  <c r="D143" i="11"/>
  <c r="C143" i="11"/>
  <c r="B143" i="11"/>
  <c r="A143" i="11"/>
  <c r="S143" i="11" s="1"/>
  <c r="S142" i="11"/>
  <c r="M142" i="11"/>
  <c r="L142" i="11"/>
  <c r="K142" i="11"/>
  <c r="J142" i="11"/>
  <c r="I142" i="11"/>
  <c r="H142" i="11"/>
  <c r="G142" i="11"/>
  <c r="F142" i="11"/>
  <c r="Q142" i="11" s="1"/>
  <c r="E142" i="11"/>
  <c r="P142" i="11" s="1"/>
  <c r="D142" i="11"/>
  <c r="C142" i="11"/>
  <c r="B142" i="11"/>
  <c r="T142" i="11" s="1"/>
  <c r="A142" i="11"/>
  <c r="T141" i="11"/>
  <c r="Q141" i="11"/>
  <c r="P141" i="11"/>
  <c r="M141" i="11"/>
  <c r="L141" i="11"/>
  <c r="K141" i="11"/>
  <c r="J141" i="11"/>
  <c r="I141" i="11"/>
  <c r="H141" i="11"/>
  <c r="G141" i="11"/>
  <c r="F141" i="11"/>
  <c r="E141" i="11"/>
  <c r="D141" i="11"/>
  <c r="C141" i="11"/>
  <c r="B141" i="11"/>
  <c r="A141" i="11"/>
  <c r="S141" i="11" s="1"/>
  <c r="S140" i="11"/>
  <c r="M140" i="11"/>
  <c r="L140" i="11"/>
  <c r="K140" i="11"/>
  <c r="J140" i="11"/>
  <c r="I140" i="11"/>
  <c r="H140" i="11"/>
  <c r="G140" i="11"/>
  <c r="F140" i="11"/>
  <c r="Q140" i="11" s="1"/>
  <c r="E140" i="11"/>
  <c r="P140" i="11" s="1"/>
  <c r="D140" i="11"/>
  <c r="C140" i="11"/>
  <c r="B140" i="11"/>
  <c r="T140" i="11" s="1"/>
  <c r="A140" i="11"/>
  <c r="T139" i="11"/>
  <c r="Q139" i="11"/>
  <c r="P139" i="11"/>
  <c r="M139" i="11"/>
  <c r="L139" i="11"/>
  <c r="K139" i="11"/>
  <c r="J139" i="11"/>
  <c r="I139" i="11"/>
  <c r="H139" i="11"/>
  <c r="G139" i="11"/>
  <c r="F139" i="11"/>
  <c r="E139" i="11"/>
  <c r="D139" i="11"/>
  <c r="C139" i="11"/>
  <c r="B139" i="11"/>
  <c r="A139" i="11"/>
  <c r="S139" i="11" s="1"/>
  <c r="S138" i="11"/>
  <c r="M138" i="11"/>
  <c r="L138" i="11"/>
  <c r="K138" i="11"/>
  <c r="J138" i="11"/>
  <c r="I138" i="11"/>
  <c r="H138" i="11"/>
  <c r="G138" i="11"/>
  <c r="F138" i="11"/>
  <c r="Q138" i="11" s="1"/>
  <c r="E138" i="11"/>
  <c r="P138" i="11" s="1"/>
  <c r="D138" i="11"/>
  <c r="C138" i="11"/>
  <c r="B138" i="11"/>
  <c r="T138" i="11" s="1"/>
  <c r="A138" i="11"/>
  <c r="T137" i="11"/>
  <c r="Q137" i="11"/>
  <c r="P137" i="11"/>
  <c r="M137" i="11"/>
  <c r="L137" i="11"/>
  <c r="K137" i="11"/>
  <c r="J137" i="11"/>
  <c r="I137" i="11"/>
  <c r="H137" i="11"/>
  <c r="G137" i="11"/>
  <c r="F137" i="11"/>
  <c r="E137" i="11"/>
  <c r="D137" i="11"/>
  <c r="C137" i="11"/>
  <c r="B137" i="11"/>
  <c r="A137" i="11"/>
  <c r="S137" i="11" s="1"/>
  <c r="S136" i="11"/>
  <c r="M136" i="11"/>
  <c r="L136" i="11"/>
  <c r="K136" i="11"/>
  <c r="J136" i="11"/>
  <c r="I136" i="11"/>
  <c r="H136" i="11"/>
  <c r="G136" i="11"/>
  <c r="F136" i="11"/>
  <c r="Q136" i="11" s="1"/>
  <c r="E136" i="11"/>
  <c r="P136" i="11" s="1"/>
  <c r="D136" i="11"/>
  <c r="C136" i="11"/>
  <c r="B136" i="11"/>
  <c r="T136" i="11" s="1"/>
  <c r="A136" i="11"/>
  <c r="T135" i="11"/>
  <c r="Q135" i="11"/>
  <c r="M135" i="11"/>
  <c r="L135" i="11"/>
  <c r="K135" i="11"/>
  <c r="J135" i="11"/>
  <c r="I135" i="11"/>
  <c r="H135" i="11"/>
  <c r="G135" i="11"/>
  <c r="F135" i="11"/>
  <c r="E135" i="11"/>
  <c r="P135" i="11" s="1"/>
  <c r="D135" i="11"/>
  <c r="C135" i="11"/>
  <c r="B135" i="11"/>
  <c r="A135" i="11"/>
  <c r="S135" i="11" s="1"/>
  <c r="S134" i="11"/>
  <c r="M134" i="11"/>
  <c r="L134" i="11"/>
  <c r="K134" i="11"/>
  <c r="J134" i="11"/>
  <c r="I134" i="11"/>
  <c r="H134" i="11"/>
  <c r="G134" i="11"/>
  <c r="F134" i="11"/>
  <c r="Q134" i="11" s="1"/>
  <c r="E134" i="11"/>
  <c r="P134" i="11" s="1"/>
  <c r="D134" i="11"/>
  <c r="C134" i="11"/>
  <c r="B134" i="11"/>
  <c r="T134" i="11" s="1"/>
  <c r="A134" i="11"/>
  <c r="T133" i="11"/>
  <c r="Q133" i="11"/>
  <c r="P133" i="11"/>
  <c r="M133" i="11"/>
  <c r="L133" i="11"/>
  <c r="K133" i="11"/>
  <c r="J133" i="11"/>
  <c r="I133" i="11"/>
  <c r="H133" i="11"/>
  <c r="G133" i="11"/>
  <c r="F133" i="11"/>
  <c r="E133" i="11"/>
  <c r="D133" i="11"/>
  <c r="C133" i="11"/>
  <c r="B133" i="11"/>
  <c r="A133" i="11"/>
  <c r="S133" i="11" s="1"/>
  <c r="S132" i="11"/>
  <c r="M132" i="11"/>
  <c r="L132" i="11"/>
  <c r="K132" i="11"/>
  <c r="J132" i="11"/>
  <c r="I132" i="11"/>
  <c r="H132" i="11"/>
  <c r="G132" i="11"/>
  <c r="F132" i="11"/>
  <c r="Q132" i="11" s="1"/>
  <c r="E132" i="11"/>
  <c r="P132" i="11" s="1"/>
  <c r="D132" i="11"/>
  <c r="C132" i="11"/>
  <c r="B132" i="11"/>
  <c r="T132" i="11" s="1"/>
  <c r="A132" i="11"/>
  <c r="T131" i="11"/>
  <c r="Q131" i="11"/>
  <c r="P131" i="11"/>
  <c r="M131" i="11"/>
  <c r="L131" i="11"/>
  <c r="K131" i="11"/>
  <c r="J131" i="11"/>
  <c r="I131" i="11"/>
  <c r="H131" i="11"/>
  <c r="G131" i="11"/>
  <c r="F131" i="11"/>
  <c r="E131" i="11"/>
  <c r="D131" i="11"/>
  <c r="C131" i="11"/>
  <c r="B131" i="11"/>
  <c r="A131" i="11"/>
  <c r="S131" i="11" s="1"/>
  <c r="S130" i="11"/>
  <c r="M130" i="11"/>
  <c r="L130" i="11"/>
  <c r="K130" i="11"/>
  <c r="J130" i="11"/>
  <c r="I130" i="11"/>
  <c r="H130" i="11"/>
  <c r="G130" i="11"/>
  <c r="F130" i="11"/>
  <c r="Q130" i="11" s="1"/>
  <c r="E130" i="11"/>
  <c r="P130" i="11" s="1"/>
  <c r="D130" i="11"/>
  <c r="C130" i="11"/>
  <c r="B130" i="11"/>
  <c r="T130" i="11" s="1"/>
  <c r="A130" i="11"/>
  <c r="T129" i="11"/>
  <c r="Q129" i="11"/>
  <c r="P129" i="11"/>
  <c r="M129" i="11"/>
  <c r="L129" i="11"/>
  <c r="K129" i="11"/>
  <c r="J129" i="11"/>
  <c r="I129" i="11"/>
  <c r="H129" i="11"/>
  <c r="G129" i="11"/>
  <c r="F129" i="11"/>
  <c r="E129" i="11"/>
  <c r="D129" i="11"/>
  <c r="C129" i="11"/>
  <c r="B129" i="11"/>
  <c r="A129" i="11"/>
  <c r="S129" i="11" s="1"/>
  <c r="S128" i="11"/>
  <c r="M128" i="11"/>
  <c r="L128" i="11"/>
  <c r="K128" i="11"/>
  <c r="J128" i="11"/>
  <c r="I128" i="11"/>
  <c r="H128" i="11"/>
  <c r="G128" i="11"/>
  <c r="F128" i="11"/>
  <c r="Q128" i="11" s="1"/>
  <c r="E128" i="11"/>
  <c r="P128" i="11" s="1"/>
  <c r="D128" i="11"/>
  <c r="C128" i="11"/>
  <c r="B128" i="11"/>
  <c r="T128" i="11" s="1"/>
  <c r="A128" i="11"/>
  <c r="T127" i="11"/>
  <c r="Q127" i="11"/>
  <c r="M127" i="11"/>
  <c r="L127" i="11"/>
  <c r="K127" i="11"/>
  <c r="J127" i="11"/>
  <c r="I127" i="11"/>
  <c r="H127" i="11"/>
  <c r="G127" i="11"/>
  <c r="F127" i="11"/>
  <c r="E127" i="11"/>
  <c r="P127" i="11" s="1"/>
  <c r="D127" i="11"/>
  <c r="C127" i="11"/>
  <c r="B127" i="11"/>
  <c r="A127" i="11"/>
  <c r="S127" i="11" s="1"/>
  <c r="S126" i="11"/>
  <c r="M126" i="11"/>
  <c r="L126" i="11"/>
  <c r="K126" i="11"/>
  <c r="J126" i="11"/>
  <c r="I126" i="11"/>
  <c r="H126" i="11"/>
  <c r="G126" i="11"/>
  <c r="F126" i="11"/>
  <c r="Q126" i="11" s="1"/>
  <c r="E126" i="11"/>
  <c r="P126" i="11" s="1"/>
  <c r="D126" i="11"/>
  <c r="C126" i="11"/>
  <c r="B126" i="11"/>
  <c r="T126" i="11" s="1"/>
  <c r="A126" i="11"/>
  <c r="T125" i="11"/>
  <c r="Q125" i="11"/>
  <c r="P125" i="11"/>
  <c r="M125" i="11"/>
  <c r="L125" i="11"/>
  <c r="K125" i="11"/>
  <c r="J125" i="11"/>
  <c r="I125" i="11"/>
  <c r="H125" i="11"/>
  <c r="G125" i="11"/>
  <c r="F125" i="11"/>
  <c r="E125" i="11"/>
  <c r="D125" i="11"/>
  <c r="C125" i="11"/>
  <c r="B125" i="11"/>
  <c r="A125" i="11"/>
  <c r="S125" i="11" s="1"/>
  <c r="S124" i="11"/>
  <c r="M124" i="11"/>
  <c r="L124" i="11"/>
  <c r="K124" i="11"/>
  <c r="J124" i="11"/>
  <c r="I124" i="11"/>
  <c r="H124" i="11"/>
  <c r="G124" i="11"/>
  <c r="F124" i="11"/>
  <c r="Q124" i="11" s="1"/>
  <c r="E124" i="11"/>
  <c r="P124" i="11" s="1"/>
  <c r="D124" i="11"/>
  <c r="C124" i="11"/>
  <c r="B124" i="11"/>
  <c r="T124" i="11" s="1"/>
  <c r="A124" i="11"/>
  <c r="T123" i="11"/>
  <c r="Q123" i="11"/>
  <c r="P123" i="11"/>
  <c r="M123" i="11"/>
  <c r="L123" i="11"/>
  <c r="K123" i="11"/>
  <c r="J123" i="11"/>
  <c r="I123" i="11"/>
  <c r="H123" i="11"/>
  <c r="G123" i="11"/>
  <c r="F123" i="11"/>
  <c r="E123" i="11"/>
  <c r="D123" i="11"/>
  <c r="C123" i="11"/>
  <c r="B123" i="11"/>
  <c r="A123" i="11"/>
  <c r="S123" i="11" s="1"/>
  <c r="S122" i="11"/>
  <c r="M122" i="11"/>
  <c r="L122" i="11"/>
  <c r="K122" i="11"/>
  <c r="J122" i="11"/>
  <c r="I122" i="11"/>
  <c r="H122" i="11"/>
  <c r="G122" i="11"/>
  <c r="F122" i="11"/>
  <c r="Q122" i="11" s="1"/>
  <c r="E122" i="11"/>
  <c r="P122" i="11" s="1"/>
  <c r="D122" i="11"/>
  <c r="C122" i="11"/>
  <c r="B122" i="11"/>
  <c r="T122" i="11" s="1"/>
  <c r="A122" i="11"/>
  <c r="T121" i="11"/>
  <c r="Q121" i="11"/>
  <c r="P121" i="11"/>
  <c r="M121" i="11"/>
  <c r="L121" i="11"/>
  <c r="K121" i="11"/>
  <c r="J121" i="11"/>
  <c r="I121" i="11"/>
  <c r="H121" i="11"/>
  <c r="G121" i="11"/>
  <c r="F121" i="11"/>
  <c r="E121" i="11"/>
  <c r="D121" i="11"/>
  <c r="C121" i="11"/>
  <c r="B121" i="11"/>
  <c r="A121" i="11"/>
  <c r="S121" i="11" s="1"/>
  <c r="S120" i="11"/>
  <c r="M120" i="11"/>
  <c r="L120" i="11"/>
  <c r="K120" i="11"/>
  <c r="J120" i="11"/>
  <c r="I120" i="11"/>
  <c r="H120" i="11"/>
  <c r="G120" i="11"/>
  <c r="F120" i="11"/>
  <c r="Q120" i="11" s="1"/>
  <c r="E120" i="11"/>
  <c r="P120" i="11" s="1"/>
  <c r="D120" i="11"/>
  <c r="C120" i="11"/>
  <c r="B120" i="11"/>
  <c r="T120" i="11" s="1"/>
  <c r="A120" i="11"/>
  <c r="T119" i="11"/>
  <c r="Q119" i="11"/>
  <c r="M119" i="11"/>
  <c r="L119" i="11"/>
  <c r="K119" i="11"/>
  <c r="J119" i="11"/>
  <c r="I119" i="11"/>
  <c r="H119" i="11"/>
  <c r="G119" i="11"/>
  <c r="F119" i="11"/>
  <c r="E119" i="11"/>
  <c r="P119" i="11" s="1"/>
  <c r="D119" i="11"/>
  <c r="C119" i="11"/>
  <c r="B119" i="11"/>
  <c r="A119" i="11"/>
  <c r="S119" i="11" s="1"/>
  <c r="S118" i="11"/>
  <c r="M118" i="11"/>
  <c r="L118" i="11"/>
  <c r="K118" i="11"/>
  <c r="J118" i="11"/>
  <c r="I118" i="11"/>
  <c r="H118" i="11"/>
  <c r="G118" i="11"/>
  <c r="F118" i="11"/>
  <c r="Q118" i="11" s="1"/>
  <c r="E118" i="11"/>
  <c r="P118" i="11" s="1"/>
  <c r="D118" i="11"/>
  <c r="C118" i="11"/>
  <c r="B118" i="11"/>
  <c r="T118" i="11" s="1"/>
  <c r="A118" i="11"/>
  <c r="T117" i="11"/>
  <c r="Q117" i="11"/>
  <c r="P117" i="11"/>
  <c r="M117" i="11"/>
  <c r="L117" i="11"/>
  <c r="K117" i="11"/>
  <c r="J117" i="11"/>
  <c r="I117" i="11"/>
  <c r="H117" i="11"/>
  <c r="G117" i="11"/>
  <c r="F117" i="11"/>
  <c r="E117" i="11"/>
  <c r="D117" i="11"/>
  <c r="C117" i="11"/>
  <c r="B117" i="11"/>
  <c r="A117" i="11"/>
  <c r="S117" i="11" s="1"/>
  <c r="S116" i="11"/>
  <c r="M116" i="11"/>
  <c r="L116" i="11"/>
  <c r="K116" i="11"/>
  <c r="J116" i="11"/>
  <c r="I116" i="11"/>
  <c r="H116" i="11"/>
  <c r="G116" i="11"/>
  <c r="F116" i="11"/>
  <c r="Q116" i="11" s="1"/>
  <c r="E116" i="11"/>
  <c r="P116" i="11" s="1"/>
  <c r="D116" i="11"/>
  <c r="C116" i="11"/>
  <c r="B116" i="11"/>
  <c r="T116" i="11" s="1"/>
  <c r="A116" i="11"/>
  <c r="T115" i="11"/>
  <c r="Q115" i="11"/>
  <c r="P115" i="11"/>
  <c r="M115" i="11"/>
  <c r="L115" i="11"/>
  <c r="K115" i="11"/>
  <c r="J115" i="11"/>
  <c r="I115" i="11"/>
  <c r="H115" i="11"/>
  <c r="G115" i="11"/>
  <c r="F115" i="11"/>
  <c r="E115" i="11"/>
  <c r="D115" i="11"/>
  <c r="C115" i="11"/>
  <c r="B115" i="11"/>
  <c r="A115" i="11"/>
  <c r="S115" i="11" s="1"/>
  <c r="S114" i="11"/>
  <c r="M114" i="11"/>
  <c r="L114" i="11"/>
  <c r="K114" i="11"/>
  <c r="J114" i="11"/>
  <c r="I114" i="11"/>
  <c r="H114" i="11"/>
  <c r="G114" i="11"/>
  <c r="F114" i="11"/>
  <c r="Q114" i="11" s="1"/>
  <c r="E114" i="11"/>
  <c r="P114" i="11" s="1"/>
  <c r="D114" i="11"/>
  <c r="C114" i="11"/>
  <c r="B114" i="11"/>
  <c r="T114" i="11" s="1"/>
  <c r="A114" i="11"/>
  <c r="T113" i="11"/>
  <c r="Q113" i="11"/>
  <c r="P113" i="11"/>
  <c r="M113" i="11"/>
  <c r="L113" i="11"/>
  <c r="K113" i="11"/>
  <c r="J113" i="11"/>
  <c r="I113" i="11"/>
  <c r="H113" i="11"/>
  <c r="G113" i="11"/>
  <c r="F113" i="11"/>
  <c r="E113" i="11"/>
  <c r="D113" i="11"/>
  <c r="C113" i="11"/>
  <c r="B113" i="11"/>
  <c r="A113" i="11"/>
  <c r="S113" i="11" s="1"/>
  <c r="S112" i="11"/>
  <c r="M112" i="11"/>
  <c r="L112" i="11"/>
  <c r="K112" i="11"/>
  <c r="J112" i="11"/>
  <c r="I112" i="11"/>
  <c r="H112" i="11"/>
  <c r="G112" i="11"/>
  <c r="F112" i="11"/>
  <c r="Q112" i="11" s="1"/>
  <c r="E112" i="11"/>
  <c r="P112" i="11" s="1"/>
  <c r="D112" i="11"/>
  <c r="C112" i="11"/>
  <c r="B112" i="11"/>
  <c r="T112" i="11" s="1"/>
  <c r="A112" i="11"/>
  <c r="T111" i="11"/>
  <c r="Q111" i="11"/>
  <c r="M111" i="11"/>
  <c r="L111" i="11"/>
  <c r="K111" i="11"/>
  <c r="J111" i="11"/>
  <c r="I111" i="11"/>
  <c r="H111" i="11"/>
  <c r="G111" i="11"/>
  <c r="F111" i="11"/>
  <c r="E111" i="11"/>
  <c r="P111" i="11" s="1"/>
  <c r="D111" i="11"/>
  <c r="C111" i="11"/>
  <c r="B111" i="11"/>
  <c r="A111" i="11"/>
  <c r="S111" i="11" s="1"/>
  <c r="S110" i="11"/>
  <c r="M110" i="11"/>
  <c r="L110" i="11"/>
  <c r="K110" i="11"/>
  <c r="J110" i="11"/>
  <c r="I110" i="11"/>
  <c r="H110" i="11"/>
  <c r="G110" i="11"/>
  <c r="F110" i="11"/>
  <c r="Q110" i="11" s="1"/>
  <c r="E110" i="11"/>
  <c r="P110" i="11" s="1"/>
  <c r="D110" i="11"/>
  <c r="C110" i="11"/>
  <c r="B110" i="11"/>
  <c r="T110" i="11" s="1"/>
  <c r="A110" i="11"/>
  <c r="T109" i="11"/>
  <c r="Q109" i="11"/>
  <c r="P109" i="11"/>
  <c r="M109" i="11"/>
  <c r="L109" i="11"/>
  <c r="K109" i="11"/>
  <c r="J109" i="11"/>
  <c r="I109" i="11"/>
  <c r="H109" i="11"/>
  <c r="G109" i="11"/>
  <c r="F109" i="11"/>
  <c r="E109" i="11"/>
  <c r="D109" i="11"/>
  <c r="C109" i="11"/>
  <c r="B109" i="11"/>
  <c r="A109" i="11"/>
  <c r="S109" i="11" s="1"/>
  <c r="S108" i="11"/>
  <c r="M108" i="11"/>
  <c r="L108" i="11"/>
  <c r="K108" i="11"/>
  <c r="J108" i="11"/>
  <c r="I108" i="11"/>
  <c r="H108" i="11"/>
  <c r="G108" i="11"/>
  <c r="F108" i="11"/>
  <c r="Q108" i="11" s="1"/>
  <c r="E108" i="11"/>
  <c r="P108" i="11" s="1"/>
  <c r="D108" i="11"/>
  <c r="C108" i="11"/>
  <c r="B108" i="11"/>
  <c r="T108" i="11" s="1"/>
  <c r="A108" i="11"/>
  <c r="T107" i="11"/>
  <c r="Q107" i="11"/>
  <c r="P107" i="11"/>
  <c r="M107" i="11"/>
  <c r="L107" i="11"/>
  <c r="K107" i="11"/>
  <c r="J107" i="11"/>
  <c r="I107" i="11"/>
  <c r="H107" i="11"/>
  <c r="G107" i="11"/>
  <c r="F107" i="11"/>
  <c r="E107" i="11"/>
  <c r="D107" i="11"/>
  <c r="C107" i="11"/>
  <c r="B107" i="11"/>
  <c r="A107" i="11"/>
  <c r="S107" i="11" s="1"/>
  <c r="S106" i="11"/>
  <c r="M106" i="11"/>
  <c r="L106" i="11"/>
  <c r="K106" i="11"/>
  <c r="J106" i="11"/>
  <c r="I106" i="11"/>
  <c r="H106" i="11"/>
  <c r="G106" i="11"/>
  <c r="F106" i="11"/>
  <c r="Q106" i="11" s="1"/>
  <c r="E106" i="11"/>
  <c r="P106" i="11" s="1"/>
  <c r="D106" i="11"/>
  <c r="C106" i="11"/>
  <c r="B106" i="11"/>
  <c r="T106" i="11" s="1"/>
  <c r="A106" i="11"/>
  <c r="T105" i="11"/>
  <c r="Q105" i="11"/>
  <c r="P105" i="11"/>
  <c r="M105" i="11"/>
  <c r="L105" i="11"/>
  <c r="K105" i="11"/>
  <c r="J105" i="11"/>
  <c r="I105" i="11"/>
  <c r="H105" i="11"/>
  <c r="G105" i="11"/>
  <c r="F105" i="11"/>
  <c r="E105" i="11"/>
  <c r="D105" i="11"/>
  <c r="C105" i="11"/>
  <c r="B105" i="11"/>
  <c r="A105" i="11"/>
  <c r="S105" i="11" s="1"/>
  <c r="S104" i="11"/>
  <c r="M104" i="11"/>
  <c r="L104" i="11"/>
  <c r="K104" i="11"/>
  <c r="J104" i="11"/>
  <c r="I104" i="11"/>
  <c r="H104" i="11"/>
  <c r="G104" i="11"/>
  <c r="F104" i="11"/>
  <c r="Q104" i="11" s="1"/>
  <c r="E104" i="11"/>
  <c r="P104" i="11" s="1"/>
  <c r="D104" i="11"/>
  <c r="C104" i="11"/>
  <c r="B104" i="11"/>
  <c r="T104" i="11" s="1"/>
  <c r="A104" i="11"/>
  <c r="T103" i="11"/>
  <c r="Q103" i="11"/>
  <c r="M103" i="11"/>
  <c r="L103" i="11"/>
  <c r="K103" i="11"/>
  <c r="J103" i="11"/>
  <c r="I103" i="11"/>
  <c r="H103" i="11"/>
  <c r="G103" i="11"/>
  <c r="F103" i="11"/>
  <c r="E103" i="11"/>
  <c r="P103" i="11" s="1"/>
  <c r="D103" i="11"/>
  <c r="C103" i="11"/>
  <c r="B103" i="11"/>
  <c r="A103" i="11"/>
  <c r="S103" i="11" s="1"/>
  <c r="S102" i="11"/>
  <c r="M102" i="11"/>
  <c r="L102" i="11"/>
  <c r="K102" i="11"/>
  <c r="J102" i="11"/>
  <c r="I102" i="11"/>
  <c r="H102" i="11"/>
  <c r="G102" i="11"/>
  <c r="F102" i="11"/>
  <c r="Q102" i="11" s="1"/>
  <c r="E102" i="11"/>
  <c r="P102" i="11" s="1"/>
  <c r="D102" i="11"/>
  <c r="C102" i="11"/>
  <c r="B102" i="11"/>
  <c r="T102" i="11" s="1"/>
  <c r="A102" i="11"/>
  <c r="T101" i="11"/>
  <c r="Q101" i="11"/>
  <c r="P101" i="11"/>
  <c r="M101" i="11"/>
  <c r="L101" i="11"/>
  <c r="K101" i="11"/>
  <c r="J101" i="11"/>
  <c r="I101" i="11"/>
  <c r="H101" i="11"/>
  <c r="G101" i="11"/>
  <c r="F101" i="11"/>
  <c r="E101" i="11"/>
  <c r="D101" i="11"/>
  <c r="C101" i="11"/>
  <c r="B101" i="11"/>
  <c r="A101" i="11"/>
  <c r="S101" i="11" s="1"/>
  <c r="S100" i="11"/>
  <c r="M100" i="11"/>
  <c r="L100" i="11"/>
  <c r="K100" i="11"/>
  <c r="J100" i="11"/>
  <c r="I100" i="11"/>
  <c r="H100" i="11"/>
  <c r="G100" i="11"/>
  <c r="F100" i="11"/>
  <c r="Q100" i="11" s="1"/>
  <c r="E100" i="11"/>
  <c r="P100" i="11" s="1"/>
  <c r="D100" i="11"/>
  <c r="C100" i="11"/>
  <c r="B100" i="11"/>
  <c r="T100" i="11" s="1"/>
  <c r="A100" i="11"/>
  <c r="T99" i="11"/>
  <c r="Q99" i="11"/>
  <c r="P99" i="11"/>
  <c r="M99" i="11"/>
  <c r="L99" i="11"/>
  <c r="K99" i="11"/>
  <c r="J99" i="11"/>
  <c r="I99" i="11"/>
  <c r="H99" i="11"/>
  <c r="G99" i="11"/>
  <c r="F99" i="11"/>
  <c r="E99" i="11"/>
  <c r="D99" i="11"/>
  <c r="C99" i="11"/>
  <c r="B99" i="11"/>
  <c r="A99" i="11"/>
  <c r="S99" i="11" s="1"/>
  <c r="S98" i="11"/>
  <c r="M98" i="11"/>
  <c r="L98" i="11"/>
  <c r="K98" i="11"/>
  <c r="J98" i="11"/>
  <c r="I98" i="11"/>
  <c r="H98" i="11"/>
  <c r="G98" i="11"/>
  <c r="F98" i="11"/>
  <c r="Q98" i="11" s="1"/>
  <c r="E98" i="11"/>
  <c r="P98" i="11" s="1"/>
  <c r="D98" i="11"/>
  <c r="C98" i="11"/>
  <c r="B98" i="11"/>
  <c r="T98" i="11" s="1"/>
  <c r="A98" i="11"/>
  <c r="T97" i="11"/>
  <c r="Q97" i="11"/>
  <c r="P97" i="11"/>
  <c r="M97" i="11"/>
  <c r="L97" i="11"/>
  <c r="K97" i="11"/>
  <c r="J97" i="11"/>
  <c r="I97" i="11"/>
  <c r="H97" i="11"/>
  <c r="G97" i="11"/>
  <c r="F97" i="11"/>
  <c r="E97" i="11"/>
  <c r="D97" i="11"/>
  <c r="C97" i="11"/>
  <c r="B97" i="11"/>
  <c r="A97" i="11"/>
  <c r="S97" i="11" s="1"/>
  <c r="S96" i="11"/>
  <c r="M96" i="11"/>
  <c r="L96" i="11"/>
  <c r="K96" i="11"/>
  <c r="J96" i="11"/>
  <c r="I96" i="11"/>
  <c r="H96" i="11"/>
  <c r="G96" i="11"/>
  <c r="F96" i="11"/>
  <c r="Q96" i="11" s="1"/>
  <c r="E96" i="11"/>
  <c r="P96" i="11" s="1"/>
  <c r="D96" i="11"/>
  <c r="C96" i="11"/>
  <c r="B96" i="11"/>
  <c r="T96" i="11" s="1"/>
  <c r="A96" i="11"/>
  <c r="T95" i="11"/>
  <c r="Q95" i="11"/>
  <c r="M95" i="11"/>
  <c r="L95" i="11"/>
  <c r="K95" i="11"/>
  <c r="J95" i="11"/>
  <c r="I95" i="11"/>
  <c r="H95" i="11"/>
  <c r="G95" i="11"/>
  <c r="F95" i="11"/>
  <c r="E95" i="11"/>
  <c r="P95" i="11" s="1"/>
  <c r="D95" i="11"/>
  <c r="C95" i="11"/>
  <c r="B95" i="11"/>
  <c r="A95" i="11"/>
  <c r="S95" i="11" s="1"/>
  <c r="S94" i="11"/>
  <c r="M94" i="11"/>
  <c r="L94" i="11"/>
  <c r="K94" i="11"/>
  <c r="J94" i="11"/>
  <c r="I94" i="11"/>
  <c r="H94" i="11"/>
  <c r="G94" i="11"/>
  <c r="F94" i="11"/>
  <c r="Q94" i="11" s="1"/>
  <c r="E94" i="11"/>
  <c r="P94" i="11" s="1"/>
  <c r="D94" i="11"/>
  <c r="C94" i="11"/>
  <c r="B94" i="11"/>
  <c r="T94" i="11" s="1"/>
  <c r="A94" i="11"/>
  <c r="T93" i="11"/>
  <c r="Q93" i="11"/>
  <c r="P93" i="11"/>
  <c r="M93" i="11"/>
  <c r="L93" i="11"/>
  <c r="K93" i="11"/>
  <c r="J93" i="11"/>
  <c r="I93" i="11"/>
  <c r="H93" i="11"/>
  <c r="G93" i="11"/>
  <c r="F93" i="11"/>
  <c r="E93" i="11"/>
  <c r="D93" i="11"/>
  <c r="C93" i="11"/>
  <c r="B93" i="11"/>
  <c r="A93" i="11"/>
  <c r="S93" i="11" s="1"/>
  <c r="S92" i="11"/>
  <c r="M92" i="11"/>
  <c r="L92" i="11"/>
  <c r="K92" i="11"/>
  <c r="J92" i="11"/>
  <c r="I92" i="11"/>
  <c r="H92" i="11"/>
  <c r="G92" i="11"/>
  <c r="F92" i="11"/>
  <c r="Q92" i="11" s="1"/>
  <c r="E92" i="11"/>
  <c r="P92" i="11" s="1"/>
  <c r="D92" i="11"/>
  <c r="C92" i="11"/>
  <c r="B92" i="11"/>
  <c r="T92" i="11" s="1"/>
  <c r="A92" i="11"/>
  <c r="T91" i="11"/>
  <c r="Q91" i="11"/>
  <c r="P91" i="11"/>
  <c r="M91" i="11"/>
  <c r="L91" i="11"/>
  <c r="K91" i="11"/>
  <c r="J91" i="11"/>
  <c r="I91" i="11"/>
  <c r="H91" i="11"/>
  <c r="G91" i="11"/>
  <c r="F91" i="11"/>
  <c r="E91" i="11"/>
  <c r="D91" i="11"/>
  <c r="C91" i="11"/>
  <c r="B91" i="11"/>
  <c r="A91" i="11"/>
  <c r="S91" i="11" s="1"/>
  <c r="S90" i="11"/>
  <c r="M90" i="11"/>
  <c r="L90" i="11"/>
  <c r="K90" i="11"/>
  <c r="J90" i="11"/>
  <c r="I90" i="11"/>
  <c r="H90" i="11"/>
  <c r="G90" i="11"/>
  <c r="F90" i="11"/>
  <c r="Q90" i="11" s="1"/>
  <c r="E90" i="11"/>
  <c r="P90" i="11" s="1"/>
  <c r="D90" i="11"/>
  <c r="C90" i="11"/>
  <c r="B90" i="11"/>
  <c r="T90" i="11" s="1"/>
  <c r="A90" i="11"/>
  <c r="T89" i="11"/>
  <c r="Q89" i="11"/>
  <c r="M89" i="11"/>
  <c r="L89" i="11"/>
  <c r="K89" i="11"/>
  <c r="J89" i="11"/>
  <c r="I89" i="11"/>
  <c r="H89" i="11"/>
  <c r="G89" i="11"/>
  <c r="F89" i="11"/>
  <c r="E89" i="11"/>
  <c r="P89" i="11" s="1"/>
  <c r="D89" i="11"/>
  <c r="C89" i="11"/>
  <c r="B89" i="11"/>
  <c r="A89" i="11"/>
  <c r="S89" i="11" s="1"/>
  <c r="S88" i="11"/>
  <c r="M88" i="11"/>
  <c r="L88" i="11"/>
  <c r="K88" i="11"/>
  <c r="J88" i="11"/>
  <c r="I88" i="11"/>
  <c r="H88" i="11"/>
  <c r="G88" i="11"/>
  <c r="F88" i="11"/>
  <c r="Q88" i="11" s="1"/>
  <c r="E88" i="11"/>
  <c r="P88" i="11" s="1"/>
  <c r="D88" i="11"/>
  <c r="C88" i="11"/>
  <c r="B88" i="11"/>
  <c r="T88" i="11" s="1"/>
  <c r="A88" i="11"/>
  <c r="T87" i="11"/>
  <c r="Q87" i="11"/>
  <c r="M87" i="11"/>
  <c r="L87" i="11"/>
  <c r="K87" i="11"/>
  <c r="J87" i="11"/>
  <c r="I87" i="11"/>
  <c r="H87" i="11"/>
  <c r="G87" i="11"/>
  <c r="F87" i="11"/>
  <c r="E87" i="11"/>
  <c r="P87" i="11" s="1"/>
  <c r="D87" i="11"/>
  <c r="C87" i="11"/>
  <c r="B87" i="11"/>
  <c r="A87" i="11"/>
  <c r="S87" i="11" s="1"/>
  <c r="Q86" i="11"/>
  <c r="M86" i="11"/>
  <c r="L86" i="11"/>
  <c r="K86" i="11"/>
  <c r="J86" i="11"/>
  <c r="I86" i="11"/>
  <c r="H86" i="11"/>
  <c r="G86" i="11"/>
  <c r="F86" i="11"/>
  <c r="E86" i="11"/>
  <c r="P86" i="11" s="1"/>
  <c r="D86" i="11"/>
  <c r="C86" i="11"/>
  <c r="B86" i="11"/>
  <c r="T86" i="11" s="1"/>
  <c r="A86" i="11"/>
  <c r="S86" i="11" s="1"/>
  <c r="T85" i="11"/>
  <c r="Q85" i="11"/>
  <c r="P85" i="11"/>
  <c r="M85" i="11"/>
  <c r="L85" i="11"/>
  <c r="K85" i="11"/>
  <c r="J85" i="11"/>
  <c r="I85" i="11"/>
  <c r="H85" i="11"/>
  <c r="G85" i="11"/>
  <c r="F85" i="11"/>
  <c r="E85" i="11"/>
  <c r="D85" i="11"/>
  <c r="C85" i="11"/>
  <c r="B85" i="11"/>
  <c r="A85" i="11"/>
  <c r="S85" i="11" s="1"/>
  <c r="V84" i="11"/>
  <c r="Q84" i="11"/>
  <c r="M84" i="11"/>
  <c r="L84" i="11"/>
  <c r="K84" i="11"/>
  <c r="J84" i="11"/>
  <c r="I84" i="11"/>
  <c r="H84" i="11"/>
  <c r="G84" i="11"/>
  <c r="F84" i="11"/>
  <c r="E84" i="11"/>
  <c r="P84" i="11" s="1"/>
  <c r="D84" i="11"/>
  <c r="C84" i="11"/>
  <c r="B84" i="11"/>
  <c r="T84" i="11" s="1"/>
  <c r="A84" i="11"/>
  <c r="S84" i="11" s="1"/>
  <c r="T83" i="11"/>
  <c r="Q83" i="11"/>
  <c r="P83" i="11"/>
  <c r="M83" i="11"/>
  <c r="L83" i="11"/>
  <c r="K83" i="11"/>
  <c r="J83" i="11"/>
  <c r="I83" i="11"/>
  <c r="H83" i="11"/>
  <c r="G83" i="11"/>
  <c r="F83" i="11"/>
  <c r="E83" i="11"/>
  <c r="D83" i="11"/>
  <c r="C83" i="11"/>
  <c r="B83" i="11"/>
  <c r="A83" i="11"/>
  <c r="S83" i="11" s="1"/>
  <c r="S82" i="11"/>
  <c r="M82" i="11"/>
  <c r="L82" i="11"/>
  <c r="K82" i="11"/>
  <c r="J82" i="11"/>
  <c r="I82" i="11"/>
  <c r="H82" i="11"/>
  <c r="G82" i="11"/>
  <c r="F82" i="11"/>
  <c r="Q82" i="11" s="1"/>
  <c r="E82" i="11"/>
  <c r="P82" i="11" s="1"/>
  <c r="D82" i="11"/>
  <c r="C82" i="11"/>
  <c r="B82" i="11"/>
  <c r="T82" i="11" s="1"/>
  <c r="A82" i="11"/>
  <c r="T81" i="11"/>
  <c r="Q81" i="11"/>
  <c r="M81" i="11"/>
  <c r="L81" i="11"/>
  <c r="K81" i="11"/>
  <c r="J81" i="11"/>
  <c r="I81" i="11"/>
  <c r="H81" i="11"/>
  <c r="G81" i="11"/>
  <c r="F81" i="11"/>
  <c r="E81" i="11"/>
  <c r="P81" i="11" s="1"/>
  <c r="D81" i="11"/>
  <c r="C81" i="11"/>
  <c r="B81" i="11"/>
  <c r="A81" i="11"/>
  <c r="S81" i="11" s="1"/>
  <c r="S80" i="11"/>
  <c r="M80" i="11"/>
  <c r="L80" i="11"/>
  <c r="K80" i="11"/>
  <c r="J80" i="11"/>
  <c r="I80" i="11"/>
  <c r="H80" i="11"/>
  <c r="G80" i="11"/>
  <c r="F80" i="11"/>
  <c r="Q80" i="11" s="1"/>
  <c r="E80" i="11"/>
  <c r="P80" i="11" s="1"/>
  <c r="D80" i="11"/>
  <c r="C80" i="11"/>
  <c r="B80" i="11"/>
  <c r="T80" i="11" s="1"/>
  <c r="A80" i="11"/>
  <c r="T79" i="11"/>
  <c r="Q79" i="11"/>
  <c r="M79" i="11"/>
  <c r="L79" i="11"/>
  <c r="K79" i="11"/>
  <c r="J79" i="11"/>
  <c r="I79" i="11"/>
  <c r="H79" i="11"/>
  <c r="G79" i="11"/>
  <c r="F79" i="11"/>
  <c r="E79" i="11"/>
  <c r="P79" i="11" s="1"/>
  <c r="D79" i="11"/>
  <c r="C79" i="11"/>
  <c r="B79" i="11"/>
  <c r="A79" i="11"/>
  <c r="S79" i="11" s="1"/>
  <c r="Q78" i="11"/>
  <c r="M78" i="11"/>
  <c r="L78" i="11"/>
  <c r="K78" i="11"/>
  <c r="J78" i="11"/>
  <c r="I78" i="11"/>
  <c r="H78" i="11"/>
  <c r="G78" i="11"/>
  <c r="F78" i="11"/>
  <c r="E78" i="11"/>
  <c r="P78" i="11" s="1"/>
  <c r="D78" i="11"/>
  <c r="C78" i="11"/>
  <c r="B78" i="11"/>
  <c r="T78" i="11" s="1"/>
  <c r="A78" i="11"/>
  <c r="S78" i="11" s="1"/>
  <c r="T77" i="11"/>
  <c r="Q77" i="11"/>
  <c r="P77" i="11"/>
  <c r="M77" i="11"/>
  <c r="L77" i="11"/>
  <c r="K77" i="11"/>
  <c r="J77" i="11"/>
  <c r="I77" i="11"/>
  <c r="H77" i="11"/>
  <c r="G77" i="11"/>
  <c r="F77" i="11"/>
  <c r="E77" i="11"/>
  <c r="D77" i="11"/>
  <c r="C77" i="11"/>
  <c r="B77" i="11"/>
  <c r="A77" i="11"/>
  <c r="S77" i="11" s="1"/>
  <c r="V76" i="11"/>
  <c r="Q76" i="11"/>
  <c r="M76" i="11"/>
  <c r="L76" i="11"/>
  <c r="K76" i="11"/>
  <c r="J76" i="11"/>
  <c r="I76" i="11"/>
  <c r="H76" i="11"/>
  <c r="G76" i="11"/>
  <c r="F76" i="11"/>
  <c r="E76" i="11"/>
  <c r="P76" i="11" s="1"/>
  <c r="D76" i="11"/>
  <c r="C76" i="11"/>
  <c r="B76" i="11"/>
  <c r="T76" i="11" s="1"/>
  <c r="A76" i="11"/>
  <c r="S76" i="11" s="1"/>
  <c r="T75" i="11"/>
  <c r="Q75" i="11"/>
  <c r="P75" i="11"/>
  <c r="M75" i="11"/>
  <c r="L75" i="11"/>
  <c r="K75" i="11"/>
  <c r="J75" i="11"/>
  <c r="I75" i="11"/>
  <c r="H75" i="11"/>
  <c r="G75" i="11"/>
  <c r="F75" i="11"/>
  <c r="E75" i="11"/>
  <c r="D75" i="11"/>
  <c r="C75" i="11"/>
  <c r="B75" i="11"/>
  <c r="A75" i="11"/>
  <c r="S75" i="11" s="1"/>
  <c r="S74" i="11"/>
  <c r="M74" i="11"/>
  <c r="L74" i="11"/>
  <c r="K74" i="11"/>
  <c r="J74" i="11"/>
  <c r="I74" i="11"/>
  <c r="H74" i="11"/>
  <c r="G74" i="11"/>
  <c r="F74" i="11"/>
  <c r="V74" i="11" s="1"/>
  <c r="E74" i="11"/>
  <c r="P74" i="11" s="1"/>
  <c r="D74" i="11"/>
  <c r="C74" i="11"/>
  <c r="B74" i="11"/>
  <c r="T74" i="11" s="1"/>
  <c r="A74" i="11"/>
  <c r="T73" i="11"/>
  <c r="Q73" i="11"/>
  <c r="M73" i="11"/>
  <c r="L73" i="11"/>
  <c r="K73" i="11"/>
  <c r="J73" i="11"/>
  <c r="I73" i="11"/>
  <c r="H73" i="11"/>
  <c r="G73" i="11"/>
  <c r="F73" i="11"/>
  <c r="E73" i="11"/>
  <c r="P73" i="11" s="1"/>
  <c r="D73" i="11"/>
  <c r="C73" i="11"/>
  <c r="B73" i="11"/>
  <c r="A73" i="11"/>
  <c r="S73" i="11" s="1"/>
  <c r="S72" i="11"/>
  <c r="M72" i="11"/>
  <c r="L72" i="11"/>
  <c r="K72" i="11"/>
  <c r="J72" i="11"/>
  <c r="I72" i="11"/>
  <c r="H72" i="11"/>
  <c r="G72" i="11"/>
  <c r="F72" i="11"/>
  <c r="Q72" i="11" s="1"/>
  <c r="E72" i="11"/>
  <c r="P72" i="11" s="1"/>
  <c r="D72" i="11"/>
  <c r="C72" i="11"/>
  <c r="B72" i="11"/>
  <c r="T72" i="11" s="1"/>
  <c r="A72" i="11"/>
  <c r="T71" i="11"/>
  <c r="Q71" i="11"/>
  <c r="M71" i="11"/>
  <c r="L71" i="11"/>
  <c r="K71" i="11"/>
  <c r="J71" i="11"/>
  <c r="I71" i="11"/>
  <c r="H71" i="11"/>
  <c r="G71" i="11"/>
  <c r="F71" i="11"/>
  <c r="E71" i="11"/>
  <c r="P71" i="11" s="1"/>
  <c r="D71" i="11"/>
  <c r="C71" i="11"/>
  <c r="B71" i="11"/>
  <c r="A71" i="11"/>
  <c r="S71" i="11" s="1"/>
  <c r="Q70" i="11"/>
  <c r="M70" i="11"/>
  <c r="L70" i="11"/>
  <c r="K70" i="11"/>
  <c r="J70" i="11"/>
  <c r="I70" i="11"/>
  <c r="H70" i="11"/>
  <c r="G70" i="11"/>
  <c r="F70" i="11"/>
  <c r="E70" i="11"/>
  <c r="P70" i="11" s="1"/>
  <c r="D70" i="11"/>
  <c r="C70" i="11"/>
  <c r="B70" i="11"/>
  <c r="T70" i="11" s="1"/>
  <c r="A70" i="11"/>
  <c r="S70" i="11" s="1"/>
  <c r="T69" i="11"/>
  <c r="Q69" i="11"/>
  <c r="P69" i="11"/>
  <c r="M69" i="11"/>
  <c r="L69" i="11"/>
  <c r="K69" i="11"/>
  <c r="J69" i="11"/>
  <c r="I69" i="11"/>
  <c r="H69" i="11"/>
  <c r="G69" i="11"/>
  <c r="F69" i="11"/>
  <c r="E69" i="11"/>
  <c r="D69" i="11"/>
  <c r="C69" i="11"/>
  <c r="B69" i="11"/>
  <c r="A69" i="11"/>
  <c r="S69" i="11" s="1"/>
  <c r="V68" i="11"/>
  <c r="Q68" i="11"/>
  <c r="M68" i="11"/>
  <c r="L68" i="11"/>
  <c r="K68" i="11"/>
  <c r="J68" i="11"/>
  <c r="I68" i="11"/>
  <c r="H68" i="11"/>
  <c r="G68" i="11"/>
  <c r="F68" i="11"/>
  <c r="E68" i="11"/>
  <c r="P68" i="11" s="1"/>
  <c r="D68" i="11"/>
  <c r="C68" i="11"/>
  <c r="B68" i="11"/>
  <c r="T68" i="11" s="1"/>
  <c r="A68" i="11"/>
  <c r="S68" i="11" s="1"/>
  <c r="T67" i="11"/>
  <c r="Q67" i="11"/>
  <c r="P67" i="11"/>
  <c r="M67" i="11"/>
  <c r="L67" i="11"/>
  <c r="K67" i="11"/>
  <c r="J67" i="11"/>
  <c r="I67" i="11"/>
  <c r="H67" i="11"/>
  <c r="G67" i="11"/>
  <c r="F67" i="11"/>
  <c r="E67" i="11"/>
  <c r="D67" i="11"/>
  <c r="C67" i="11"/>
  <c r="B67" i="11"/>
  <c r="A67" i="11"/>
  <c r="S67" i="11" s="1"/>
  <c r="S66" i="11"/>
  <c r="M66" i="11"/>
  <c r="L66" i="11"/>
  <c r="K66" i="11"/>
  <c r="J66" i="11"/>
  <c r="I66" i="11"/>
  <c r="H66" i="11"/>
  <c r="G66" i="11"/>
  <c r="F66" i="11"/>
  <c r="Q66" i="11" s="1"/>
  <c r="E66" i="11"/>
  <c r="P66" i="11" s="1"/>
  <c r="D66" i="11"/>
  <c r="C66" i="11"/>
  <c r="B66" i="11"/>
  <c r="T66" i="11" s="1"/>
  <c r="A66" i="11"/>
  <c r="T65" i="11"/>
  <c r="Q65" i="11"/>
  <c r="M65" i="11"/>
  <c r="L65" i="11"/>
  <c r="K65" i="11"/>
  <c r="J65" i="11"/>
  <c r="I65" i="11"/>
  <c r="H65" i="11"/>
  <c r="G65" i="11"/>
  <c r="F65" i="11"/>
  <c r="E65" i="11"/>
  <c r="P65" i="11" s="1"/>
  <c r="D65" i="11"/>
  <c r="C65" i="11"/>
  <c r="B65" i="11"/>
  <c r="A65" i="11"/>
  <c r="S65" i="11" s="1"/>
  <c r="S64" i="11"/>
  <c r="M64" i="11"/>
  <c r="L64" i="11"/>
  <c r="K64" i="11"/>
  <c r="J64" i="11"/>
  <c r="I64" i="11"/>
  <c r="H64" i="11"/>
  <c r="G64" i="11"/>
  <c r="F64" i="11"/>
  <c r="Q64" i="11" s="1"/>
  <c r="E64" i="11"/>
  <c r="P64" i="11" s="1"/>
  <c r="D64" i="11"/>
  <c r="C64" i="11"/>
  <c r="B64" i="11"/>
  <c r="T64" i="11" s="1"/>
  <c r="A64" i="11"/>
  <c r="T63" i="11"/>
  <c r="Q63" i="11"/>
  <c r="M63" i="11"/>
  <c r="L63" i="11"/>
  <c r="K63" i="11"/>
  <c r="J63" i="11"/>
  <c r="I63" i="11"/>
  <c r="H63" i="11"/>
  <c r="G63" i="11"/>
  <c r="F63" i="11"/>
  <c r="E63" i="11"/>
  <c r="P63" i="11" s="1"/>
  <c r="D63" i="11"/>
  <c r="C63" i="11"/>
  <c r="B63" i="11"/>
  <c r="A63" i="11"/>
  <c r="S63" i="11" s="1"/>
  <c r="Q62" i="11"/>
  <c r="M62" i="11"/>
  <c r="L62" i="11"/>
  <c r="K62" i="11"/>
  <c r="J62" i="11"/>
  <c r="I62" i="11"/>
  <c r="H62" i="11"/>
  <c r="G62" i="11"/>
  <c r="F62" i="11"/>
  <c r="E62" i="11"/>
  <c r="P62" i="11" s="1"/>
  <c r="D62" i="11"/>
  <c r="C62" i="11"/>
  <c r="B62" i="11"/>
  <c r="T62" i="11" s="1"/>
  <c r="A62" i="11"/>
  <c r="S62" i="11" s="1"/>
  <c r="T61" i="11"/>
  <c r="Q61" i="11"/>
  <c r="P61" i="11"/>
  <c r="M61" i="11"/>
  <c r="L61" i="11"/>
  <c r="K61" i="11"/>
  <c r="J61" i="11"/>
  <c r="I61" i="11"/>
  <c r="H61" i="11"/>
  <c r="G61" i="11"/>
  <c r="F61" i="11"/>
  <c r="E61" i="11"/>
  <c r="D61" i="11"/>
  <c r="C61" i="11"/>
  <c r="B61" i="11"/>
  <c r="A61" i="11"/>
  <c r="S61" i="11" s="1"/>
  <c r="V60" i="11"/>
  <c r="Q60" i="11"/>
  <c r="M60" i="11"/>
  <c r="L60" i="11"/>
  <c r="K60" i="11"/>
  <c r="J60" i="11"/>
  <c r="I60" i="11"/>
  <c r="H60" i="11"/>
  <c r="G60" i="11"/>
  <c r="F60" i="11"/>
  <c r="E60" i="11"/>
  <c r="P60" i="11" s="1"/>
  <c r="D60" i="11"/>
  <c r="C60" i="11"/>
  <c r="B60" i="11"/>
  <c r="T60" i="11" s="1"/>
  <c r="A60" i="11"/>
  <c r="S60" i="11" s="1"/>
  <c r="T59" i="11"/>
  <c r="Q59" i="11"/>
  <c r="P59" i="11"/>
  <c r="M59" i="11"/>
  <c r="L59" i="11"/>
  <c r="K59" i="11"/>
  <c r="J59" i="11"/>
  <c r="I59" i="11"/>
  <c r="H59" i="11"/>
  <c r="G59" i="11"/>
  <c r="F59" i="11"/>
  <c r="E59" i="11"/>
  <c r="D59" i="11"/>
  <c r="C59" i="11"/>
  <c r="B59" i="11"/>
  <c r="A59" i="11"/>
  <c r="S59" i="11" s="1"/>
  <c r="S58" i="11"/>
  <c r="M58" i="11"/>
  <c r="L58" i="11"/>
  <c r="K58" i="11"/>
  <c r="J58" i="11"/>
  <c r="I58" i="11"/>
  <c r="H58" i="11"/>
  <c r="G58" i="11"/>
  <c r="F58" i="11"/>
  <c r="Q58" i="11" s="1"/>
  <c r="E58" i="11"/>
  <c r="P58" i="11" s="1"/>
  <c r="D58" i="11"/>
  <c r="C58" i="11"/>
  <c r="B58" i="11"/>
  <c r="T58" i="11" s="1"/>
  <c r="A58" i="11"/>
  <c r="T57" i="11"/>
  <c r="Q57" i="11"/>
  <c r="M57" i="11"/>
  <c r="L57" i="11"/>
  <c r="K57" i="11"/>
  <c r="J57" i="11"/>
  <c r="I57" i="11"/>
  <c r="H57" i="11"/>
  <c r="G57" i="11"/>
  <c r="F57" i="11"/>
  <c r="E57" i="11"/>
  <c r="P57" i="11" s="1"/>
  <c r="D57" i="11"/>
  <c r="C57" i="11"/>
  <c r="B57" i="11"/>
  <c r="A57" i="11"/>
  <c r="S57" i="11" s="1"/>
  <c r="S56" i="11"/>
  <c r="M56" i="11"/>
  <c r="L56" i="11"/>
  <c r="K56" i="11"/>
  <c r="J56" i="11"/>
  <c r="I56" i="11"/>
  <c r="H56" i="11"/>
  <c r="G56" i="11"/>
  <c r="F56" i="11"/>
  <c r="Q56" i="11" s="1"/>
  <c r="E56" i="11"/>
  <c r="P56" i="11" s="1"/>
  <c r="D56" i="11"/>
  <c r="C56" i="11"/>
  <c r="B56" i="11"/>
  <c r="T56" i="11" s="1"/>
  <c r="A56" i="11"/>
  <c r="T55" i="11"/>
  <c r="Q55" i="11"/>
  <c r="M55" i="11"/>
  <c r="L55" i="11"/>
  <c r="K55" i="11"/>
  <c r="J55" i="11"/>
  <c r="I55" i="11"/>
  <c r="H55" i="11"/>
  <c r="G55" i="11"/>
  <c r="F55" i="11"/>
  <c r="E55" i="11"/>
  <c r="P55" i="11" s="1"/>
  <c r="D55" i="11"/>
  <c r="C55" i="11"/>
  <c r="B55" i="11"/>
  <c r="A55" i="11"/>
  <c r="S55" i="11" s="1"/>
  <c r="Q54" i="11"/>
  <c r="M54" i="11"/>
  <c r="L54" i="11"/>
  <c r="K54" i="11"/>
  <c r="J54" i="11"/>
  <c r="I54" i="11"/>
  <c r="H54" i="11"/>
  <c r="G54" i="11"/>
  <c r="F54" i="11"/>
  <c r="E54" i="11"/>
  <c r="P54" i="11" s="1"/>
  <c r="D54" i="11"/>
  <c r="C54" i="11"/>
  <c r="B54" i="11"/>
  <c r="T54" i="11" s="1"/>
  <c r="A54" i="11"/>
  <c r="S54" i="11" s="1"/>
  <c r="T53" i="11"/>
  <c r="Q53" i="11"/>
  <c r="P53" i="11"/>
  <c r="M53" i="11"/>
  <c r="L53" i="11"/>
  <c r="K53" i="11"/>
  <c r="J53" i="11"/>
  <c r="I53" i="11"/>
  <c r="H53" i="11"/>
  <c r="G53" i="11"/>
  <c r="F53" i="11"/>
  <c r="E53" i="11"/>
  <c r="D53" i="11"/>
  <c r="C53" i="11"/>
  <c r="B53" i="11"/>
  <c r="A53" i="11"/>
  <c r="S53" i="11" s="1"/>
  <c r="V52" i="11"/>
  <c r="Q52" i="11"/>
  <c r="M52" i="11"/>
  <c r="L52" i="11"/>
  <c r="K52" i="11"/>
  <c r="J52" i="11"/>
  <c r="I52" i="11"/>
  <c r="H52" i="11"/>
  <c r="G52" i="11"/>
  <c r="F52" i="11"/>
  <c r="E52" i="11"/>
  <c r="P52" i="11" s="1"/>
  <c r="D52" i="11"/>
  <c r="C52" i="11"/>
  <c r="B52" i="11"/>
  <c r="T52" i="11" s="1"/>
  <c r="A52" i="11"/>
  <c r="S52" i="11" s="1"/>
  <c r="T51" i="11"/>
  <c r="Q51" i="11"/>
  <c r="P51" i="11"/>
  <c r="M51" i="11"/>
  <c r="L51" i="11"/>
  <c r="K51" i="11"/>
  <c r="J51" i="11"/>
  <c r="I51" i="11"/>
  <c r="H51" i="11"/>
  <c r="G51" i="11"/>
  <c r="F51" i="11"/>
  <c r="E51" i="11"/>
  <c r="D51" i="11"/>
  <c r="C51" i="11"/>
  <c r="B51" i="11"/>
  <c r="A51" i="11"/>
  <c r="S51" i="11" s="1"/>
  <c r="S50" i="11"/>
  <c r="M50" i="11"/>
  <c r="L50" i="11"/>
  <c r="K50" i="11"/>
  <c r="J50" i="11"/>
  <c r="I50" i="11"/>
  <c r="H50" i="11"/>
  <c r="G50" i="11"/>
  <c r="F50" i="11"/>
  <c r="Q50" i="11" s="1"/>
  <c r="E50" i="11"/>
  <c r="P50" i="11" s="1"/>
  <c r="D50" i="11"/>
  <c r="C50" i="11"/>
  <c r="B50" i="11"/>
  <c r="T50" i="11" s="1"/>
  <c r="A50" i="11"/>
  <c r="T49" i="11"/>
  <c r="Q49" i="11"/>
  <c r="M49" i="11"/>
  <c r="L49" i="11"/>
  <c r="K49" i="11"/>
  <c r="J49" i="11"/>
  <c r="I49" i="11"/>
  <c r="H49" i="11"/>
  <c r="G49" i="11"/>
  <c r="F49" i="11"/>
  <c r="E49" i="11"/>
  <c r="P49" i="11" s="1"/>
  <c r="D49" i="11"/>
  <c r="C49" i="11"/>
  <c r="B49" i="11"/>
  <c r="A49" i="11"/>
  <c r="S49" i="11" s="1"/>
  <c r="S48" i="11"/>
  <c r="M48" i="11"/>
  <c r="L48" i="11"/>
  <c r="K48" i="11"/>
  <c r="J48" i="11"/>
  <c r="I48" i="11"/>
  <c r="H48" i="11"/>
  <c r="G48" i="11"/>
  <c r="F48" i="11"/>
  <c r="Q48" i="11" s="1"/>
  <c r="E48" i="11"/>
  <c r="P48" i="11" s="1"/>
  <c r="D48" i="11"/>
  <c r="C48" i="11"/>
  <c r="B48" i="11"/>
  <c r="T48" i="11" s="1"/>
  <c r="A48" i="11"/>
  <c r="T47" i="11"/>
  <c r="Q47" i="11"/>
  <c r="M47" i="11"/>
  <c r="L47" i="11"/>
  <c r="K47" i="11"/>
  <c r="J47" i="11"/>
  <c r="I47" i="11"/>
  <c r="H47" i="11"/>
  <c r="G47" i="11"/>
  <c r="F47" i="11"/>
  <c r="E47" i="11"/>
  <c r="P47" i="11" s="1"/>
  <c r="D47" i="11"/>
  <c r="C47" i="11"/>
  <c r="B47" i="11"/>
  <c r="A47" i="11"/>
  <c r="S47" i="11" s="1"/>
  <c r="Q46" i="11"/>
  <c r="M46" i="11"/>
  <c r="L46" i="11"/>
  <c r="K46" i="11"/>
  <c r="J46" i="11"/>
  <c r="I46" i="11"/>
  <c r="H46" i="11"/>
  <c r="G46" i="11"/>
  <c r="F46" i="11"/>
  <c r="E46" i="11"/>
  <c r="P46" i="11" s="1"/>
  <c r="D46" i="11"/>
  <c r="C46" i="11"/>
  <c r="B46" i="11"/>
  <c r="T46" i="11" s="1"/>
  <c r="A46" i="11"/>
  <c r="S46" i="11" s="1"/>
  <c r="T45" i="11"/>
  <c r="Q45" i="11"/>
  <c r="P45" i="11"/>
  <c r="M45" i="11"/>
  <c r="L45" i="11"/>
  <c r="K45" i="11"/>
  <c r="J45" i="11"/>
  <c r="I45" i="11"/>
  <c r="H45" i="11"/>
  <c r="G45" i="11"/>
  <c r="F45" i="11"/>
  <c r="E45" i="11"/>
  <c r="D45" i="11"/>
  <c r="C45" i="11"/>
  <c r="B45" i="11"/>
  <c r="A45" i="11"/>
  <c r="S45" i="11" s="1"/>
  <c r="V44" i="11"/>
  <c r="Q44" i="11"/>
  <c r="M44" i="11"/>
  <c r="L44" i="11"/>
  <c r="K44" i="11"/>
  <c r="J44" i="11"/>
  <c r="I44" i="11"/>
  <c r="H44" i="11"/>
  <c r="G44" i="11"/>
  <c r="F44" i="11"/>
  <c r="E44" i="11"/>
  <c r="P44" i="11" s="1"/>
  <c r="D44" i="11"/>
  <c r="C44" i="11"/>
  <c r="B44" i="11"/>
  <c r="T44" i="11" s="1"/>
  <c r="A44" i="11"/>
  <c r="S44" i="11" s="1"/>
  <c r="T43" i="11"/>
  <c r="Q43" i="11"/>
  <c r="P43" i="11"/>
  <c r="M43" i="11"/>
  <c r="L43" i="11"/>
  <c r="K43" i="11"/>
  <c r="J43" i="11"/>
  <c r="I43" i="11"/>
  <c r="H43" i="11"/>
  <c r="G43" i="11"/>
  <c r="F43" i="11"/>
  <c r="E43" i="11"/>
  <c r="D43" i="11"/>
  <c r="C43" i="11"/>
  <c r="B43" i="11"/>
  <c r="A43" i="11"/>
  <c r="S43" i="11" s="1"/>
  <c r="S42" i="11"/>
  <c r="M42" i="11"/>
  <c r="L42" i="11"/>
  <c r="K42" i="11"/>
  <c r="J42" i="11"/>
  <c r="I42" i="11"/>
  <c r="H42" i="11"/>
  <c r="G42" i="11"/>
  <c r="F42" i="11"/>
  <c r="Q42" i="11" s="1"/>
  <c r="E42" i="11"/>
  <c r="P42" i="11" s="1"/>
  <c r="D42" i="11"/>
  <c r="C42" i="11"/>
  <c r="B42" i="11"/>
  <c r="T42" i="11" s="1"/>
  <c r="A42" i="11"/>
  <c r="T41" i="11"/>
  <c r="Q41" i="11"/>
  <c r="M41" i="11"/>
  <c r="L41" i="11"/>
  <c r="K41" i="11"/>
  <c r="J41" i="11"/>
  <c r="I41" i="11"/>
  <c r="H41" i="11"/>
  <c r="G41" i="11"/>
  <c r="F41" i="11"/>
  <c r="E41" i="11"/>
  <c r="P41" i="11" s="1"/>
  <c r="D41" i="11"/>
  <c r="C41" i="11"/>
  <c r="B41" i="11"/>
  <c r="A41" i="11"/>
  <c r="S41" i="11" s="1"/>
  <c r="S40" i="11"/>
  <c r="M40" i="11"/>
  <c r="L40" i="11"/>
  <c r="K40" i="11"/>
  <c r="J40" i="11"/>
  <c r="I40" i="11"/>
  <c r="H40" i="11"/>
  <c r="G40" i="11"/>
  <c r="F40" i="11"/>
  <c r="Q40" i="11" s="1"/>
  <c r="E40" i="11"/>
  <c r="P40" i="11" s="1"/>
  <c r="D40" i="11"/>
  <c r="C40" i="11"/>
  <c r="B40" i="11"/>
  <c r="T40" i="11" s="1"/>
  <c r="A40" i="11"/>
  <c r="T39" i="11"/>
  <c r="Q39" i="11"/>
  <c r="M39" i="11"/>
  <c r="L39" i="11"/>
  <c r="K39" i="11"/>
  <c r="J39" i="11"/>
  <c r="I39" i="11"/>
  <c r="H39" i="11"/>
  <c r="G39" i="11"/>
  <c r="F39" i="11"/>
  <c r="E39" i="11"/>
  <c r="P39" i="11" s="1"/>
  <c r="D39" i="11"/>
  <c r="C39" i="11"/>
  <c r="B39" i="11"/>
  <c r="A39" i="11"/>
  <c r="S39" i="11" s="1"/>
  <c r="Q38" i="11"/>
  <c r="M38" i="11"/>
  <c r="L38" i="11"/>
  <c r="K38" i="11"/>
  <c r="J38" i="11"/>
  <c r="I38" i="11"/>
  <c r="H38" i="11"/>
  <c r="G38" i="11"/>
  <c r="F38" i="11"/>
  <c r="E38" i="11"/>
  <c r="P38" i="11" s="1"/>
  <c r="D38" i="11"/>
  <c r="C38" i="11"/>
  <c r="B38" i="11"/>
  <c r="T38" i="11" s="1"/>
  <c r="A38" i="11"/>
  <c r="S38" i="11" s="1"/>
  <c r="T37" i="11"/>
  <c r="Q37" i="11"/>
  <c r="P37" i="11"/>
  <c r="M37" i="11"/>
  <c r="L37" i="11"/>
  <c r="K37" i="11"/>
  <c r="J37" i="11"/>
  <c r="I37" i="11"/>
  <c r="H37" i="11"/>
  <c r="G37" i="11"/>
  <c r="F37" i="11"/>
  <c r="E37" i="11"/>
  <c r="D37" i="11"/>
  <c r="C37" i="11"/>
  <c r="B37" i="11"/>
  <c r="A37" i="11"/>
  <c r="S37" i="11" s="1"/>
  <c r="V36" i="11"/>
  <c r="Q36" i="11"/>
  <c r="M36" i="11"/>
  <c r="L36" i="11"/>
  <c r="K36" i="11"/>
  <c r="J36" i="11"/>
  <c r="I36" i="11"/>
  <c r="H36" i="11"/>
  <c r="G36" i="11"/>
  <c r="F36" i="11"/>
  <c r="E36" i="11"/>
  <c r="P36" i="11" s="1"/>
  <c r="D36" i="11"/>
  <c r="C36" i="11"/>
  <c r="B36" i="11"/>
  <c r="T36" i="11" s="1"/>
  <c r="A36" i="11"/>
  <c r="S36" i="11" s="1"/>
  <c r="T35" i="11"/>
  <c r="Q35" i="11"/>
  <c r="P35" i="11"/>
  <c r="M35" i="11"/>
  <c r="L35" i="11"/>
  <c r="K35" i="11"/>
  <c r="J35" i="11"/>
  <c r="I35" i="11"/>
  <c r="H35" i="11"/>
  <c r="G35" i="11"/>
  <c r="F35" i="11"/>
  <c r="E35" i="11"/>
  <c r="D35" i="11"/>
  <c r="C35" i="11"/>
  <c r="B35" i="11"/>
  <c r="A35" i="11"/>
  <c r="S35" i="11" s="1"/>
  <c r="S34" i="11"/>
  <c r="M34" i="11"/>
  <c r="L34" i="11"/>
  <c r="K34" i="11"/>
  <c r="J34" i="11"/>
  <c r="I34" i="11"/>
  <c r="H34" i="11"/>
  <c r="G34" i="11"/>
  <c r="F34" i="11"/>
  <c r="Q34" i="11" s="1"/>
  <c r="E34" i="11"/>
  <c r="P34" i="11" s="1"/>
  <c r="D34" i="11"/>
  <c r="C34" i="11"/>
  <c r="B34" i="11"/>
  <c r="T34" i="11" s="1"/>
  <c r="A34" i="11"/>
  <c r="T33" i="11"/>
  <c r="Q33" i="11"/>
  <c r="M33" i="11"/>
  <c r="L33" i="11"/>
  <c r="K33" i="11"/>
  <c r="J33" i="11"/>
  <c r="I33" i="11"/>
  <c r="H33" i="11"/>
  <c r="G33" i="11"/>
  <c r="F33" i="11"/>
  <c r="E33" i="11"/>
  <c r="P33" i="11" s="1"/>
  <c r="D33" i="11"/>
  <c r="C33" i="11"/>
  <c r="B33" i="11"/>
  <c r="A33" i="11"/>
  <c r="S33" i="11" s="1"/>
  <c r="S32" i="11"/>
  <c r="M32" i="11"/>
  <c r="L32" i="11"/>
  <c r="K32" i="11"/>
  <c r="J32" i="11"/>
  <c r="I32" i="11"/>
  <c r="H32" i="11"/>
  <c r="G32" i="11"/>
  <c r="F32" i="11"/>
  <c r="Q32" i="11" s="1"/>
  <c r="E32" i="11"/>
  <c r="P32" i="11" s="1"/>
  <c r="D32" i="11"/>
  <c r="C32" i="11"/>
  <c r="B32" i="11"/>
  <c r="T32" i="11" s="1"/>
  <c r="A32" i="11"/>
  <c r="T31" i="11"/>
  <c r="Q31" i="11"/>
  <c r="M31" i="11"/>
  <c r="L31" i="11"/>
  <c r="K31" i="11"/>
  <c r="J31" i="11"/>
  <c r="I31" i="11"/>
  <c r="H31" i="11"/>
  <c r="G31" i="11"/>
  <c r="F31" i="11"/>
  <c r="E31" i="11"/>
  <c r="P31" i="11" s="1"/>
  <c r="D31" i="11"/>
  <c r="C31" i="11"/>
  <c r="B31" i="11"/>
  <c r="A31" i="11"/>
  <c r="S31" i="11" s="1"/>
  <c r="Q30" i="11"/>
  <c r="M30" i="11"/>
  <c r="L30" i="11"/>
  <c r="K30" i="11"/>
  <c r="J30" i="11"/>
  <c r="I30" i="11"/>
  <c r="H30" i="11"/>
  <c r="G30" i="11"/>
  <c r="F30" i="11"/>
  <c r="E30" i="11"/>
  <c r="P30" i="11" s="1"/>
  <c r="D30" i="11"/>
  <c r="C30" i="11"/>
  <c r="B30" i="11"/>
  <c r="T30" i="11" s="1"/>
  <c r="A30" i="11"/>
  <c r="S30" i="11" s="1"/>
  <c r="T29" i="11"/>
  <c r="Q29" i="11"/>
  <c r="P29" i="11"/>
  <c r="M29" i="11"/>
  <c r="L29" i="11"/>
  <c r="K29" i="11"/>
  <c r="J29" i="11"/>
  <c r="I29" i="11"/>
  <c r="H29" i="11"/>
  <c r="G29" i="11"/>
  <c r="F29" i="11"/>
  <c r="E29" i="11"/>
  <c r="D29" i="11"/>
  <c r="C29" i="11"/>
  <c r="B29" i="11"/>
  <c r="A29" i="11"/>
  <c r="S29" i="11" s="1"/>
  <c r="V28" i="11"/>
  <c r="Q28" i="11"/>
  <c r="M28" i="11"/>
  <c r="L28" i="11"/>
  <c r="K28" i="11"/>
  <c r="J28" i="11"/>
  <c r="I28" i="11"/>
  <c r="H28" i="11"/>
  <c r="G28" i="11"/>
  <c r="F28" i="11"/>
  <c r="E28" i="11"/>
  <c r="P28" i="11" s="1"/>
  <c r="D28" i="11"/>
  <c r="C28" i="11"/>
  <c r="B28" i="11"/>
  <c r="T28" i="11" s="1"/>
  <c r="A28" i="11"/>
  <c r="S28" i="11" s="1"/>
  <c r="T27" i="11"/>
  <c r="Q27" i="11"/>
  <c r="P27" i="11"/>
  <c r="M27" i="11"/>
  <c r="L27" i="11"/>
  <c r="K27" i="11"/>
  <c r="J27" i="11"/>
  <c r="I27" i="11"/>
  <c r="H27" i="11"/>
  <c r="G27" i="11"/>
  <c r="F27" i="11"/>
  <c r="E27" i="11"/>
  <c r="D27" i="11"/>
  <c r="C27" i="11"/>
  <c r="B27" i="11"/>
  <c r="A27" i="11"/>
  <c r="S27" i="11" s="1"/>
  <c r="S26" i="11"/>
  <c r="M26" i="11"/>
  <c r="L26" i="11"/>
  <c r="K26" i="11"/>
  <c r="J26" i="11"/>
  <c r="I26" i="11"/>
  <c r="H26" i="11"/>
  <c r="G26" i="11"/>
  <c r="F26" i="11"/>
  <c r="Q26" i="11" s="1"/>
  <c r="E26" i="11"/>
  <c r="P26" i="11" s="1"/>
  <c r="D26" i="11"/>
  <c r="C26" i="11"/>
  <c r="B26" i="11"/>
  <c r="T26" i="11" s="1"/>
  <c r="A26" i="11"/>
  <c r="T25" i="11"/>
  <c r="Q25" i="11"/>
  <c r="M25" i="11"/>
  <c r="L25" i="11"/>
  <c r="K25" i="11"/>
  <c r="J25" i="11"/>
  <c r="I25" i="11"/>
  <c r="H25" i="11"/>
  <c r="G25" i="11"/>
  <c r="F25" i="11"/>
  <c r="E25" i="11"/>
  <c r="P25" i="11" s="1"/>
  <c r="D25" i="11"/>
  <c r="C25" i="11"/>
  <c r="B25" i="11"/>
  <c r="A25" i="11"/>
  <c r="S25" i="11" s="1"/>
  <c r="S24" i="11"/>
  <c r="M24" i="11"/>
  <c r="L24" i="11"/>
  <c r="K24" i="11"/>
  <c r="J24" i="11"/>
  <c r="I24" i="11"/>
  <c r="H24" i="11"/>
  <c r="G24" i="11"/>
  <c r="F24" i="11"/>
  <c r="Q24" i="11" s="1"/>
  <c r="E24" i="11"/>
  <c r="P24" i="11" s="1"/>
  <c r="D24" i="11"/>
  <c r="C24" i="11"/>
  <c r="B24" i="11"/>
  <c r="T24" i="11" s="1"/>
  <c r="A24" i="11"/>
  <c r="T23" i="11"/>
  <c r="Q23" i="11"/>
  <c r="M23" i="11"/>
  <c r="L23" i="11"/>
  <c r="K23" i="11"/>
  <c r="J23" i="11"/>
  <c r="I23" i="11"/>
  <c r="H23" i="11"/>
  <c r="G23" i="11"/>
  <c r="F23" i="11"/>
  <c r="E23" i="11"/>
  <c r="P23" i="11" s="1"/>
  <c r="D23" i="11"/>
  <c r="C23" i="11"/>
  <c r="B23" i="11"/>
  <c r="A23" i="11"/>
  <c r="S23" i="11" s="1"/>
  <c r="Q22" i="11"/>
  <c r="M22" i="11"/>
  <c r="L22" i="11"/>
  <c r="K22" i="11"/>
  <c r="J22" i="11"/>
  <c r="I22" i="11"/>
  <c r="H22" i="11"/>
  <c r="G22" i="11"/>
  <c r="F22" i="11"/>
  <c r="E22" i="11"/>
  <c r="P22" i="11" s="1"/>
  <c r="D22" i="11"/>
  <c r="C22" i="11"/>
  <c r="B22" i="11"/>
  <c r="T22" i="11" s="1"/>
  <c r="A22" i="11"/>
  <c r="S22" i="11" s="1"/>
  <c r="T21" i="11"/>
  <c r="Q21" i="11"/>
  <c r="P21" i="11"/>
  <c r="M21" i="11"/>
  <c r="L21" i="11"/>
  <c r="K21" i="11"/>
  <c r="J21" i="11"/>
  <c r="I21" i="11"/>
  <c r="H21" i="11"/>
  <c r="G21" i="11"/>
  <c r="F21" i="11"/>
  <c r="E21" i="11"/>
  <c r="D21" i="11"/>
  <c r="C21" i="11"/>
  <c r="B21" i="11"/>
  <c r="A21" i="11"/>
  <c r="S21" i="11" s="1"/>
  <c r="V20" i="11"/>
  <c r="Q20" i="11"/>
  <c r="M20" i="11"/>
  <c r="L20" i="11"/>
  <c r="K20" i="11"/>
  <c r="J20" i="11"/>
  <c r="I20" i="11"/>
  <c r="H20" i="11"/>
  <c r="G20" i="11"/>
  <c r="F20" i="11"/>
  <c r="E20" i="11"/>
  <c r="P20" i="11" s="1"/>
  <c r="D20" i="11"/>
  <c r="C20" i="11"/>
  <c r="B20" i="11"/>
  <c r="T20" i="11" s="1"/>
  <c r="A20" i="11"/>
  <c r="S20" i="11" s="1"/>
  <c r="T19" i="11"/>
  <c r="Q19" i="11"/>
  <c r="P19" i="11"/>
  <c r="M19" i="11"/>
  <c r="L19" i="11"/>
  <c r="K19" i="11"/>
  <c r="J19" i="11"/>
  <c r="I19" i="11"/>
  <c r="H19" i="11"/>
  <c r="G19" i="11"/>
  <c r="F19" i="11"/>
  <c r="E19" i="11"/>
  <c r="D19" i="11"/>
  <c r="C19" i="11"/>
  <c r="B19" i="11"/>
  <c r="A19" i="11"/>
  <c r="S19" i="11" s="1"/>
  <c r="S18" i="11"/>
  <c r="M18" i="11"/>
  <c r="L18" i="11"/>
  <c r="K18" i="11"/>
  <c r="J18" i="11"/>
  <c r="I18" i="11"/>
  <c r="H18" i="11"/>
  <c r="G18" i="11"/>
  <c r="F18" i="11"/>
  <c r="Q18" i="11" s="1"/>
  <c r="E18" i="11"/>
  <c r="P18" i="11" s="1"/>
  <c r="D18" i="11"/>
  <c r="C18" i="11"/>
  <c r="B18" i="11"/>
  <c r="T18" i="11" s="1"/>
  <c r="A18" i="11"/>
  <c r="T17" i="11"/>
  <c r="Q17" i="11"/>
  <c r="M17" i="11"/>
  <c r="L17" i="11"/>
  <c r="K17" i="11"/>
  <c r="J17" i="11"/>
  <c r="I17" i="11"/>
  <c r="H17" i="11"/>
  <c r="G17" i="11"/>
  <c r="F17" i="11"/>
  <c r="E17" i="11"/>
  <c r="P17" i="11" s="1"/>
  <c r="D17" i="11"/>
  <c r="C17" i="11"/>
  <c r="B17" i="11"/>
  <c r="A17" i="11"/>
  <c r="S17" i="11" s="1"/>
  <c r="S16" i="11"/>
  <c r="M16" i="11"/>
  <c r="L16" i="11"/>
  <c r="K16" i="11"/>
  <c r="J16" i="11"/>
  <c r="I16" i="11"/>
  <c r="H16" i="11"/>
  <c r="G16" i="11"/>
  <c r="F16" i="11"/>
  <c r="Q16" i="11" s="1"/>
  <c r="E16" i="11"/>
  <c r="P16" i="11" s="1"/>
  <c r="D16" i="11"/>
  <c r="C16" i="11"/>
  <c r="B16" i="11"/>
  <c r="T16" i="11" s="1"/>
  <c r="A16" i="11"/>
  <c r="T15" i="11"/>
  <c r="Q15" i="11"/>
  <c r="M15" i="11"/>
  <c r="L15" i="11"/>
  <c r="K15" i="11"/>
  <c r="J15" i="11"/>
  <c r="I15" i="11"/>
  <c r="H15" i="11"/>
  <c r="G15" i="11"/>
  <c r="F15" i="11"/>
  <c r="E15" i="11"/>
  <c r="P15" i="11" s="1"/>
  <c r="D15" i="11"/>
  <c r="C15" i="11"/>
  <c r="B15" i="11"/>
  <c r="A15" i="11"/>
  <c r="S15" i="11" s="1"/>
  <c r="Q14" i="11"/>
  <c r="M14" i="11"/>
  <c r="L14" i="11"/>
  <c r="K14" i="11"/>
  <c r="J14" i="11"/>
  <c r="I14" i="11"/>
  <c r="H14" i="11"/>
  <c r="G14" i="11"/>
  <c r="F14" i="11"/>
  <c r="E14" i="11"/>
  <c r="P14" i="11" s="1"/>
  <c r="D14" i="11"/>
  <c r="C14" i="11"/>
  <c r="B14" i="11"/>
  <c r="T14" i="11" s="1"/>
  <c r="A14" i="11"/>
  <c r="S14" i="11" s="1"/>
  <c r="T13" i="11"/>
  <c r="Q13" i="11"/>
  <c r="P13" i="11"/>
  <c r="M13" i="11"/>
  <c r="L13" i="11"/>
  <c r="K13" i="11"/>
  <c r="J13" i="11"/>
  <c r="I13" i="11"/>
  <c r="H13" i="11"/>
  <c r="G13" i="11"/>
  <c r="F13" i="11"/>
  <c r="E13" i="11"/>
  <c r="D13" i="11"/>
  <c r="C13" i="11"/>
  <c r="B13" i="11"/>
  <c r="A13" i="11"/>
  <c r="S13" i="11" s="1"/>
  <c r="V12" i="11"/>
  <c r="Q12" i="11"/>
  <c r="M12" i="11"/>
  <c r="L12" i="11"/>
  <c r="K12" i="11"/>
  <c r="J12" i="11"/>
  <c r="I12" i="11"/>
  <c r="H12" i="11"/>
  <c r="G12" i="11"/>
  <c r="F12" i="11"/>
  <c r="E12" i="11"/>
  <c r="P12" i="11" s="1"/>
  <c r="D12" i="11"/>
  <c r="C12" i="11"/>
  <c r="B12" i="11"/>
  <c r="T12" i="11" s="1"/>
  <c r="A12" i="11"/>
  <c r="S12" i="11" s="1"/>
  <c r="T11" i="11"/>
  <c r="Q11" i="11"/>
  <c r="P11" i="11"/>
  <c r="M11" i="11"/>
  <c r="L11" i="11"/>
  <c r="K11" i="11"/>
  <c r="J11" i="11"/>
  <c r="I11" i="11"/>
  <c r="H11" i="11"/>
  <c r="G11" i="11"/>
  <c r="F11" i="11"/>
  <c r="E11" i="11"/>
  <c r="D11" i="11"/>
  <c r="C11" i="11"/>
  <c r="B11" i="11"/>
  <c r="A11" i="11"/>
  <c r="S11" i="11" s="1"/>
  <c r="S10" i="11"/>
  <c r="M10" i="11"/>
  <c r="L10" i="11"/>
  <c r="K10" i="11"/>
  <c r="J10" i="11"/>
  <c r="I10" i="11"/>
  <c r="H10" i="11"/>
  <c r="G10" i="11"/>
  <c r="F10" i="11"/>
  <c r="Q10" i="11" s="1"/>
  <c r="E10" i="11"/>
  <c r="P10" i="11" s="1"/>
  <c r="D10" i="11"/>
  <c r="C10" i="11"/>
  <c r="B10" i="11"/>
  <c r="T10" i="11" s="1"/>
  <c r="A10" i="11"/>
  <c r="T9" i="11"/>
  <c r="Q9" i="11"/>
  <c r="M9" i="11"/>
  <c r="L9" i="11"/>
  <c r="K9" i="11"/>
  <c r="J9" i="11"/>
  <c r="I9" i="11"/>
  <c r="H9" i="11"/>
  <c r="G9" i="11"/>
  <c r="F9" i="11"/>
  <c r="E9" i="11"/>
  <c r="P9" i="11" s="1"/>
  <c r="D9" i="11"/>
  <c r="C9" i="11"/>
  <c r="B9" i="11"/>
  <c r="A9" i="11"/>
  <c r="S9" i="11" s="1"/>
  <c r="S8" i="11"/>
  <c r="M8" i="11"/>
  <c r="L8" i="11"/>
  <c r="K8" i="11"/>
  <c r="J8" i="11"/>
  <c r="I8" i="11"/>
  <c r="H8" i="11"/>
  <c r="G8" i="11"/>
  <c r="F8" i="11"/>
  <c r="Q8" i="11" s="1"/>
  <c r="E8" i="11"/>
  <c r="P8" i="11" s="1"/>
  <c r="D8" i="11"/>
  <c r="C8" i="11"/>
  <c r="B8" i="11"/>
  <c r="T8" i="11" s="1"/>
  <c r="A8" i="11"/>
  <c r="T7" i="11"/>
  <c r="Q7" i="11"/>
  <c r="M7" i="11"/>
  <c r="L7" i="11"/>
  <c r="K7" i="11"/>
  <c r="J7" i="11"/>
  <c r="I7" i="11"/>
  <c r="H7" i="11"/>
  <c r="G7" i="11"/>
  <c r="F7" i="11"/>
  <c r="E7" i="11"/>
  <c r="P7" i="11" s="1"/>
  <c r="D7" i="11"/>
  <c r="C7" i="11"/>
  <c r="B7" i="11"/>
  <c r="A7" i="11"/>
  <c r="S7" i="11" s="1"/>
  <c r="Q6" i="11"/>
  <c r="M6" i="11"/>
  <c r="L6" i="11"/>
  <c r="K6" i="11"/>
  <c r="J6" i="11"/>
  <c r="I6" i="11"/>
  <c r="H6" i="11"/>
  <c r="G6" i="11"/>
  <c r="F6" i="11"/>
  <c r="E6" i="11"/>
  <c r="P6" i="11" s="1"/>
  <c r="D6" i="11"/>
  <c r="C6" i="11"/>
  <c r="B6" i="11"/>
  <c r="T6" i="11" s="1"/>
  <c r="A6" i="11"/>
  <c r="S6" i="11" s="1"/>
  <c r="T5" i="11"/>
  <c r="Q5" i="11"/>
  <c r="P5" i="11"/>
  <c r="M5" i="11"/>
  <c r="L5" i="11"/>
  <c r="K5" i="11"/>
  <c r="J5" i="11"/>
  <c r="I5" i="11"/>
  <c r="H5" i="11"/>
  <c r="G5" i="11"/>
  <c r="F5" i="11"/>
  <c r="E5" i="11"/>
  <c r="D5" i="11"/>
  <c r="C5" i="11"/>
  <c r="B5" i="11"/>
  <c r="A5" i="11"/>
  <c r="S5" i="11" s="1"/>
  <c r="V4" i="11"/>
  <c r="Q4" i="11"/>
  <c r="M4" i="11"/>
  <c r="L4" i="11"/>
  <c r="K4" i="11"/>
  <c r="J4" i="11"/>
  <c r="I4" i="11"/>
  <c r="H4" i="11"/>
  <c r="G4" i="11"/>
  <c r="F4" i="11"/>
  <c r="E4" i="11"/>
  <c r="P4" i="11" s="1"/>
  <c r="D4" i="11"/>
  <c r="C4" i="11"/>
  <c r="B4" i="11"/>
  <c r="T4" i="11" s="1"/>
  <c r="A4" i="11"/>
  <c r="S4" i="11" s="1"/>
  <c r="T3" i="11"/>
  <c r="Q3" i="11"/>
  <c r="P3" i="11"/>
  <c r="M3" i="11"/>
  <c r="L3" i="11"/>
  <c r="K3" i="11"/>
  <c r="J3" i="11"/>
  <c r="I3" i="11"/>
  <c r="H3" i="11"/>
  <c r="G3" i="11"/>
  <c r="F3" i="11"/>
  <c r="E3" i="11"/>
  <c r="D3" i="11"/>
  <c r="C3" i="11"/>
  <c r="B3" i="11"/>
  <c r="A3" i="11"/>
  <c r="S3" i="11" s="1"/>
  <c r="S2" i="11"/>
  <c r="M2" i="11"/>
  <c r="L2" i="11"/>
  <c r="K2" i="11"/>
  <c r="J2" i="11"/>
  <c r="I2" i="11"/>
  <c r="H2" i="11"/>
  <c r="G2" i="11"/>
  <c r="F2" i="11"/>
  <c r="Q2" i="11" s="1"/>
  <c r="E2" i="11"/>
  <c r="P2" i="11" s="1"/>
  <c r="D2" i="11"/>
  <c r="C2" i="11"/>
  <c r="B2" i="11"/>
  <c r="T2" i="11" s="1"/>
  <c r="A2" i="11"/>
  <c r="B41" i="10"/>
  <c r="B40" i="10"/>
  <c r="B39" i="10"/>
  <c r="B38" i="10"/>
  <c r="B37" i="10"/>
  <c r="C26" i="10"/>
  <c r="B26" i="10"/>
  <c r="D26" i="10" s="1"/>
  <c r="C25" i="10"/>
  <c r="B25" i="10"/>
  <c r="D25" i="10" s="1"/>
  <c r="D24" i="10"/>
  <c r="C24" i="10"/>
  <c r="B24" i="10"/>
  <c r="C23" i="10"/>
  <c r="D23" i="10" s="1"/>
  <c r="B23" i="10"/>
  <c r="B22" i="10"/>
  <c r="B19" i="10"/>
  <c r="C18" i="10"/>
  <c r="B18" i="10"/>
  <c r="D18" i="10" s="1"/>
  <c r="F36" i="8"/>
  <c r="G36" i="8" s="1"/>
  <c r="D36" i="8"/>
  <c r="E36" i="8" s="1"/>
  <c r="C36" i="8"/>
  <c r="B36" i="8"/>
  <c r="E35" i="8"/>
  <c r="D35" i="8"/>
  <c r="C35" i="8"/>
  <c r="B35" i="8"/>
  <c r="F35" i="8" s="1"/>
  <c r="G35" i="8" s="1"/>
  <c r="D34" i="8"/>
  <c r="C34" i="8"/>
  <c r="B34" i="8"/>
  <c r="F34" i="8" s="1"/>
  <c r="G34" i="8" s="1"/>
  <c r="D33" i="8"/>
  <c r="E33" i="8" s="1"/>
  <c r="C33" i="8"/>
  <c r="B33" i="8"/>
  <c r="F33" i="8" s="1"/>
  <c r="G33" i="8" s="1"/>
  <c r="E32" i="8"/>
  <c r="D32" i="8"/>
  <c r="C32" i="8"/>
  <c r="B32" i="8"/>
  <c r="F32" i="8" s="1"/>
  <c r="G32" i="8" s="1"/>
  <c r="D31" i="8"/>
  <c r="E31" i="8" s="1"/>
  <c r="C31" i="8"/>
  <c r="B31" i="8"/>
  <c r="F31" i="8" s="1"/>
  <c r="G31" i="8" s="1"/>
  <c r="E30" i="8"/>
  <c r="D30" i="8"/>
  <c r="C30" i="8"/>
  <c r="B30" i="8"/>
  <c r="F30" i="8" s="1"/>
  <c r="G30" i="8" s="1"/>
  <c r="D29" i="8"/>
  <c r="E29" i="8" s="1"/>
  <c r="C29" i="8"/>
  <c r="B29" i="8"/>
  <c r="F29" i="8" s="1"/>
  <c r="G29" i="8" s="1"/>
  <c r="E28" i="8"/>
  <c r="D28" i="8"/>
  <c r="C28" i="8"/>
  <c r="B28" i="8"/>
  <c r="F28" i="8" s="1"/>
  <c r="G28" i="8" s="1"/>
  <c r="D27" i="8"/>
  <c r="E27" i="8" s="1"/>
  <c r="C27" i="8"/>
  <c r="B27" i="8"/>
  <c r="F27" i="8" s="1"/>
  <c r="G27" i="8" s="1"/>
  <c r="E26" i="8"/>
  <c r="D26" i="8"/>
  <c r="C26" i="8"/>
  <c r="B26" i="8"/>
  <c r="F26" i="8" s="1"/>
  <c r="G26" i="8" s="1"/>
  <c r="D25" i="8"/>
  <c r="E25" i="8" s="1"/>
  <c r="C25" i="8"/>
  <c r="B25" i="8"/>
  <c r="F25" i="8" s="1"/>
  <c r="G25" i="8" s="1"/>
  <c r="C20" i="8"/>
  <c r="C19" i="8"/>
  <c r="C18" i="8"/>
  <c r="C17" i="8"/>
  <c r="F12" i="8"/>
  <c r="D12" i="8"/>
  <c r="F11" i="8"/>
  <c r="D11" i="8"/>
  <c r="D10" i="8"/>
  <c r="D9" i="8"/>
  <c r="F8" i="8"/>
  <c r="D8" i="8"/>
  <c r="D7" i="8"/>
  <c r="D6" i="8"/>
  <c r="D5" i="8"/>
  <c r="C28" i="7"/>
  <c r="B28" i="7"/>
  <c r="A28" i="7"/>
  <c r="I28" i="7" s="1"/>
  <c r="C27" i="7"/>
  <c r="B27" i="7"/>
  <c r="A27" i="7"/>
  <c r="I27" i="7" s="1"/>
  <c r="C26" i="7"/>
  <c r="B26" i="7"/>
  <c r="A26" i="7"/>
  <c r="I26" i="7" s="1"/>
  <c r="C25" i="7"/>
  <c r="B25" i="7"/>
  <c r="A25" i="7"/>
  <c r="I25" i="7" s="1"/>
  <c r="C24" i="7"/>
  <c r="B24" i="7"/>
  <c r="A24" i="7"/>
  <c r="I24" i="7" s="1"/>
  <c r="C23" i="7"/>
  <c r="B23" i="7"/>
  <c r="A23" i="7"/>
  <c r="I23" i="7" s="1"/>
  <c r="C22" i="7"/>
  <c r="B22" i="7"/>
  <c r="A22" i="7"/>
  <c r="I22" i="7" s="1"/>
  <c r="C21" i="7"/>
  <c r="B21" i="7"/>
  <c r="A21" i="7"/>
  <c r="I21" i="7" s="1"/>
  <c r="C20" i="7"/>
  <c r="B20" i="7"/>
  <c r="A20" i="7"/>
  <c r="I20" i="7" s="1"/>
  <c r="C19" i="7"/>
  <c r="B19" i="7"/>
  <c r="A19" i="7"/>
  <c r="I19" i="7" s="1"/>
  <c r="C18" i="7"/>
  <c r="B18" i="7"/>
  <c r="A18" i="7"/>
  <c r="I18" i="7" s="1"/>
  <c r="C17" i="7"/>
  <c r="B17" i="7"/>
  <c r="A17" i="7"/>
  <c r="I17" i="7" s="1"/>
  <c r="C16" i="7"/>
  <c r="B16" i="7"/>
  <c r="A16" i="7"/>
  <c r="C15" i="7"/>
  <c r="B15" i="7"/>
  <c r="A15" i="7"/>
  <c r="I15" i="7" s="1"/>
  <c r="C14" i="7"/>
  <c r="B14" i="7"/>
  <c r="A14" i="7"/>
  <c r="C13" i="7"/>
  <c r="B13" i="7"/>
  <c r="A13" i="7"/>
  <c r="I13" i="7" s="1"/>
  <c r="C12" i="7"/>
  <c r="B12" i="7"/>
  <c r="A12" i="7"/>
  <c r="C11" i="7"/>
  <c r="B11" i="7"/>
  <c r="A11" i="7"/>
  <c r="I11" i="7" s="1"/>
  <c r="C10" i="7"/>
  <c r="B10" i="7"/>
  <c r="A10" i="7"/>
  <c r="C9" i="7"/>
  <c r="B9" i="7"/>
  <c r="A9" i="7"/>
  <c r="I9" i="7" s="1"/>
  <c r="C8" i="7"/>
  <c r="B8" i="7"/>
  <c r="A8" i="7"/>
  <c r="C7" i="7"/>
  <c r="B7" i="7"/>
  <c r="A7" i="7"/>
  <c r="I7" i="7" s="1"/>
  <c r="C6" i="7"/>
  <c r="B6" i="7"/>
  <c r="A6" i="7"/>
  <c r="C5" i="7"/>
  <c r="B5" i="7"/>
  <c r="A5" i="7"/>
  <c r="I5" i="7" s="1"/>
  <c r="E32" i="6"/>
  <c r="D32" i="6"/>
  <c r="C32" i="6"/>
  <c r="B32" i="6"/>
  <c r="E31" i="6"/>
  <c r="D31" i="6"/>
  <c r="C31" i="6"/>
  <c r="B31" i="6"/>
  <c r="E30" i="6"/>
  <c r="D30" i="6"/>
  <c r="C30" i="6"/>
  <c r="B30" i="6"/>
  <c r="A34" i="6" s="1"/>
  <c r="L25" i="6"/>
  <c r="M25" i="6" s="1"/>
  <c r="K25" i="6"/>
  <c r="H25" i="6"/>
  <c r="F25" i="6"/>
  <c r="G25" i="6" s="1"/>
  <c r="E25" i="6"/>
  <c r="D25" i="6"/>
  <c r="B25" i="6"/>
  <c r="C25" i="6" s="1"/>
  <c r="M24" i="6"/>
  <c r="L24" i="6"/>
  <c r="K24" i="6"/>
  <c r="H24" i="6"/>
  <c r="F24" i="6"/>
  <c r="D24" i="6"/>
  <c r="G24" i="6" s="1"/>
  <c r="C24" i="6"/>
  <c r="B24" i="6"/>
  <c r="L23" i="6"/>
  <c r="M23" i="6" s="1"/>
  <c r="K23" i="6"/>
  <c r="H23" i="6"/>
  <c r="F23" i="6"/>
  <c r="G23" i="6" s="1"/>
  <c r="E23" i="6"/>
  <c r="D23" i="6"/>
  <c r="B23" i="6"/>
  <c r="C23" i="6" s="1"/>
  <c r="M22" i="6"/>
  <c r="L22" i="6"/>
  <c r="K22" i="6"/>
  <c r="H22" i="6"/>
  <c r="F22" i="6"/>
  <c r="D22" i="6"/>
  <c r="G22" i="6" s="1"/>
  <c r="C22" i="6"/>
  <c r="B22" i="6"/>
  <c r="M16" i="6"/>
  <c r="N16" i="6" s="1"/>
  <c r="L16" i="6"/>
  <c r="K16" i="6"/>
  <c r="J16" i="6"/>
  <c r="H16" i="6"/>
  <c r="I16" i="6" s="1"/>
  <c r="G16" i="6"/>
  <c r="O16" i="6" s="1"/>
  <c r="F16" i="6"/>
  <c r="D16" i="6"/>
  <c r="E16" i="6" s="1"/>
  <c r="C16" i="6"/>
  <c r="B16" i="6"/>
  <c r="N15" i="6"/>
  <c r="M15" i="6"/>
  <c r="O15" i="6" s="1"/>
  <c r="L15" i="6"/>
  <c r="J15" i="6"/>
  <c r="K15" i="6" s="1"/>
  <c r="I15" i="6"/>
  <c r="H15" i="6"/>
  <c r="G15" i="6"/>
  <c r="F15" i="6"/>
  <c r="D15" i="6"/>
  <c r="C15" i="6"/>
  <c r="B15" i="6"/>
  <c r="E15" i="6" s="1"/>
  <c r="M14" i="6"/>
  <c r="L14" i="6"/>
  <c r="N14" i="6" s="1"/>
  <c r="K14" i="6"/>
  <c r="J14" i="6"/>
  <c r="H14" i="6"/>
  <c r="I14" i="6" s="1"/>
  <c r="G14" i="6"/>
  <c r="O14" i="6" s="1"/>
  <c r="F14" i="6"/>
  <c r="D14" i="6"/>
  <c r="E14" i="6" s="1"/>
  <c r="C14" i="6"/>
  <c r="B14" i="6"/>
  <c r="N13" i="6"/>
  <c r="M13" i="6"/>
  <c r="O13" i="6" s="1"/>
  <c r="L13" i="6"/>
  <c r="J13" i="6"/>
  <c r="K13" i="6" s="1"/>
  <c r="I13" i="6"/>
  <c r="H13" i="6"/>
  <c r="G13" i="6"/>
  <c r="F13" i="6"/>
  <c r="D13" i="6"/>
  <c r="C13" i="6"/>
  <c r="B13" i="6"/>
  <c r="E13" i="6" s="1"/>
  <c r="M12" i="6"/>
  <c r="L12" i="6"/>
  <c r="N12" i="6" s="1"/>
  <c r="K12" i="6"/>
  <c r="J12" i="6"/>
  <c r="H12" i="6"/>
  <c r="I12" i="6" s="1"/>
  <c r="G12" i="6"/>
  <c r="O12" i="6" s="1"/>
  <c r="F12" i="6"/>
  <c r="D12" i="6"/>
  <c r="E12" i="6" s="1"/>
  <c r="C12" i="6"/>
  <c r="B12" i="6"/>
  <c r="N11" i="6"/>
  <c r="M11" i="6"/>
  <c r="O11" i="6" s="1"/>
  <c r="L11" i="6"/>
  <c r="J11" i="6"/>
  <c r="K11" i="6" s="1"/>
  <c r="I11" i="6"/>
  <c r="H11" i="6"/>
  <c r="G11" i="6"/>
  <c r="F11" i="6"/>
  <c r="D11" i="6"/>
  <c r="C11" i="6"/>
  <c r="B11" i="6"/>
  <c r="E11" i="6" s="1"/>
  <c r="M10" i="6"/>
  <c r="L10" i="6"/>
  <c r="N10" i="6" s="1"/>
  <c r="J10" i="6"/>
  <c r="H10" i="6"/>
  <c r="I10" i="6" s="1"/>
  <c r="G10" i="6"/>
  <c r="O10" i="6" s="1"/>
  <c r="F10" i="6"/>
  <c r="K10" i="6" s="1"/>
  <c r="D10" i="6"/>
  <c r="E10" i="6" s="1"/>
  <c r="C10" i="6"/>
  <c r="B10" i="6"/>
  <c r="N9" i="6"/>
  <c r="M9" i="6"/>
  <c r="O9" i="6" s="1"/>
  <c r="L9" i="6"/>
  <c r="J9" i="6"/>
  <c r="K9" i="6" s="1"/>
  <c r="H9" i="6"/>
  <c r="I9" i="6" s="1"/>
  <c r="G9" i="6"/>
  <c r="F9" i="6"/>
  <c r="D9" i="6"/>
  <c r="E9" i="6" s="1"/>
  <c r="C9" i="6"/>
  <c r="B9" i="6"/>
  <c r="M8" i="6"/>
  <c r="L8" i="6"/>
  <c r="N8" i="6" s="1"/>
  <c r="J8" i="6"/>
  <c r="K8" i="6" s="1"/>
  <c r="H8" i="6"/>
  <c r="I8" i="6" s="1"/>
  <c r="G8" i="6"/>
  <c r="O8" i="6" s="1"/>
  <c r="F8" i="6"/>
  <c r="D8" i="6"/>
  <c r="E8" i="6" s="1"/>
  <c r="C8" i="6"/>
  <c r="B8" i="6"/>
  <c r="N7" i="6"/>
  <c r="M7" i="6"/>
  <c r="O7" i="6" s="1"/>
  <c r="L7" i="6"/>
  <c r="J7" i="6"/>
  <c r="K7" i="6" s="1"/>
  <c r="H7" i="6"/>
  <c r="I7" i="6" s="1"/>
  <c r="G7" i="6"/>
  <c r="F7" i="6"/>
  <c r="D7" i="6"/>
  <c r="E7" i="6" s="1"/>
  <c r="C7" i="6"/>
  <c r="B7" i="6"/>
  <c r="M6" i="6"/>
  <c r="L6" i="6"/>
  <c r="N6" i="6" s="1"/>
  <c r="J6" i="6"/>
  <c r="K6" i="6" s="1"/>
  <c r="H6" i="6"/>
  <c r="I6" i="6" s="1"/>
  <c r="G6" i="6"/>
  <c r="O6" i="6" s="1"/>
  <c r="F6" i="6"/>
  <c r="D6" i="6"/>
  <c r="E6" i="6" s="1"/>
  <c r="C6" i="6"/>
  <c r="B6" i="6"/>
  <c r="N5" i="6"/>
  <c r="M5" i="6"/>
  <c r="M17" i="6" s="1"/>
  <c r="L5" i="6"/>
  <c r="L17" i="6" s="1"/>
  <c r="J5" i="6"/>
  <c r="J17" i="6" s="1"/>
  <c r="K17" i="6" s="1"/>
  <c r="H5" i="6"/>
  <c r="I5" i="6" s="1"/>
  <c r="G5" i="6"/>
  <c r="G17" i="6" s="1"/>
  <c r="F5" i="6"/>
  <c r="F17" i="6" s="1"/>
  <c r="D5" i="6"/>
  <c r="E5" i="6" s="1"/>
  <c r="C5" i="6"/>
  <c r="C17" i="6" s="1"/>
  <c r="B5" i="6"/>
  <c r="B17" i="6" s="1"/>
  <c r="C24" i="5"/>
  <c r="B24" i="5"/>
  <c r="A24" i="5"/>
  <c r="F24" i="5" s="1"/>
  <c r="F23" i="5"/>
  <c r="D23" i="5"/>
  <c r="C23" i="5"/>
  <c r="B23" i="5"/>
  <c r="A23" i="5"/>
  <c r="E23" i="5" s="1"/>
  <c r="C22" i="5"/>
  <c r="B22" i="5"/>
  <c r="A22" i="5"/>
  <c r="D22" i="5" s="1"/>
  <c r="F21" i="5"/>
  <c r="D21" i="5"/>
  <c r="C21" i="5"/>
  <c r="B21" i="5"/>
  <c r="A21" i="5"/>
  <c r="E21" i="5" s="1"/>
  <c r="C20" i="5"/>
  <c r="B20" i="5"/>
  <c r="A20" i="5"/>
  <c r="F20" i="5" s="1"/>
  <c r="F19" i="5"/>
  <c r="D19" i="5"/>
  <c r="C19" i="5"/>
  <c r="B19" i="5"/>
  <c r="A19" i="5"/>
  <c r="E19" i="5" s="1"/>
  <c r="C18" i="5"/>
  <c r="B18" i="5"/>
  <c r="A18" i="5"/>
  <c r="D18" i="5" s="1"/>
  <c r="F17" i="5"/>
  <c r="D17" i="5"/>
  <c r="C17" i="5"/>
  <c r="B17" i="5"/>
  <c r="A17" i="5"/>
  <c r="E17" i="5" s="1"/>
  <c r="C16" i="5"/>
  <c r="B16" i="5"/>
  <c r="A16" i="5"/>
  <c r="F16" i="5" s="1"/>
  <c r="F15" i="5"/>
  <c r="D15" i="5"/>
  <c r="C15" i="5"/>
  <c r="B15" i="5"/>
  <c r="A15" i="5"/>
  <c r="E15" i="5" s="1"/>
  <c r="C14" i="5"/>
  <c r="B14" i="5"/>
  <c r="A14" i="5"/>
  <c r="D14" i="5" s="1"/>
  <c r="F13" i="5"/>
  <c r="D13" i="5"/>
  <c r="C13" i="5"/>
  <c r="B13" i="5"/>
  <c r="A13" i="5"/>
  <c r="E13" i="5" s="1"/>
  <c r="C12" i="5"/>
  <c r="B12" i="5"/>
  <c r="A12" i="5"/>
  <c r="F12" i="5" s="1"/>
  <c r="F11" i="5"/>
  <c r="D11" i="5"/>
  <c r="C11" i="5"/>
  <c r="B11" i="5"/>
  <c r="A11" i="5"/>
  <c r="E11" i="5" s="1"/>
  <c r="C10" i="5"/>
  <c r="B10" i="5"/>
  <c r="A10" i="5"/>
  <c r="D10" i="5" s="1"/>
  <c r="F9" i="5"/>
  <c r="D9" i="5"/>
  <c r="C9" i="5"/>
  <c r="B9" i="5"/>
  <c r="A9" i="5"/>
  <c r="E9" i="5" s="1"/>
  <c r="C8" i="5"/>
  <c r="B8" i="5"/>
  <c r="A8" i="5"/>
  <c r="F8" i="5" s="1"/>
  <c r="F7" i="5"/>
  <c r="D7" i="5"/>
  <c r="C7" i="5"/>
  <c r="B7" i="5"/>
  <c r="A7" i="5"/>
  <c r="E7" i="5" s="1"/>
  <c r="C6" i="5"/>
  <c r="B6" i="5"/>
  <c r="A6" i="5"/>
  <c r="D6" i="5" s="1"/>
  <c r="F5" i="5"/>
  <c r="D5" i="5"/>
  <c r="C5" i="5"/>
  <c r="B5" i="5"/>
  <c r="A5" i="5"/>
  <c r="E5" i="5" s="1"/>
  <c r="F15" i="4"/>
  <c r="G14" i="4"/>
  <c r="AU12" i="20" s="1"/>
  <c r="D14" i="4"/>
  <c r="B14" i="4"/>
  <c r="G13" i="4"/>
  <c r="AU11" i="20" s="1"/>
  <c r="D13" i="4"/>
  <c r="B13" i="4"/>
  <c r="G12" i="4"/>
  <c r="AU10" i="20" s="1"/>
  <c r="D12" i="4"/>
  <c r="B12" i="4"/>
  <c r="G11" i="4"/>
  <c r="AU9" i="20" s="1"/>
  <c r="D11" i="4"/>
  <c r="B11" i="4"/>
  <c r="G10" i="4"/>
  <c r="AU8" i="20" s="1"/>
  <c r="D10" i="4"/>
  <c r="B10" i="4"/>
  <c r="G9" i="4"/>
  <c r="AU7" i="20" s="1"/>
  <c r="D9" i="4"/>
  <c r="B9" i="4"/>
  <c r="G8" i="4"/>
  <c r="AU6" i="20" s="1"/>
  <c r="D8" i="4"/>
  <c r="B8" i="4"/>
  <c r="G7" i="4"/>
  <c r="AU5" i="20" s="1"/>
  <c r="D7" i="4"/>
  <c r="B7" i="4"/>
  <c r="G64" i="3"/>
  <c r="B64" i="3"/>
  <c r="G63" i="3"/>
  <c r="B63" i="3"/>
  <c r="G62" i="3"/>
  <c r="B62" i="3"/>
  <c r="G61" i="3"/>
  <c r="B61" i="3"/>
  <c r="G60" i="3"/>
  <c r="B60" i="3"/>
  <c r="G59" i="3"/>
  <c r="B59" i="3"/>
  <c r="G58" i="3"/>
  <c r="B58" i="3"/>
  <c r="G57" i="3"/>
  <c r="B57" i="3"/>
  <c r="G56" i="3"/>
  <c r="B56" i="3"/>
  <c r="G55" i="3"/>
  <c r="B55" i="3"/>
  <c r="G54" i="3"/>
  <c r="B54" i="3"/>
  <c r="G53" i="3"/>
  <c r="G65" i="3" s="1"/>
  <c r="B53" i="3"/>
  <c r="E49" i="3"/>
  <c r="AQ12" i="20" s="1"/>
  <c r="D49" i="3"/>
  <c r="AP12" i="20" s="1"/>
  <c r="C49" i="3"/>
  <c r="AO12" i="20" s="1"/>
  <c r="F48" i="3"/>
  <c r="AR11" i="20" s="1"/>
  <c r="F47" i="3"/>
  <c r="AR10" i="20" s="1"/>
  <c r="F46" i="3"/>
  <c r="AR9" i="20" s="1"/>
  <c r="F45" i="3"/>
  <c r="AR8" i="20" s="1"/>
  <c r="F44" i="3"/>
  <c r="AR7" i="20" s="1"/>
  <c r="F43" i="3"/>
  <c r="AR6" i="20" s="1"/>
  <c r="E42" i="3"/>
  <c r="AQ5" i="20" s="1"/>
  <c r="D42" i="3"/>
  <c r="AP5" i="20" s="1"/>
  <c r="C42" i="3"/>
  <c r="AO5" i="20" s="1"/>
  <c r="B25" i="3"/>
  <c r="B21" i="3"/>
  <c r="D34" i="3" s="1"/>
  <c r="B20" i="3"/>
  <c r="D33" i="3" s="1"/>
  <c r="B19" i="3"/>
  <c r="D32" i="3" s="1"/>
  <c r="B18" i="3"/>
  <c r="D31" i="3" s="1"/>
  <c r="B17" i="3"/>
  <c r="D30" i="3" s="1"/>
  <c r="B16" i="3"/>
  <c r="B3" i="3"/>
  <c r="F11" i="3" s="1"/>
  <c r="N20" i="2"/>
  <c r="N16" i="2"/>
  <c r="B3" i="2"/>
  <c r="G13" i="5" l="1"/>
  <c r="H13" i="5" s="1"/>
  <c r="K13" i="5" s="1"/>
  <c r="G9" i="5"/>
  <c r="H9" i="5" s="1"/>
  <c r="K9" i="5" s="1"/>
  <c r="G17" i="5"/>
  <c r="H17" i="5" s="1"/>
  <c r="K17" i="5" s="1"/>
  <c r="D35" i="3"/>
  <c r="I7" i="5"/>
  <c r="I9" i="5"/>
  <c r="I11" i="5"/>
  <c r="I13" i="5"/>
  <c r="I15" i="5"/>
  <c r="I17" i="5"/>
  <c r="I19" i="5"/>
  <c r="I21" i="5"/>
  <c r="I23" i="5"/>
  <c r="G11" i="5"/>
  <c r="H11" i="5" s="1"/>
  <c r="K11" i="5" s="1"/>
  <c r="G19" i="5"/>
  <c r="H19" i="5" s="1"/>
  <c r="K19" i="5" s="1"/>
  <c r="G21" i="5"/>
  <c r="H21" i="5" s="1"/>
  <c r="K21" i="5" s="1"/>
  <c r="G23" i="5"/>
  <c r="H23" i="5" s="1"/>
  <c r="K23" i="5" s="1"/>
  <c r="N17" i="6"/>
  <c r="O17" i="6"/>
  <c r="G7" i="5"/>
  <c r="H7" i="5" s="1"/>
  <c r="K7" i="5" s="1"/>
  <c r="G15" i="5"/>
  <c r="H15" i="5" s="1"/>
  <c r="K15" i="5" s="1"/>
  <c r="E29" i="3"/>
  <c r="E31" i="3"/>
  <c r="E33" i="3"/>
  <c r="E14" i="5"/>
  <c r="I14" i="5" s="1"/>
  <c r="E6" i="7"/>
  <c r="I6" i="7"/>
  <c r="E8" i="7"/>
  <c r="I8" i="7"/>
  <c r="E10" i="7"/>
  <c r="I10" i="7"/>
  <c r="E12" i="7"/>
  <c r="I12" i="7"/>
  <c r="E14" i="7"/>
  <c r="I14" i="7"/>
  <c r="E16" i="7"/>
  <c r="I16" i="7"/>
  <c r="F6" i="3"/>
  <c r="C55" i="3" s="1"/>
  <c r="F8" i="3"/>
  <c r="F10" i="3"/>
  <c r="C16" i="3"/>
  <c r="C18" i="3"/>
  <c r="D18" i="3" s="1"/>
  <c r="C20" i="3"/>
  <c r="D20" i="3" s="1"/>
  <c r="C21" i="3"/>
  <c r="D21" i="3" s="1"/>
  <c r="C25" i="3"/>
  <c r="B29" i="3"/>
  <c r="B30" i="3"/>
  <c r="B31" i="3"/>
  <c r="B32" i="3"/>
  <c r="B33" i="3"/>
  <c r="B34" i="3"/>
  <c r="G15" i="4"/>
  <c r="I5" i="5"/>
  <c r="F6" i="5"/>
  <c r="D8" i="5"/>
  <c r="F10" i="5"/>
  <c r="D12" i="5"/>
  <c r="F14" i="5"/>
  <c r="G14" i="5" s="1"/>
  <c r="H14" i="5" s="1"/>
  <c r="K14" i="5" s="1"/>
  <c r="D16" i="5"/>
  <c r="F18" i="5"/>
  <c r="D20" i="5"/>
  <c r="F22" i="5"/>
  <c r="D24" i="5"/>
  <c r="K5" i="6"/>
  <c r="O5" i="6"/>
  <c r="E22" i="6"/>
  <c r="E24" i="6"/>
  <c r="E17" i="7"/>
  <c r="E20" i="7"/>
  <c r="E22" i="7"/>
  <c r="E26" i="7"/>
  <c r="E6" i="5"/>
  <c r="E25" i="5" s="1"/>
  <c r="E18" i="5"/>
  <c r="I18" i="5" s="1"/>
  <c r="C30" i="3"/>
  <c r="C32" i="3"/>
  <c r="C33" i="3"/>
  <c r="C34" i="3"/>
  <c r="B65" i="3"/>
  <c r="E8" i="5"/>
  <c r="G8" i="5" s="1"/>
  <c r="H8" i="5" s="1"/>
  <c r="K8" i="5" s="1"/>
  <c r="E16" i="5"/>
  <c r="G16" i="5" s="1"/>
  <c r="H16" i="5" s="1"/>
  <c r="K16" i="5" s="1"/>
  <c r="E20" i="5"/>
  <c r="G20" i="5" s="1"/>
  <c r="H20" i="5" s="1"/>
  <c r="K20" i="5" s="1"/>
  <c r="E24" i="5"/>
  <c r="G24" i="5" s="1"/>
  <c r="H24" i="5" s="1"/>
  <c r="K24" i="5" s="1"/>
  <c r="D17" i="6"/>
  <c r="E17" i="6" s="1"/>
  <c r="H17" i="6"/>
  <c r="I17" i="6" s="1"/>
  <c r="E7" i="7"/>
  <c r="E9" i="7"/>
  <c r="E11" i="7"/>
  <c r="E13" i="7"/>
  <c r="E15" i="7"/>
  <c r="E18" i="7"/>
  <c r="E23" i="7"/>
  <c r="E27" i="7"/>
  <c r="E34" i="8"/>
  <c r="B22" i="3"/>
  <c r="B26" i="3" s="1"/>
  <c r="B23" i="3"/>
  <c r="E30" i="3"/>
  <c r="E35" i="3" s="1"/>
  <c r="E32" i="3"/>
  <c r="E34" i="3"/>
  <c r="A78" i="3"/>
  <c r="E10" i="5"/>
  <c r="I10" i="5" s="1"/>
  <c r="E22" i="5"/>
  <c r="I22" i="5" s="1"/>
  <c r="C29" i="3"/>
  <c r="C31" i="3"/>
  <c r="E12" i="5"/>
  <c r="G12" i="5" s="1"/>
  <c r="H12" i="5" s="1"/>
  <c r="K12" i="5" s="1"/>
  <c r="F7" i="3"/>
  <c r="F9" i="3"/>
  <c r="C19" i="3" s="1"/>
  <c r="D29" i="3"/>
  <c r="D36" i="3" s="1"/>
  <c r="G5" i="5"/>
  <c r="E5" i="7"/>
  <c r="E19" i="7"/>
  <c r="E21" i="7"/>
  <c r="E24" i="7"/>
  <c r="E28" i="7"/>
  <c r="E25" i="7"/>
  <c r="V2" i="11"/>
  <c r="V5" i="11"/>
  <c r="N5" i="11"/>
  <c r="N6" i="11"/>
  <c r="V10" i="11"/>
  <c r="V13" i="11"/>
  <c r="N13" i="11"/>
  <c r="N14" i="11"/>
  <c r="V18" i="11"/>
  <c r="V21" i="11"/>
  <c r="N21" i="11"/>
  <c r="N22" i="11"/>
  <c r="V26" i="11"/>
  <c r="V29" i="11"/>
  <c r="N29" i="11"/>
  <c r="N30" i="11"/>
  <c r="V34" i="11"/>
  <c r="V37" i="11"/>
  <c r="N37" i="11"/>
  <c r="N38" i="11"/>
  <c r="V42" i="11"/>
  <c r="V45" i="11"/>
  <c r="N45" i="11"/>
  <c r="N46" i="11"/>
  <c r="V50" i="11"/>
  <c r="V53" i="11"/>
  <c r="N53" i="11"/>
  <c r="N54" i="11"/>
  <c r="V58" i="11"/>
  <c r="V61" i="11"/>
  <c r="N61" i="11"/>
  <c r="N62" i="11"/>
  <c r="V66" i="11"/>
  <c r="V69" i="11"/>
  <c r="N69" i="11"/>
  <c r="N70" i="11"/>
  <c r="Q74" i="11"/>
  <c r="V77" i="11"/>
  <c r="N77" i="11"/>
  <c r="N78" i="11"/>
  <c r="V82" i="11"/>
  <c r="V85" i="11"/>
  <c r="N85" i="11"/>
  <c r="N86" i="11"/>
  <c r="V90" i="11"/>
  <c r="V93" i="11"/>
  <c r="N93" i="11"/>
  <c r="N98" i="11"/>
  <c r="V98" i="11"/>
  <c r="V101" i="11"/>
  <c r="N101" i="11"/>
  <c r="N106" i="11"/>
  <c r="V106" i="11"/>
  <c r="V109" i="11"/>
  <c r="N109" i="11"/>
  <c r="N114" i="11"/>
  <c r="V114" i="11"/>
  <c r="V117" i="11"/>
  <c r="N117" i="11"/>
  <c r="N122" i="11"/>
  <c r="V122" i="11"/>
  <c r="V125" i="11"/>
  <c r="N125" i="11"/>
  <c r="N130" i="11"/>
  <c r="V130" i="11"/>
  <c r="V133" i="11"/>
  <c r="N133" i="11"/>
  <c r="N138" i="11"/>
  <c r="V138" i="11"/>
  <c r="V141" i="11"/>
  <c r="N141" i="11"/>
  <c r="N146" i="11"/>
  <c r="V146" i="11"/>
  <c r="V149" i="11"/>
  <c r="N149" i="11"/>
  <c r="N154" i="11"/>
  <c r="V154" i="11"/>
  <c r="V157" i="11"/>
  <c r="N157" i="11"/>
  <c r="N162" i="11"/>
  <c r="V162" i="11"/>
  <c r="V165" i="11"/>
  <c r="N165" i="11"/>
  <c r="N170" i="11"/>
  <c r="V170" i="11"/>
  <c r="V173" i="11"/>
  <c r="N178" i="11"/>
  <c r="V178" i="11"/>
  <c r="V181" i="11"/>
  <c r="N186" i="11"/>
  <c r="V186" i="11"/>
  <c r="V189" i="11"/>
  <c r="N194" i="11"/>
  <c r="V194" i="11"/>
  <c r="V197" i="11"/>
  <c r="N202" i="11"/>
  <c r="V202" i="11"/>
  <c r="V205" i="11"/>
  <c r="N205" i="11"/>
  <c r="N210" i="11"/>
  <c r="V210" i="11"/>
  <c r="V213" i="11"/>
  <c r="N213" i="11"/>
  <c r="N218" i="11"/>
  <c r="V218" i="11"/>
  <c r="V221" i="11"/>
  <c r="N221" i="11"/>
  <c r="N226" i="11"/>
  <c r="V226" i="11"/>
  <c r="V229" i="11"/>
  <c r="N229" i="11"/>
  <c r="N234" i="11"/>
  <c r="V234" i="11"/>
  <c r="V237" i="11"/>
  <c r="N244" i="11"/>
  <c r="N252" i="11"/>
  <c r="N260" i="11"/>
  <c r="N268" i="11"/>
  <c r="V270" i="11"/>
  <c r="N276" i="11"/>
  <c r="V278" i="11"/>
  <c r="N284" i="11"/>
  <c r="V286" i="11"/>
  <c r="N292" i="11"/>
  <c r="V294" i="11"/>
  <c r="N300" i="11"/>
  <c r="V302" i="11"/>
  <c r="N308" i="11"/>
  <c r="V310" i="11"/>
  <c r="N316" i="11"/>
  <c r="V318" i="11"/>
  <c r="N324" i="11"/>
  <c r="V326" i="11"/>
  <c r="V344" i="11"/>
  <c r="N344" i="11"/>
  <c r="P344" i="11"/>
  <c r="N353" i="11"/>
  <c r="P359" i="11"/>
  <c r="N359" i="11" s="1"/>
  <c r="V359" i="11"/>
  <c r="V376" i="11"/>
  <c r="N376" i="11"/>
  <c r="P376" i="11"/>
  <c r="N385" i="11"/>
  <c r="P391" i="11"/>
  <c r="N391" i="11" s="1"/>
  <c r="V391" i="11"/>
  <c r="V408" i="11"/>
  <c r="N408" i="11"/>
  <c r="P408" i="11"/>
  <c r="N417" i="11"/>
  <c r="P423" i="11"/>
  <c r="V423" i="11"/>
  <c r="N423" i="11"/>
  <c r="V440" i="11"/>
  <c r="P440" i="11"/>
  <c r="N440" i="11" s="1"/>
  <c r="N449" i="11"/>
  <c r="P455" i="11"/>
  <c r="V455" i="11"/>
  <c r="N455" i="11"/>
  <c r="V472" i="11"/>
  <c r="N472" i="11"/>
  <c r="P472" i="11"/>
  <c r="N481" i="11"/>
  <c r="P487" i="11"/>
  <c r="N487" i="11" s="1"/>
  <c r="V487" i="11"/>
  <c r="N495" i="11"/>
  <c r="V3" i="11"/>
  <c r="N3" i="11"/>
  <c r="N4" i="11"/>
  <c r="V8" i="11"/>
  <c r="V11" i="11"/>
  <c r="N11" i="11"/>
  <c r="N12" i="11"/>
  <c r="V16" i="11"/>
  <c r="V19" i="11"/>
  <c r="N19" i="11"/>
  <c r="N20" i="11"/>
  <c r="V24" i="11"/>
  <c r="V27" i="11"/>
  <c r="N27" i="11"/>
  <c r="N28" i="11"/>
  <c r="V32" i="11"/>
  <c r="V35" i="11"/>
  <c r="N35" i="11"/>
  <c r="N36" i="11"/>
  <c r="V40" i="11"/>
  <c r="V43" i="11"/>
  <c r="N43" i="11"/>
  <c r="N44" i="11"/>
  <c r="V48" i="11"/>
  <c r="V51" i="11"/>
  <c r="N51" i="11"/>
  <c r="N52" i="11"/>
  <c r="V56" i="11"/>
  <c r="V59" i="11"/>
  <c r="N59" i="11"/>
  <c r="N60" i="11"/>
  <c r="V64" i="11"/>
  <c r="V67" i="11"/>
  <c r="N67" i="11"/>
  <c r="N68" i="11"/>
  <c r="V72" i="11"/>
  <c r="V75" i="11"/>
  <c r="N75" i="11"/>
  <c r="N76" i="11"/>
  <c r="V80" i="11"/>
  <c r="V83" i="11"/>
  <c r="N83" i="11"/>
  <c r="N84" i="11"/>
  <c r="V88" i="11"/>
  <c r="V91" i="11"/>
  <c r="N91" i="11"/>
  <c r="N96" i="11"/>
  <c r="V96" i="11"/>
  <c r="V99" i="11"/>
  <c r="N99" i="11"/>
  <c r="N104" i="11"/>
  <c r="V104" i="11"/>
  <c r="V107" i="11"/>
  <c r="N107" i="11"/>
  <c r="N112" i="11"/>
  <c r="V112" i="11"/>
  <c r="V115" i="11"/>
  <c r="N115" i="11"/>
  <c r="N120" i="11"/>
  <c r="V120" i="11"/>
  <c r="V123" i="11"/>
  <c r="N123" i="11"/>
  <c r="N128" i="11"/>
  <c r="V128" i="11"/>
  <c r="V131" i="11"/>
  <c r="N131" i="11"/>
  <c r="N136" i="11"/>
  <c r="V136" i="11"/>
  <c r="V139" i="11"/>
  <c r="N139" i="11"/>
  <c r="N144" i="11"/>
  <c r="V144" i="11"/>
  <c r="V147" i="11"/>
  <c r="N147" i="11"/>
  <c r="N152" i="11"/>
  <c r="V152" i="11"/>
  <c r="V155" i="11"/>
  <c r="N155" i="11"/>
  <c r="N160" i="11"/>
  <c r="V160" i="11"/>
  <c r="V163" i="11"/>
  <c r="N163" i="11"/>
  <c r="N168" i="11"/>
  <c r="V168" i="11"/>
  <c r="V171" i="11"/>
  <c r="N171" i="11"/>
  <c r="P173" i="11"/>
  <c r="B32" i="10" s="1"/>
  <c r="N176" i="11"/>
  <c r="V176" i="11"/>
  <c r="V179" i="11"/>
  <c r="N179" i="11"/>
  <c r="P181" i="11"/>
  <c r="N181" i="11" s="1"/>
  <c r="N184" i="11"/>
  <c r="V184" i="11"/>
  <c r="V187" i="11"/>
  <c r="N187" i="11"/>
  <c r="P189" i="11"/>
  <c r="N189" i="11" s="1"/>
  <c r="N192" i="11"/>
  <c r="V192" i="11"/>
  <c r="V195" i="11"/>
  <c r="N195" i="11"/>
  <c r="P197" i="11"/>
  <c r="N197" i="11" s="1"/>
  <c r="N200" i="11"/>
  <c r="V200" i="11"/>
  <c r="V203" i="11"/>
  <c r="N203" i="11"/>
  <c r="N208" i="11"/>
  <c r="V208" i="11"/>
  <c r="V211" i="11"/>
  <c r="N211" i="11"/>
  <c r="N216" i="11"/>
  <c r="V216" i="11"/>
  <c r="V219" i="11"/>
  <c r="N219" i="11"/>
  <c r="N224" i="11"/>
  <c r="V224" i="11"/>
  <c r="V227" i="11"/>
  <c r="N227" i="11"/>
  <c r="N232" i="11"/>
  <c r="V232" i="11"/>
  <c r="V235" i="11"/>
  <c r="N235" i="11"/>
  <c r="P237" i="11"/>
  <c r="N237" i="11" s="1"/>
  <c r="N240" i="11"/>
  <c r="V240" i="11"/>
  <c r="N246" i="11"/>
  <c r="V248" i="11"/>
  <c r="N254" i="11"/>
  <c r="V256" i="11"/>
  <c r="N262" i="11"/>
  <c r="V264" i="11"/>
  <c r="N270" i="11"/>
  <c r="V272" i="11"/>
  <c r="N278" i="11"/>
  <c r="V280" i="11"/>
  <c r="N286" i="11"/>
  <c r="V288" i="11"/>
  <c r="N294" i="11"/>
  <c r="V296" i="11"/>
  <c r="N302" i="11"/>
  <c r="V304" i="11"/>
  <c r="N310" i="11"/>
  <c r="V312" i="11"/>
  <c r="N318" i="11"/>
  <c r="V320" i="11"/>
  <c r="N326" i="11"/>
  <c r="V328" i="11"/>
  <c r="V336" i="11"/>
  <c r="P336" i="11"/>
  <c r="N336" i="11" s="1"/>
  <c r="N345" i="11"/>
  <c r="P351" i="11"/>
  <c r="V351" i="11"/>
  <c r="N351" i="11"/>
  <c r="V368" i="11"/>
  <c r="N368" i="11"/>
  <c r="P368" i="11"/>
  <c r="N377" i="11"/>
  <c r="P383" i="11"/>
  <c r="N383" i="11" s="1"/>
  <c r="V383" i="11"/>
  <c r="V400" i="11"/>
  <c r="N400" i="11"/>
  <c r="P400" i="11"/>
  <c r="N409" i="11"/>
  <c r="P415" i="11"/>
  <c r="N415" i="11" s="1"/>
  <c r="V415" i="11"/>
  <c r="V432" i="11"/>
  <c r="P432" i="11"/>
  <c r="N432" i="11" s="1"/>
  <c r="N441" i="11"/>
  <c r="P447" i="11"/>
  <c r="V447" i="11"/>
  <c r="N447" i="11"/>
  <c r="V464" i="11"/>
  <c r="P464" i="11"/>
  <c r="N464" i="11" s="1"/>
  <c r="N473" i="11"/>
  <c r="P479" i="11"/>
  <c r="V479" i="11"/>
  <c r="N479" i="11"/>
  <c r="N2" i="11"/>
  <c r="V6" i="11"/>
  <c r="V9" i="11"/>
  <c r="N9" i="11"/>
  <c r="N10" i="11"/>
  <c r="V14" i="11"/>
  <c r="V17" i="11"/>
  <c r="N17" i="11"/>
  <c r="N18" i="11"/>
  <c r="V22" i="11"/>
  <c r="V25" i="11"/>
  <c r="N25" i="11"/>
  <c r="N26" i="11"/>
  <c r="V30" i="11"/>
  <c r="V33" i="11"/>
  <c r="N33" i="11"/>
  <c r="N34" i="11"/>
  <c r="V38" i="11"/>
  <c r="V41" i="11"/>
  <c r="N41" i="11"/>
  <c r="N42" i="11"/>
  <c r="V46" i="11"/>
  <c r="V49" i="11"/>
  <c r="N49" i="11"/>
  <c r="N50" i="11"/>
  <c r="V54" i="11"/>
  <c r="V57" i="11"/>
  <c r="N57" i="11"/>
  <c r="N58" i="11"/>
  <c r="V62" i="11"/>
  <c r="V65" i="11"/>
  <c r="N65" i="11"/>
  <c r="N66" i="11"/>
  <c r="V70" i="11"/>
  <c r="V73" i="11"/>
  <c r="N73" i="11"/>
  <c r="N74" i="11"/>
  <c r="V78" i="11"/>
  <c r="V81" i="11"/>
  <c r="N81" i="11"/>
  <c r="N82" i="11"/>
  <c r="V86" i="11"/>
  <c r="V89" i="11"/>
  <c r="N89" i="11"/>
  <c r="N90" i="11"/>
  <c r="N94" i="11"/>
  <c r="V94" i="11"/>
  <c r="V97" i="11"/>
  <c r="N97" i="11"/>
  <c r="N102" i="11"/>
  <c r="V102" i="11"/>
  <c r="V105" i="11"/>
  <c r="N105" i="11"/>
  <c r="N110" i="11"/>
  <c r="V110" i="11"/>
  <c r="V113" i="11"/>
  <c r="N113" i="11"/>
  <c r="N118" i="11"/>
  <c r="V118" i="11"/>
  <c r="V121" i="11"/>
  <c r="N121" i="11"/>
  <c r="N126" i="11"/>
  <c r="V126" i="11"/>
  <c r="V129" i="11"/>
  <c r="N129" i="11"/>
  <c r="N134" i="11"/>
  <c r="V134" i="11"/>
  <c r="V137" i="11"/>
  <c r="N137" i="11"/>
  <c r="N142" i="11"/>
  <c r="V142" i="11"/>
  <c r="V145" i="11"/>
  <c r="N145" i="11"/>
  <c r="N150" i="11"/>
  <c r="V150" i="11"/>
  <c r="V153" i="11"/>
  <c r="N153" i="11"/>
  <c r="N158" i="11"/>
  <c r="V158" i="11"/>
  <c r="V161" i="11"/>
  <c r="N161" i="11"/>
  <c r="N166" i="11"/>
  <c r="V166" i="11"/>
  <c r="V169" i="11"/>
  <c r="N169" i="11"/>
  <c r="N174" i="11"/>
  <c r="V174" i="11"/>
  <c r="V177" i="11"/>
  <c r="N177" i="11"/>
  <c r="N182" i="11"/>
  <c r="V182" i="11"/>
  <c r="V185" i="11"/>
  <c r="N185" i="11"/>
  <c r="N190" i="11"/>
  <c r="V190" i="11"/>
  <c r="V193" i="11"/>
  <c r="N193" i="11"/>
  <c r="N198" i="11"/>
  <c r="V198" i="11"/>
  <c r="V201" i="11"/>
  <c r="N201" i="11"/>
  <c r="N206" i="11"/>
  <c r="V206" i="11"/>
  <c r="V209" i="11"/>
  <c r="N209" i="11"/>
  <c r="N214" i="11"/>
  <c r="V214" i="11"/>
  <c r="V217" i="11"/>
  <c r="N217" i="11"/>
  <c r="N222" i="11"/>
  <c r="V222" i="11"/>
  <c r="V225" i="11"/>
  <c r="N225" i="11"/>
  <c r="N230" i="11"/>
  <c r="V230" i="11"/>
  <c r="V233" i="11"/>
  <c r="N233" i="11"/>
  <c r="N238" i="11"/>
  <c r="V238" i="11"/>
  <c r="V242" i="11"/>
  <c r="N248" i="11"/>
  <c r="V250" i="11"/>
  <c r="N256" i="11"/>
  <c r="V258" i="11"/>
  <c r="N264" i="11"/>
  <c r="V266" i="11"/>
  <c r="N272" i="11"/>
  <c r="V274" i="11"/>
  <c r="N280" i="11"/>
  <c r="V282" i="11"/>
  <c r="N288" i="11"/>
  <c r="V290" i="11"/>
  <c r="N296" i="11"/>
  <c r="V298" i="11"/>
  <c r="N304" i="11"/>
  <c r="V306" i="11"/>
  <c r="N312" i="11"/>
  <c r="V314" i="11"/>
  <c r="N320" i="11"/>
  <c r="V322" i="11"/>
  <c r="N328" i="11"/>
  <c r="N337" i="11"/>
  <c r="P343" i="11"/>
  <c r="V343" i="11"/>
  <c r="N343" i="11"/>
  <c r="V360" i="11"/>
  <c r="P360" i="11"/>
  <c r="N360" i="11" s="1"/>
  <c r="N369" i="11"/>
  <c r="P375" i="11"/>
  <c r="V375" i="11"/>
  <c r="N375" i="11"/>
  <c r="V392" i="11"/>
  <c r="N392" i="11"/>
  <c r="P392" i="11"/>
  <c r="N401" i="11"/>
  <c r="P407" i="11"/>
  <c r="N407" i="11" s="1"/>
  <c r="V407" i="11"/>
  <c r="V424" i="11"/>
  <c r="N424" i="11"/>
  <c r="P424" i="11"/>
  <c r="N433" i="11"/>
  <c r="P439" i="11"/>
  <c r="N439" i="11" s="1"/>
  <c r="V439" i="11"/>
  <c r="V456" i="11"/>
  <c r="P456" i="11"/>
  <c r="N456" i="11" s="1"/>
  <c r="N465" i="11"/>
  <c r="P471" i="11"/>
  <c r="V471" i="11"/>
  <c r="N471" i="11"/>
  <c r="V488" i="11"/>
  <c r="P488" i="11"/>
  <c r="N488" i="11" s="1"/>
  <c r="V495" i="11"/>
  <c r="V7" i="11"/>
  <c r="N7" i="11"/>
  <c r="N8" i="11"/>
  <c r="V15" i="11"/>
  <c r="N15" i="11"/>
  <c r="N16" i="11"/>
  <c r="V23" i="11"/>
  <c r="N23" i="11"/>
  <c r="N24" i="11"/>
  <c r="V31" i="11"/>
  <c r="N31" i="11"/>
  <c r="N32" i="11"/>
  <c r="V39" i="11"/>
  <c r="N39" i="11"/>
  <c r="N40" i="11"/>
  <c r="V47" i="11"/>
  <c r="N47" i="11"/>
  <c r="N48" i="11"/>
  <c r="V55" i="11"/>
  <c r="N55" i="11"/>
  <c r="N56" i="11"/>
  <c r="V63" i="11"/>
  <c r="N63" i="11"/>
  <c r="N64" i="11"/>
  <c r="V71" i="11"/>
  <c r="N71" i="11"/>
  <c r="N72" i="11"/>
  <c r="V79" i="11"/>
  <c r="N79" i="11"/>
  <c r="N80" i="11"/>
  <c r="V87" i="11"/>
  <c r="N87" i="11"/>
  <c r="N88" i="11"/>
  <c r="N92" i="11"/>
  <c r="V92" i="11"/>
  <c r="V95" i="11"/>
  <c r="N95" i="11"/>
  <c r="N100" i="11"/>
  <c r="V100" i="11"/>
  <c r="V103" i="11"/>
  <c r="N103" i="11"/>
  <c r="N108" i="11"/>
  <c r="V108" i="11"/>
  <c r="V111" i="11"/>
  <c r="N111" i="11"/>
  <c r="N116" i="11"/>
  <c r="V116" i="11"/>
  <c r="V119" i="11"/>
  <c r="N119" i="11"/>
  <c r="N124" i="11"/>
  <c r="V124" i="11"/>
  <c r="V127" i="11"/>
  <c r="N127" i="11"/>
  <c r="N132" i="11"/>
  <c r="V132" i="11"/>
  <c r="V135" i="11"/>
  <c r="N135" i="11"/>
  <c r="N140" i="11"/>
  <c r="V140" i="11"/>
  <c r="V143" i="11"/>
  <c r="N143" i="11"/>
  <c r="N148" i="11"/>
  <c r="V148" i="11"/>
  <c r="V151" i="11"/>
  <c r="N151" i="11"/>
  <c r="N156" i="11"/>
  <c r="V156" i="11"/>
  <c r="V159" i="11"/>
  <c r="N159" i="11"/>
  <c r="N164" i="11"/>
  <c r="V164" i="11"/>
  <c r="V167" i="11"/>
  <c r="N167" i="11"/>
  <c r="N172" i="11"/>
  <c r="V172" i="11"/>
  <c r="V175" i="11"/>
  <c r="N175" i="11"/>
  <c r="N180" i="11"/>
  <c r="V180" i="11"/>
  <c r="V183" i="11"/>
  <c r="N183" i="11"/>
  <c r="N188" i="11"/>
  <c r="V188" i="11"/>
  <c r="V191" i="11"/>
  <c r="N191" i="11"/>
  <c r="N196" i="11"/>
  <c r="V196" i="11"/>
  <c r="V199" i="11"/>
  <c r="N199" i="11"/>
  <c r="N204" i="11"/>
  <c r="V204" i="11"/>
  <c r="V207" i="11"/>
  <c r="N207" i="11"/>
  <c r="N212" i="11"/>
  <c r="V212" i="11"/>
  <c r="V215" i="11"/>
  <c r="N215" i="11"/>
  <c r="N220" i="11"/>
  <c r="V220" i="11"/>
  <c r="V223" i="11"/>
  <c r="N223" i="11"/>
  <c r="N228" i="11"/>
  <c r="V228" i="11"/>
  <c r="V231" i="11"/>
  <c r="N231" i="11"/>
  <c r="N236" i="11"/>
  <c r="V236" i="11"/>
  <c r="V239" i="11"/>
  <c r="N239" i="11"/>
  <c r="N242" i="11"/>
  <c r="N250" i="11"/>
  <c r="N258" i="11"/>
  <c r="N266" i="11"/>
  <c r="N274" i="11"/>
  <c r="N282" i="11"/>
  <c r="N290" i="11"/>
  <c r="N298" i="11"/>
  <c r="N306" i="11"/>
  <c r="N314" i="11"/>
  <c r="N322" i="11"/>
  <c r="P335" i="11"/>
  <c r="N335" i="11" s="1"/>
  <c r="V335" i="11"/>
  <c r="V352" i="11"/>
  <c r="N352" i="11"/>
  <c r="P352" i="11"/>
  <c r="N361" i="11"/>
  <c r="P367" i="11"/>
  <c r="N367" i="11" s="1"/>
  <c r="V367" i="11"/>
  <c r="V384" i="11"/>
  <c r="N384" i="11"/>
  <c r="P384" i="11"/>
  <c r="N393" i="11"/>
  <c r="P399" i="11"/>
  <c r="V399" i="11"/>
  <c r="N399" i="11"/>
  <c r="V416" i="11"/>
  <c r="P416" i="11"/>
  <c r="N416" i="11" s="1"/>
  <c r="N425" i="11"/>
  <c r="P431" i="11"/>
  <c r="V431" i="11"/>
  <c r="N431" i="11"/>
  <c r="V448" i="11"/>
  <c r="N448" i="11"/>
  <c r="P448" i="11"/>
  <c r="N457" i="11"/>
  <c r="P463" i="11"/>
  <c r="N463" i="11" s="1"/>
  <c r="V463" i="11"/>
  <c r="V480" i="11"/>
  <c r="N480" i="11"/>
  <c r="P480" i="11"/>
  <c r="N489" i="11"/>
  <c r="V498" i="11"/>
  <c r="N503" i="11"/>
  <c r="V503" i="11"/>
  <c r="V506" i="11"/>
  <c r="N511" i="11"/>
  <c r="V511" i="11"/>
  <c r="V514" i="11"/>
  <c r="N519" i="11"/>
  <c r="V519" i="11"/>
  <c r="V522" i="11"/>
  <c r="N527" i="11"/>
  <c r="V527" i="11"/>
  <c r="V530" i="11"/>
  <c r="N535" i="11"/>
  <c r="V535" i="11"/>
  <c r="V538" i="11"/>
  <c r="N543" i="11"/>
  <c r="V543" i="11"/>
  <c r="V546" i="11"/>
  <c r="N551" i="11"/>
  <c r="V551" i="11"/>
  <c r="V554" i="11"/>
  <c r="N559" i="11"/>
  <c r="V559" i="11"/>
  <c r="V562" i="11"/>
  <c r="N567" i="11"/>
  <c r="V567" i="11"/>
  <c r="V570" i="11"/>
  <c r="N575" i="11"/>
  <c r="V575" i="11"/>
  <c r="V578" i="11"/>
  <c r="N583" i="11"/>
  <c r="V583" i="11"/>
  <c r="V586" i="11"/>
  <c r="N591" i="11"/>
  <c r="V591" i="11"/>
  <c r="V594" i="11"/>
  <c r="N599" i="11"/>
  <c r="V599" i="11"/>
  <c r="V602" i="11"/>
  <c r="N607" i="11"/>
  <c r="V607" i="11"/>
  <c r="V610" i="11"/>
  <c r="N615" i="11"/>
  <c r="V615" i="11"/>
  <c r="V618" i="11"/>
  <c r="N625" i="11"/>
  <c r="N633" i="11"/>
  <c r="N641" i="11"/>
  <c r="N649" i="11"/>
  <c r="N657" i="11"/>
  <c r="N665" i="11"/>
  <c r="N673" i="11"/>
  <c r="N681" i="11"/>
  <c r="N689" i="11"/>
  <c r="N697" i="11"/>
  <c r="N705" i="11"/>
  <c r="N713" i="11"/>
  <c r="N721" i="11"/>
  <c r="N729" i="11"/>
  <c r="N737" i="11"/>
  <c r="N745" i="11"/>
  <c r="N753" i="11"/>
  <c r="N761" i="11"/>
  <c r="N769" i="11"/>
  <c r="N777" i="11"/>
  <c r="V787" i="11"/>
  <c r="P787" i="11"/>
  <c r="N787" i="11" s="1"/>
  <c r="N796" i="11"/>
  <c r="P802" i="11"/>
  <c r="V802" i="11"/>
  <c r="N802" i="11"/>
  <c r="V819" i="11"/>
  <c r="N819" i="11"/>
  <c r="P819" i="11"/>
  <c r="N828" i="11"/>
  <c r="P834" i="11"/>
  <c r="N834" i="11" s="1"/>
  <c r="V834" i="11"/>
  <c r="P848" i="11"/>
  <c r="N848" i="11" s="1"/>
  <c r="V848" i="11"/>
  <c r="P856" i="11"/>
  <c r="V856" i="11"/>
  <c r="N856" i="11"/>
  <c r="P864" i="11"/>
  <c r="V864" i="11"/>
  <c r="N864" i="11"/>
  <c r="N884" i="11"/>
  <c r="N889" i="11"/>
  <c r="P890" i="11"/>
  <c r="V890" i="11"/>
  <c r="N890" i="11"/>
  <c r="N916" i="11"/>
  <c r="N921" i="11"/>
  <c r="P922" i="11"/>
  <c r="N922" i="11" s="1"/>
  <c r="V922" i="11"/>
  <c r="N948" i="11"/>
  <c r="N953" i="11"/>
  <c r="P954" i="11"/>
  <c r="N954" i="11" s="1"/>
  <c r="V954" i="11"/>
  <c r="N980" i="11"/>
  <c r="N985" i="11"/>
  <c r="V997" i="11"/>
  <c r="P997" i="11"/>
  <c r="N997" i="11"/>
  <c r="V1013" i="11"/>
  <c r="P1013" i="11"/>
  <c r="N1013" i="11" s="1"/>
  <c r="V1029" i="11"/>
  <c r="P1029" i="11"/>
  <c r="N1029" i="11"/>
  <c r="V1045" i="11"/>
  <c r="P1045" i="11"/>
  <c r="N1045" i="11" s="1"/>
  <c r="V1061" i="11"/>
  <c r="P1061" i="11"/>
  <c r="N1061" i="11"/>
  <c r="Q1090" i="11"/>
  <c r="V1090" i="11"/>
  <c r="N1090" i="11"/>
  <c r="Q1130" i="11"/>
  <c r="V1130" i="11"/>
  <c r="N1130" i="11"/>
  <c r="V334" i="11"/>
  <c r="V342" i="11"/>
  <c r="V350" i="11"/>
  <c r="V358" i="11"/>
  <c r="V366" i="11"/>
  <c r="V374" i="11"/>
  <c r="V382" i="11"/>
  <c r="V390" i="11"/>
  <c r="V398" i="11"/>
  <c r="V406" i="11"/>
  <c r="V414" i="11"/>
  <c r="V422" i="11"/>
  <c r="V430" i="11"/>
  <c r="V438" i="11"/>
  <c r="V446" i="11"/>
  <c r="V454" i="11"/>
  <c r="V462" i="11"/>
  <c r="V470" i="11"/>
  <c r="V478" i="11"/>
  <c r="V486" i="11"/>
  <c r="V494" i="11"/>
  <c r="V496" i="11"/>
  <c r="N496" i="11"/>
  <c r="P498" i="11"/>
  <c r="N498" i="11" s="1"/>
  <c r="N501" i="11"/>
  <c r="V501" i="11"/>
  <c r="V504" i="11"/>
  <c r="P506" i="11"/>
  <c r="N506" i="11" s="1"/>
  <c r="N509" i="11"/>
  <c r="V509" i="11"/>
  <c r="V512" i="11"/>
  <c r="P514" i="11"/>
  <c r="N514" i="11" s="1"/>
  <c r="N517" i="11"/>
  <c r="V517" i="11"/>
  <c r="V520" i="11"/>
  <c r="P522" i="11"/>
  <c r="N522" i="11" s="1"/>
  <c r="N525" i="11"/>
  <c r="V525" i="11"/>
  <c r="V528" i="11"/>
  <c r="N528" i="11"/>
  <c r="P530" i="11"/>
  <c r="N530" i="11" s="1"/>
  <c r="N533" i="11"/>
  <c r="V533" i="11"/>
  <c r="V536" i="11"/>
  <c r="P538" i="11"/>
  <c r="N538" i="11" s="1"/>
  <c r="N541" i="11"/>
  <c r="V541" i="11"/>
  <c r="V544" i="11"/>
  <c r="P546" i="11"/>
  <c r="N546" i="11" s="1"/>
  <c r="N549" i="11"/>
  <c r="V549" i="11"/>
  <c r="V552" i="11"/>
  <c r="P554" i="11"/>
  <c r="N554" i="11" s="1"/>
  <c r="N557" i="11"/>
  <c r="V557" i="11"/>
  <c r="V560" i="11"/>
  <c r="N560" i="11"/>
  <c r="P562" i="11"/>
  <c r="N562" i="11" s="1"/>
  <c r="N565" i="11"/>
  <c r="V565" i="11"/>
  <c r="V568" i="11"/>
  <c r="P570" i="11"/>
  <c r="N570" i="11" s="1"/>
  <c r="N573" i="11"/>
  <c r="V573" i="11"/>
  <c r="V576" i="11"/>
  <c r="P578" i="11"/>
  <c r="N578" i="11" s="1"/>
  <c r="N581" i="11"/>
  <c r="V581" i="11"/>
  <c r="V584" i="11"/>
  <c r="P586" i="11"/>
  <c r="N586" i="11" s="1"/>
  <c r="N589" i="11"/>
  <c r="V589" i="11"/>
  <c r="V592" i="11"/>
  <c r="N592" i="11"/>
  <c r="P594" i="11"/>
  <c r="N594" i="11" s="1"/>
  <c r="N597" i="11"/>
  <c r="V597" i="11"/>
  <c r="V600" i="11"/>
  <c r="P602" i="11"/>
  <c r="N602" i="11" s="1"/>
  <c r="N605" i="11"/>
  <c r="V605" i="11"/>
  <c r="V608" i="11"/>
  <c r="P610" i="11"/>
  <c r="N610" i="11" s="1"/>
  <c r="N613" i="11"/>
  <c r="V613" i="11"/>
  <c r="V616" i="11"/>
  <c r="P618" i="11"/>
  <c r="N618" i="11" s="1"/>
  <c r="N621" i="11"/>
  <c r="V621" i="11"/>
  <c r="N627" i="11"/>
  <c r="N635" i="11"/>
  <c r="N643" i="11"/>
  <c r="N651" i="11"/>
  <c r="N659" i="11"/>
  <c r="N667" i="11"/>
  <c r="N675" i="11"/>
  <c r="N683" i="11"/>
  <c r="N691" i="11"/>
  <c r="N699" i="11"/>
  <c r="N707" i="11"/>
  <c r="N715" i="11"/>
  <c r="N723" i="11"/>
  <c r="N731" i="11"/>
  <c r="N739" i="11"/>
  <c r="N747" i="11"/>
  <c r="N755" i="11"/>
  <c r="N763" i="11"/>
  <c r="N771" i="11"/>
  <c r="N779" i="11"/>
  <c r="N788" i="11"/>
  <c r="P794" i="11"/>
  <c r="N794" i="11" s="1"/>
  <c r="V794" i="11"/>
  <c r="V811" i="11"/>
  <c r="N811" i="11"/>
  <c r="P811" i="11"/>
  <c r="N820" i="11"/>
  <c r="P826" i="11"/>
  <c r="N826" i="11" s="1"/>
  <c r="V826" i="11"/>
  <c r="V843" i="11"/>
  <c r="P843" i="11"/>
  <c r="N843" i="11" s="1"/>
  <c r="P846" i="11"/>
  <c r="V846" i="11"/>
  <c r="N846" i="11"/>
  <c r="P854" i="11"/>
  <c r="N854" i="11" s="1"/>
  <c r="V854" i="11"/>
  <c r="P862" i="11"/>
  <c r="N862" i="11" s="1"/>
  <c r="V862" i="11"/>
  <c r="N876" i="11"/>
  <c r="N881" i="11"/>
  <c r="P882" i="11"/>
  <c r="N882" i="11" s="1"/>
  <c r="V882" i="11"/>
  <c r="V884" i="11"/>
  <c r="N908" i="11"/>
  <c r="N913" i="11"/>
  <c r="P914" i="11"/>
  <c r="V914" i="11"/>
  <c r="N914" i="11"/>
  <c r="V916" i="11"/>
  <c r="N940" i="11"/>
  <c r="N945" i="11"/>
  <c r="P946" i="11"/>
  <c r="N946" i="11" s="1"/>
  <c r="V946" i="11"/>
  <c r="V948" i="11"/>
  <c r="N972" i="11"/>
  <c r="N977" i="11"/>
  <c r="P978" i="11"/>
  <c r="V978" i="11"/>
  <c r="N978" i="11"/>
  <c r="V980" i="11"/>
  <c r="V1001" i="11"/>
  <c r="P1001" i="11"/>
  <c r="N1001" i="11"/>
  <c r="V1017" i="11"/>
  <c r="P1017" i="11"/>
  <c r="N1017" i="11" s="1"/>
  <c r="V1033" i="11"/>
  <c r="P1033" i="11"/>
  <c r="N1033" i="11"/>
  <c r="V1049" i="11"/>
  <c r="P1049" i="11"/>
  <c r="N1049" i="11" s="1"/>
  <c r="N1076" i="11"/>
  <c r="Q1077" i="11"/>
  <c r="V1077" i="11"/>
  <c r="N1077" i="11"/>
  <c r="N1233" i="11"/>
  <c r="N1235" i="11"/>
  <c r="Q1236" i="11"/>
  <c r="V1236" i="11"/>
  <c r="N1236" i="11"/>
  <c r="N1240" i="11"/>
  <c r="N1244" i="11"/>
  <c r="N241" i="11"/>
  <c r="N243" i="11"/>
  <c r="N245" i="11"/>
  <c r="N247" i="11"/>
  <c r="N249" i="11"/>
  <c r="N251" i="11"/>
  <c r="N253" i="11"/>
  <c r="N255" i="11"/>
  <c r="N257" i="11"/>
  <c r="N259" i="11"/>
  <c r="N261" i="11"/>
  <c r="N263" i="11"/>
  <c r="N265" i="11"/>
  <c r="N267" i="11"/>
  <c r="N269" i="11"/>
  <c r="N271" i="11"/>
  <c r="N273" i="11"/>
  <c r="N275" i="11"/>
  <c r="N277" i="11"/>
  <c r="N279" i="11"/>
  <c r="N281" i="11"/>
  <c r="N283" i="11"/>
  <c r="N285" i="11"/>
  <c r="N287" i="11"/>
  <c r="N289" i="11"/>
  <c r="N291" i="11"/>
  <c r="N293" i="11"/>
  <c r="N295" i="11"/>
  <c r="N297" i="11"/>
  <c r="N299" i="11"/>
  <c r="N301" i="11"/>
  <c r="N303" i="11"/>
  <c r="N305" i="11"/>
  <c r="N307" i="11"/>
  <c r="N309" i="11"/>
  <c r="N311" i="11"/>
  <c r="N313" i="11"/>
  <c r="N315" i="11"/>
  <c r="N317" i="11"/>
  <c r="N319" i="11"/>
  <c r="N321" i="11"/>
  <c r="N323" i="11"/>
  <c r="N325" i="11"/>
  <c r="N327" i="11"/>
  <c r="N329" i="11"/>
  <c r="V332" i="11"/>
  <c r="N332" i="11"/>
  <c r="N333" i="11"/>
  <c r="V337" i="11"/>
  <c r="V340" i="11"/>
  <c r="N340" i="11"/>
  <c r="N341" i="11"/>
  <c r="V345" i="11"/>
  <c r="V348" i="11"/>
  <c r="N348" i="11"/>
  <c r="N349" i="11"/>
  <c r="V353" i="11"/>
  <c r="V356" i="11"/>
  <c r="N356" i="11"/>
  <c r="N357" i="11"/>
  <c r="V361" i="11"/>
  <c r="V364" i="11"/>
  <c r="N364" i="11"/>
  <c r="N365" i="11"/>
  <c r="V369" i="11"/>
  <c r="V372" i="11"/>
  <c r="N372" i="11"/>
  <c r="N373" i="11"/>
  <c r="V377" i="11"/>
  <c r="V380" i="11"/>
  <c r="N380" i="11"/>
  <c r="N381" i="11"/>
  <c r="V385" i="11"/>
  <c r="V388" i="11"/>
  <c r="N388" i="11"/>
  <c r="N389" i="11"/>
  <c r="V393" i="11"/>
  <c r="V396" i="11"/>
  <c r="N396" i="11"/>
  <c r="N397" i="11"/>
  <c r="V401" i="11"/>
  <c r="V404" i="11"/>
  <c r="N404" i="11"/>
  <c r="N405" i="11"/>
  <c r="V409" i="11"/>
  <c r="V412" i="11"/>
  <c r="N412" i="11"/>
  <c r="N413" i="11"/>
  <c r="V417" i="11"/>
  <c r="V420" i="11"/>
  <c r="N420" i="11"/>
  <c r="N421" i="11"/>
  <c r="V425" i="11"/>
  <c r="V428" i="11"/>
  <c r="N428" i="11"/>
  <c r="N429" i="11"/>
  <c r="V433" i="11"/>
  <c r="V436" i="11"/>
  <c r="N436" i="11"/>
  <c r="N437" i="11"/>
  <c r="V441" i="11"/>
  <c r="V444" i="11"/>
  <c r="N444" i="11"/>
  <c r="N445" i="11"/>
  <c r="V449" i="11"/>
  <c r="V452" i="11"/>
  <c r="N452" i="11"/>
  <c r="N453" i="11"/>
  <c r="V457" i="11"/>
  <c r="V460" i="11"/>
  <c r="N460" i="11"/>
  <c r="N461" i="11"/>
  <c r="V465" i="11"/>
  <c r="V468" i="11"/>
  <c r="N468" i="11"/>
  <c r="N469" i="11"/>
  <c r="V473" i="11"/>
  <c r="V476" i="11"/>
  <c r="N476" i="11"/>
  <c r="N477" i="11"/>
  <c r="V481" i="11"/>
  <c r="V484" i="11"/>
  <c r="N484" i="11"/>
  <c r="N485" i="11"/>
  <c r="V489" i="11"/>
  <c r="V492" i="11"/>
  <c r="N492" i="11"/>
  <c r="N493" i="11"/>
  <c r="P496" i="11"/>
  <c r="N499" i="11"/>
  <c r="V499" i="11"/>
  <c r="V502" i="11"/>
  <c r="N502" i="11"/>
  <c r="P504" i="11"/>
  <c r="N504" i="11" s="1"/>
  <c r="N507" i="11"/>
  <c r="V507" i="11"/>
  <c r="V510" i="11"/>
  <c r="N510" i="11"/>
  <c r="P512" i="11"/>
  <c r="N512" i="11" s="1"/>
  <c r="N515" i="11"/>
  <c r="V515" i="11"/>
  <c r="V518" i="11"/>
  <c r="N518" i="11"/>
  <c r="P520" i="11"/>
  <c r="N520" i="11" s="1"/>
  <c r="N523" i="11"/>
  <c r="V523" i="11"/>
  <c r="V526" i="11"/>
  <c r="N526" i="11"/>
  <c r="P528" i="11"/>
  <c r="N531" i="11"/>
  <c r="V531" i="11"/>
  <c r="V534" i="11"/>
  <c r="N534" i="11"/>
  <c r="P536" i="11"/>
  <c r="N536" i="11" s="1"/>
  <c r="N539" i="11"/>
  <c r="V539" i="11"/>
  <c r="V542" i="11"/>
  <c r="N542" i="11"/>
  <c r="P544" i="11"/>
  <c r="N544" i="11" s="1"/>
  <c r="N547" i="11"/>
  <c r="V547" i="11"/>
  <c r="V550" i="11"/>
  <c r="N550" i="11"/>
  <c r="P552" i="11"/>
  <c r="N552" i="11" s="1"/>
  <c r="N555" i="11"/>
  <c r="V555" i="11"/>
  <c r="V558" i="11"/>
  <c r="N558" i="11"/>
  <c r="P560" i="11"/>
  <c r="N563" i="11"/>
  <c r="V563" i="11"/>
  <c r="V566" i="11"/>
  <c r="N566" i="11"/>
  <c r="P568" i="11"/>
  <c r="N568" i="11" s="1"/>
  <c r="N571" i="11"/>
  <c r="V571" i="11"/>
  <c r="V574" i="11"/>
  <c r="N574" i="11"/>
  <c r="P576" i="11"/>
  <c r="N576" i="11" s="1"/>
  <c r="N579" i="11"/>
  <c r="V579" i="11"/>
  <c r="V582" i="11"/>
  <c r="N582" i="11"/>
  <c r="P584" i="11"/>
  <c r="N584" i="11" s="1"/>
  <c r="N587" i="11"/>
  <c r="V587" i="11"/>
  <c r="V590" i="11"/>
  <c r="P592" i="11"/>
  <c r="N595" i="11"/>
  <c r="V595" i="11"/>
  <c r="V598" i="11"/>
  <c r="N598" i="11"/>
  <c r="P600" i="11"/>
  <c r="N600" i="11" s="1"/>
  <c r="N603" i="11"/>
  <c r="V603" i="11"/>
  <c r="V606" i="11"/>
  <c r="N606" i="11"/>
  <c r="P608" i="11"/>
  <c r="N608" i="11" s="1"/>
  <c r="N611" i="11"/>
  <c r="V611" i="11"/>
  <c r="V614" i="11"/>
  <c r="N614" i="11"/>
  <c r="P616" i="11"/>
  <c r="N616" i="11" s="1"/>
  <c r="N619" i="11"/>
  <c r="V619" i="11"/>
  <c r="V623" i="11"/>
  <c r="N629" i="11"/>
  <c r="V631" i="11"/>
  <c r="N637" i="11"/>
  <c r="V639" i="11"/>
  <c r="N645" i="11"/>
  <c r="V647" i="11"/>
  <c r="N653" i="11"/>
  <c r="V655" i="11"/>
  <c r="N661" i="11"/>
  <c r="V663" i="11"/>
  <c r="N669" i="11"/>
  <c r="V671" i="11"/>
  <c r="N677" i="11"/>
  <c r="V679" i="11"/>
  <c r="N685" i="11"/>
  <c r="V687" i="11"/>
  <c r="N693" i="11"/>
  <c r="V695" i="11"/>
  <c r="N701" i="11"/>
  <c r="V703" i="11"/>
  <c r="N709" i="11"/>
  <c r="V711" i="11"/>
  <c r="N717" i="11"/>
  <c r="V719" i="11"/>
  <c r="N725" i="11"/>
  <c r="V727" i="11"/>
  <c r="N733" i="11"/>
  <c r="V735" i="11"/>
  <c r="N741" i="11"/>
  <c r="V743" i="11"/>
  <c r="N749" i="11"/>
  <c r="V751" i="11"/>
  <c r="N757" i="11"/>
  <c r="V759" i="11"/>
  <c r="N765" i="11"/>
  <c r="V767" i="11"/>
  <c r="N773" i="11"/>
  <c r="V775" i="11"/>
  <c r="P786" i="11"/>
  <c r="V786" i="11"/>
  <c r="N786" i="11"/>
  <c r="V803" i="11"/>
  <c r="N803" i="11"/>
  <c r="P803" i="11"/>
  <c r="N812" i="11"/>
  <c r="P818" i="11"/>
  <c r="V818" i="11"/>
  <c r="N818" i="11"/>
  <c r="V835" i="11"/>
  <c r="P835" i="11"/>
  <c r="N835" i="11" s="1"/>
  <c r="Q844" i="11"/>
  <c r="V844" i="11"/>
  <c r="N844" i="11"/>
  <c r="P852" i="11"/>
  <c r="V852" i="11"/>
  <c r="N852" i="11"/>
  <c r="P860" i="11"/>
  <c r="V860" i="11"/>
  <c r="N860" i="11"/>
  <c r="N868" i="11"/>
  <c r="N873" i="11"/>
  <c r="P874" i="11"/>
  <c r="V874" i="11"/>
  <c r="N874" i="11"/>
  <c r="V876" i="11"/>
  <c r="N900" i="11"/>
  <c r="N905" i="11"/>
  <c r="P906" i="11"/>
  <c r="N906" i="11" s="1"/>
  <c r="V906" i="11"/>
  <c r="V908" i="11"/>
  <c r="N932" i="11"/>
  <c r="N937" i="11"/>
  <c r="P938" i="11"/>
  <c r="V938" i="11"/>
  <c r="N938" i="11"/>
  <c r="V940" i="11"/>
  <c r="N964" i="11"/>
  <c r="N969" i="11"/>
  <c r="P970" i="11"/>
  <c r="N970" i="11" s="1"/>
  <c r="V970" i="11"/>
  <c r="V972" i="11"/>
  <c r="N989" i="11"/>
  <c r="V1005" i="11"/>
  <c r="P1005" i="11"/>
  <c r="N1005" i="11" s="1"/>
  <c r="V1021" i="11"/>
  <c r="P1021" i="11"/>
  <c r="N1021" i="11"/>
  <c r="V1037" i="11"/>
  <c r="P1037" i="11"/>
  <c r="N1037" i="11" s="1"/>
  <c r="V1053" i="11"/>
  <c r="P1053" i="11"/>
  <c r="N1053" i="11"/>
  <c r="V1177" i="11"/>
  <c r="P1177" i="11"/>
  <c r="N1177" i="11" s="1"/>
  <c r="V330" i="11"/>
  <c r="N330" i="11"/>
  <c r="N331" i="11"/>
  <c r="P334" i="11"/>
  <c r="N334" i="11" s="1"/>
  <c r="V338" i="11"/>
  <c r="N338" i="11"/>
  <c r="N339" i="11"/>
  <c r="P342" i="11"/>
  <c r="N342" i="11" s="1"/>
  <c r="V346" i="11"/>
  <c r="N346" i="11"/>
  <c r="N347" i="11"/>
  <c r="P350" i="11"/>
  <c r="N350" i="11" s="1"/>
  <c r="V354" i="11"/>
  <c r="N354" i="11"/>
  <c r="N355" i="11"/>
  <c r="P358" i="11"/>
  <c r="N358" i="11" s="1"/>
  <c r="V362" i="11"/>
  <c r="N362" i="11"/>
  <c r="N363" i="11"/>
  <c r="P366" i="11"/>
  <c r="N366" i="11" s="1"/>
  <c r="V370" i="11"/>
  <c r="N370" i="11"/>
  <c r="N371" i="11"/>
  <c r="P374" i="11"/>
  <c r="N374" i="11" s="1"/>
  <c r="V378" i="11"/>
  <c r="N378" i="11"/>
  <c r="N379" i="11"/>
  <c r="P382" i="11"/>
  <c r="N382" i="11" s="1"/>
  <c r="V386" i="11"/>
  <c r="N386" i="11"/>
  <c r="N387" i="11"/>
  <c r="P390" i="11"/>
  <c r="N390" i="11" s="1"/>
  <c r="V394" i="11"/>
  <c r="N394" i="11"/>
  <c r="N395" i="11"/>
  <c r="P398" i="11"/>
  <c r="N398" i="11" s="1"/>
  <c r="V402" i="11"/>
  <c r="N402" i="11"/>
  <c r="N403" i="11"/>
  <c r="P406" i="11"/>
  <c r="N406" i="11" s="1"/>
  <c r="V410" i="11"/>
  <c r="N410" i="11"/>
  <c r="N411" i="11"/>
  <c r="P414" i="11"/>
  <c r="N414" i="11" s="1"/>
  <c r="V418" i="11"/>
  <c r="N418" i="11"/>
  <c r="N419" i="11"/>
  <c r="P422" i="11"/>
  <c r="N422" i="11" s="1"/>
  <c r="V426" i="11"/>
  <c r="N426" i="11"/>
  <c r="N427" i="11"/>
  <c r="P430" i="11"/>
  <c r="N430" i="11" s="1"/>
  <c r="V434" i="11"/>
  <c r="N434" i="11"/>
  <c r="N435" i="11"/>
  <c r="P438" i="11"/>
  <c r="N438" i="11" s="1"/>
  <c r="V442" i="11"/>
  <c r="N442" i="11"/>
  <c r="N443" i="11"/>
  <c r="P446" i="11"/>
  <c r="N446" i="11" s="1"/>
  <c r="V450" i="11"/>
  <c r="N450" i="11"/>
  <c r="N451" i="11"/>
  <c r="P454" i="11"/>
  <c r="N454" i="11" s="1"/>
  <c r="V458" i="11"/>
  <c r="N458" i="11"/>
  <c r="N459" i="11"/>
  <c r="P462" i="11"/>
  <c r="N462" i="11" s="1"/>
  <c r="V466" i="11"/>
  <c r="N466" i="11"/>
  <c r="N467" i="11"/>
  <c r="P470" i="11"/>
  <c r="N470" i="11" s="1"/>
  <c r="V474" i="11"/>
  <c r="N474" i="11"/>
  <c r="N475" i="11"/>
  <c r="P478" i="11"/>
  <c r="N478" i="11" s="1"/>
  <c r="V482" i="11"/>
  <c r="N482" i="11"/>
  <c r="N483" i="11"/>
  <c r="P486" i="11"/>
  <c r="N486" i="11" s="1"/>
  <c r="V490" i="11"/>
  <c r="N490" i="11"/>
  <c r="N491" i="11"/>
  <c r="P494" i="11"/>
  <c r="N494" i="11" s="1"/>
  <c r="N497" i="11"/>
  <c r="V497" i="11"/>
  <c r="V500" i="11"/>
  <c r="N500" i="11"/>
  <c r="N505" i="11"/>
  <c r="V505" i="11"/>
  <c r="V508" i="11"/>
  <c r="N508" i="11"/>
  <c r="N513" i="11"/>
  <c r="V513" i="11"/>
  <c r="V516" i="11"/>
  <c r="N516" i="11"/>
  <c r="N521" i="11"/>
  <c r="V521" i="11"/>
  <c r="V524" i="11"/>
  <c r="N524" i="11"/>
  <c r="N529" i="11"/>
  <c r="V529" i="11"/>
  <c r="V532" i="11"/>
  <c r="N532" i="11"/>
  <c r="N537" i="11"/>
  <c r="V537" i="11"/>
  <c r="V540" i="11"/>
  <c r="N540" i="11"/>
  <c r="N545" i="11"/>
  <c r="V545" i="11"/>
  <c r="V548" i="11"/>
  <c r="N548" i="11"/>
  <c r="N553" i="11"/>
  <c r="V553" i="11"/>
  <c r="V556" i="11"/>
  <c r="N556" i="11"/>
  <c r="N561" i="11"/>
  <c r="V561" i="11"/>
  <c r="V564" i="11"/>
  <c r="N564" i="11"/>
  <c r="N569" i="11"/>
  <c r="V569" i="11"/>
  <c r="V572" i="11"/>
  <c r="N572" i="11"/>
  <c r="N577" i="11"/>
  <c r="V577" i="11"/>
  <c r="V580" i="11"/>
  <c r="N580" i="11"/>
  <c r="N585" i="11"/>
  <c r="V585" i="11"/>
  <c r="V588" i="11"/>
  <c r="N588" i="11"/>
  <c r="P590" i="11"/>
  <c r="N590" i="11" s="1"/>
  <c r="N593" i="11"/>
  <c r="V593" i="11"/>
  <c r="V596" i="11"/>
  <c r="N596" i="11"/>
  <c r="N601" i="11"/>
  <c r="V601" i="11"/>
  <c r="V604" i="11"/>
  <c r="N604" i="11"/>
  <c r="N609" i="11"/>
  <c r="V609" i="11"/>
  <c r="V612" i="11"/>
  <c r="N612" i="11"/>
  <c r="N617" i="11"/>
  <c r="V617" i="11"/>
  <c r="V620" i="11"/>
  <c r="N620" i="11"/>
  <c r="N623" i="11"/>
  <c r="V625" i="11"/>
  <c r="N631" i="11"/>
  <c r="V633" i="11"/>
  <c r="N639" i="11"/>
  <c r="V641" i="11"/>
  <c r="N647" i="11"/>
  <c r="V649" i="11"/>
  <c r="N655" i="11"/>
  <c r="V657" i="11"/>
  <c r="N663" i="11"/>
  <c r="V665" i="11"/>
  <c r="N671" i="11"/>
  <c r="V673" i="11"/>
  <c r="N679" i="11"/>
  <c r="V681" i="11"/>
  <c r="N687" i="11"/>
  <c r="V689" i="11"/>
  <c r="N695" i="11"/>
  <c r="V697" i="11"/>
  <c r="N703" i="11"/>
  <c r="V705" i="11"/>
  <c r="N711" i="11"/>
  <c r="V713" i="11"/>
  <c r="N719" i="11"/>
  <c r="V721" i="11"/>
  <c r="N727" i="11"/>
  <c r="V729" i="11"/>
  <c r="N735" i="11"/>
  <c r="V737" i="11"/>
  <c r="N743" i="11"/>
  <c r="V745" i="11"/>
  <c r="N751" i="11"/>
  <c r="V753" i="11"/>
  <c r="N759" i="11"/>
  <c r="V761" i="11"/>
  <c r="N767" i="11"/>
  <c r="V769" i="11"/>
  <c r="N775" i="11"/>
  <c r="V777" i="11"/>
  <c r="V795" i="11"/>
  <c r="N795" i="11"/>
  <c r="P795" i="11"/>
  <c r="N804" i="11"/>
  <c r="P810" i="11"/>
  <c r="V810" i="11"/>
  <c r="N810" i="11"/>
  <c r="V827" i="11"/>
  <c r="P827" i="11"/>
  <c r="N827" i="11" s="1"/>
  <c r="N836" i="11"/>
  <c r="P842" i="11"/>
  <c r="N842" i="11" s="1"/>
  <c r="V842" i="11"/>
  <c r="P850" i="11"/>
  <c r="N850" i="11" s="1"/>
  <c r="V850" i="11"/>
  <c r="P858" i="11"/>
  <c r="V858" i="11"/>
  <c r="N858" i="11"/>
  <c r="P866" i="11"/>
  <c r="V866" i="11"/>
  <c r="N866" i="11"/>
  <c r="V868" i="11"/>
  <c r="N892" i="11"/>
  <c r="N897" i="11"/>
  <c r="P898" i="11"/>
  <c r="N898" i="11" s="1"/>
  <c r="V898" i="11"/>
  <c r="V900" i="11"/>
  <c r="N924" i="11"/>
  <c r="N929" i="11"/>
  <c r="P930" i="11"/>
  <c r="V930" i="11"/>
  <c r="N930" i="11"/>
  <c r="V932" i="11"/>
  <c r="N956" i="11"/>
  <c r="N961" i="11"/>
  <c r="P962" i="11"/>
  <c r="N962" i="11" s="1"/>
  <c r="V962" i="11"/>
  <c r="V964" i="11"/>
  <c r="V993" i="11"/>
  <c r="P993" i="11"/>
  <c r="N993" i="11" s="1"/>
  <c r="V1009" i="11"/>
  <c r="P1009" i="11"/>
  <c r="N1009" i="11"/>
  <c r="V1025" i="11"/>
  <c r="P1025" i="11"/>
  <c r="N1025" i="11" s="1"/>
  <c r="V1041" i="11"/>
  <c r="P1041" i="11"/>
  <c r="N1041" i="11"/>
  <c r="V1057" i="11"/>
  <c r="P1057" i="11"/>
  <c r="N1057" i="11" s="1"/>
  <c r="V1067" i="11"/>
  <c r="P1067" i="11"/>
  <c r="N1067" i="11"/>
  <c r="V785" i="11"/>
  <c r="V793" i="11"/>
  <c r="V801" i="11"/>
  <c r="V809" i="11"/>
  <c r="V817" i="11"/>
  <c r="V825" i="11"/>
  <c r="V833" i="11"/>
  <c r="V841" i="11"/>
  <c r="N871" i="11"/>
  <c r="N879" i="11"/>
  <c r="N887" i="11"/>
  <c r="N895" i="11"/>
  <c r="O903" i="11"/>
  <c r="N911" i="11"/>
  <c r="N919" i="11"/>
  <c r="N927" i="11"/>
  <c r="N935" i="11"/>
  <c r="N943" i="11"/>
  <c r="N951" i="11"/>
  <c r="N959" i="11"/>
  <c r="N967" i="11"/>
  <c r="N975" i="11"/>
  <c r="N983" i="11"/>
  <c r="Q986" i="11"/>
  <c r="V986" i="11"/>
  <c r="N986" i="11"/>
  <c r="V987" i="11"/>
  <c r="P987" i="11"/>
  <c r="T989" i="11"/>
  <c r="N1065" i="11"/>
  <c r="N1066" i="11"/>
  <c r="N1081" i="11"/>
  <c r="N1096" i="11"/>
  <c r="Q1156" i="11"/>
  <c r="V1156" i="11"/>
  <c r="N1156" i="11"/>
  <c r="N1172" i="11"/>
  <c r="V1193" i="11"/>
  <c r="P1193" i="11"/>
  <c r="N1193" i="11" s="1"/>
  <c r="V1209" i="11"/>
  <c r="P1209" i="11"/>
  <c r="N1209" i="11"/>
  <c r="V1225" i="11"/>
  <c r="P1225" i="11"/>
  <c r="N1225" i="11" s="1"/>
  <c r="N1288" i="11"/>
  <c r="P1289" i="11"/>
  <c r="V1289" i="11"/>
  <c r="N1289" i="11"/>
  <c r="N622" i="11"/>
  <c r="N624" i="11"/>
  <c r="N626" i="11"/>
  <c r="N628" i="11"/>
  <c r="N630" i="11"/>
  <c r="N632" i="11"/>
  <c r="N634" i="11"/>
  <c r="N636" i="11"/>
  <c r="N638" i="11"/>
  <c r="N640" i="11"/>
  <c r="N642" i="11"/>
  <c r="N644" i="11"/>
  <c r="N646" i="11"/>
  <c r="N648" i="11"/>
  <c r="N650" i="11"/>
  <c r="N652" i="11"/>
  <c r="N654" i="11"/>
  <c r="N656" i="11"/>
  <c r="N658" i="11"/>
  <c r="N660" i="11"/>
  <c r="N662" i="11"/>
  <c r="N664" i="11"/>
  <c r="N666" i="11"/>
  <c r="N668" i="11"/>
  <c r="N670" i="11"/>
  <c r="N672" i="11"/>
  <c r="N674" i="11"/>
  <c r="N676" i="11"/>
  <c r="N678" i="11"/>
  <c r="N680" i="11"/>
  <c r="N682" i="11"/>
  <c r="N684" i="11"/>
  <c r="N686" i="11"/>
  <c r="N688" i="11"/>
  <c r="N690" i="11"/>
  <c r="N692" i="11"/>
  <c r="N694" i="11"/>
  <c r="N696" i="11"/>
  <c r="N698" i="11"/>
  <c r="N700" i="11"/>
  <c r="N702" i="11"/>
  <c r="N704" i="11"/>
  <c r="N706" i="11"/>
  <c r="N708" i="11"/>
  <c r="N710" i="11"/>
  <c r="N712" i="11"/>
  <c r="N714" i="11"/>
  <c r="N716" i="11"/>
  <c r="N718" i="11"/>
  <c r="N720" i="11"/>
  <c r="N722" i="11"/>
  <c r="N724" i="11"/>
  <c r="N726" i="11"/>
  <c r="N728" i="11"/>
  <c r="N730" i="11"/>
  <c r="N732" i="11"/>
  <c r="N734" i="11"/>
  <c r="N736" i="11"/>
  <c r="N738" i="11"/>
  <c r="N740" i="11"/>
  <c r="N742" i="11"/>
  <c r="N744" i="11"/>
  <c r="N746" i="11"/>
  <c r="N748" i="11"/>
  <c r="N750" i="11"/>
  <c r="N752" i="11"/>
  <c r="N754" i="11"/>
  <c r="N756" i="11"/>
  <c r="N758" i="11"/>
  <c r="N760" i="11"/>
  <c r="N762" i="11"/>
  <c r="N764" i="11"/>
  <c r="N766" i="11"/>
  <c r="N768" i="11"/>
  <c r="N770" i="11"/>
  <c r="N772" i="11"/>
  <c r="N774" i="11"/>
  <c r="N776" i="11"/>
  <c r="N778" i="11"/>
  <c r="N780" i="11"/>
  <c r="V783" i="11"/>
  <c r="N783" i="11"/>
  <c r="N784" i="11"/>
  <c r="V788" i="11"/>
  <c r="V791" i="11"/>
  <c r="N791" i="11"/>
  <c r="N792" i="11"/>
  <c r="V796" i="11"/>
  <c r="V799" i="11"/>
  <c r="N799" i="11"/>
  <c r="N800" i="11"/>
  <c r="V804" i="11"/>
  <c r="V807" i="11"/>
  <c r="N807" i="11"/>
  <c r="N808" i="11"/>
  <c r="V812" i="11"/>
  <c r="V815" i="11"/>
  <c r="N815" i="11"/>
  <c r="N816" i="11"/>
  <c r="V820" i="11"/>
  <c r="V823" i="11"/>
  <c r="N823" i="11"/>
  <c r="N824" i="11"/>
  <c r="V828" i="11"/>
  <c r="V831" i="11"/>
  <c r="N831" i="11"/>
  <c r="N832" i="11"/>
  <c r="V836" i="11"/>
  <c r="V839" i="11"/>
  <c r="N839" i="11"/>
  <c r="N840" i="11"/>
  <c r="N869" i="11"/>
  <c r="N872" i="11"/>
  <c r="V872" i="11"/>
  <c r="N877" i="11"/>
  <c r="N880" i="11"/>
  <c r="V880" i="11"/>
  <c r="N885" i="11"/>
  <c r="N888" i="11"/>
  <c r="V888" i="11"/>
  <c r="N893" i="11"/>
  <c r="N896" i="11"/>
  <c r="V896" i="11"/>
  <c r="N901" i="11"/>
  <c r="N904" i="11"/>
  <c r="V904" i="11"/>
  <c r="N909" i="11"/>
  <c r="N912" i="11"/>
  <c r="V912" i="11"/>
  <c r="N917" i="11"/>
  <c r="N920" i="11"/>
  <c r="V920" i="11"/>
  <c r="N925" i="11"/>
  <c r="N928" i="11"/>
  <c r="V928" i="11"/>
  <c r="N933" i="11"/>
  <c r="N936" i="11"/>
  <c r="V936" i="11"/>
  <c r="N941" i="11"/>
  <c r="N944" i="11"/>
  <c r="V944" i="11"/>
  <c r="N949" i="11"/>
  <c r="N952" i="11"/>
  <c r="V952" i="11"/>
  <c r="N957" i="11"/>
  <c r="N960" i="11"/>
  <c r="V960" i="11"/>
  <c r="N965" i="11"/>
  <c r="N968" i="11"/>
  <c r="V968" i="11"/>
  <c r="N973" i="11"/>
  <c r="N976" i="11"/>
  <c r="V976" i="11"/>
  <c r="N981" i="11"/>
  <c r="N984" i="11"/>
  <c r="V984" i="11"/>
  <c r="N987" i="11"/>
  <c r="Q988" i="11"/>
  <c r="V988" i="11"/>
  <c r="N988" i="11"/>
  <c r="V989" i="11"/>
  <c r="P989" i="11"/>
  <c r="V991" i="11"/>
  <c r="P991" i="11"/>
  <c r="N991" i="11"/>
  <c r="V995" i="11"/>
  <c r="P995" i="11"/>
  <c r="N995" i="11" s="1"/>
  <c r="V999" i="11"/>
  <c r="P999" i="11"/>
  <c r="N999" i="11"/>
  <c r="V1003" i="11"/>
  <c r="P1003" i="11"/>
  <c r="N1003" i="11" s="1"/>
  <c r="V1007" i="11"/>
  <c r="P1007" i="11"/>
  <c r="N1007" i="11"/>
  <c r="V1011" i="11"/>
  <c r="P1011" i="11"/>
  <c r="N1011" i="11" s="1"/>
  <c r="V1015" i="11"/>
  <c r="P1015" i="11"/>
  <c r="N1015" i="11"/>
  <c r="V1019" i="11"/>
  <c r="P1019" i="11"/>
  <c r="N1019" i="11" s="1"/>
  <c r="V1023" i="11"/>
  <c r="P1023" i="11"/>
  <c r="N1023" i="11"/>
  <c r="V1027" i="11"/>
  <c r="P1027" i="11"/>
  <c r="N1027" i="11" s="1"/>
  <c r="V1031" i="11"/>
  <c r="P1031" i="11"/>
  <c r="N1031" i="11"/>
  <c r="V1035" i="11"/>
  <c r="P1035" i="11"/>
  <c r="N1035" i="11" s="1"/>
  <c r="V1039" i="11"/>
  <c r="P1039" i="11"/>
  <c r="N1039" i="11"/>
  <c r="V1043" i="11"/>
  <c r="P1043" i="11"/>
  <c r="N1043" i="11" s="1"/>
  <c r="V1047" i="11"/>
  <c r="P1047" i="11"/>
  <c r="N1047" i="11"/>
  <c r="V1051" i="11"/>
  <c r="P1051" i="11"/>
  <c r="N1051" i="11" s="1"/>
  <c r="V1055" i="11"/>
  <c r="P1055" i="11"/>
  <c r="N1055" i="11"/>
  <c r="V1059" i="11"/>
  <c r="P1059" i="11"/>
  <c r="N1059" i="11" s="1"/>
  <c r="V1063" i="11"/>
  <c r="P1063" i="11"/>
  <c r="N1063" i="11"/>
  <c r="N1073" i="11"/>
  <c r="V1092" i="11"/>
  <c r="V781" i="11"/>
  <c r="N781" i="11"/>
  <c r="N782" i="11"/>
  <c r="P785" i="11"/>
  <c r="N785" i="11" s="1"/>
  <c r="V789" i="11"/>
  <c r="N789" i="11"/>
  <c r="N790" i="11"/>
  <c r="P793" i="11"/>
  <c r="N793" i="11" s="1"/>
  <c r="V797" i="11"/>
  <c r="N797" i="11"/>
  <c r="N798" i="11"/>
  <c r="P801" i="11"/>
  <c r="N801" i="11" s="1"/>
  <c r="V805" i="11"/>
  <c r="N805" i="11"/>
  <c r="N806" i="11"/>
  <c r="P809" i="11"/>
  <c r="N809" i="11" s="1"/>
  <c r="V813" i="11"/>
  <c r="N813" i="11"/>
  <c r="N814" i="11"/>
  <c r="P817" i="11"/>
  <c r="N817" i="11" s="1"/>
  <c r="V821" i="11"/>
  <c r="N821" i="11"/>
  <c r="N822" i="11"/>
  <c r="P825" i="11"/>
  <c r="N825" i="11" s="1"/>
  <c r="V829" i="11"/>
  <c r="N829" i="11"/>
  <c r="N830" i="11"/>
  <c r="P833" i="11"/>
  <c r="N833" i="11" s="1"/>
  <c r="V837" i="11"/>
  <c r="N837" i="11"/>
  <c r="N838" i="11"/>
  <c r="P841" i="11"/>
  <c r="N841" i="11" s="1"/>
  <c r="N867" i="11"/>
  <c r="N870" i="11"/>
  <c r="N875" i="11"/>
  <c r="N878" i="11"/>
  <c r="N883" i="11"/>
  <c r="N886" i="11"/>
  <c r="N891" i="11"/>
  <c r="N894" i="11"/>
  <c r="N899" i="11"/>
  <c r="N902" i="11"/>
  <c r="N907" i="11"/>
  <c r="N910" i="11"/>
  <c r="N915" i="11"/>
  <c r="N918" i="11"/>
  <c r="N923" i="11"/>
  <c r="N926" i="11"/>
  <c r="N931" i="11"/>
  <c r="N934" i="11"/>
  <c r="N939" i="11"/>
  <c r="N942" i="11"/>
  <c r="N947" i="11"/>
  <c r="N950" i="11"/>
  <c r="N955" i="11"/>
  <c r="N958" i="11"/>
  <c r="N963" i="11"/>
  <c r="N966" i="11"/>
  <c r="N971" i="11"/>
  <c r="N974" i="11"/>
  <c r="N979" i="11"/>
  <c r="N982" i="11"/>
  <c r="N1068" i="11"/>
  <c r="Q1070" i="11"/>
  <c r="V1070" i="11"/>
  <c r="N1070" i="11"/>
  <c r="N1071" i="11"/>
  <c r="N1087" i="11"/>
  <c r="N1092" i="11"/>
  <c r="N1111" i="11"/>
  <c r="N990" i="11"/>
  <c r="N992" i="11"/>
  <c r="N994" i="11"/>
  <c r="N996" i="11"/>
  <c r="N998" i="11"/>
  <c r="N1000" i="11"/>
  <c r="N1002" i="11"/>
  <c r="N1004" i="11"/>
  <c r="N1006" i="11"/>
  <c r="N1008" i="11"/>
  <c r="N1010" i="11"/>
  <c r="N1012" i="11"/>
  <c r="N1014" i="11"/>
  <c r="N1016" i="11"/>
  <c r="N1018" i="11"/>
  <c r="N1020" i="11"/>
  <c r="N1022" i="11"/>
  <c r="N1024" i="11"/>
  <c r="N1026" i="11"/>
  <c r="N1028" i="11"/>
  <c r="N1030" i="11"/>
  <c r="N1032" i="11"/>
  <c r="N1034" i="11"/>
  <c r="N1036" i="11"/>
  <c r="N1038" i="11"/>
  <c r="N1040" i="11"/>
  <c r="N1042" i="11"/>
  <c r="N1044" i="11"/>
  <c r="N1046" i="11"/>
  <c r="N1048" i="11"/>
  <c r="N1050" i="11"/>
  <c r="N1052" i="11"/>
  <c r="N1054" i="11"/>
  <c r="N1056" i="11"/>
  <c r="N1058" i="11"/>
  <c r="N1060" i="11"/>
  <c r="N1062" i="11"/>
  <c r="Q1064" i="11"/>
  <c r="V1064" i="11"/>
  <c r="N1064" i="11"/>
  <c r="V1073" i="11"/>
  <c r="Q1078" i="11"/>
  <c r="V1078" i="11"/>
  <c r="N1078" i="11"/>
  <c r="N1085" i="11"/>
  <c r="N1089" i="11"/>
  <c r="N1095" i="11"/>
  <c r="N1098" i="11"/>
  <c r="N1100" i="11"/>
  <c r="V1100" i="11"/>
  <c r="N1104" i="11"/>
  <c r="N1106" i="11"/>
  <c r="N1109" i="11"/>
  <c r="N1120" i="11"/>
  <c r="N1122" i="11"/>
  <c r="N1144" i="11"/>
  <c r="N1160" i="11"/>
  <c r="V1181" i="11"/>
  <c r="P1181" i="11"/>
  <c r="N1181" i="11"/>
  <c r="N1192" i="11"/>
  <c r="N1208" i="11"/>
  <c r="N1224" i="11"/>
  <c r="N1228" i="11"/>
  <c r="Q867" i="11"/>
  <c r="Q869" i="11"/>
  <c r="Q871" i="11"/>
  <c r="Q873" i="11"/>
  <c r="Q875" i="11"/>
  <c r="Q877" i="11"/>
  <c r="Q879" i="11"/>
  <c r="Q881" i="11"/>
  <c r="Q883" i="11"/>
  <c r="Q885" i="11"/>
  <c r="Q887" i="11"/>
  <c r="Q889" i="11"/>
  <c r="Q891" i="11"/>
  <c r="Q893" i="11"/>
  <c r="Q895" i="11"/>
  <c r="Q897" i="11"/>
  <c r="Q899" i="11"/>
  <c r="Q901" i="11"/>
  <c r="Q903" i="11"/>
  <c r="Q905" i="11"/>
  <c r="Q907" i="11"/>
  <c r="Q909" i="11"/>
  <c r="Q911" i="11"/>
  <c r="Q913" i="11"/>
  <c r="Q915" i="11"/>
  <c r="Q917" i="11"/>
  <c r="Q919" i="11"/>
  <c r="Q921" i="11"/>
  <c r="Q923" i="11"/>
  <c r="Q925" i="11"/>
  <c r="Q927" i="11"/>
  <c r="Q929" i="11"/>
  <c r="Q931" i="11"/>
  <c r="Q933" i="11"/>
  <c r="Q935" i="11"/>
  <c r="Q937" i="11"/>
  <c r="Q939" i="11"/>
  <c r="Q941" i="11"/>
  <c r="Q943" i="11"/>
  <c r="Q945" i="11"/>
  <c r="Q947" i="11"/>
  <c r="Q949" i="11"/>
  <c r="Q951" i="11"/>
  <c r="Q953" i="11"/>
  <c r="Q955" i="11"/>
  <c r="Q957" i="11"/>
  <c r="Q959" i="11"/>
  <c r="Q961" i="11"/>
  <c r="Q963" i="11"/>
  <c r="Q965" i="11"/>
  <c r="Q967" i="11"/>
  <c r="Q969" i="11"/>
  <c r="Q971" i="11"/>
  <c r="Q973" i="11"/>
  <c r="Q975" i="11"/>
  <c r="Q977" i="11"/>
  <c r="Q979" i="11"/>
  <c r="Q981" i="11"/>
  <c r="Q983" i="11"/>
  <c r="Q985" i="11"/>
  <c r="Q1066" i="11"/>
  <c r="V1066" i="11"/>
  <c r="N1075" i="11"/>
  <c r="V1076" i="11"/>
  <c r="N1080" i="11"/>
  <c r="V1080" i="11"/>
  <c r="V1082" i="11"/>
  <c r="N1093" i="11"/>
  <c r="N1097" i="11"/>
  <c r="N1103" i="11"/>
  <c r="V1112" i="11"/>
  <c r="V1114" i="11"/>
  <c r="N1119" i="11"/>
  <c r="N1135" i="11"/>
  <c r="V1138" i="11"/>
  <c r="N1148" i="11"/>
  <c r="V1152" i="11"/>
  <c r="N1164" i="11"/>
  <c r="V1168" i="11"/>
  <c r="V1185" i="11"/>
  <c r="P1185" i="11"/>
  <c r="N1185" i="11" s="1"/>
  <c r="V1201" i="11"/>
  <c r="P1201" i="11"/>
  <c r="N1201" i="11"/>
  <c r="V1217" i="11"/>
  <c r="P1217" i="11"/>
  <c r="N1217" i="11" s="1"/>
  <c r="N1265" i="11"/>
  <c r="N1267" i="11"/>
  <c r="Q1268" i="11"/>
  <c r="V1268" i="11"/>
  <c r="N1268" i="11"/>
  <c r="N1272" i="11"/>
  <c r="Q1295" i="11"/>
  <c r="V1295" i="11"/>
  <c r="N1295" i="11"/>
  <c r="N845" i="11"/>
  <c r="N847" i="11"/>
  <c r="N849" i="11"/>
  <c r="N851" i="11"/>
  <c r="N853" i="11"/>
  <c r="N855" i="11"/>
  <c r="N857" i="11"/>
  <c r="N859" i="11"/>
  <c r="N861" i="11"/>
  <c r="N863" i="11"/>
  <c r="N865" i="11"/>
  <c r="V990" i="11"/>
  <c r="V992" i="11"/>
  <c r="V994" i="11"/>
  <c r="V996" i="11"/>
  <c r="V998" i="11"/>
  <c r="V1000" i="11"/>
  <c r="V1002" i="11"/>
  <c r="V1004" i="11"/>
  <c r="V1006" i="11"/>
  <c r="V1008" i="11"/>
  <c r="V1010" i="11"/>
  <c r="V1012" i="11"/>
  <c r="V1014" i="11"/>
  <c r="V1016" i="11"/>
  <c r="V1018" i="11"/>
  <c r="V1020" i="11"/>
  <c r="V1022" i="11"/>
  <c r="V1024" i="11"/>
  <c r="V1026" i="11"/>
  <c r="V1028" i="11"/>
  <c r="V1030" i="11"/>
  <c r="V1032" i="11"/>
  <c r="V1034" i="11"/>
  <c r="V1036" i="11"/>
  <c r="V1038" i="11"/>
  <c r="V1040" i="11"/>
  <c r="V1042" i="11"/>
  <c r="V1044" i="11"/>
  <c r="V1046" i="11"/>
  <c r="V1048" i="11"/>
  <c r="V1050" i="11"/>
  <c r="V1052" i="11"/>
  <c r="V1054" i="11"/>
  <c r="V1056" i="11"/>
  <c r="V1058" i="11"/>
  <c r="V1060" i="11"/>
  <c r="V1062" i="11"/>
  <c r="V1065" i="11"/>
  <c r="Q1068" i="11"/>
  <c r="V1068" i="11"/>
  <c r="P1069" i="11"/>
  <c r="N1069" i="11" s="1"/>
  <c r="N1074" i="11"/>
  <c r="N1079" i="11"/>
  <c r="V1079" i="11"/>
  <c r="Q1079" i="11"/>
  <c r="N1082" i="11"/>
  <c r="N1084" i="11"/>
  <c r="V1084" i="11"/>
  <c r="N1088" i="11"/>
  <c r="V1088" i="11"/>
  <c r="N1101" i="11"/>
  <c r="N1112" i="11"/>
  <c r="N1114" i="11"/>
  <c r="N1117" i="11"/>
  <c r="N1127" i="11"/>
  <c r="N1138" i="11"/>
  <c r="N1152" i="11"/>
  <c r="N1168" i="11"/>
  <c r="V1173" i="11"/>
  <c r="P1173" i="11"/>
  <c r="N1173" i="11"/>
  <c r="N1200" i="11"/>
  <c r="N1216" i="11"/>
  <c r="N1249" i="11"/>
  <c r="N1251" i="11"/>
  <c r="Q1252" i="11"/>
  <c r="V1252" i="11"/>
  <c r="N1252" i="11"/>
  <c r="N1256" i="11"/>
  <c r="N1260" i="11"/>
  <c r="N1279" i="11"/>
  <c r="N1125" i="11"/>
  <c r="N1128" i="11"/>
  <c r="V1128" i="11"/>
  <c r="N1133" i="11"/>
  <c r="N1136" i="11"/>
  <c r="V1136" i="11"/>
  <c r="V1172" i="11"/>
  <c r="N1186" i="11"/>
  <c r="V1187" i="11"/>
  <c r="P1187" i="11"/>
  <c r="N1187" i="11" s="1"/>
  <c r="N1194" i="11"/>
  <c r="V1195" i="11"/>
  <c r="P1195" i="11"/>
  <c r="N1195" i="11" s="1"/>
  <c r="N1202" i="11"/>
  <c r="V1203" i="11"/>
  <c r="P1203" i="11"/>
  <c r="N1203" i="11" s="1"/>
  <c r="N1210" i="11"/>
  <c r="V1211" i="11"/>
  <c r="P1211" i="11"/>
  <c r="N1211" i="11" s="1"/>
  <c r="N1218" i="11"/>
  <c r="V1219" i="11"/>
  <c r="P1219" i="11"/>
  <c r="N1219" i="11" s="1"/>
  <c r="N1226" i="11"/>
  <c r="V1227" i="11"/>
  <c r="P1227" i="11"/>
  <c r="N1227" i="11" s="1"/>
  <c r="N1229" i="11"/>
  <c r="N1231" i="11"/>
  <c r="Q1232" i="11"/>
  <c r="V1232" i="11"/>
  <c r="N1232" i="11"/>
  <c r="N1245" i="11"/>
  <c r="N1247" i="11"/>
  <c r="Q1248" i="11"/>
  <c r="V1248" i="11"/>
  <c r="N1248" i="11"/>
  <c r="N1261" i="11"/>
  <c r="N1263" i="11"/>
  <c r="Q1264" i="11"/>
  <c r="V1264" i="11"/>
  <c r="N1264" i="11"/>
  <c r="N1284" i="11"/>
  <c r="P1285" i="11"/>
  <c r="V1285" i="11"/>
  <c r="N1285" i="11"/>
  <c r="Q1291" i="11"/>
  <c r="V1291" i="11"/>
  <c r="N1291" i="11"/>
  <c r="N1300" i="11"/>
  <c r="P1301" i="11"/>
  <c r="V1301" i="11"/>
  <c r="N1301" i="11"/>
  <c r="Q1307" i="11"/>
  <c r="V1307" i="11"/>
  <c r="N1307" i="11"/>
  <c r="N1316" i="11"/>
  <c r="P1317" i="11"/>
  <c r="N1317" i="11" s="1"/>
  <c r="V1317" i="11"/>
  <c r="Q1323" i="11"/>
  <c r="V1323" i="11"/>
  <c r="N1323" i="11"/>
  <c r="N1332" i="11"/>
  <c r="P1333" i="11"/>
  <c r="V1333" i="11"/>
  <c r="N1333" i="11"/>
  <c r="Q1339" i="11"/>
  <c r="V1339" i="11"/>
  <c r="N1339" i="11"/>
  <c r="N1348" i="11"/>
  <c r="P1349" i="11"/>
  <c r="V1349" i="11"/>
  <c r="N1349" i="11"/>
  <c r="Q1355" i="11"/>
  <c r="V1355" i="11"/>
  <c r="N1355" i="11"/>
  <c r="N1364" i="11"/>
  <c r="P1365" i="11"/>
  <c r="N1365" i="11" s="1"/>
  <c r="V1365" i="11"/>
  <c r="Q1371" i="11"/>
  <c r="V1371" i="11"/>
  <c r="N1371" i="11"/>
  <c r="N1380" i="11"/>
  <c r="P1381" i="11"/>
  <c r="N1381" i="11" s="1"/>
  <c r="V1381" i="11"/>
  <c r="Q1387" i="11"/>
  <c r="V1387" i="11"/>
  <c r="N1387" i="11"/>
  <c r="P1397" i="11"/>
  <c r="N1397" i="11" s="1"/>
  <c r="V1397" i="11"/>
  <c r="Q1453" i="11"/>
  <c r="V1453" i="11"/>
  <c r="N1453" i="11"/>
  <c r="Q1485" i="11"/>
  <c r="V1485" i="11"/>
  <c r="N1485" i="11"/>
  <c r="Q1517" i="11"/>
  <c r="V1517" i="11"/>
  <c r="N1517" i="11"/>
  <c r="V1589" i="11"/>
  <c r="P1589" i="11"/>
  <c r="N1589" i="11" s="1"/>
  <c r="Q1748" i="11"/>
  <c r="V1748" i="11"/>
  <c r="N1748" i="11"/>
  <c r="N1761" i="11"/>
  <c r="N1304" i="11"/>
  <c r="P1305" i="11"/>
  <c r="V1305" i="11"/>
  <c r="N1305" i="11"/>
  <c r="Q1311" i="11"/>
  <c r="V1311" i="11"/>
  <c r="N1311" i="11"/>
  <c r="N1320" i="11"/>
  <c r="P1321" i="11"/>
  <c r="V1321" i="11"/>
  <c r="N1321" i="11"/>
  <c r="Q1327" i="11"/>
  <c r="V1327" i="11"/>
  <c r="N1327" i="11"/>
  <c r="N1336" i="11"/>
  <c r="P1337" i="11"/>
  <c r="N1337" i="11" s="1"/>
  <c r="V1337" i="11"/>
  <c r="Q1343" i="11"/>
  <c r="V1343" i="11"/>
  <c r="N1343" i="11"/>
  <c r="N1352" i="11"/>
  <c r="P1353" i="11"/>
  <c r="N1353" i="11" s="1"/>
  <c r="V1353" i="11"/>
  <c r="Q1359" i="11"/>
  <c r="V1359" i="11"/>
  <c r="N1359" i="11"/>
  <c r="N1368" i="11"/>
  <c r="P1369" i="11"/>
  <c r="V1369" i="11"/>
  <c r="N1369" i="11"/>
  <c r="Q1375" i="11"/>
  <c r="V1375" i="11"/>
  <c r="N1375" i="11"/>
  <c r="N1384" i="11"/>
  <c r="P1385" i="11"/>
  <c r="V1385" i="11"/>
  <c r="N1385" i="11"/>
  <c r="V1416" i="11"/>
  <c r="N1416" i="11"/>
  <c r="P1416" i="11"/>
  <c r="N1417" i="11"/>
  <c r="Q1449" i="11"/>
  <c r="V1449" i="11"/>
  <c r="N1449" i="11"/>
  <c r="Q1481" i="11"/>
  <c r="V1481" i="11"/>
  <c r="N1481" i="11"/>
  <c r="Q1513" i="11"/>
  <c r="V1513" i="11"/>
  <c r="N1513" i="11"/>
  <c r="P1582" i="11"/>
  <c r="V1582" i="11"/>
  <c r="N1582" i="11"/>
  <c r="P1616" i="11"/>
  <c r="N1616" i="11" s="1"/>
  <c r="V1616" i="11"/>
  <c r="N1105" i="11"/>
  <c r="N1108" i="11"/>
  <c r="V1108" i="11"/>
  <c r="N1113" i="11"/>
  <c r="N1116" i="11"/>
  <c r="V1116" i="11"/>
  <c r="N1121" i="11"/>
  <c r="N1124" i="11"/>
  <c r="V1124" i="11"/>
  <c r="N1129" i="11"/>
  <c r="N1132" i="11"/>
  <c r="V1132" i="11"/>
  <c r="N1137" i="11"/>
  <c r="N1140" i="11"/>
  <c r="V1140" i="11"/>
  <c r="N1190" i="11"/>
  <c r="V1191" i="11"/>
  <c r="P1191" i="11"/>
  <c r="N1191" i="11" s="1"/>
  <c r="N1198" i="11"/>
  <c r="V1199" i="11"/>
  <c r="P1199" i="11"/>
  <c r="N1199" i="11" s="1"/>
  <c r="N1206" i="11"/>
  <c r="V1207" i="11"/>
  <c r="P1207" i="11"/>
  <c r="N1207" i="11" s="1"/>
  <c r="N1214" i="11"/>
  <c r="V1215" i="11"/>
  <c r="P1215" i="11"/>
  <c r="N1215" i="11" s="1"/>
  <c r="N1222" i="11"/>
  <c r="V1223" i="11"/>
  <c r="P1223" i="11"/>
  <c r="N1223" i="11" s="1"/>
  <c r="N1237" i="11"/>
  <c r="N1239" i="11"/>
  <c r="Q1240" i="11"/>
  <c r="V1240" i="11"/>
  <c r="N1253" i="11"/>
  <c r="N1255" i="11"/>
  <c r="Q1256" i="11"/>
  <c r="V1256" i="11"/>
  <c r="N1269" i="11"/>
  <c r="N1271" i="11"/>
  <c r="Q1272" i="11"/>
  <c r="V1272" i="11"/>
  <c r="N1292" i="11"/>
  <c r="P1293" i="11"/>
  <c r="N1293" i="11" s="1"/>
  <c r="V1293" i="11"/>
  <c r="Q1299" i="11"/>
  <c r="V1299" i="11"/>
  <c r="N1299" i="11"/>
  <c r="N1308" i="11"/>
  <c r="P1309" i="11"/>
  <c r="V1309" i="11"/>
  <c r="N1309" i="11"/>
  <c r="Q1315" i="11"/>
  <c r="V1315" i="11"/>
  <c r="N1315" i="11"/>
  <c r="N1324" i="11"/>
  <c r="P1325" i="11"/>
  <c r="V1325" i="11"/>
  <c r="N1325" i="11"/>
  <c r="Q1331" i="11"/>
  <c r="V1331" i="11"/>
  <c r="N1331" i="11"/>
  <c r="N1340" i="11"/>
  <c r="P1341" i="11"/>
  <c r="N1341" i="11" s="1"/>
  <c r="V1341" i="11"/>
  <c r="Q1347" i="11"/>
  <c r="V1347" i="11"/>
  <c r="N1347" i="11"/>
  <c r="N1356" i="11"/>
  <c r="P1357" i="11"/>
  <c r="N1357" i="11" s="1"/>
  <c r="V1357" i="11"/>
  <c r="Q1363" i="11"/>
  <c r="V1363" i="11"/>
  <c r="N1363" i="11"/>
  <c r="N1372" i="11"/>
  <c r="P1373" i="11"/>
  <c r="V1373" i="11"/>
  <c r="N1373" i="11"/>
  <c r="Q1379" i="11"/>
  <c r="V1379" i="11"/>
  <c r="N1379" i="11"/>
  <c r="P1431" i="11"/>
  <c r="N1431" i="11" s="1"/>
  <c r="V1431" i="11"/>
  <c r="N1072" i="11"/>
  <c r="V1075" i="11"/>
  <c r="N1083" i="11"/>
  <c r="N1086" i="11"/>
  <c r="V1086" i="11"/>
  <c r="N1091" i="11"/>
  <c r="N1094" i="11"/>
  <c r="V1094" i="11"/>
  <c r="N1099" i="11"/>
  <c r="N1102" i="11"/>
  <c r="V1102" i="11"/>
  <c r="N1107" i="11"/>
  <c r="N1110" i="11"/>
  <c r="V1110" i="11"/>
  <c r="N1115" i="11"/>
  <c r="N1118" i="11"/>
  <c r="V1118" i="11"/>
  <c r="N1123" i="11"/>
  <c r="N1126" i="11"/>
  <c r="V1126" i="11"/>
  <c r="N1131" i="11"/>
  <c r="N1134" i="11"/>
  <c r="V1134" i="11"/>
  <c r="N1142" i="11"/>
  <c r="V1142" i="11"/>
  <c r="N1146" i="11"/>
  <c r="V1146" i="11"/>
  <c r="N1150" i="11"/>
  <c r="V1150" i="11"/>
  <c r="N1154" i="11"/>
  <c r="V1154" i="11"/>
  <c r="N1158" i="11"/>
  <c r="V1158" i="11"/>
  <c r="N1162" i="11"/>
  <c r="V1162" i="11"/>
  <c r="N1166" i="11"/>
  <c r="V1166" i="11"/>
  <c r="N1170" i="11"/>
  <c r="V1170" i="11"/>
  <c r="V1175" i="11"/>
  <c r="P1175" i="11"/>
  <c r="N1175" i="11" s="1"/>
  <c r="V1179" i="11"/>
  <c r="P1179" i="11"/>
  <c r="N1179" i="11"/>
  <c r="V1183" i="11"/>
  <c r="P1183" i="11"/>
  <c r="N1183" i="11" s="1"/>
  <c r="N1188" i="11"/>
  <c r="V1189" i="11"/>
  <c r="P1189" i="11"/>
  <c r="N1189" i="11" s="1"/>
  <c r="N1196" i="11"/>
  <c r="V1197" i="11"/>
  <c r="P1197" i="11"/>
  <c r="N1197" i="11" s="1"/>
  <c r="N1204" i="11"/>
  <c r="V1205" i="11"/>
  <c r="P1205" i="11"/>
  <c r="N1205" i="11" s="1"/>
  <c r="N1212" i="11"/>
  <c r="V1213" i="11"/>
  <c r="P1213" i="11"/>
  <c r="N1213" i="11" s="1"/>
  <c r="N1220" i="11"/>
  <c r="V1221" i="11"/>
  <c r="P1221" i="11"/>
  <c r="N1221" i="11" s="1"/>
  <c r="Q1228" i="11"/>
  <c r="V1228" i="11"/>
  <c r="N1241" i="11"/>
  <c r="N1243" i="11"/>
  <c r="Q1244" i="11"/>
  <c r="V1244" i="11"/>
  <c r="N1257" i="11"/>
  <c r="N1259" i="11"/>
  <c r="Q1260" i="11"/>
  <c r="V1260" i="11"/>
  <c r="N1273" i="11"/>
  <c r="Q1287" i="11"/>
  <c r="V1287" i="11"/>
  <c r="N1287" i="11"/>
  <c r="N1296" i="11"/>
  <c r="P1297" i="11"/>
  <c r="V1297" i="11"/>
  <c r="N1297" i="11"/>
  <c r="Q1303" i="11"/>
  <c r="V1303" i="11"/>
  <c r="N1303" i="11"/>
  <c r="N1312" i="11"/>
  <c r="P1313" i="11"/>
  <c r="V1313" i="11"/>
  <c r="N1313" i="11"/>
  <c r="Q1319" i="11"/>
  <c r="V1319" i="11"/>
  <c r="N1319" i="11"/>
  <c r="N1328" i="11"/>
  <c r="P1329" i="11"/>
  <c r="N1329" i="11" s="1"/>
  <c r="V1329" i="11"/>
  <c r="Q1335" i="11"/>
  <c r="V1335" i="11"/>
  <c r="N1335" i="11"/>
  <c r="N1344" i="11"/>
  <c r="P1345" i="11"/>
  <c r="N1345" i="11" s="1"/>
  <c r="V1345" i="11"/>
  <c r="Q1351" i="11"/>
  <c r="V1351" i="11"/>
  <c r="N1351" i="11"/>
  <c r="N1360" i="11"/>
  <c r="P1361" i="11"/>
  <c r="V1361" i="11"/>
  <c r="N1361" i="11"/>
  <c r="Q1367" i="11"/>
  <c r="V1367" i="11"/>
  <c r="N1367" i="11"/>
  <c r="N1376" i="11"/>
  <c r="P1377" i="11"/>
  <c r="V1377" i="11"/>
  <c r="N1377" i="11"/>
  <c r="Q1383" i="11"/>
  <c r="V1383" i="11"/>
  <c r="N1383" i="11"/>
  <c r="V1430" i="11"/>
  <c r="N1430" i="11"/>
  <c r="P1430" i="11"/>
  <c r="Q1081" i="11"/>
  <c r="Q1083" i="11"/>
  <c r="Q1085" i="11"/>
  <c r="Q1087" i="11"/>
  <c r="Q1089" i="11"/>
  <c r="Q1091" i="11"/>
  <c r="Q1093" i="11"/>
  <c r="Q1095" i="11"/>
  <c r="Q1097" i="11"/>
  <c r="Q1099" i="11"/>
  <c r="Q1101" i="11"/>
  <c r="Q1103" i="11"/>
  <c r="Q1105" i="11"/>
  <c r="Q1107" i="11"/>
  <c r="Q1109" i="11"/>
  <c r="Q1111" i="11"/>
  <c r="Q1113" i="11"/>
  <c r="Q1115" i="11"/>
  <c r="Q1117" i="11"/>
  <c r="Q1119" i="11"/>
  <c r="Q1121" i="11"/>
  <c r="Q1123" i="11"/>
  <c r="Q1125" i="11"/>
  <c r="Q1127" i="11"/>
  <c r="Q1129" i="11"/>
  <c r="Q1131" i="11"/>
  <c r="Q1133" i="11"/>
  <c r="Q1135" i="11"/>
  <c r="Q1137" i="11"/>
  <c r="N1174" i="11"/>
  <c r="N1176" i="11"/>
  <c r="N1178" i="11"/>
  <c r="N1180" i="11"/>
  <c r="N1182" i="11"/>
  <c r="N1184" i="11"/>
  <c r="N1275" i="11"/>
  <c r="N1280" i="11"/>
  <c r="V1281" i="11"/>
  <c r="V1400" i="11"/>
  <c r="N1400" i="11"/>
  <c r="P1400" i="11"/>
  <c r="N1401" i="11"/>
  <c r="P1429" i="11"/>
  <c r="N1429" i="11" s="1"/>
  <c r="V1429" i="11"/>
  <c r="N1441" i="11"/>
  <c r="N1445" i="11"/>
  <c r="N1473" i="11"/>
  <c r="N1477" i="11"/>
  <c r="N1505" i="11"/>
  <c r="N1509" i="11"/>
  <c r="P1550" i="11"/>
  <c r="V1550" i="11"/>
  <c r="N1550" i="11"/>
  <c r="V1557" i="11"/>
  <c r="P1557" i="11"/>
  <c r="N1557" i="11" s="1"/>
  <c r="V1583" i="11"/>
  <c r="N1583" i="11"/>
  <c r="P1583" i="11"/>
  <c r="P1608" i="11"/>
  <c r="V1608" i="11"/>
  <c r="N1608" i="11"/>
  <c r="P1640" i="11"/>
  <c r="N1640" i="11" s="1"/>
  <c r="V1640" i="11"/>
  <c r="P1674" i="11"/>
  <c r="N1674" i="11" s="1"/>
  <c r="V1674" i="11"/>
  <c r="N1692" i="11"/>
  <c r="P1693" i="11"/>
  <c r="N1693" i="11" s="1"/>
  <c r="V1693" i="11"/>
  <c r="N1139" i="11"/>
  <c r="N1141" i="11"/>
  <c r="N1143" i="11"/>
  <c r="N1145" i="11"/>
  <c r="N1147" i="11"/>
  <c r="N1149" i="11"/>
  <c r="N1151" i="11"/>
  <c r="N1153" i="11"/>
  <c r="N1155" i="11"/>
  <c r="N1157" i="11"/>
  <c r="N1159" i="11"/>
  <c r="N1161" i="11"/>
  <c r="N1163" i="11"/>
  <c r="N1165" i="11"/>
  <c r="N1167" i="11"/>
  <c r="N1169" i="11"/>
  <c r="N1171" i="11"/>
  <c r="N1230" i="11"/>
  <c r="N1234" i="11"/>
  <c r="N1238" i="11"/>
  <c r="N1242" i="11"/>
  <c r="N1246" i="11"/>
  <c r="N1250" i="11"/>
  <c r="N1254" i="11"/>
  <c r="N1258" i="11"/>
  <c r="N1262" i="11"/>
  <c r="N1266" i="11"/>
  <c r="N1270" i="11"/>
  <c r="N1274" i="11"/>
  <c r="N1276" i="11"/>
  <c r="P1277" i="11"/>
  <c r="N1277" i="11" s="1"/>
  <c r="V1277" i="11"/>
  <c r="N1281" i="11"/>
  <c r="N1391" i="11"/>
  <c r="V1414" i="11"/>
  <c r="P1414" i="11"/>
  <c r="N1414" i="11" s="1"/>
  <c r="P1415" i="11"/>
  <c r="N1415" i="11" s="1"/>
  <c r="V1415" i="11"/>
  <c r="V1432" i="11"/>
  <c r="N1432" i="11"/>
  <c r="P1432" i="11"/>
  <c r="N1433" i="11"/>
  <c r="N1437" i="11"/>
  <c r="V1441" i="11"/>
  <c r="V1445" i="11"/>
  <c r="N1465" i="11"/>
  <c r="N1469" i="11"/>
  <c r="V1473" i="11"/>
  <c r="V1477" i="11"/>
  <c r="N1497" i="11"/>
  <c r="N1501" i="11"/>
  <c r="V1505" i="11"/>
  <c r="V1509" i="11"/>
  <c r="N1529" i="11"/>
  <c r="N1533" i="11"/>
  <c r="P1539" i="11"/>
  <c r="N1539" i="11" s="1"/>
  <c r="V1539" i="11"/>
  <c r="N1544" i="11"/>
  <c r="P1545" i="11"/>
  <c r="N1545" i="11" s="1"/>
  <c r="V1545" i="11"/>
  <c r="N1547" i="11"/>
  <c r="V1551" i="11"/>
  <c r="N1551" i="11"/>
  <c r="P1551" i="11"/>
  <c r="N1576" i="11"/>
  <c r="P1580" i="11"/>
  <c r="N1580" i="11" s="1"/>
  <c r="P1588" i="11"/>
  <c r="N1588" i="11"/>
  <c r="V1588" i="11"/>
  <c r="P1600" i="11"/>
  <c r="V1600" i="11"/>
  <c r="N1600" i="11"/>
  <c r="P1632" i="11"/>
  <c r="N1632" i="11" s="1"/>
  <c r="V1632" i="11"/>
  <c r="V1657" i="11"/>
  <c r="N1657" i="11"/>
  <c r="P1657" i="11"/>
  <c r="V1174" i="11"/>
  <c r="V1176" i="11"/>
  <c r="V1178" i="11"/>
  <c r="V1180" i="11"/>
  <c r="V1182" i="11"/>
  <c r="V1184" i="11"/>
  <c r="V1186" i="11"/>
  <c r="V1188" i="11"/>
  <c r="V1190" i="11"/>
  <c r="V1192" i="11"/>
  <c r="V1194" i="11"/>
  <c r="V1196" i="11"/>
  <c r="V1198" i="11"/>
  <c r="V1200" i="11"/>
  <c r="V1202" i="11"/>
  <c r="V1204" i="11"/>
  <c r="V1206" i="11"/>
  <c r="V1208" i="11"/>
  <c r="V1210" i="11"/>
  <c r="V1212" i="11"/>
  <c r="V1214" i="11"/>
  <c r="V1216" i="11"/>
  <c r="V1218" i="11"/>
  <c r="V1220" i="11"/>
  <c r="V1222" i="11"/>
  <c r="V1224" i="11"/>
  <c r="V1226" i="11"/>
  <c r="V1230" i="11"/>
  <c r="V1234" i="11"/>
  <c r="V1238" i="11"/>
  <c r="V1242" i="11"/>
  <c r="V1246" i="11"/>
  <c r="V1250" i="11"/>
  <c r="V1254" i="11"/>
  <c r="V1258" i="11"/>
  <c r="V1262" i="11"/>
  <c r="V1266" i="11"/>
  <c r="V1270" i="11"/>
  <c r="V1274" i="11"/>
  <c r="N1278" i="11"/>
  <c r="V1279" i="11"/>
  <c r="N1283" i="11"/>
  <c r="V1398" i="11"/>
  <c r="N1398" i="11"/>
  <c r="P1398" i="11"/>
  <c r="P1399" i="11"/>
  <c r="N1399" i="11" s="1"/>
  <c r="V1399" i="11"/>
  <c r="P1413" i="11"/>
  <c r="N1413" i="11"/>
  <c r="V1413" i="11"/>
  <c r="V1433" i="11"/>
  <c r="V1437" i="11"/>
  <c r="N1457" i="11"/>
  <c r="N1461" i="11"/>
  <c r="V1465" i="11"/>
  <c r="V1469" i="11"/>
  <c r="N1489" i="11"/>
  <c r="N1493" i="11"/>
  <c r="V1497" i="11"/>
  <c r="V1501" i="11"/>
  <c r="N1521" i="11"/>
  <c r="N1525" i="11"/>
  <c r="V1529" i="11"/>
  <c r="V1533" i="11"/>
  <c r="P1548" i="11"/>
  <c r="N1548" i="11" s="1"/>
  <c r="P1556" i="11"/>
  <c r="N1556" i="11"/>
  <c r="V1556" i="11"/>
  <c r="P1624" i="11"/>
  <c r="V1624" i="11"/>
  <c r="N1624" i="11"/>
  <c r="N1687" i="11"/>
  <c r="V1687" i="11"/>
  <c r="P1687" i="11"/>
  <c r="N1286" i="11"/>
  <c r="N1294" i="11"/>
  <c r="N1302" i="11"/>
  <c r="N1310" i="11"/>
  <c r="N1318" i="11"/>
  <c r="N1326" i="11"/>
  <c r="N1334" i="11"/>
  <c r="N1342" i="11"/>
  <c r="N1350" i="11"/>
  <c r="N1358" i="11"/>
  <c r="N1366" i="11"/>
  <c r="N1374" i="11"/>
  <c r="N1382" i="11"/>
  <c r="P1389" i="11"/>
  <c r="N1389" i="11" s="1"/>
  <c r="V1390" i="11"/>
  <c r="N1390" i="11"/>
  <c r="P1390" i="11"/>
  <c r="P1391" i="11"/>
  <c r="V1391" i="11"/>
  <c r="V1392" i="11"/>
  <c r="N1392" i="11"/>
  <c r="P1392" i="11"/>
  <c r="N1409" i="11"/>
  <c r="P1421" i="11"/>
  <c r="N1421" i="11" s="1"/>
  <c r="V1422" i="11"/>
  <c r="P1422" i="11"/>
  <c r="N1422" i="11" s="1"/>
  <c r="P1423" i="11"/>
  <c r="N1423" i="11" s="1"/>
  <c r="V1423" i="11"/>
  <c r="V1424" i="11"/>
  <c r="N1424" i="11"/>
  <c r="P1424" i="11"/>
  <c r="N1439" i="11"/>
  <c r="N1447" i="11"/>
  <c r="N1455" i="11"/>
  <c r="N1463" i="11"/>
  <c r="N1471" i="11"/>
  <c r="N1479" i="11"/>
  <c r="N1487" i="11"/>
  <c r="N1495" i="11"/>
  <c r="N1503" i="11"/>
  <c r="N1511" i="11"/>
  <c r="N1519" i="11"/>
  <c r="N1527" i="11"/>
  <c r="N1541" i="11"/>
  <c r="N1546" i="11"/>
  <c r="V1547" i="11"/>
  <c r="P1547" i="11"/>
  <c r="V1559" i="11"/>
  <c r="P1559" i="11"/>
  <c r="N1559" i="11" s="1"/>
  <c r="N1568" i="11"/>
  <c r="V1591" i="11"/>
  <c r="P1591" i="11"/>
  <c r="N1591" i="11" s="1"/>
  <c r="P1596" i="11"/>
  <c r="N1596" i="11" s="1"/>
  <c r="V1596" i="11"/>
  <c r="P1612" i="11"/>
  <c r="N1612" i="11" s="1"/>
  <c r="V1612" i="11"/>
  <c r="P1628" i="11"/>
  <c r="V1628" i="11"/>
  <c r="N1628" i="11"/>
  <c r="P1644" i="11"/>
  <c r="V1644" i="11"/>
  <c r="N1644" i="11"/>
  <c r="P1658" i="11"/>
  <c r="N1658" i="11" s="1"/>
  <c r="V1658" i="11"/>
  <c r="N1707" i="11"/>
  <c r="N1728" i="11"/>
  <c r="P1729" i="11"/>
  <c r="V1729" i="11"/>
  <c r="N1729" i="11"/>
  <c r="N1740" i="11"/>
  <c r="V1741" i="11"/>
  <c r="P1741" i="11"/>
  <c r="N1741" i="11"/>
  <c r="V1745" i="11"/>
  <c r="N1745" i="11"/>
  <c r="P1745" i="11"/>
  <c r="N1770" i="11"/>
  <c r="N1696" i="11"/>
  <c r="P1697" i="11"/>
  <c r="V1697" i="11"/>
  <c r="N1697" i="11"/>
  <c r="N1282" i="11"/>
  <c r="N1290" i="11"/>
  <c r="N1298" i="11"/>
  <c r="N1306" i="11"/>
  <c r="N1314" i="11"/>
  <c r="N1322" i="11"/>
  <c r="N1330" i="11"/>
  <c r="N1338" i="11"/>
  <c r="N1346" i="11"/>
  <c r="N1354" i="11"/>
  <c r="N1362" i="11"/>
  <c r="N1370" i="11"/>
  <c r="N1378" i="11"/>
  <c r="N1386" i="11"/>
  <c r="N1393" i="11"/>
  <c r="P1405" i="11"/>
  <c r="N1405" i="11" s="1"/>
  <c r="V1406" i="11"/>
  <c r="P1406" i="11"/>
  <c r="N1406" i="11" s="1"/>
  <c r="P1407" i="11"/>
  <c r="N1407" i="11" s="1"/>
  <c r="V1407" i="11"/>
  <c r="V1408" i="11"/>
  <c r="N1408" i="11"/>
  <c r="P1408" i="11"/>
  <c r="N1425" i="11"/>
  <c r="N1435" i="11"/>
  <c r="N1443" i="11"/>
  <c r="N1451" i="11"/>
  <c r="N1459" i="11"/>
  <c r="N1467" i="11"/>
  <c r="N1475" i="11"/>
  <c r="N1483" i="11"/>
  <c r="N1491" i="11"/>
  <c r="N1499" i="11"/>
  <c r="N1507" i="11"/>
  <c r="N1515" i="11"/>
  <c r="N1523" i="11"/>
  <c r="N1531" i="11"/>
  <c r="P1537" i="11"/>
  <c r="N1537" i="11" s="1"/>
  <c r="V1537" i="11"/>
  <c r="V1549" i="11"/>
  <c r="N1549" i="11"/>
  <c r="P1549" i="11"/>
  <c r="P1558" i="11"/>
  <c r="N1558" i="11" s="1"/>
  <c r="V1558" i="11"/>
  <c r="V1581" i="11"/>
  <c r="N1581" i="11"/>
  <c r="P1581" i="11"/>
  <c r="P1590" i="11"/>
  <c r="N1590" i="11" s="1"/>
  <c r="V1590" i="11"/>
  <c r="P1604" i="11"/>
  <c r="N1604" i="11" s="1"/>
  <c r="V1604" i="11"/>
  <c r="P1620" i="11"/>
  <c r="N1620" i="11" s="1"/>
  <c r="V1620" i="11"/>
  <c r="P1636" i="11"/>
  <c r="V1636" i="11"/>
  <c r="N1636" i="11"/>
  <c r="V1673" i="11"/>
  <c r="P1673" i="11"/>
  <c r="N1673" i="11" s="1"/>
  <c r="N1712" i="11"/>
  <c r="P1713" i="11"/>
  <c r="V1713" i="11"/>
  <c r="N1713" i="11"/>
  <c r="N1723" i="11"/>
  <c r="Q1276" i="11"/>
  <c r="Q1278" i="11"/>
  <c r="Q1280" i="11"/>
  <c r="Q1282" i="11"/>
  <c r="Q1284" i="11"/>
  <c r="Q1286" i="11"/>
  <c r="Q1288" i="11"/>
  <c r="Q1290" i="11"/>
  <c r="Q1292" i="11"/>
  <c r="Q1294" i="11"/>
  <c r="Q1296" i="11"/>
  <c r="Q1298" i="11"/>
  <c r="Q1300" i="11"/>
  <c r="Q1302" i="11"/>
  <c r="Q1304" i="11"/>
  <c r="Q1306" i="11"/>
  <c r="Q1308" i="11"/>
  <c r="Q1310" i="11"/>
  <c r="Q1312" i="11"/>
  <c r="Q1314" i="11"/>
  <c r="Q1316" i="11"/>
  <c r="Q1318" i="11"/>
  <c r="Q1320" i="11"/>
  <c r="Q1322" i="11"/>
  <c r="Q1324" i="11"/>
  <c r="Q1326" i="11"/>
  <c r="Q1328" i="11"/>
  <c r="Q1330" i="11"/>
  <c r="Q1332" i="11"/>
  <c r="Q1334" i="11"/>
  <c r="Q1336" i="11"/>
  <c r="Q1338" i="11"/>
  <c r="Q1340" i="11"/>
  <c r="Q1342" i="11"/>
  <c r="Q1344" i="11"/>
  <c r="Q1346" i="11"/>
  <c r="Q1348" i="11"/>
  <c r="Q1350" i="11"/>
  <c r="Q1352" i="11"/>
  <c r="Q1354" i="11"/>
  <c r="Q1356" i="11"/>
  <c r="Q1358" i="11"/>
  <c r="Q1360" i="11"/>
  <c r="Q1362" i="11"/>
  <c r="Q1364" i="11"/>
  <c r="Q1366" i="11"/>
  <c r="Q1368" i="11"/>
  <c r="Q1370" i="11"/>
  <c r="Q1372" i="11"/>
  <c r="Q1374" i="11"/>
  <c r="Q1376" i="11"/>
  <c r="Q1378" i="11"/>
  <c r="Q1380" i="11"/>
  <c r="Q1382" i="11"/>
  <c r="Q1384" i="11"/>
  <c r="Q1386" i="11"/>
  <c r="V1388" i="11"/>
  <c r="N1388" i="11"/>
  <c r="V1393" i="11"/>
  <c r="V1396" i="11"/>
  <c r="N1396" i="11"/>
  <c r="V1401" i="11"/>
  <c r="V1404" i="11"/>
  <c r="N1404" i="11"/>
  <c r="V1409" i="11"/>
  <c r="V1412" i="11"/>
  <c r="N1412" i="11"/>
  <c r="V1417" i="11"/>
  <c r="V1420" i="11"/>
  <c r="N1420" i="11"/>
  <c r="V1425" i="11"/>
  <c r="V1428" i="11"/>
  <c r="N1428" i="11"/>
  <c r="N1542" i="11"/>
  <c r="N1560" i="11"/>
  <c r="P1572" i="11"/>
  <c r="N1572" i="11" s="1"/>
  <c r="V1573" i="11"/>
  <c r="N1573" i="11"/>
  <c r="P1573" i="11"/>
  <c r="P1574" i="11"/>
  <c r="N1574" i="11" s="1"/>
  <c r="V1574" i="11"/>
  <c r="V1575" i="11"/>
  <c r="N1575" i="11"/>
  <c r="P1575" i="11"/>
  <c r="N1592" i="11"/>
  <c r="V1652" i="11"/>
  <c r="Q1652" i="11"/>
  <c r="N1652" i="11"/>
  <c r="P1656" i="11"/>
  <c r="N1656" i="11"/>
  <c r="V1659" i="11"/>
  <c r="N1659" i="11"/>
  <c r="P1659" i="11"/>
  <c r="V1668" i="11"/>
  <c r="Q1668" i="11"/>
  <c r="N1668" i="11"/>
  <c r="P1672" i="11"/>
  <c r="N1672" i="11"/>
  <c r="V1675" i="11"/>
  <c r="N1675" i="11"/>
  <c r="P1675" i="11"/>
  <c r="N1682" i="11"/>
  <c r="N1684" i="11"/>
  <c r="N1708" i="11"/>
  <c r="P1709" i="11"/>
  <c r="N1709" i="11"/>
  <c r="V1709" i="11"/>
  <c r="V1394" i="11"/>
  <c r="N1394" i="11"/>
  <c r="N1395" i="11"/>
  <c r="V1402" i="11"/>
  <c r="N1402" i="11"/>
  <c r="N1403" i="11"/>
  <c r="V1410" i="11"/>
  <c r="N1410" i="11"/>
  <c r="N1411" i="11"/>
  <c r="V1418" i="11"/>
  <c r="N1418" i="11"/>
  <c r="N1419" i="11"/>
  <c r="V1426" i="11"/>
  <c r="N1426" i="11"/>
  <c r="N1427" i="11"/>
  <c r="N1535" i="11"/>
  <c r="N1540" i="11"/>
  <c r="N1543" i="11"/>
  <c r="N1552" i="11"/>
  <c r="P1564" i="11"/>
  <c r="N1564" i="11" s="1"/>
  <c r="V1565" i="11"/>
  <c r="N1565" i="11"/>
  <c r="P1565" i="11"/>
  <c r="P1566" i="11"/>
  <c r="N1566" i="11" s="1"/>
  <c r="V1566" i="11"/>
  <c r="V1567" i="11"/>
  <c r="N1567" i="11"/>
  <c r="P1567" i="11"/>
  <c r="N1584" i="11"/>
  <c r="P1594" i="11"/>
  <c r="N1594" i="11" s="1"/>
  <c r="V1594" i="11"/>
  <c r="P1598" i="11"/>
  <c r="N1598" i="11" s="1"/>
  <c r="V1598" i="11"/>
  <c r="P1602" i="11"/>
  <c r="V1602" i="11"/>
  <c r="N1602" i="11"/>
  <c r="P1606" i="11"/>
  <c r="V1606" i="11"/>
  <c r="N1606" i="11"/>
  <c r="P1610" i="11"/>
  <c r="N1610" i="11" s="1"/>
  <c r="V1610" i="11"/>
  <c r="P1614" i="11"/>
  <c r="N1614" i="11" s="1"/>
  <c r="V1614" i="11"/>
  <c r="P1618" i="11"/>
  <c r="V1618" i="11"/>
  <c r="N1618" i="11"/>
  <c r="P1622" i="11"/>
  <c r="V1622" i="11"/>
  <c r="N1622" i="11"/>
  <c r="P1626" i="11"/>
  <c r="N1626" i="11" s="1"/>
  <c r="V1626" i="11"/>
  <c r="P1630" i="11"/>
  <c r="N1630" i="11" s="1"/>
  <c r="V1630" i="11"/>
  <c r="P1634" i="11"/>
  <c r="V1634" i="11"/>
  <c r="N1634" i="11"/>
  <c r="P1638" i="11"/>
  <c r="V1638" i="11"/>
  <c r="N1638" i="11"/>
  <c r="P1642" i="11"/>
  <c r="N1642" i="11" s="1"/>
  <c r="V1642" i="11"/>
  <c r="N1691" i="11"/>
  <c r="N1724" i="11"/>
  <c r="P1725" i="11"/>
  <c r="N1725" i="11" s="1"/>
  <c r="V1725" i="11"/>
  <c r="Q1542" i="11"/>
  <c r="Q1544" i="11"/>
  <c r="Q1546" i="11"/>
  <c r="V1552" i="11"/>
  <c r="V1555" i="11"/>
  <c r="N1555" i="11"/>
  <c r="V1560" i="11"/>
  <c r="V1563" i="11"/>
  <c r="N1563" i="11"/>
  <c r="V1568" i="11"/>
  <c r="V1571" i="11"/>
  <c r="N1571" i="11"/>
  <c r="V1576" i="11"/>
  <c r="V1579" i="11"/>
  <c r="N1579" i="11"/>
  <c r="V1584" i="11"/>
  <c r="V1587" i="11"/>
  <c r="N1587" i="11"/>
  <c r="V1592" i="11"/>
  <c r="N1703" i="11"/>
  <c r="N1719" i="11"/>
  <c r="N1735" i="11"/>
  <c r="P1742" i="11"/>
  <c r="N1742" i="11" s="1"/>
  <c r="V1742" i="11"/>
  <c r="V1753" i="11"/>
  <c r="N1434" i="11"/>
  <c r="N1436" i="11"/>
  <c r="N1438" i="11"/>
  <c r="N1440" i="11"/>
  <c r="N1442" i="11"/>
  <c r="N1444" i="11"/>
  <c r="N1446" i="11"/>
  <c r="N1448" i="11"/>
  <c r="N1450" i="11"/>
  <c r="N1452" i="11"/>
  <c r="N1454" i="11"/>
  <c r="N1456" i="11"/>
  <c r="N1458" i="11"/>
  <c r="N1460" i="11"/>
  <c r="N1462" i="11"/>
  <c r="N1464" i="11"/>
  <c r="N1466" i="11"/>
  <c r="N1468" i="11"/>
  <c r="N1470" i="11"/>
  <c r="N1472" i="11"/>
  <c r="N1474" i="11"/>
  <c r="N1476" i="11"/>
  <c r="N1478" i="11"/>
  <c r="N1480" i="11"/>
  <c r="N1482" i="11"/>
  <c r="N1484" i="11"/>
  <c r="N1486" i="11"/>
  <c r="N1488" i="11"/>
  <c r="N1490" i="11"/>
  <c r="N1492" i="11"/>
  <c r="N1494" i="11"/>
  <c r="N1496" i="11"/>
  <c r="N1498" i="11"/>
  <c r="N1500" i="11"/>
  <c r="N1502" i="11"/>
  <c r="N1504" i="11"/>
  <c r="N1506" i="11"/>
  <c r="N1508" i="11"/>
  <c r="N1510" i="11"/>
  <c r="N1512" i="11"/>
  <c r="N1514" i="11"/>
  <c r="N1516" i="11"/>
  <c r="N1518" i="11"/>
  <c r="N1520" i="11"/>
  <c r="N1522" i="11"/>
  <c r="N1524" i="11"/>
  <c r="N1526" i="11"/>
  <c r="N1528" i="11"/>
  <c r="N1530" i="11"/>
  <c r="N1532" i="11"/>
  <c r="N1534" i="11"/>
  <c r="N1536" i="11"/>
  <c r="N1538" i="11"/>
  <c r="V1553" i="11"/>
  <c r="N1553" i="11"/>
  <c r="N1554" i="11"/>
  <c r="V1561" i="11"/>
  <c r="N1561" i="11"/>
  <c r="N1562" i="11"/>
  <c r="V1569" i="11"/>
  <c r="N1569" i="11"/>
  <c r="N1570" i="11"/>
  <c r="V1577" i="11"/>
  <c r="N1577" i="11"/>
  <c r="N1578" i="11"/>
  <c r="V1585" i="11"/>
  <c r="N1585" i="11"/>
  <c r="N1586" i="11"/>
  <c r="P1648" i="11"/>
  <c r="N1648" i="11"/>
  <c r="V1649" i="11"/>
  <c r="N1649" i="11"/>
  <c r="P1649" i="11"/>
  <c r="P1650" i="11"/>
  <c r="N1650" i="11" s="1"/>
  <c r="V1650" i="11"/>
  <c r="V1651" i="11"/>
  <c r="P1651" i="11"/>
  <c r="N1651" i="11" s="1"/>
  <c r="V1660" i="11"/>
  <c r="Q1660" i="11"/>
  <c r="N1660" i="11"/>
  <c r="P1664" i="11"/>
  <c r="N1664" i="11" s="1"/>
  <c r="V1665" i="11"/>
  <c r="P1665" i="11"/>
  <c r="N1665" i="11" s="1"/>
  <c r="P1666" i="11"/>
  <c r="N1666" i="11" s="1"/>
  <c r="V1666" i="11"/>
  <c r="V1667" i="11"/>
  <c r="N1667" i="11"/>
  <c r="P1667" i="11"/>
  <c r="V1676" i="11"/>
  <c r="Q1676" i="11"/>
  <c r="N1676" i="11"/>
  <c r="P1680" i="11"/>
  <c r="N1680" i="11" s="1"/>
  <c r="V1681" i="11"/>
  <c r="P1681" i="11"/>
  <c r="N1681" i="11" s="1"/>
  <c r="N1698" i="11"/>
  <c r="P1699" i="11"/>
  <c r="N1699" i="11"/>
  <c r="N1701" i="11"/>
  <c r="N1714" i="11"/>
  <c r="P1715" i="11"/>
  <c r="N1715" i="11"/>
  <c r="N1717" i="11"/>
  <c r="N1730" i="11"/>
  <c r="P1731" i="11"/>
  <c r="N1731" i="11"/>
  <c r="N1733" i="11"/>
  <c r="N1738" i="11"/>
  <c r="P1739" i="11"/>
  <c r="V1739" i="11"/>
  <c r="N1739" i="11"/>
  <c r="P1753" i="11"/>
  <c r="N1753" i="11" s="1"/>
  <c r="V1647" i="11"/>
  <c r="N1647" i="11"/>
  <c r="V1655" i="11"/>
  <c r="N1655" i="11"/>
  <c r="V1663" i="11"/>
  <c r="N1663" i="11"/>
  <c r="V1671" i="11"/>
  <c r="N1671" i="11"/>
  <c r="V1679" i="11"/>
  <c r="N1679" i="11"/>
  <c r="N1686" i="11"/>
  <c r="N1688" i="11"/>
  <c r="P1689" i="11"/>
  <c r="N1689" i="11" s="1"/>
  <c r="V1689" i="11"/>
  <c r="N1704" i="11"/>
  <c r="P1705" i="11"/>
  <c r="N1705" i="11" s="1"/>
  <c r="V1705" i="11"/>
  <c r="N1720" i="11"/>
  <c r="P1721" i="11"/>
  <c r="N1721" i="11" s="1"/>
  <c r="V1721" i="11"/>
  <c r="P1744" i="11"/>
  <c r="V1744" i="11"/>
  <c r="N1744" i="11"/>
  <c r="V1751" i="11"/>
  <c r="P1751" i="11"/>
  <c r="N1751" i="11" s="1"/>
  <c r="N1759" i="11"/>
  <c r="N1593" i="11"/>
  <c r="N1595" i="11"/>
  <c r="N1597" i="11"/>
  <c r="N1599" i="11"/>
  <c r="N1601" i="11"/>
  <c r="N1603" i="11"/>
  <c r="N1605" i="11"/>
  <c r="N1607" i="11"/>
  <c r="N1609" i="11"/>
  <c r="N1611" i="11"/>
  <c r="N1613" i="11"/>
  <c r="N1615" i="11"/>
  <c r="N1617" i="11"/>
  <c r="N1619" i="11"/>
  <c r="N1621" i="11"/>
  <c r="N1623" i="11"/>
  <c r="N1625" i="11"/>
  <c r="N1627" i="11"/>
  <c r="N1629" i="11"/>
  <c r="N1631" i="11"/>
  <c r="N1633" i="11"/>
  <c r="N1635" i="11"/>
  <c r="N1637" i="11"/>
  <c r="N1639" i="11"/>
  <c r="N1641" i="11"/>
  <c r="N1643" i="11"/>
  <c r="N1645" i="11"/>
  <c r="N1646" i="11"/>
  <c r="V1653" i="11"/>
  <c r="N1653" i="11"/>
  <c r="N1654" i="11"/>
  <c r="V1661" i="11"/>
  <c r="N1661" i="11"/>
  <c r="N1662" i="11"/>
  <c r="V1669" i="11"/>
  <c r="N1669" i="11"/>
  <c r="N1670" i="11"/>
  <c r="V1677" i="11"/>
  <c r="N1677" i="11"/>
  <c r="N1678" i="11"/>
  <c r="P1683" i="11"/>
  <c r="N1683" i="11" s="1"/>
  <c r="V1683" i="11"/>
  <c r="N1685" i="11"/>
  <c r="N1690" i="11"/>
  <c r="V1691" i="11"/>
  <c r="N1695" i="11"/>
  <c r="N1700" i="11"/>
  <c r="V1701" i="11"/>
  <c r="N1706" i="11"/>
  <c r="V1707" i="11"/>
  <c r="N1711" i="11"/>
  <c r="N1716" i="11"/>
  <c r="V1717" i="11"/>
  <c r="N1722" i="11"/>
  <c r="V1723" i="11"/>
  <c r="N1727" i="11"/>
  <c r="N1732" i="11"/>
  <c r="V1733" i="11"/>
  <c r="V1743" i="11"/>
  <c r="N1743" i="11"/>
  <c r="P1743" i="11"/>
  <c r="Q1750" i="11"/>
  <c r="V1750" i="11"/>
  <c r="N1750" i="11"/>
  <c r="V1756" i="11"/>
  <c r="N1757" i="11"/>
  <c r="N1762" i="11"/>
  <c r="N1765" i="11"/>
  <c r="N1767" i="11"/>
  <c r="N1736" i="11"/>
  <c r="T1762" i="11"/>
  <c r="T1770" i="11"/>
  <c r="V1798" i="11"/>
  <c r="N1798" i="11"/>
  <c r="P1798" i="11"/>
  <c r="N1694" i="11"/>
  <c r="N1702" i="11"/>
  <c r="N1710" i="11"/>
  <c r="N1718" i="11"/>
  <c r="N1726" i="11"/>
  <c r="N1734" i="11"/>
  <c r="N1737" i="11"/>
  <c r="V1737" i="11"/>
  <c r="N1746" i="11"/>
  <c r="Q1762" i="11"/>
  <c r="V1762" i="11"/>
  <c r="Q1764" i="11"/>
  <c r="V1764" i="11"/>
  <c r="N1764" i="11"/>
  <c r="Q1770" i="11"/>
  <c r="V1770" i="11"/>
  <c r="Q1776" i="11"/>
  <c r="V1776" i="11"/>
  <c r="N1776" i="11"/>
  <c r="Q1778" i="11"/>
  <c r="V1778" i="11"/>
  <c r="N1778" i="11"/>
  <c r="Q1784" i="11"/>
  <c r="V1784" i="11"/>
  <c r="N1784" i="11"/>
  <c r="Q1786" i="11"/>
  <c r="V1786" i="11"/>
  <c r="N1786" i="11"/>
  <c r="Q1792" i="11"/>
  <c r="V1792" i="11"/>
  <c r="N1792" i="11"/>
  <c r="Q1794" i="11"/>
  <c r="V1794" i="11"/>
  <c r="N1794" i="11"/>
  <c r="N1763" i="11"/>
  <c r="V1767" i="11"/>
  <c r="N1769" i="11"/>
  <c r="Q1688" i="11"/>
  <c r="Q1690" i="11"/>
  <c r="Q1692" i="11"/>
  <c r="Q1694" i="11"/>
  <c r="Q1696" i="11"/>
  <c r="Q1698" i="11"/>
  <c r="Q1700" i="11"/>
  <c r="Q1702" i="11"/>
  <c r="Q1704" i="11"/>
  <c r="Q1706" i="11"/>
  <c r="Q1708" i="11"/>
  <c r="Q1710" i="11"/>
  <c r="Q1712" i="11"/>
  <c r="Q1714" i="11"/>
  <c r="Q1716" i="11"/>
  <c r="Q1718" i="11"/>
  <c r="Q1720" i="11"/>
  <c r="Q1722" i="11"/>
  <c r="Q1724" i="11"/>
  <c r="Q1726" i="11"/>
  <c r="Q1728" i="11"/>
  <c r="Q1730" i="11"/>
  <c r="Q1732" i="11"/>
  <c r="Q1734" i="11"/>
  <c r="Q1736" i="11"/>
  <c r="Q1738" i="11"/>
  <c r="Q1740" i="11"/>
  <c r="V1746" i="11"/>
  <c r="V1749" i="11"/>
  <c r="N1749" i="11"/>
  <c r="N1754" i="11"/>
  <c r="V1754" i="11"/>
  <c r="Q1760" i="11"/>
  <c r="V1760" i="11"/>
  <c r="N1760" i="11"/>
  <c r="V1763" i="11"/>
  <c r="Q1768" i="11"/>
  <c r="V1768" i="11"/>
  <c r="N1768" i="11"/>
  <c r="Q1772" i="11"/>
  <c r="V1772" i="11"/>
  <c r="N1772" i="11"/>
  <c r="Q1780" i="11"/>
  <c r="V1780" i="11"/>
  <c r="N1780" i="11"/>
  <c r="Q1788" i="11"/>
  <c r="V1788" i="11"/>
  <c r="N1788" i="11"/>
  <c r="V1747" i="11"/>
  <c r="N1747" i="11"/>
  <c r="N1752" i="11"/>
  <c r="V1752" i="11"/>
  <c r="V1755" i="11"/>
  <c r="N1755" i="11"/>
  <c r="Q1758" i="11"/>
  <c r="V1758" i="11"/>
  <c r="N1758" i="11"/>
  <c r="V1761" i="11"/>
  <c r="Q1766" i="11"/>
  <c r="V1766" i="11"/>
  <c r="N1766" i="11"/>
  <c r="V1769" i="11"/>
  <c r="Q1774" i="11"/>
  <c r="V1774" i="11"/>
  <c r="N1774" i="11"/>
  <c r="Q1782" i="11"/>
  <c r="V1782" i="11"/>
  <c r="N1782" i="11"/>
  <c r="Q1790" i="11"/>
  <c r="V1790" i="11"/>
  <c r="N1790" i="11"/>
  <c r="P1756" i="11"/>
  <c r="N1756" i="11" s="1"/>
  <c r="V1771" i="11"/>
  <c r="N1771" i="11"/>
  <c r="V1773" i="11"/>
  <c r="N1773" i="11"/>
  <c r="V1775" i="11"/>
  <c r="N1775" i="11"/>
  <c r="V1777" i="11"/>
  <c r="N1777" i="11"/>
  <c r="V1779" i="11"/>
  <c r="N1779" i="11"/>
  <c r="V1781" i="11"/>
  <c r="N1781" i="11"/>
  <c r="V1783" i="11"/>
  <c r="N1783" i="11"/>
  <c r="V1785" i="11"/>
  <c r="N1785" i="11"/>
  <c r="V1787" i="11"/>
  <c r="N1787" i="11"/>
  <c r="V1789" i="11"/>
  <c r="N1789" i="11"/>
  <c r="V1791" i="11"/>
  <c r="N1791" i="11"/>
  <c r="V1793" i="11"/>
  <c r="N1793" i="11"/>
  <c r="V1795" i="11"/>
  <c r="N1795" i="11"/>
  <c r="V1796" i="11"/>
  <c r="N1796" i="11"/>
  <c r="P1796" i="11"/>
  <c r="L5" i="20"/>
  <c r="P5" i="20"/>
  <c r="AK5" i="20"/>
  <c r="T6" i="20"/>
  <c r="L7" i="20"/>
  <c r="P7" i="20"/>
  <c r="AK7" i="20"/>
  <c r="T8" i="20"/>
  <c r="L9" i="20"/>
  <c r="N9" i="20" s="1"/>
  <c r="P9" i="20"/>
  <c r="H10" i="20"/>
  <c r="O10" i="20"/>
  <c r="T11" i="20"/>
  <c r="T12" i="20"/>
  <c r="M13" i="20"/>
  <c r="O15" i="20"/>
  <c r="H32" i="20"/>
  <c r="N1797" i="11"/>
  <c r="V1797" i="11"/>
  <c r="N1799" i="11"/>
  <c r="V1799" i="11"/>
  <c r="P1800" i="11"/>
  <c r="N1800" i="11" s="1"/>
  <c r="N1801" i="11"/>
  <c r="V1801" i="11"/>
  <c r="M5" i="20"/>
  <c r="O6" i="20"/>
  <c r="M7" i="20"/>
  <c r="AF7" i="20"/>
  <c r="O8" i="20"/>
  <c r="M9" i="20"/>
  <c r="L10" i="20"/>
  <c r="P10" i="20"/>
  <c r="O11" i="20"/>
  <c r="O12" i="20"/>
  <c r="H14" i="20"/>
  <c r="E11" i="2" s="1"/>
  <c r="O14" i="20"/>
  <c r="L15" i="20"/>
  <c r="N15" i="20" s="1"/>
  <c r="P15" i="20"/>
  <c r="O16" i="20"/>
  <c r="L6" i="20"/>
  <c r="P6" i="20"/>
  <c r="L8" i="20"/>
  <c r="P8" i="20"/>
  <c r="T9" i="20"/>
  <c r="M10" i="20"/>
  <c r="L11" i="20"/>
  <c r="P11" i="20"/>
  <c r="L12" i="20"/>
  <c r="N12" i="20" s="1"/>
  <c r="P12" i="20"/>
  <c r="O13" i="20"/>
  <c r="L14" i="20"/>
  <c r="N14" i="20" s="1"/>
  <c r="P14" i="20"/>
  <c r="M15" i="20"/>
  <c r="L16" i="20"/>
  <c r="N16" i="20" s="1"/>
  <c r="P16" i="20"/>
  <c r="O5" i="20"/>
  <c r="M6" i="20"/>
  <c r="O7" i="20"/>
  <c r="M8" i="20"/>
  <c r="O9" i="20"/>
  <c r="M11" i="20"/>
  <c r="M12" i="20"/>
  <c r="L13" i="20"/>
  <c r="N13" i="20" s="1"/>
  <c r="P13" i="20"/>
  <c r="M14" i="20"/>
  <c r="M16" i="20"/>
  <c r="U1800" i="11" l="1"/>
  <c r="O1800" i="11"/>
  <c r="R1800" i="11" s="1"/>
  <c r="U1680" i="11"/>
  <c r="O1680" i="11"/>
  <c r="R1680" i="11" s="1"/>
  <c r="U1666" i="11"/>
  <c r="O1666" i="11"/>
  <c r="R1666" i="11" s="1"/>
  <c r="O1614" i="11"/>
  <c r="R1614" i="11" s="1"/>
  <c r="U1614" i="11"/>
  <c r="U1590" i="11"/>
  <c r="O1590" i="11"/>
  <c r="R1590" i="11" s="1"/>
  <c r="O1596" i="11"/>
  <c r="R1596" i="11" s="1"/>
  <c r="U1596" i="11"/>
  <c r="U1559" i="11"/>
  <c r="O1559" i="11"/>
  <c r="R1559" i="11" s="1"/>
  <c r="O1539" i="11"/>
  <c r="R1539" i="11" s="1"/>
  <c r="U1539" i="11"/>
  <c r="U1414" i="11"/>
  <c r="O1414" i="11"/>
  <c r="R1414" i="11" s="1"/>
  <c r="U1674" i="11"/>
  <c r="O1674" i="11"/>
  <c r="R1674" i="11" s="1"/>
  <c r="O1213" i="11"/>
  <c r="R1213" i="11" s="1"/>
  <c r="U1213" i="11"/>
  <c r="O1183" i="11"/>
  <c r="R1183" i="11" s="1"/>
  <c r="U1183" i="11"/>
  <c r="O1199" i="11"/>
  <c r="R1199" i="11" s="1"/>
  <c r="U1199" i="11"/>
  <c r="O1337" i="11"/>
  <c r="R1337" i="11" s="1"/>
  <c r="U1337" i="11"/>
  <c r="U1589" i="11"/>
  <c r="O1589" i="11"/>
  <c r="R1589" i="11" s="1"/>
  <c r="U1397" i="11"/>
  <c r="O1397" i="11"/>
  <c r="R1397" i="11" s="1"/>
  <c r="O1211" i="11"/>
  <c r="R1211" i="11" s="1"/>
  <c r="U1211" i="11"/>
  <c r="O1051" i="11"/>
  <c r="R1051" i="11" s="1"/>
  <c r="U1051" i="11"/>
  <c r="O1019" i="11"/>
  <c r="R1019" i="11" s="1"/>
  <c r="U1019" i="11"/>
  <c r="O1037" i="11"/>
  <c r="R1037" i="11" s="1"/>
  <c r="U1037" i="11"/>
  <c r="O616" i="11"/>
  <c r="R616" i="11" s="1"/>
  <c r="U616" i="11"/>
  <c r="O576" i="11"/>
  <c r="R576" i="11" s="1"/>
  <c r="U576" i="11"/>
  <c r="O544" i="11"/>
  <c r="R544" i="11" s="1"/>
  <c r="U544" i="11"/>
  <c r="O512" i="11"/>
  <c r="R512" i="11" s="1"/>
  <c r="U512" i="11"/>
  <c r="O946" i="11"/>
  <c r="R946" i="11" s="1"/>
  <c r="U946" i="11"/>
  <c r="U826" i="11"/>
  <c r="O826" i="11"/>
  <c r="R826" i="11" s="1"/>
  <c r="O554" i="11"/>
  <c r="R554" i="11" s="1"/>
  <c r="U554" i="11"/>
  <c r="O546" i="11"/>
  <c r="R546" i="11" s="1"/>
  <c r="U546" i="11"/>
  <c r="O538" i="11"/>
  <c r="R538" i="11" s="1"/>
  <c r="U538" i="11"/>
  <c r="O530" i="11"/>
  <c r="R530" i="11" s="1"/>
  <c r="U530" i="11"/>
  <c r="U834" i="11"/>
  <c r="O834" i="11"/>
  <c r="R834" i="11" s="1"/>
  <c r="U407" i="11"/>
  <c r="O407" i="11"/>
  <c r="R407" i="11" s="1"/>
  <c r="U464" i="11"/>
  <c r="O464" i="11"/>
  <c r="R464" i="11" s="1"/>
  <c r="U336" i="11"/>
  <c r="O336" i="11"/>
  <c r="R336" i="11" s="1"/>
  <c r="O189" i="11"/>
  <c r="R189" i="11" s="1"/>
  <c r="U189" i="11"/>
  <c r="U440" i="11"/>
  <c r="O440" i="11"/>
  <c r="R440" i="11" s="1"/>
  <c r="U359" i="11"/>
  <c r="O359" i="11"/>
  <c r="R359" i="11" s="1"/>
  <c r="O1751" i="11"/>
  <c r="R1751" i="11" s="1"/>
  <c r="U1751" i="11"/>
  <c r="O1689" i="11"/>
  <c r="R1689" i="11" s="1"/>
  <c r="U1689" i="11"/>
  <c r="O1626" i="11"/>
  <c r="R1626" i="11" s="1"/>
  <c r="U1626" i="11"/>
  <c r="O1594" i="11"/>
  <c r="R1594" i="11" s="1"/>
  <c r="U1594" i="11"/>
  <c r="O1620" i="11"/>
  <c r="R1620" i="11" s="1"/>
  <c r="U1620" i="11"/>
  <c r="U1405" i="11"/>
  <c r="O1405" i="11"/>
  <c r="R1405" i="11" s="1"/>
  <c r="O1705" i="11"/>
  <c r="R1705" i="11" s="1"/>
  <c r="U1705" i="11"/>
  <c r="O1753" i="11"/>
  <c r="R1753" i="11" s="1"/>
  <c r="U1753" i="11"/>
  <c r="U1665" i="11"/>
  <c r="O1665" i="11"/>
  <c r="R1665" i="11" s="1"/>
  <c r="U1574" i="11"/>
  <c r="O1574" i="11"/>
  <c r="R1574" i="11" s="1"/>
  <c r="U1572" i="11"/>
  <c r="O1572" i="11"/>
  <c r="R1572" i="11" s="1"/>
  <c r="U1558" i="11"/>
  <c r="O1558" i="11"/>
  <c r="R1558" i="11" s="1"/>
  <c r="U1407" i="11"/>
  <c r="O1407" i="11"/>
  <c r="R1407" i="11" s="1"/>
  <c r="U1591" i="11"/>
  <c r="O1591" i="11"/>
  <c r="R1591" i="11" s="1"/>
  <c r="U1421" i="11"/>
  <c r="O1421" i="11"/>
  <c r="R1421" i="11" s="1"/>
  <c r="U1399" i="11"/>
  <c r="O1399" i="11"/>
  <c r="R1399" i="11" s="1"/>
  <c r="O1545" i="11"/>
  <c r="R1545" i="11" s="1"/>
  <c r="U1545" i="11"/>
  <c r="O1277" i="11"/>
  <c r="R1277" i="11" s="1"/>
  <c r="U1277" i="11"/>
  <c r="O1693" i="11"/>
  <c r="R1693" i="11" s="1"/>
  <c r="U1693" i="11"/>
  <c r="U1557" i="11"/>
  <c r="O1557" i="11"/>
  <c r="R1557" i="11" s="1"/>
  <c r="U1429" i="11"/>
  <c r="O1429" i="11"/>
  <c r="R1429" i="11" s="1"/>
  <c r="O1345" i="11"/>
  <c r="R1345" i="11" s="1"/>
  <c r="U1345" i="11"/>
  <c r="O1221" i="11"/>
  <c r="R1221" i="11" s="1"/>
  <c r="U1221" i="11"/>
  <c r="O1189" i="11"/>
  <c r="R1189" i="11" s="1"/>
  <c r="U1189" i="11"/>
  <c r="O1175" i="11"/>
  <c r="R1175" i="11" s="1"/>
  <c r="U1175" i="11"/>
  <c r="O1341" i="11"/>
  <c r="R1341" i="11" s="1"/>
  <c r="U1341" i="11"/>
  <c r="O1293" i="11"/>
  <c r="R1293" i="11" s="1"/>
  <c r="U1293" i="11"/>
  <c r="O1207" i="11"/>
  <c r="R1207" i="11" s="1"/>
  <c r="U1207" i="11"/>
  <c r="O1381" i="11"/>
  <c r="R1381" i="11" s="1"/>
  <c r="U1381" i="11"/>
  <c r="O1219" i="11"/>
  <c r="R1219" i="11" s="1"/>
  <c r="U1219" i="11"/>
  <c r="O1187" i="11"/>
  <c r="R1187" i="11" s="1"/>
  <c r="U1187" i="11"/>
  <c r="O1069" i="11"/>
  <c r="R1069" i="11" s="1"/>
  <c r="U1069" i="11"/>
  <c r="O1043" i="11"/>
  <c r="R1043" i="11" s="1"/>
  <c r="U1043" i="11"/>
  <c r="O1011" i="11"/>
  <c r="R1011" i="11" s="1"/>
  <c r="U1011" i="11"/>
  <c r="O1057" i="11"/>
  <c r="R1057" i="11" s="1"/>
  <c r="U1057" i="11"/>
  <c r="O850" i="11"/>
  <c r="R850" i="11" s="1"/>
  <c r="U850" i="11"/>
  <c r="U827" i="11"/>
  <c r="O827" i="11"/>
  <c r="R827" i="11" s="1"/>
  <c r="O1005" i="11"/>
  <c r="R1005" i="11" s="1"/>
  <c r="U1005" i="11"/>
  <c r="O906" i="11"/>
  <c r="R906" i="11" s="1"/>
  <c r="U906" i="11"/>
  <c r="O608" i="11"/>
  <c r="R608" i="11" s="1"/>
  <c r="U608" i="11"/>
  <c r="O568" i="11"/>
  <c r="R568" i="11" s="1"/>
  <c r="U568" i="11"/>
  <c r="O536" i="11"/>
  <c r="R536" i="11" s="1"/>
  <c r="U536" i="11"/>
  <c r="O504" i="11"/>
  <c r="R504" i="11" s="1"/>
  <c r="U504" i="11"/>
  <c r="O854" i="11"/>
  <c r="R854" i="11" s="1"/>
  <c r="U854" i="11"/>
  <c r="U843" i="11"/>
  <c r="O843" i="11"/>
  <c r="R843" i="11" s="1"/>
  <c r="O522" i="11"/>
  <c r="R522" i="11" s="1"/>
  <c r="U522" i="11"/>
  <c r="O514" i="11"/>
  <c r="R514" i="11" s="1"/>
  <c r="U514" i="11"/>
  <c r="O506" i="11"/>
  <c r="R506" i="11" s="1"/>
  <c r="U506" i="11"/>
  <c r="O498" i="11"/>
  <c r="R498" i="11" s="1"/>
  <c r="U498" i="11"/>
  <c r="U787" i="11"/>
  <c r="O787" i="11"/>
  <c r="R787" i="11" s="1"/>
  <c r="U367" i="11"/>
  <c r="O367" i="11"/>
  <c r="R367" i="11" s="1"/>
  <c r="U488" i="11"/>
  <c r="O488" i="11"/>
  <c r="R488" i="11" s="1"/>
  <c r="U360" i="11"/>
  <c r="O360" i="11"/>
  <c r="R360" i="11" s="1"/>
  <c r="U415" i="11"/>
  <c r="O415" i="11"/>
  <c r="R415" i="11" s="1"/>
  <c r="O181" i="11"/>
  <c r="R181" i="11" s="1"/>
  <c r="U181" i="11"/>
  <c r="O1683" i="11"/>
  <c r="R1683" i="11" s="1"/>
  <c r="U1683" i="11"/>
  <c r="U1650" i="11"/>
  <c r="O1650" i="11"/>
  <c r="R1650" i="11" s="1"/>
  <c r="O1725" i="11"/>
  <c r="R1725" i="11" s="1"/>
  <c r="U1725" i="11"/>
  <c r="O1642" i="11"/>
  <c r="R1642" i="11" s="1"/>
  <c r="U1642" i="11"/>
  <c r="O1630" i="11"/>
  <c r="R1630" i="11" s="1"/>
  <c r="U1630" i="11"/>
  <c r="O1610" i="11"/>
  <c r="R1610" i="11" s="1"/>
  <c r="U1610" i="11"/>
  <c r="O1598" i="11"/>
  <c r="R1598" i="11" s="1"/>
  <c r="U1598" i="11"/>
  <c r="U1566" i="11"/>
  <c r="O1566" i="11"/>
  <c r="R1566" i="11" s="1"/>
  <c r="U1564" i="11"/>
  <c r="O1564" i="11"/>
  <c r="R1564" i="11" s="1"/>
  <c r="U1673" i="11"/>
  <c r="O1673" i="11"/>
  <c r="R1673" i="11" s="1"/>
  <c r="O1604" i="11"/>
  <c r="R1604" i="11" s="1"/>
  <c r="U1604" i="11"/>
  <c r="O1537" i="11"/>
  <c r="R1537" i="11" s="1"/>
  <c r="U1537" i="11"/>
  <c r="U1406" i="11"/>
  <c r="O1406" i="11"/>
  <c r="R1406" i="11" s="1"/>
  <c r="U1658" i="11"/>
  <c r="O1658" i="11"/>
  <c r="R1658" i="11" s="1"/>
  <c r="O1612" i="11"/>
  <c r="R1612" i="11" s="1"/>
  <c r="U1612" i="11"/>
  <c r="U1423" i="11"/>
  <c r="O1423" i="11"/>
  <c r="R1423" i="11" s="1"/>
  <c r="U1548" i="11"/>
  <c r="O1548" i="11"/>
  <c r="R1548" i="11" s="1"/>
  <c r="U1580" i="11"/>
  <c r="O1580" i="11"/>
  <c r="R1580" i="11" s="1"/>
  <c r="O1640" i="11"/>
  <c r="R1640" i="11" s="1"/>
  <c r="U1640" i="11"/>
  <c r="O1197" i="11"/>
  <c r="R1197" i="11" s="1"/>
  <c r="U1197" i="11"/>
  <c r="O1215" i="11"/>
  <c r="R1215" i="11" s="1"/>
  <c r="U1215" i="11"/>
  <c r="O1616" i="11"/>
  <c r="R1616" i="11" s="1"/>
  <c r="U1616" i="11"/>
  <c r="O1353" i="11"/>
  <c r="R1353" i="11" s="1"/>
  <c r="U1353" i="11"/>
  <c r="O1227" i="11"/>
  <c r="R1227" i="11" s="1"/>
  <c r="U1227" i="11"/>
  <c r="O1195" i="11"/>
  <c r="R1195" i="11" s="1"/>
  <c r="U1195" i="11"/>
  <c r="O1217" i="11"/>
  <c r="R1217" i="11" s="1"/>
  <c r="U1217" i="11"/>
  <c r="U841" i="11"/>
  <c r="O841" i="11"/>
  <c r="R841" i="11" s="1"/>
  <c r="U833" i="11"/>
  <c r="O833" i="11"/>
  <c r="R833" i="11" s="1"/>
  <c r="U825" i="11"/>
  <c r="O825" i="11"/>
  <c r="R825" i="11" s="1"/>
  <c r="U817" i="11"/>
  <c r="O817" i="11"/>
  <c r="R817" i="11" s="1"/>
  <c r="U809" i="11"/>
  <c r="O809" i="11"/>
  <c r="R809" i="11" s="1"/>
  <c r="U801" i="11"/>
  <c r="O801" i="11"/>
  <c r="R801" i="11" s="1"/>
  <c r="U793" i="11"/>
  <c r="O793" i="11"/>
  <c r="R793" i="11" s="1"/>
  <c r="U785" i="11"/>
  <c r="O785" i="11"/>
  <c r="R785" i="11" s="1"/>
  <c r="O1035" i="11"/>
  <c r="R1035" i="11" s="1"/>
  <c r="U1035" i="11"/>
  <c r="O1003" i="11"/>
  <c r="R1003" i="11" s="1"/>
  <c r="U1003" i="11"/>
  <c r="O1225" i="11"/>
  <c r="R1225" i="11" s="1"/>
  <c r="U1225" i="11"/>
  <c r="O1025" i="11"/>
  <c r="R1025" i="11" s="1"/>
  <c r="U1025" i="11"/>
  <c r="O898" i="11"/>
  <c r="R898" i="11" s="1"/>
  <c r="U898" i="11"/>
  <c r="O590" i="11"/>
  <c r="R590" i="11" s="1"/>
  <c r="U590" i="11"/>
  <c r="O970" i="11"/>
  <c r="R970" i="11" s="1"/>
  <c r="U970" i="11"/>
  <c r="O600" i="11"/>
  <c r="R600" i="11" s="1"/>
  <c r="U600" i="11"/>
  <c r="O1049" i="11"/>
  <c r="R1049" i="11" s="1"/>
  <c r="U1049" i="11"/>
  <c r="U794" i="11"/>
  <c r="O794" i="11"/>
  <c r="R794" i="11" s="1"/>
  <c r="O618" i="11"/>
  <c r="R618" i="11" s="1"/>
  <c r="U618" i="11"/>
  <c r="O610" i="11"/>
  <c r="R610" i="11" s="1"/>
  <c r="U610" i="11"/>
  <c r="O602" i="11"/>
  <c r="R602" i="11" s="1"/>
  <c r="U602" i="11"/>
  <c r="O594" i="11"/>
  <c r="R594" i="11" s="1"/>
  <c r="U594" i="11"/>
  <c r="O1045" i="11"/>
  <c r="R1045" i="11" s="1"/>
  <c r="U1045" i="11"/>
  <c r="O848" i="11"/>
  <c r="R848" i="11" s="1"/>
  <c r="U848" i="11"/>
  <c r="U463" i="11"/>
  <c r="O463" i="11"/>
  <c r="R463" i="11" s="1"/>
  <c r="U439" i="11"/>
  <c r="O439" i="11"/>
  <c r="R439" i="11" s="1"/>
  <c r="U432" i="11"/>
  <c r="O432" i="11"/>
  <c r="R432" i="11" s="1"/>
  <c r="O237" i="11"/>
  <c r="R237" i="11" s="1"/>
  <c r="U237" i="11"/>
  <c r="U391" i="11"/>
  <c r="O391" i="11"/>
  <c r="R391" i="11" s="1"/>
  <c r="D19" i="3"/>
  <c r="B72" i="3"/>
  <c r="B76" i="3"/>
  <c r="D70" i="3"/>
  <c r="B75" i="3"/>
  <c r="F72" i="3"/>
  <c r="C72" i="3"/>
  <c r="C71" i="3"/>
  <c r="C75" i="3"/>
  <c r="D73" i="3"/>
  <c r="F76" i="3"/>
  <c r="B71" i="3"/>
  <c r="D75" i="3"/>
  <c r="E73" i="3"/>
  <c r="B74" i="3"/>
  <c r="F73" i="3"/>
  <c r="F70" i="3"/>
  <c r="C70" i="3"/>
  <c r="C74" i="3"/>
  <c r="C73" i="3"/>
  <c r="B70" i="3"/>
  <c r="F74" i="3"/>
  <c r="D74" i="3"/>
  <c r="D71" i="3"/>
  <c r="E71" i="3"/>
  <c r="E75" i="3"/>
  <c r="O1721" i="11"/>
  <c r="R1721" i="11" s="1"/>
  <c r="U1721" i="11"/>
  <c r="O1681" i="11"/>
  <c r="R1681" i="11" s="1"/>
  <c r="U1681" i="11"/>
  <c r="U1742" i="11"/>
  <c r="O1742" i="11"/>
  <c r="R1742" i="11" s="1"/>
  <c r="U1756" i="11"/>
  <c r="O1756" i="11"/>
  <c r="R1756" i="11" s="1"/>
  <c r="U1664" i="11"/>
  <c r="O1664" i="11"/>
  <c r="R1664" i="11" s="1"/>
  <c r="U1651" i="11"/>
  <c r="O1651" i="11"/>
  <c r="R1651" i="11" s="1"/>
  <c r="U1422" i="11"/>
  <c r="O1422" i="11"/>
  <c r="R1422" i="11" s="1"/>
  <c r="U1389" i="11"/>
  <c r="O1389" i="11"/>
  <c r="R1389" i="11" s="1"/>
  <c r="O1632" i="11"/>
  <c r="R1632" i="11" s="1"/>
  <c r="U1632" i="11"/>
  <c r="U1415" i="11"/>
  <c r="O1415" i="11"/>
  <c r="R1415" i="11" s="1"/>
  <c r="O1329" i="11"/>
  <c r="R1329" i="11" s="1"/>
  <c r="U1329" i="11"/>
  <c r="O1205" i="11"/>
  <c r="R1205" i="11" s="1"/>
  <c r="U1205" i="11"/>
  <c r="U1431" i="11"/>
  <c r="O1431" i="11"/>
  <c r="R1431" i="11" s="1"/>
  <c r="O1357" i="11"/>
  <c r="R1357" i="11" s="1"/>
  <c r="U1357" i="11"/>
  <c r="O1223" i="11"/>
  <c r="R1223" i="11" s="1"/>
  <c r="U1223" i="11"/>
  <c r="O1191" i="11"/>
  <c r="R1191" i="11" s="1"/>
  <c r="U1191" i="11"/>
  <c r="O1365" i="11"/>
  <c r="R1365" i="11" s="1"/>
  <c r="U1365" i="11"/>
  <c r="O1317" i="11"/>
  <c r="R1317" i="11" s="1"/>
  <c r="U1317" i="11"/>
  <c r="O1203" i="11"/>
  <c r="R1203" i="11" s="1"/>
  <c r="U1203" i="11"/>
  <c r="O1185" i="11"/>
  <c r="R1185" i="11" s="1"/>
  <c r="U1185" i="11"/>
  <c r="O1059" i="11"/>
  <c r="R1059" i="11" s="1"/>
  <c r="U1059" i="11"/>
  <c r="O1027" i="11"/>
  <c r="R1027" i="11" s="1"/>
  <c r="U1027" i="11"/>
  <c r="O995" i="11"/>
  <c r="R995" i="11" s="1"/>
  <c r="U995" i="11"/>
  <c r="O1193" i="11"/>
  <c r="R1193" i="11" s="1"/>
  <c r="U1193" i="11"/>
  <c r="O993" i="11"/>
  <c r="R993" i="11" s="1"/>
  <c r="U993" i="11"/>
  <c r="O962" i="11"/>
  <c r="R962" i="11" s="1"/>
  <c r="U962" i="11"/>
  <c r="U842" i="11"/>
  <c r="O842" i="11"/>
  <c r="R842" i="11" s="1"/>
  <c r="U494" i="11"/>
  <c r="O494" i="11"/>
  <c r="R494" i="11" s="1"/>
  <c r="U486" i="11"/>
  <c r="O486" i="11"/>
  <c r="R486" i="11" s="1"/>
  <c r="U478" i="11"/>
  <c r="O478" i="11"/>
  <c r="R478" i="11" s="1"/>
  <c r="U470" i="11"/>
  <c r="O470" i="11"/>
  <c r="R470" i="11" s="1"/>
  <c r="U462" i="11"/>
  <c r="O462" i="11"/>
  <c r="R462" i="11" s="1"/>
  <c r="U454" i="11"/>
  <c r="O454" i="11"/>
  <c r="R454" i="11" s="1"/>
  <c r="U446" i="11"/>
  <c r="O446" i="11"/>
  <c r="R446" i="11" s="1"/>
  <c r="U438" i="11"/>
  <c r="O438" i="11"/>
  <c r="R438" i="11" s="1"/>
  <c r="U430" i="11"/>
  <c r="O430" i="11"/>
  <c r="R430" i="11" s="1"/>
  <c r="U422" i="11"/>
  <c r="O422" i="11"/>
  <c r="R422" i="11" s="1"/>
  <c r="U414" i="11"/>
  <c r="O414" i="11"/>
  <c r="R414" i="11" s="1"/>
  <c r="U406" i="11"/>
  <c r="O406" i="11"/>
  <c r="R406" i="11" s="1"/>
  <c r="U398" i="11"/>
  <c r="O398" i="11"/>
  <c r="R398" i="11" s="1"/>
  <c r="U390" i="11"/>
  <c r="O390" i="11"/>
  <c r="R390" i="11" s="1"/>
  <c r="U382" i="11"/>
  <c r="O382" i="11"/>
  <c r="R382" i="11" s="1"/>
  <c r="U374" i="11"/>
  <c r="O374" i="11"/>
  <c r="R374" i="11" s="1"/>
  <c r="U366" i="11"/>
  <c r="O366" i="11"/>
  <c r="R366" i="11" s="1"/>
  <c r="U358" i="11"/>
  <c r="O358" i="11"/>
  <c r="R358" i="11" s="1"/>
  <c r="U350" i="11"/>
  <c r="O350" i="11"/>
  <c r="R350" i="11" s="1"/>
  <c r="U342" i="11"/>
  <c r="O342" i="11"/>
  <c r="R342" i="11" s="1"/>
  <c r="U334" i="11"/>
  <c r="O334" i="11"/>
  <c r="R334" i="11" s="1"/>
  <c r="O1177" i="11"/>
  <c r="R1177" i="11" s="1"/>
  <c r="U1177" i="11"/>
  <c r="U835" i="11"/>
  <c r="O835" i="11"/>
  <c r="R835" i="11" s="1"/>
  <c r="O584" i="11"/>
  <c r="R584" i="11" s="1"/>
  <c r="U584" i="11"/>
  <c r="O552" i="11"/>
  <c r="R552" i="11" s="1"/>
  <c r="U552" i="11"/>
  <c r="O520" i="11"/>
  <c r="R520" i="11" s="1"/>
  <c r="U520" i="11"/>
  <c r="O1017" i="11"/>
  <c r="R1017" i="11" s="1"/>
  <c r="U1017" i="11"/>
  <c r="O882" i="11"/>
  <c r="R882" i="11" s="1"/>
  <c r="U882" i="11"/>
  <c r="O862" i="11"/>
  <c r="R862" i="11" s="1"/>
  <c r="U862" i="11"/>
  <c r="O586" i="11"/>
  <c r="R586" i="11" s="1"/>
  <c r="U586" i="11"/>
  <c r="O578" i="11"/>
  <c r="R578" i="11" s="1"/>
  <c r="U578" i="11"/>
  <c r="O570" i="11"/>
  <c r="R570" i="11" s="1"/>
  <c r="U570" i="11"/>
  <c r="O562" i="11"/>
  <c r="R562" i="11" s="1"/>
  <c r="U562" i="11"/>
  <c r="O1013" i="11"/>
  <c r="R1013" i="11" s="1"/>
  <c r="U1013" i="11"/>
  <c r="O954" i="11"/>
  <c r="R954" i="11" s="1"/>
  <c r="U954" i="11"/>
  <c r="O922" i="11"/>
  <c r="R922" i="11" s="1"/>
  <c r="U922" i="11"/>
  <c r="U416" i="11"/>
  <c r="O416" i="11"/>
  <c r="R416" i="11" s="1"/>
  <c r="U335" i="11"/>
  <c r="O335" i="11"/>
  <c r="R335" i="11" s="1"/>
  <c r="U456" i="11"/>
  <c r="O456" i="11"/>
  <c r="R456" i="11" s="1"/>
  <c r="U383" i="11"/>
  <c r="O383" i="11"/>
  <c r="R383" i="11" s="1"/>
  <c r="O197" i="11"/>
  <c r="R197" i="11" s="1"/>
  <c r="U197" i="11"/>
  <c r="U487" i="11"/>
  <c r="O487" i="11"/>
  <c r="R487" i="11" s="1"/>
  <c r="AF8" i="20"/>
  <c r="AF6" i="20"/>
  <c r="AG6" i="20"/>
  <c r="O1783" i="11"/>
  <c r="R1783" i="11" s="1"/>
  <c r="U1783" i="11"/>
  <c r="O1771" i="11"/>
  <c r="R1771" i="11" s="1"/>
  <c r="U1771" i="11"/>
  <c r="O1763" i="11"/>
  <c r="R1763" i="11" s="1"/>
  <c r="U1763" i="11"/>
  <c r="O1737" i="11"/>
  <c r="R1737" i="11" s="1"/>
  <c r="U1737" i="11"/>
  <c r="O1685" i="11"/>
  <c r="R1685" i="11" s="1"/>
  <c r="U1685" i="11"/>
  <c r="U1645" i="11"/>
  <c r="O1645" i="11"/>
  <c r="R1645" i="11" s="1"/>
  <c r="U1605" i="11"/>
  <c r="O1605" i="11"/>
  <c r="R1605" i="11" s="1"/>
  <c r="H34" i="20"/>
  <c r="AG7" i="20"/>
  <c r="H37" i="20"/>
  <c r="U1797" i="11"/>
  <c r="O1797" i="11"/>
  <c r="R1797" i="11" s="1"/>
  <c r="AG8" i="20"/>
  <c r="N7" i="20"/>
  <c r="U1790" i="11"/>
  <c r="O1790" i="11"/>
  <c r="R1790" i="11" s="1"/>
  <c r="U1752" i="11"/>
  <c r="O1752" i="11"/>
  <c r="R1752" i="11" s="1"/>
  <c r="U1768" i="11"/>
  <c r="O1768" i="11"/>
  <c r="R1768" i="11" s="1"/>
  <c r="U1760" i="11"/>
  <c r="O1760" i="11"/>
  <c r="R1760" i="11" s="1"/>
  <c r="U1754" i="11"/>
  <c r="O1754" i="11"/>
  <c r="R1754" i="11" s="1"/>
  <c r="U1786" i="11"/>
  <c r="O1786" i="11"/>
  <c r="R1786" i="11" s="1"/>
  <c r="U1718" i="11"/>
  <c r="O1718" i="11"/>
  <c r="R1718" i="11" s="1"/>
  <c r="H22" i="20"/>
  <c r="O1798" i="11"/>
  <c r="R1798" i="11" s="1"/>
  <c r="U1798" i="11"/>
  <c r="U1736" i="11"/>
  <c r="O1736" i="11"/>
  <c r="R1736" i="11" s="1"/>
  <c r="O1765" i="11"/>
  <c r="R1765" i="11" s="1"/>
  <c r="U1765" i="11"/>
  <c r="U1750" i="11"/>
  <c r="O1750" i="11"/>
  <c r="R1750" i="11" s="1"/>
  <c r="U1743" i="11"/>
  <c r="O1743" i="11"/>
  <c r="R1743" i="11" s="1"/>
  <c r="O1727" i="11"/>
  <c r="R1727" i="11" s="1"/>
  <c r="U1727" i="11"/>
  <c r="U1716" i="11"/>
  <c r="O1716" i="11"/>
  <c r="R1716" i="11" s="1"/>
  <c r="U1690" i="11"/>
  <c r="O1690" i="11"/>
  <c r="R1690" i="11" s="1"/>
  <c r="O1678" i="11"/>
  <c r="R1678" i="11" s="1"/>
  <c r="U1678" i="11"/>
  <c r="U1669" i="11"/>
  <c r="O1669" i="11"/>
  <c r="R1669" i="11" s="1"/>
  <c r="O1646" i="11"/>
  <c r="R1646" i="11" s="1"/>
  <c r="U1646" i="11"/>
  <c r="U1639" i="11"/>
  <c r="O1639" i="11"/>
  <c r="R1639" i="11" s="1"/>
  <c r="U1631" i="11"/>
  <c r="O1631" i="11"/>
  <c r="R1631" i="11" s="1"/>
  <c r="U1623" i="11"/>
  <c r="O1623" i="11"/>
  <c r="R1623" i="11" s="1"/>
  <c r="U1615" i="11"/>
  <c r="O1615" i="11"/>
  <c r="R1615" i="11" s="1"/>
  <c r="U1607" i="11"/>
  <c r="O1607" i="11"/>
  <c r="R1607" i="11" s="1"/>
  <c r="U1599" i="11"/>
  <c r="O1599" i="11"/>
  <c r="R1599" i="11" s="1"/>
  <c r="O1759" i="11"/>
  <c r="R1759" i="11" s="1"/>
  <c r="U1759" i="11"/>
  <c r="U1744" i="11"/>
  <c r="O1744" i="11"/>
  <c r="R1744" i="11" s="1"/>
  <c r="O1739" i="11"/>
  <c r="R1739" i="11" s="1"/>
  <c r="U1739" i="11"/>
  <c r="O1733" i="11"/>
  <c r="R1733" i="11" s="1"/>
  <c r="U1733" i="11"/>
  <c r="O1717" i="11"/>
  <c r="R1717" i="11" s="1"/>
  <c r="U1717" i="11"/>
  <c r="O1701" i="11"/>
  <c r="R1701" i="11" s="1"/>
  <c r="U1701" i="11"/>
  <c r="U1585" i="11"/>
  <c r="O1585" i="11"/>
  <c r="R1585" i="11" s="1"/>
  <c r="O1562" i="11"/>
  <c r="R1562" i="11" s="1"/>
  <c r="U1562" i="11"/>
  <c r="U1553" i="11"/>
  <c r="O1553" i="11"/>
  <c r="R1553" i="11" s="1"/>
  <c r="U1534" i="11"/>
  <c r="O1534" i="11"/>
  <c r="R1534" i="11" s="1"/>
  <c r="U1526" i="11"/>
  <c r="O1526" i="11"/>
  <c r="R1526" i="11" s="1"/>
  <c r="U1518" i="11"/>
  <c r="O1518" i="11"/>
  <c r="R1518" i="11" s="1"/>
  <c r="U1510" i="11"/>
  <c r="O1510" i="11"/>
  <c r="R1510" i="11" s="1"/>
  <c r="U1502" i="11"/>
  <c r="O1502" i="11"/>
  <c r="R1502" i="11" s="1"/>
  <c r="U1494" i="11"/>
  <c r="O1494" i="11"/>
  <c r="R1494" i="11" s="1"/>
  <c r="U1486" i="11"/>
  <c r="O1486" i="11"/>
  <c r="R1486" i="11" s="1"/>
  <c r="U1478" i="11"/>
  <c r="O1478" i="11"/>
  <c r="R1478" i="11" s="1"/>
  <c r="U1470" i="11"/>
  <c r="O1470" i="11"/>
  <c r="R1470" i="11" s="1"/>
  <c r="U1462" i="11"/>
  <c r="O1462" i="11"/>
  <c r="R1462" i="11" s="1"/>
  <c r="U1454" i="11"/>
  <c r="O1454" i="11"/>
  <c r="R1454" i="11" s="1"/>
  <c r="U1446" i="11"/>
  <c r="O1446" i="11"/>
  <c r="R1446" i="11" s="1"/>
  <c r="U1438" i="11"/>
  <c r="O1438" i="11"/>
  <c r="R1438" i="11" s="1"/>
  <c r="O1579" i="11"/>
  <c r="R1579" i="11" s="1"/>
  <c r="U1579" i="11"/>
  <c r="O1634" i="11"/>
  <c r="R1634" i="11" s="1"/>
  <c r="U1634" i="11"/>
  <c r="O1618" i="11"/>
  <c r="R1618" i="11" s="1"/>
  <c r="U1618" i="11"/>
  <c r="O1602" i="11"/>
  <c r="R1602" i="11" s="1"/>
  <c r="U1602" i="11"/>
  <c r="U1567" i="11"/>
  <c r="O1567" i="11"/>
  <c r="R1567" i="11" s="1"/>
  <c r="O1535" i="11"/>
  <c r="R1535" i="11" s="1"/>
  <c r="U1535" i="11"/>
  <c r="O1419" i="11"/>
  <c r="R1419" i="11" s="1"/>
  <c r="U1419" i="11"/>
  <c r="U1410" i="11"/>
  <c r="O1410" i="11"/>
  <c r="R1410" i="11" s="1"/>
  <c r="U1684" i="11"/>
  <c r="O1684" i="11"/>
  <c r="R1684" i="11" s="1"/>
  <c r="U1575" i="11"/>
  <c r="O1575" i="11"/>
  <c r="R1575" i="11" s="1"/>
  <c r="O1404" i="11"/>
  <c r="R1404" i="11" s="1"/>
  <c r="U1404" i="11"/>
  <c r="O1723" i="11"/>
  <c r="R1723" i="11" s="1"/>
  <c r="U1723" i="11"/>
  <c r="U1712" i="11"/>
  <c r="O1712" i="11"/>
  <c r="R1712" i="11" s="1"/>
  <c r="O1636" i="11"/>
  <c r="R1636" i="11" s="1"/>
  <c r="U1636" i="11"/>
  <c r="U1581" i="11"/>
  <c r="O1581" i="11"/>
  <c r="R1581" i="11" s="1"/>
  <c r="O1515" i="11"/>
  <c r="R1515" i="11" s="1"/>
  <c r="U1515" i="11"/>
  <c r="O1483" i="11"/>
  <c r="R1483" i="11" s="1"/>
  <c r="U1483" i="11"/>
  <c r="O1451" i="11"/>
  <c r="R1451" i="11" s="1"/>
  <c r="U1451" i="11"/>
  <c r="U1378" i="11"/>
  <c r="O1378" i="11"/>
  <c r="R1378" i="11" s="1"/>
  <c r="U1346" i="11"/>
  <c r="O1346" i="11"/>
  <c r="R1346" i="11" s="1"/>
  <c r="U1314" i="11"/>
  <c r="O1314" i="11"/>
  <c r="R1314" i="11" s="1"/>
  <c r="U1282" i="11"/>
  <c r="O1282" i="11"/>
  <c r="R1282" i="11" s="1"/>
  <c r="U1696" i="11"/>
  <c r="O1696" i="11"/>
  <c r="R1696" i="11" s="1"/>
  <c r="U1740" i="11"/>
  <c r="O1740" i="11"/>
  <c r="R1740" i="11" s="1"/>
  <c r="U1728" i="11"/>
  <c r="O1728" i="11"/>
  <c r="R1728" i="11" s="1"/>
  <c r="O1628" i="11"/>
  <c r="R1628" i="11" s="1"/>
  <c r="U1628" i="11"/>
  <c r="O1568" i="11"/>
  <c r="R1568" i="11" s="1"/>
  <c r="U1568" i="11"/>
  <c r="O1527" i="11"/>
  <c r="R1527" i="11" s="1"/>
  <c r="U1527" i="11"/>
  <c r="O1495" i="11"/>
  <c r="R1495" i="11" s="1"/>
  <c r="U1495" i="11"/>
  <c r="O1463" i="11"/>
  <c r="R1463" i="11" s="1"/>
  <c r="U1463" i="11"/>
  <c r="U1392" i="11"/>
  <c r="O1392" i="11"/>
  <c r="R1392" i="11" s="1"/>
  <c r="U1358" i="11"/>
  <c r="O1358" i="11"/>
  <c r="R1358" i="11" s="1"/>
  <c r="U1326" i="11"/>
  <c r="O1326" i="11"/>
  <c r="R1326" i="11" s="1"/>
  <c r="U1294" i="11"/>
  <c r="O1294" i="11"/>
  <c r="R1294" i="11" s="1"/>
  <c r="O1687" i="11"/>
  <c r="R1687" i="11" s="1"/>
  <c r="U1687" i="11"/>
  <c r="O1521" i="11"/>
  <c r="R1521" i="11" s="1"/>
  <c r="U1521" i="11"/>
  <c r="O1489" i="11"/>
  <c r="R1489" i="11" s="1"/>
  <c r="U1489" i="11"/>
  <c r="O1457" i="11"/>
  <c r="R1457" i="11" s="1"/>
  <c r="U1457" i="11"/>
  <c r="U1657" i="11"/>
  <c r="O1657" i="11"/>
  <c r="R1657" i="11" s="1"/>
  <c r="U1432" i="11"/>
  <c r="O1432" i="11"/>
  <c r="R1432" i="11" s="1"/>
  <c r="U1391" i="11"/>
  <c r="O1391" i="11"/>
  <c r="R1391" i="11" s="1"/>
  <c r="U1266" i="11"/>
  <c r="O1266" i="11"/>
  <c r="R1266" i="11" s="1"/>
  <c r="U1250" i="11"/>
  <c r="O1250" i="11"/>
  <c r="R1250" i="11" s="1"/>
  <c r="U1234" i="11"/>
  <c r="O1234" i="11"/>
  <c r="R1234" i="11" s="1"/>
  <c r="O1167" i="11"/>
  <c r="R1167" i="11" s="1"/>
  <c r="U1167" i="11"/>
  <c r="O1159" i="11"/>
  <c r="R1159" i="11" s="1"/>
  <c r="U1159" i="11"/>
  <c r="O1151" i="11"/>
  <c r="R1151" i="11" s="1"/>
  <c r="U1151" i="11"/>
  <c r="O1143" i="11"/>
  <c r="R1143" i="11" s="1"/>
  <c r="U1143" i="11"/>
  <c r="U1550" i="11"/>
  <c r="O1550" i="11"/>
  <c r="R1550" i="11" s="1"/>
  <c r="O1505" i="11"/>
  <c r="R1505" i="11" s="1"/>
  <c r="U1505" i="11"/>
  <c r="O1441" i="11"/>
  <c r="R1441" i="11" s="1"/>
  <c r="U1441" i="11"/>
  <c r="U1184" i="11"/>
  <c r="O1184" i="11"/>
  <c r="R1184" i="11" s="1"/>
  <c r="U1176" i="11"/>
  <c r="O1176" i="11"/>
  <c r="R1176" i="11" s="1"/>
  <c r="U1430" i="11"/>
  <c r="O1430" i="11"/>
  <c r="R1430" i="11" s="1"/>
  <c r="U1376" i="11"/>
  <c r="O1376" i="11"/>
  <c r="R1376" i="11" s="1"/>
  <c r="O1361" i="11"/>
  <c r="R1361" i="11" s="1"/>
  <c r="U1361" i="11"/>
  <c r="O1351" i="11"/>
  <c r="R1351" i="11" s="1"/>
  <c r="U1351" i="11"/>
  <c r="U1312" i="11"/>
  <c r="O1312" i="11"/>
  <c r="R1312" i="11" s="1"/>
  <c r="O1297" i="11"/>
  <c r="R1297" i="11" s="1"/>
  <c r="U1297" i="11"/>
  <c r="O1287" i="11"/>
  <c r="R1287" i="11" s="1"/>
  <c r="U1287" i="11"/>
  <c r="U1170" i="11"/>
  <c r="O1170" i="11"/>
  <c r="R1170" i="11" s="1"/>
  <c r="U1162" i="11"/>
  <c r="O1162" i="11"/>
  <c r="R1162" i="11" s="1"/>
  <c r="U1154" i="11"/>
  <c r="O1154" i="11"/>
  <c r="R1154" i="11" s="1"/>
  <c r="U1146" i="11"/>
  <c r="O1146" i="11"/>
  <c r="R1146" i="11" s="1"/>
  <c r="U1134" i="11"/>
  <c r="O1134" i="11"/>
  <c r="R1134" i="11" s="1"/>
  <c r="O1123" i="11"/>
  <c r="R1123" i="11" s="1"/>
  <c r="U1123" i="11"/>
  <c r="O1102" i="11"/>
  <c r="R1102" i="11" s="1"/>
  <c r="O1091" i="11"/>
  <c r="R1091" i="11" s="1"/>
  <c r="U1091" i="11"/>
  <c r="O1373" i="11"/>
  <c r="R1373" i="11" s="1"/>
  <c r="U1373" i="11"/>
  <c r="O1363" i="11"/>
  <c r="R1363" i="11" s="1"/>
  <c r="U1363" i="11"/>
  <c r="U1324" i="11"/>
  <c r="O1324" i="11"/>
  <c r="R1324" i="11" s="1"/>
  <c r="O1309" i="11"/>
  <c r="R1309" i="11" s="1"/>
  <c r="U1309" i="11"/>
  <c r="O1299" i="11"/>
  <c r="R1299" i="11" s="1"/>
  <c r="U1299" i="11"/>
  <c r="U1140" i="11"/>
  <c r="O1140" i="11"/>
  <c r="R1140" i="11" s="1"/>
  <c r="O1129" i="11"/>
  <c r="R1129" i="11" s="1"/>
  <c r="U1129" i="11"/>
  <c r="U1108" i="11"/>
  <c r="O1108" i="11"/>
  <c r="R1108" i="11" s="1"/>
  <c r="O1513" i="11"/>
  <c r="R1513" i="11" s="1"/>
  <c r="U1513" i="11"/>
  <c r="U1384" i="11"/>
  <c r="O1384" i="11"/>
  <c r="R1384" i="11" s="1"/>
  <c r="O1369" i="11"/>
  <c r="R1369" i="11" s="1"/>
  <c r="U1369" i="11"/>
  <c r="O1359" i="11"/>
  <c r="R1359" i="11" s="1"/>
  <c r="U1359" i="11"/>
  <c r="U1320" i="11"/>
  <c r="O1320" i="11"/>
  <c r="R1320" i="11" s="1"/>
  <c r="O1305" i="11"/>
  <c r="R1305" i="11" s="1"/>
  <c r="U1305" i="11"/>
  <c r="O1761" i="11"/>
  <c r="R1761" i="11" s="1"/>
  <c r="U1761" i="11"/>
  <c r="O1517" i="11"/>
  <c r="R1517" i="11" s="1"/>
  <c r="U1517" i="11"/>
  <c r="O1387" i="11"/>
  <c r="R1387" i="11" s="1"/>
  <c r="U1387" i="11"/>
  <c r="U1348" i="11"/>
  <c r="O1348" i="11"/>
  <c r="R1348" i="11" s="1"/>
  <c r="O1333" i="11"/>
  <c r="R1333" i="11" s="1"/>
  <c r="U1333" i="11"/>
  <c r="O1323" i="11"/>
  <c r="R1323" i="11" s="1"/>
  <c r="U1323" i="11"/>
  <c r="U1284" i="11"/>
  <c r="O1284" i="11"/>
  <c r="R1284" i="11" s="1"/>
  <c r="O1263" i="11"/>
  <c r="R1263" i="11" s="1"/>
  <c r="U1263" i="11"/>
  <c r="U1260" i="11"/>
  <c r="O1260" i="11"/>
  <c r="R1260" i="11" s="1"/>
  <c r="U1200" i="11"/>
  <c r="O1200" i="11"/>
  <c r="R1200" i="11" s="1"/>
  <c r="U1168" i="11"/>
  <c r="O1168" i="11"/>
  <c r="R1168" i="11" s="1"/>
  <c r="O1117" i="11"/>
  <c r="R1117" i="11" s="1"/>
  <c r="U1117" i="11"/>
  <c r="U1082" i="11"/>
  <c r="O1082" i="11"/>
  <c r="R1082" i="11" s="1"/>
  <c r="U1074" i="11"/>
  <c r="O1074" i="11"/>
  <c r="R1074" i="11" s="1"/>
  <c r="U861" i="11"/>
  <c r="O861" i="11"/>
  <c r="R861" i="11" s="1"/>
  <c r="U853" i="11"/>
  <c r="O853" i="11"/>
  <c r="R853" i="11" s="1"/>
  <c r="U845" i="11"/>
  <c r="O845" i="11"/>
  <c r="R845" i="11" s="1"/>
  <c r="U1272" i="11"/>
  <c r="O1272" i="11"/>
  <c r="R1272" i="11" s="1"/>
  <c r="O1267" i="11"/>
  <c r="R1267" i="11" s="1"/>
  <c r="U1267" i="11"/>
  <c r="U1164" i="11"/>
  <c r="O1164" i="11"/>
  <c r="R1164" i="11" s="1"/>
  <c r="O1135" i="11"/>
  <c r="R1135" i="11" s="1"/>
  <c r="U1135" i="11"/>
  <c r="O1103" i="11"/>
  <c r="R1103" i="11" s="1"/>
  <c r="U1103" i="11"/>
  <c r="U1224" i="11"/>
  <c r="O1224" i="11"/>
  <c r="R1224" i="11" s="1"/>
  <c r="U1122" i="11"/>
  <c r="O1122" i="11"/>
  <c r="R1122" i="11" s="1"/>
  <c r="U1104" i="11"/>
  <c r="O1104" i="11"/>
  <c r="R1104" i="11" s="1"/>
  <c r="O1095" i="11"/>
  <c r="R1095" i="11" s="1"/>
  <c r="U1095" i="11"/>
  <c r="U1058" i="11"/>
  <c r="O1058" i="11"/>
  <c r="R1058" i="11" s="1"/>
  <c r="U1050" i="11"/>
  <c r="O1050" i="11"/>
  <c r="R1050" i="11" s="1"/>
  <c r="U1042" i="11"/>
  <c r="O1042" i="11"/>
  <c r="R1042" i="11" s="1"/>
  <c r="U1034" i="11"/>
  <c r="O1034" i="11"/>
  <c r="R1034" i="11" s="1"/>
  <c r="U1026" i="11"/>
  <c r="O1026" i="11"/>
  <c r="R1026" i="11" s="1"/>
  <c r="U1018" i="11"/>
  <c r="O1018" i="11"/>
  <c r="R1018" i="11" s="1"/>
  <c r="U1010" i="11"/>
  <c r="O1010" i="11"/>
  <c r="R1010" i="11" s="1"/>
  <c r="U1002" i="11"/>
  <c r="O1002" i="11"/>
  <c r="R1002" i="11" s="1"/>
  <c r="U994" i="11"/>
  <c r="O994" i="11"/>
  <c r="R994" i="11" s="1"/>
  <c r="U1092" i="11"/>
  <c r="O1092" i="11"/>
  <c r="R1092" i="11" s="1"/>
  <c r="U979" i="11"/>
  <c r="O979" i="11"/>
  <c r="R979" i="11" s="1"/>
  <c r="U963" i="11"/>
  <c r="O963" i="11"/>
  <c r="R963" i="11" s="1"/>
  <c r="U947" i="11"/>
  <c r="O947" i="11"/>
  <c r="R947" i="11" s="1"/>
  <c r="U931" i="11"/>
  <c r="O931" i="11"/>
  <c r="R931" i="11" s="1"/>
  <c r="U915" i="11"/>
  <c r="O915" i="11"/>
  <c r="R915" i="11" s="1"/>
  <c r="U899" i="11"/>
  <c r="O899" i="11"/>
  <c r="R899" i="11" s="1"/>
  <c r="U883" i="11"/>
  <c r="O883" i="11"/>
  <c r="R883" i="11" s="1"/>
  <c r="U867" i="11"/>
  <c r="O867" i="11"/>
  <c r="R867" i="11" s="1"/>
  <c r="U981" i="11"/>
  <c r="O981" i="11"/>
  <c r="R981" i="11" s="1"/>
  <c r="O960" i="11"/>
  <c r="R960" i="11" s="1"/>
  <c r="U960" i="11"/>
  <c r="U949" i="11"/>
  <c r="O949" i="11"/>
  <c r="R949" i="11" s="1"/>
  <c r="O928" i="11"/>
  <c r="R928" i="11" s="1"/>
  <c r="U928" i="11"/>
  <c r="U917" i="11"/>
  <c r="O917" i="11"/>
  <c r="R917" i="11" s="1"/>
  <c r="O896" i="11"/>
  <c r="R896" i="11" s="1"/>
  <c r="U896" i="11"/>
  <c r="U885" i="11"/>
  <c r="O885" i="11"/>
  <c r="R885" i="11" s="1"/>
  <c r="O839" i="11"/>
  <c r="R839" i="11" s="1"/>
  <c r="U839" i="11"/>
  <c r="O831" i="11"/>
  <c r="R831" i="11" s="1"/>
  <c r="U831" i="11"/>
  <c r="O823" i="11"/>
  <c r="R823" i="11" s="1"/>
  <c r="U823" i="11"/>
  <c r="O815" i="11"/>
  <c r="R815" i="11" s="1"/>
  <c r="U815" i="11"/>
  <c r="O807" i="11"/>
  <c r="R807" i="11" s="1"/>
  <c r="U807" i="11"/>
  <c r="O799" i="11"/>
  <c r="R799" i="11" s="1"/>
  <c r="U799" i="11"/>
  <c r="O791" i="11"/>
  <c r="R791" i="11" s="1"/>
  <c r="U791" i="11"/>
  <c r="O783" i="11"/>
  <c r="R783" i="11" s="1"/>
  <c r="U783" i="11"/>
  <c r="O776" i="11"/>
  <c r="R776" i="11" s="1"/>
  <c r="U776" i="11"/>
  <c r="O768" i="11"/>
  <c r="R768" i="11" s="1"/>
  <c r="U768" i="11"/>
  <c r="O760" i="11"/>
  <c r="R760" i="11" s="1"/>
  <c r="U760" i="11"/>
  <c r="O752" i="11"/>
  <c r="R752" i="11" s="1"/>
  <c r="U752" i="11"/>
  <c r="O744" i="11"/>
  <c r="R744" i="11" s="1"/>
  <c r="U744" i="11"/>
  <c r="O736" i="11"/>
  <c r="R736" i="11" s="1"/>
  <c r="U736" i="11"/>
  <c r="O728" i="11"/>
  <c r="R728" i="11" s="1"/>
  <c r="U728" i="11"/>
  <c r="O720" i="11"/>
  <c r="R720" i="11" s="1"/>
  <c r="U720" i="11"/>
  <c r="O712" i="11"/>
  <c r="R712" i="11" s="1"/>
  <c r="U712" i="11"/>
  <c r="O704" i="11"/>
  <c r="R704" i="11" s="1"/>
  <c r="U704" i="11"/>
  <c r="O696" i="11"/>
  <c r="R696" i="11" s="1"/>
  <c r="U696" i="11"/>
  <c r="O688" i="11"/>
  <c r="R688" i="11" s="1"/>
  <c r="U688" i="11"/>
  <c r="O680" i="11"/>
  <c r="R680" i="11" s="1"/>
  <c r="U680" i="11"/>
  <c r="O672" i="11"/>
  <c r="R672" i="11" s="1"/>
  <c r="U672" i="11"/>
  <c r="O664" i="11"/>
  <c r="R664" i="11" s="1"/>
  <c r="U664" i="11"/>
  <c r="O656" i="11"/>
  <c r="R656" i="11" s="1"/>
  <c r="U656" i="11"/>
  <c r="O648" i="11"/>
  <c r="R648" i="11" s="1"/>
  <c r="U648" i="11"/>
  <c r="O640" i="11"/>
  <c r="R640" i="11" s="1"/>
  <c r="U640" i="11"/>
  <c r="O632" i="11"/>
  <c r="R632" i="11" s="1"/>
  <c r="U632" i="11"/>
  <c r="O624" i="11"/>
  <c r="R624" i="11" s="1"/>
  <c r="U624" i="11"/>
  <c r="U1156" i="11"/>
  <c r="O1156" i="11"/>
  <c r="R1156" i="11" s="1"/>
  <c r="O1081" i="11"/>
  <c r="R1081" i="11" s="1"/>
  <c r="U1081" i="11"/>
  <c r="U959" i="11"/>
  <c r="O959" i="11"/>
  <c r="R959" i="11" s="1"/>
  <c r="U927" i="11"/>
  <c r="O927" i="11"/>
  <c r="R927" i="11" s="1"/>
  <c r="U871" i="11"/>
  <c r="O871" i="11"/>
  <c r="R871" i="11" s="1"/>
  <c r="O956" i="11"/>
  <c r="R956" i="11" s="1"/>
  <c r="U956" i="11"/>
  <c r="O892" i="11"/>
  <c r="R892" i="11" s="1"/>
  <c r="U892" i="11"/>
  <c r="U767" i="11"/>
  <c r="O767" i="11"/>
  <c r="R767" i="11" s="1"/>
  <c r="U751" i="11"/>
  <c r="O751" i="11"/>
  <c r="R751" i="11" s="1"/>
  <c r="U735" i="11"/>
  <c r="O735" i="11"/>
  <c r="R735" i="11" s="1"/>
  <c r="U719" i="11"/>
  <c r="O719" i="11"/>
  <c r="R719" i="11" s="1"/>
  <c r="U703" i="11"/>
  <c r="O703" i="11"/>
  <c r="R703" i="11" s="1"/>
  <c r="U687" i="11"/>
  <c r="O687" i="11"/>
  <c r="R687" i="11" s="1"/>
  <c r="U671" i="11"/>
  <c r="O671" i="11"/>
  <c r="R671" i="11" s="1"/>
  <c r="U655" i="11"/>
  <c r="O655" i="11"/>
  <c r="R655" i="11" s="1"/>
  <c r="U639" i="11"/>
  <c r="O639" i="11"/>
  <c r="R639" i="11" s="1"/>
  <c r="U623" i="11"/>
  <c r="O623" i="11"/>
  <c r="R623" i="11" s="1"/>
  <c r="U617" i="11"/>
  <c r="O617" i="11"/>
  <c r="R617" i="11" s="1"/>
  <c r="U609" i="11"/>
  <c r="O609" i="11"/>
  <c r="R609" i="11" s="1"/>
  <c r="U601" i="11"/>
  <c r="O601" i="11"/>
  <c r="R601" i="11" s="1"/>
  <c r="U593" i="11"/>
  <c r="O593" i="11"/>
  <c r="R593" i="11" s="1"/>
  <c r="U490" i="11"/>
  <c r="O490" i="11"/>
  <c r="R490" i="11" s="1"/>
  <c r="U482" i="11"/>
  <c r="O482" i="11"/>
  <c r="R482" i="11" s="1"/>
  <c r="U474" i="11"/>
  <c r="O474" i="11"/>
  <c r="R474" i="11" s="1"/>
  <c r="U466" i="11"/>
  <c r="O466" i="11"/>
  <c r="R466" i="11" s="1"/>
  <c r="U458" i="11"/>
  <c r="O458" i="11"/>
  <c r="R458" i="11" s="1"/>
  <c r="U450" i="11"/>
  <c r="O450" i="11"/>
  <c r="R450" i="11" s="1"/>
  <c r="U442" i="11"/>
  <c r="O442" i="11"/>
  <c r="R442" i="11" s="1"/>
  <c r="U434" i="11"/>
  <c r="O434" i="11"/>
  <c r="R434" i="11" s="1"/>
  <c r="U426" i="11"/>
  <c r="O426" i="11"/>
  <c r="R426" i="11" s="1"/>
  <c r="U418" i="11"/>
  <c r="O418" i="11"/>
  <c r="R418" i="11" s="1"/>
  <c r="U410" i="11"/>
  <c r="O410" i="11"/>
  <c r="R410" i="11" s="1"/>
  <c r="U402" i="11"/>
  <c r="O402" i="11"/>
  <c r="R402" i="11" s="1"/>
  <c r="U394" i="11"/>
  <c r="O394" i="11"/>
  <c r="R394" i="11" s="1"/>
  <c r="U386" i="11"/>
  <c r="O386" i="11"/>
  <c r="R386" i="11" s="1"/>
  <c r="U378" i="11"/>
  <c r="O378" i="11"/>
  <c r="R378" i="11" s="1"/>
  <c r="U370" i="11"/>
  <c r="O370" i="11"/>
  <c r="R370" i="11" s="1"/>
  <c r="U362" i="11"/>
  <c r="O362" i="11"/>
  <c r="R362" i="11" s="1"/>
  <c r="U354" i="11"/>
  <c r="O354" i="11"/>
  <c r="R354" i="11" s="1"/>
  <c r="U346" i="11"/>
  <c r="O346" i="11"/>
  <c r="R346" i="11" s="1"/>
  <c r="U338" i="11"/>
  <c r="O338" i="11"/>
  <c r="R338" i="11" s="1"/>
  <c r="U330" i="11"/>
  <c r="O330" i="11"/>
  <c r="R330" i="11" s="1"/>
  <c r="U937" i="11"/>
  <c r="O937" i="11"/>
  <c r="R937" i="11" s="1"/>
  <c r="U873" i="11"/>
  <c r="O873" i="11"/>
  <c r="R873" i="11" s="1"/>
  <c r="O844" i="11"/>
  <c r="R844" i="11" s="1"/>
  <c r="U844" i="11"/>
  <c r="U619" i="11"/>
  <c r="O619" i="11"/>
  <c r="R619" i="11" s="1"/>
  <c r="O598" i="11"/>
  <c r="R598" i="11" s="1"/>
  <c r="U598" i="11"/>
  <c r="U587" i="11"/>
  <c r="O587" i="11"/>
  <c r="R587" i="11" s="1"/>
  <c r="O566" i="11"/>
  <c r="R566" i="11" s="1"/>
  <c r="U566" i="11"/>
  <c r="U555" i="11"/>
  <c r="O555" i="11"/>
  <c r="R555" i="11" s="1"/>
  <c r="O534" i="11"/>
  <c r="R534" i="11" s="1"/>
  <c r="U534" i="11"/>
  <c r="U523" i="11"/>
  <c r="O523" i="11"/>
  <c r="R523" i="11" s="1"/>
  <c r="O502" i="11"/>
  <c r="R502" i="11" s="1"/>
  <c r="U502" i="11"/>
  <c r="O329" i="11"/>
  <c r="R329" i="11" s="1"/>
  <c r="U329" i="11"/>
  <c r="O321" i="11"/>
  <c r="R321" i="11" s="1"/>
  <c r="U321" i="11"/>
  <c r="O313" i="11"/>
  <c r="R313" i="11" s="1"/>
  <c r="U313" i="11"/>
  <c r="O305" i="11"/>
  <c r="R305" i="11" s="1"/>
  <c r="U305" i="11"/>
  <c r="O297" i="11"/>
  <c r="R297" i="11" s="1"/>
  <c r="U297" i="11"/>
  <c r="O289" i="11"/>
  <c r="R289" i="11" s="1"/>
  <c r="U289" i="11"/>
  <c r="O281" i="11"/>
  <c r="R281" i="11" s="1"/>
  <c r="U281" i="11"/>
  <c r="O273" i="11"/>
  <c r="R273" i="11" s="1"/>
  <c r="U273" i="11"/>
  <c r="O265" i="11"/>
  <c r="R265" i="11" s="1"/>
  <c r="U265" i="11"/>
  <c r="O257" i="11"/>
  <c r="R257" i="11" s="1"/>
  <c r="U257" i="11"/>
  <c r="O249" i="11"/>
  <c r="R249" i="11" s="1"/>
  <c r="U249" i="11"/>
  <c r="O241" i="11"/>
  <c r="R241" i="11" s="1"/>
  <c r="U241" i="11"/>
  <c r="O1077" i="11"/>
  <c r="R1077" i="11" s="1"/>
  <c r="U1077" i="11"/>
  <c r="U977" i="11"/>
  <c r="O977" i="11"/>
  <c r="R977" i="11" s="1"/>
  <c r="U913" i="11"/>
  <c r="O913" i="11"/>
  <c r="R913" i="11" s="1"/>
  <c r="U771" i="11"/>
  <c r="O771" i="11"/>
  <c r="R771" i="11" s="1"/>
  <c r="U739" i="11"/>
  <c r="O739" i="11"/>
  <c r="R739" i="11" s="1"/>
  <c r="U707" i="11"/>
  <c r="O707" i="11"/>
  <c r="R707" i="11" s="1"/>
  <c r="U675" i="11"/>
  <c r="O675" i="11"/>
  <c r="R675" i="11" s="1"/>
  <c r="U643" i="11"/>
  <c r="O643" i="11"/>
  <c r="R643" i="11" s="1"/>
  <c r="U621" i="11"/>
  <c r="O621" i="11"/>
  <c r="R621" i="11" s="1"/>
  <c r="U589" i="11"/>
  <c r="O589" i="11"/>
  <c r="R589" i="11" s="1"/>
  <c r="U557" i="11"/>
  <c r="O557" i="11"/>
  <c r="R557" i="11" s="1"/>
  <c r="U525" i="11"/>
  <c r="O525" i="11"/>
  <c r="R525" i="11" s="1"/>
  <c r="U1090" i="11"/>
  <c r="O1090" i="11"/>
  <c r="R1090" i="11" s="1"/>
  <c r="O948" i="11"/>
  <c r="R948" i="11" s="1"/>
  <c r="U948" i="11"/>
  <c r="U921" i="11"/>
  <c r="O921" i="11"/>
  <c r="R921" i="11" s="1"/>
  <c r="U761" i="11"/>
  <c r="O761" i="11"/>
  <c r="R761" i="11" s="1"/>
  <c r="U729" i="11"/>
  <c r="O729" i="11"/>
  <c r="R729" i="11" s="1"/>
  <c r="U697" i="11"/>
  <c r="O697" i="11"/>
  <c r="R697" i="11" s="1"/>
  <c r="U665" i="11"/>
  <c r="O665" i="11"/>
  <c r="R665" i="11" s="1"/>
  <c r="U633" i="11"/>
  <c r="O633" i="11"/>
  <c r="R633" i="11" s="1"/>
  <c r="U489" i="11"/>
  <c r="O489" i="11"/>
  <c r="R489" i="11" s="1"/>
  <c r="U361" i="11"/>
  <c r="O361" i="11"/>
  <c r="R361" i="11" s="1"/>
  <c r="U314" i="11"/>
  <c r="O314" i="11"/>
  <c r="R314" i="11" s="1"/>
  <c r="U282" i="11"/>
  <c r="O282" i="11"/>
  <c r="R282" i="11" s="1"/>
  <c r="O250" i="11"/>
  <c r="R250" i="11" s="1"/>
  <c r="U72" i="11"/>
  <c r="O72" i="11"/>
  <c r="R72" i="11" s="1"/>
  <c r="U63" i="11"/>
  <c r="O63" i="11"/>
  <c r="R63" i="11" s="1"/>
  <c r="U40" i="11"/>
  <c r="O40" i="11"/>
  <c r="R40" i="11" s="1"/>
  <c r="U31" i="11"/>
  <c r="O31" i="11"/>
  <c r="U8" i="11"/>
  <c r="O8" i="11"/>
  <c r="U401" i="11"/>
  <c r="O401" i="11"/>
  <c r="R401" i="11" s="1"/>
  <c r="U375" i="11"/>
  <c r="O375" i="11"/>
  <c r="R375" i="11" s="1"/>
  <c r="O89" i="11"/>
  <c r="R89" i="11" s="1"/>
  <c r="U89" i="11"/>
  <c r="O81" i="11"/>
  <c r="R81" i="11" s="1"/>
  <c r="U81" i="11"/>
  <c r="O73" i="11"/>
  <c r="R73" i="11" s="1"/>
  <c r="U73" i="11"/>
  <c r="O65" i="11"/>
  <c r="R65" i="11" s="1"/>
  <c r="U65" i="11"/>
  <c r="O57" i="11"/>
  <c r="R57" i="11" s="1"/>
  <c r="U57" i="11"/>
  <c r="O49" i="11"/>
  <c r="R49" i="11" s="1"/>
  <c r="U49" i="11"/>
  <c r="O41" i="11"/>
  <c r="R41" i="11" s="1"/>
  <c r="U41" i="11"/>
  <c r="O33" i="11"/>
  <c r="U33" i="11"/>
  <c r="O25" i="11"/>
  <c r="R25" i="11" s="1"/>
  <c r="U25" i="11"/>
  <c r="O17" i="11"/>
  <c r="R17" i="11" s="1"/>
  <c r="U17" i="11"/>
  <c r="O9" i="11"/>
  <c r="X19" i="20" s="1"/>
  <c r="Y19" i="20" s="1"/>
  <c r="U9" i="11"/>
  <c r="U479" i="11"/>
  <c r="O479" i="11"/>
  <c r="R479" i="11" s="1"/>
  <c r="U377" i="11"/>
  <c r="O377" i="11"/>
  <c r="R377" i="11" s="1"/>
  <c r="U351" i="11"/>
  <c r="O351" i="11"/>
  <c r="R351" i="11" s="1"/>
  <c r="U326" i="11"/>
  <c r="O326" i="11"/>
  <c r="R326" i="11" s="1"/>
  <c r="U310" i="11"/>
  <c r="O310" i="11"/>
  <c r="R310" i="11" s="1"/>
  <c r="U294" i="11"/>
  <c r="O294" i="11"/>
  <c r="R294" i="11" s="1"/>
  <c r="U278" i="11"/>
  <c r="O278" i="11"/>
  <c r="R278" i="11" s="1"/>
  <c r="U262" i="11"/>
  <c r="O262" i="11"/>
  <c r="R262" i="11" s="1"/>
  <c r="U246" i="11"/>
  <c r="O246" i="11"/>
  <c r="R246" i="11" s="1"/>
  <c r="O235" i="11"/>
  <c r="R235" i="11" s="1"/>
  <c r="U235" i="11"/>
  <c r="O227" i="11"/>
  <c r="R227" i="11" s="1"/>
  <c r="U227" i="11"/>
  <c r="O219" i="11"/>
  <c r="R219" i="11" s="1"/>
  <c r="U219" i="11"/>
  <c r="O211" i="11"/>
  <c r="R211" i="11" s="1"/>
  <c r="U211" i="11"/>
  <c r="O203" i="11"/>
  <c r="R203" i="11" s="1"/>
  <c r="U203" i="11"/>
  <c r="U192" i="11"/>
  <c r="O192" i="11"/>
  <c r="R192" i="11" s="1"/>
  <c r="O171" i="11"/>
  <c r="R171" i="11" s="1"/>
  <c r="U171" i="11"/>
  <c r="O163" i="11"/>
  <c r="R163" i="11" s="1"/>
  <c r="U163" i="11"/>
  <c r="O155" i="11"/>
  <c r="R155" i="11" s="1"/>
  <c r="U155" i="11"/>
  <c r="O147" i="11"/>
  <c r="R147" i="11" s="1"/>
  <c r="U147" i="11"/>
  <c r="O139" i="11"/>
  <c r="R139" i="11" s="1"/>
  <c r="U139" i="11"/>
  <c r="O131" i="11"/>
  <c r="R131" i="11" s="1"/>
  <c r="U131" i="11"/>
  <c r="O123" i="11"/>
  <c r="R123" i="11" s="1"/>
  <c r="U123" i="11"/>
  <c r="O115" i="11"/>
  <c r="R115" i="11" s="1"/>
  <c r="U115" i="11"/>
  <c r="O107" i="11"/>
  <c r="R107" i="11" s="1"/>
  <c r="U107" i="11"/>
  <c r="O99" i="11"/>
  <c r="R99" i="11" s="1"/>
  <c r="U99" i="11"/>
  <c r="O91" i="11"/>
  <c r="R91" i="11" s="1"/>
  <c r="U91" i="11"/>
  <c r="U83" i="11"/>
  <c r="O83" i="11"/>
  <c r="R83" i="11" s="1"/>
  <c r="U75" i="11"/>
  <c r="O75" i="11"/>
  <c r="R75" i="11" s="1"/>
  <c r="U67" i="11"/>
  <c r="O67" i="11"/>
  <c r="R67" i="11" s="1"/>
  <c r="U59" i="11"/>
  <c r="O59" i="11"/>
  <c r="R59" i="11" s="1"/>
  <c r="U51" i="11"/>
  <c r="O51" i="11"/>
  <c r="R51" i="11" s="1"/>
  <c r="U43" i="11"/>
  <c r="O43" i="11"/>
  <c r="X26" i="20" s="1"/>
  <c r="Y26" i="20" s="1"/>
  <c r="U35" i="11"/>
  <c r="O35" i="11"/>
  <c r="R35" i="11" s="1"/>
  <c r="U27" i="11"/>
  <c r="O27" i="11"/>
  <c r="R27" i="11" s="1"/>
  <c r="U19" i="11"/>
  <c r="O19" i="11"/>
  <c r="U11" i="11"/>
  <c r="O11" i="11"/>
  <c r="R11" i="11" s="1"/>
  <c r="O3" i="11"/>
  <c r="U3" i="11"/>
  <c r="U472" i="11"/>
  <c r="O472" i="11"/>
  <c r="R472" i="11" s="1"/>
  <c r="U417" i="11"/>
  <c r="O417" i="11"/>
  <c r="R417" i="11" s="1"/>
  <c r="U344" i="11"/>
  <c r="O344" i="11"/>
  <c r="R344" i="11" s="1"/>
  <c r="U244" i="11"/>
  <c r="O244" i="11"/>
  <c r="R244" i="11" s="1"/>
  <c r="U234" i="11"/>
  <c r="O234" i="11"/>
  <c r="R234" i="11" s="1"/>
  <c r="U226" i="11"/>
  <c r="O226" i="11"/>
  <c r="R226" i="11" s="1"/>
  <c r="U218" i="11"/>
  <c r="O218" i="11"/>
  <c r="R218" i="11" s="1"/>
  <c r="U210" i="11"/>
  <c r="O210" i="11"/>
  <c r="R210" i="11" s="1"/>
  <c r="U202" i="11"/>
  <c r="O202" i="11"/>
  <c r="R202" i="11" s="1"/>
  <c r="U194" i="11"/>
  <c r="O194" i="11"/>
  <c r="R194" i="11" s="1"/>
  <c r="U186" i="11"/>
  <c r="O186" i="11"/>
  <c r="R186" i="11" s="1"/>
  <c r="U178" i="11"/>
  <c r="O178" i="11"/>
  <c r="R178" i="11" s="1"/>
  <c r="U170" i="11"/>
  <c r="O170" i="11"/>
  <c r="R170" i="11" s="1"/>
  <c r="U162" i="11"/>
  <c r="O162" i="11"/>
  <c r="R162" i="11" s="1"/>
  <c r="U154" i="11"/>
  <c r="O154" i="11"/>
  <c r="R154" i="11" s="1"/>
  <c r="U146" i="11"/>
  <c r="O146" i="11"/>
  <c r="R146" i="11" s="1"/>
  <c r="U138" i="11"/>
  <c r="O138" i="11"/>
  <c r="R138" i="11" s="1"/>
  <c r="U130" i="11"/>
  <c r="O130" i="11"/>
  <c r="R130" i="11" s="1"/>
  <c r="U122" i="11"/>
  <c r="O122" i="11"/>
  <c r="R122" i="11" s="1"/>
  <c r="U114" i="11"/>
  <c r="O114" i="11"/>
  <c r="R114" i="11" s="1"/>
  <c r="U106" i="11"/>
  <c r="O106" i="11"/>
  <c r="R106" i="11" s="1"/>
  <c r="U98" i="11"/>
  <c r="O98" i="11"/>
  <c r="R98" i="11" s="1"/>
  <c r="U86" i="11"/>
  <c r="O86" i="11"/>
  <c r="R86" i="11" s="1"/>
  <c r="U78" i="11"/>
  <c r="O78" i="11"/>
  <c r="R78" i="11" s="1"/>
  <c r="U70" i="11"/>
  <c r="O70" i="11"/>
  <c r="R70" i="11" s="1"/>
  <c r="U62" i="11"/>
  <c r="O62" i="11"/>
  <c r="R62" i="11" s="1"/>
  <c r="U54" i="11"/>
  <c r="O54" i="11"/>
  <c r="R54" i="11" s="1"/>
  <c r="U46" i="11"/>
  <c r="O46" i="11"/>
  <c r="U38" i="11"/>
  <c r="O38" i="11"/>
  <c r="R38" i="11" s="1"/>
  <c r="U30" i="11"/>
  <c r="O30" i="11"/>
  <c r="R30" i="11" s="1"/>
  <c r="U22" i="11"/>
  <c r="O22" i="11"/>
  <c r="U14" i="11"/>
  <c r="O14" i="11"/>
  <c r="U6" i="11"/>
  <c r="O6" i="11"/>
  <c r="D62" i="3"/>
  <c r="H62" i="3" s="1"/>
  <c r="D58" i="3"/>
  <c r="H58" i="3" s="1"/>
  <c r="D54" i="3"/>
  <c r="H54" i="3" s="1"/>
  <c r="D59" i="3"/>
  <c r="H59" i="3" s="1"/>
  <c r="D53" i="3"/>
  <c r="D63" i="3"/>
  <c r="H63" i="3" s="1"/>
  <c r="D55" i="3"/>
  <c r="H55" i="3" s="1"/>
  <c r="D61" i="3"/>
  <c r="H61" i="3" s="1"/>
  <c r="D64" i="3"/>
  <c r="H64" i="3" s="1"/>
  <c r="D60" i="3"/>
  <c r="H60" i="3" s="1"/>
  <c r="D56" i="3"/>
  <c r="H56" i="3" s="1"/>
  <c r="D57" i="3"/>
  <c r="H57" i="3" s="1"/>
  <c r="G18" i="5"/>
  <c r="H18" i="5" s="1"/>
  <c r="K18" i="5" s="1"/>
  <c r="G10" i="5"/>
  <c r="H10" i="5" s="1"/>
  <c r="K10" i="5" s="1"/>
  <c r="H44" i="20"/>
  <c r="I8" i="3"/>
  <c r="B35" i="3"/>
  <c r="B47" i="3"/>
  <c r="E20" i="3"/>
  <c r="H42" i="20"/>
  <c r="I76" i="3"/>
  <c r="K73" i="3"/>
  <c r="M70" i="3"/>
  <c r="D16" i="3"/>
  <c r="L76" i="3"/>
  <c r="L70" i="3"/>
  <c r="K74" i="3"/>
  <c r="M71" i="3"/>
  <c r="J76" i="3"/>
  <c r="D72" i="3"/>
  <c r="E36" i="3"/>
  <c r="C76" i="3"/>
  <c r="C59" i="3"/>
  <c r="E59" i="3" s="1"/>
  <c r="F59" i="3" s="1"/>
  <c r="I6" i="5"/>
  <c r="N5" i="20"/>
  <c r="O1787" i="11"/>
  <c r="R1787" i="11" s="1"/>
  <c r="U1787" i="11"/>
  <c r="O1755" i="11"/>
  <c r="R1755" i="11" s="1"/>
  <c r="U1755" i="11"/>
  <c r="O1749" i="11"/>
  <c r="R1749" i="11" s="1"/>
  <c r="U1749" i="11"/>
  <c r="U1710" i="11"/>
  <c r="O1710" i="11"/>
  <c r="R1710" i="11" s="1"/>
  <c r="U1700" i="11"/>
  <c r="O1700" i="11"/>
  <c r="R1700" i="11" s="1"/>
  <c r="U1637" i="11"/>
  <c r="O1637" i="11"/>
  <c r="R1637" i="11" s="1"/>
  <c r="U1613" i="11"/>
  <c r="O1613" i="11"/>
  <c r="R1613" i="11" s="1"/>
  <c r="O1663" i="11"/>
  <c r="R1663" i="11" s="1"/>
  <c r="U1663" i="11"/>
  <c r="O1715" i="11"/>
  <c r="R1715" i="11" s="1"/>
  <c r="U1715" i="11"/>
  <c r="U1667" i="11"/>
  <c r="O1667" i="11"/>
  <c r="R1667" i="11" s="1"/>
  <c r="U1561" i="11"/>
  <c r="O1561" i="11"/>
  <c r="R1561" i="11" s="1"/>
  <c r="U1516" i="11"/>
  <c r="O1516" i="11"/>
  <c r="R1516" i="11" s="1"/>
  <c r="U1492" i="11"/>
  <c r="O1492" i="11"/>
  <c r="R1492" i="11" s="1"/>
  <c r="U1468" i="11"/>
  <c r="O1468" i="11"/>
  <c r="R1468" i="11" s="1"/>
  <c r="U1444" i="11"/>
  <c r="O1444" i="11"/>
  <c r="R1444" i="11" s="1"/>
  <c r="O1587" i="11"/>
  <c r="R1587" i="11" s="1"/>
  <c r="U1587" i="11"/>
  <c r="O1638" i="11"/>
  <c r="R1638" i="11" s="1"/>
  <c r="U1638" i="11"/>
  <c r="O1606" i="11"/>
  <c r="R1606" i="11" s="1"/>
  <c r="U1606" i="11"/>
  <c r="U1565" i="11"/>
  <c r="O1565" i="11"/>
  <c r="R1565" i="11" s="1"/>
  <c r="U1427" i="11"/>
  <c r="O1427" i="11"/>
  <c r="R1427" i="11" s="1"/>
  <c r="U1395" i="11"/>
  <c r="O1395" i="11"/>
  <c r="R1395" i="11" s="1"/>
  <c r="U1682" i="11"/>
  <c r="O1682" i="11"/>
  <c r="R1682" i="11" s="1"/>
  <c r="U1656" i="11"/>
  <c r="O1656" i="11"/>
  <c r="R1656" i="11" s="1"/>
  <c r="O1560" i="11"/>
  <c r="R1560" i="11" s="1"/>
  <c r="U1560" i="11"/>
  <c r="O1713" i="11"/>
  <c r="R1713" i="11" s="1"/>
  <c r="U1713" i="11"/>
  <c r="O1507" i="11"/>
  <c r="R1507" i="11" s="1"/>
  <c r="U1507" i="11"/>
  <c r="O1443" i="11"/>
  <c r="R1443" i="11" s="1"/>
  <c r="U1443" i="11"/>
  <c r="U1370" i="11"/>
  <c r="O1370" i="11"/>
  <c r="R1370" i="11" s="1"/>
  <c r="O1697" i="11"/>
  <c r="R1697" i="11" s="1"/>
  <c r="U1697" i="11"/>
  <c r="O1741" i="11"/>
  <c r="R1741" i="11" s="1"/>
  <c r="U1741" i="11"/>
  <c r="O1707" i="11"/>
  <c r="R1707" i="11" s="1"/>
  <c r="U1707" i="11"/>
  <c r="O1519" i="11"/>
  <c r="R1519" i="11" s="1"/>
  <c r="U1519" i="11"/>
  <c r="O1455" i="11"/>
  <c r="R1455" i="11" s="1"/>
  <c r="U1455" i="11"/>
  <c r="U1390" i="11"/>
  <c r="O1390" i="11"/>
  <c r="R1390" i="11" s="1"/>
  <c r="U1350" i="11"/>
  <c r="O1350" i="11"/>
  <c r="R1350" i="11" s="1"/>
  <c r="O1624" i="11"/>
  <c r="R1624" i="11" s="1"/>
  <c r="U1624" i="11"/>
  <c r="U1556" i="11"/>
  <c r="O1556" i="11"/>
  <c r="R1556" i="11" s="1"/>
  <c r="U1413" i="11"/>
  <c r="O1413" i="11"/>
  <c r="R1413" i="11" s="1"/>
  <c r="O1283" i="11"/>
  <c r="R1283" i="11" s="1"/>
  <c r="U1283" i="11"/>
  <c r="O1600" i="11"/>
  <c r="R1600" i="11" s="1"/>
  <c r="U1600" i="11"/>
  <c r="U1588" i="11"/>
  <c r="O1588" i="11"/>
  <c r="R1588" i="11" s="1"/>
  <c r="U1576" i="11"/>
  <c r="O1576" i="11"/>
  <c r="R1576" i="11" s="1"/>
  <c r="O1547" i="11"/>
  <c r="R1547" i="11" s="1"/>
  <c r="U1547" i="11"/>
  <c r="U1544" i="11"/>
  <c r="O1544" i="11"/>
  <c r="R1544" i="11" s="1"/>
  <c r="O1533" i="11"/>
  <c r="R1533" i="11" s="1"/>
  <c r="U1533" i="11"/>
  <c r="O1501" i="11"/>
  <c r="R1501" i="11" s="1"/>
  <c r="U1501" i="11"/>
  <c r="O1469" i="11"/>
  <c r="R1469" i="11" s="1"/>
  <c r="U1469" i="11"/>
  <c r="O1437" i="11"/>
  <c r="R1437" i="11" s="1"/>
  <c r="U1437" i="11"/>
  <c r="O1281" i="11"/>
  <c r="R1281" i="11" s="1"/>
  <c r="U1281" i="11"/>
  <c r="U1276" i="11"/>
  <c r="O1276" i="11"/>
  <c r="R1276" i="11" s="1"/>
  <c r="U1262" i="11"/>
  <c r="O1262" i="11"/>
  <c r="R1262" i="11" s="1"/>
  <c r="U1246" i="11"/>
  <c r="O1246" i="11"/>
  <c r="R1246" i="11" s="1"/>
  <c r="U1230" i="11"/>
  <c r="O1230" i="11"/>
  <c r="R1230" i="11" s="1"/>
  <c r="O1165" i="11"/>
  <c r="R1165" i="11" s="1"/>
  <c r="U1165" i="11"/>
  <c r="O1157" i="11"/>
  <c r="R1157" i="11" s="1"/>
  <c r="U1157" i="11"/>
  <c r="O1149" i="11"/>
  <c r="R1149" i="11" s="1"/>
  <c r="U1149" i="11"/>
  <c r="O1141" i="11"/>
  <c r="R1141" i="11" s="1"/>
  <c r="U1141" i="11"/>
  <c r="O1608" i="11"/>
  <c r="R1608" i="11" s="1"/>
  <c r="U1608" i="11"/>
  <c r="U1583" i="11"/>
  <c r="O1583" i="11"/>
  <c r="R1583" i="11" s="1"/>
  <c r="O1477" i="11"/>
  <c r="R1477" i="11" s="1"/>
  <c r="U1477" i="11"/>
  <c r="O1401" i="11"/>
  <c r="R1401" i="11" s="1"/>
  <c r="U1401" i="11"/>
  <c r="U1182" i="11"/>
  <c r="O1182" i="11"/>
  <c r="R1182" i="11" s="1"/>
  <c r="U1174" i="11"/>
  <c r="O1174" i="11"/>
  <c r="R1174" i="11" s="1"/>
  <c r="O1377" i="11"/>
  <c r="R1377" i="11" s="1"/>
  <c r="U1377" i="11"/>
  <c r="O1367" i="11"/>
  <c r="R1367" i="11" s="1"/>
  <c r="U1367" i="11"/>
  <c r="U1328" i="11"/>
  <c r="O1328" i="11"/>
  <c r="R1328" i="11" s="1"/>
  <c r="O1313" i="11"/>
  <c r="R1313" i="11" s="1"/>
  <c r="U1313" i="11"/>
  <c r="O1303" i="11"/>
  <c r="R1303" i="11" s="1"/>
  <c r="U1303" i="11"/>
  <c r="U1220" i="11"/>
  <c r="O1220" i="11"/>
  <c r="R1220" i="11" s="1"/>
  <c r="U1212" i="11"/>
  <c r="O1212" i="11"/>
  <c r="R1212" i="11" s="1"/>
  <c r="U1204" i="11"/>
  <c r="O1204" i="11"/>
  <c r="R1204" i="11" s="1"/>
  <c r="U1196" i="11"/>
  <c r="O1196" i="11"/>
  <c r="R1196" i="11" s="1"/>
  <c r="U1188" i="11"/>
  <c r="O1188" i="11"/>
  <c r="R1188" i="11" s="1"/>
  <c r="O1179" i="11"/>
  <c r="R1179" i="11" s="1"/>
  <c r="U1179" i="11"/>
  <c r="O1131" i="11"/>
  <c r="R1131" i="11" s="1"/>
  <c r="U1131" i="11"/>
  <c r="U1110" i="11"/>
  <c r="O1110" i="11"/>
  <c r="R1110" i="11" s="1"/>
  <c r="O1099" i="11"/>
  <c r="R1099" i="11" s="1"/>
  <c r="U1099" i="11"/>
  <c r="U1072" i="11"/>
  <c r="O1072" i="11"/>
  <c r="R1072" i="11" s="1"/>
  <c r="O1379" i="11"/>
  <c r="R1379" i="11" s="1"/>
  <c r="U1379" i="11"/>
  <c r="U1340" i="11"/>
  <c r="O1340" i="11"/>
  <c r="R1340" i="11" s="1"/>
  <c r="O1325" i="11"/>
  <c r="R1325" i="11" s="1"/>
  <c r="U1325" i="11"/>
  <c r="O1315" i="11"/>
  <c r="R1315" i="11" s="1"/>
  <c r="U1315" i="11"/>
  <c r="O1271" i="11"/>
  <c r="R1271" i="11" s="1"/>
  <c r="U1271" i="11"/>
  <c r="O1255" i="11"/>
  <c r="R1255" i="11" s="1"/>
  <c r="U1255" i="11"/>
  <c r="O1239" i="11"/>
  <c r="R1239" i="11" s="1"/>
  <c r="U1239" i="11"/>
  <c r="O1137" i="11"/>
  <c r="R1137" i="11" s="1"/>
  <c r="U1137" i="11"/>
  <c r="U1116" i="11"/>
  <c r="O1116" i="11"/>
  <c r="R1116" i="11" s="1"/>
  <c r="O1105" i="11"/>
  <c r="R1105" i="11" s="1"/>
  <c r="U1105" i="11"/>
  <c r="U1582" i="11"/>
  <c r="O1582" i="11"/>
  <c r="R1582" i="11" s="1"/>
  <c r="U1417" i="11"/>
  <c r="O1417" i="11"/>
  <c r="R1417" i="11" s="1"/>
  <c r="O1385" i="11"/>
  <c r="R1385" i="11" s="1"/>
  <c r="U1385" i="11"/>
  <c r="O1375" i="11"/>
  <c r="R1375" i="11" s="1"/>
  <c r="U1375" i="11"/>
  <c r="U1336" i="11"/>
  <c r="O1336" i="11"/>
  <c r="R1336" i="11" s="1"/>
  <c r="O1321" i="11"/>
  <c r="R1321" i="11" s="1"/>
  <c r="U1321" i="11"/>
  <c r="O1311" i="11"/>
  <c r="R1311" i="11" s="1"/>
  <c r="U1311" i="11"/>
  <c r="U1748" i="11"/>
  <c r="O1748" i="11"/>
  <c r="R1748" i="11" s="1"/>
  <c r="U1364" i="11"/>
  <c r="O1364" i="11"/>
  <c r="R1364" i="11" s="1"/>
  <c r="O1349" i="11"/>
  <c r="R1349" i="11" s="1"/>
  <c r="U1349" i="11"/>
  <c r="O1339" i="11"/>
  <c r="R1339" i="11" s="1"/>
  <c r="U1339" i="11"/>
  <c r="U1300" i="11"/>
  <c r="O1300" i="11"/>
  <c r="R1300" i="11" s="1"/>
  <c r="O1285" i="11"/>
  <c r="R1285" i="11" s="1"/>
  <c r="U1285" i="11"/>
  <c r="U1264" i="11"/>
  <c r="O1264" i="11"/>
  <c r="R1264" i="11" s="1"/>
  <c r="O1261" i="11"/>
  <c r="R1261" i="11" s="1"/>
  <c r="U1261" i="11"/>
  <c r="O1247" i="11"/>
  <c r="R1247" i="11" s="1"/>
  <c r="U1247" i="11"/>
  <c r="U1128" i="11"/>
  <c r="O1128" i="11"/>
  <c r="R1128" i="11" s="1"/>
  <c r="U1256" i="11"/>
  <c r="O1256" i="11"/>
  <c r="R1256" i="11" s="1"/>
  <c r="O1251" i="11"/>
  <c r="R1251" i="11" s="1"/>
  <c r="U1251" i="11"/>
  <c r="O1173" i="11"/>
  <c r="R1173" i="11" s="1"/>
  <c r="U1173" i="11"/>
  <c r="U1152" i="11"/>
  <c r="O1152" i="11"/>
  <c r="R1152" i="11" s="1"/>
  <c r="U1114" i="11"/>
  <c r="O1114" i="11"/>
  <c r="R1114" i="11" s="1"/>
  <c r="U1088" i="11"/>
  <c r="O1088" i="11"/>
  <c r="R1088" i="11" s="1"/>
  <c r="U859" i="11"/>
  <c r="O859" i="11"/>
  <c r="R859" i="11" s="1"/>
  <c r="U851" i="11"/>
  <c r="O851" i="11"/>
  <c r="R851" i="11" s="1"/>
  <c r="O1295" i="11"/>
  <c r="R1295" i="11" s="1"/>
  <c r="U1295" i="11"/>
  <c r="U1268" i="11"/>
  <c r="O1268" i="11"/>
  <c r="R1268" i="11" s="1"/>
  <c r="O1265" i="11"/>
  <c r="R1265" i="11" s="1"/>
  <c r="U1265" i="11"/>
  <c r="O1201" i="11"/>
  <c r="R1201" i="11" s="1"/>
  <c r="U1201" i="11"/>
  <c r="O1119" i="11"/>
  <c r="R1119" i="11" s="1"/>
  <c r="U1119" i="11"/>
  <c r="O1097" i="11"/>
  <c r="R1097" i="11" s="1"/>
  <c r="U1097" i="11"/>
  <c r="U1080" i="11"/>
  <c r="O1080" i="11"/>
  <c r="R1080" i="11" s="1"/>
  <c r="U1208" i="11"/>
  <c r="O1208" i="11"/>
  <c r="R1208" i="11" s="1"/>
  <c r="U1120" i="11"/>
  <c r="O1120" i="11"/>
  <c r="R1120" i="11" s="1"/>
  <c r="O1089" i="11"/>
  <c r="R1089" i="11" s="1"/>
  <c r="U1089" i="11"/>
  <c r="U1056" i="11"/>
  <c r="O1056" i="11"/>
  <c r="R1056" i="11" s="1"/>
  <c r="U1048" i="11"/>
  <c r="O1048" i="11"/>
  <c r="R1048" i="11" s="1"/>
  <c r="U1040" i="11"/>
  <c r="O1040" i="11"/>
  <c r="R1040" i="11" s="1"/>
  <c r="U1032" i="11"/>
  <c r="O1032" i="11"/>
  <c r="R1032" i="11" s="1"/>
  <c r="U1024" i="11"/>
  <c r="O1024" i="11"/>
  <c r="R1024" i="11" s="1"/>
  <c r="U1016" i="11"/>
  <c r="O1016" i="11"/>
  <c r="R1016" i="11" s="1"/>
  <c r="U1008" i="11"/>
  <c r="O1008" i="11"/>
  <c r="R1008" i="11" s="1"/>
  <c r="U1000" i="11"/>
  <c r="O1000" i="11"/>
  <c r="R1000" i="11" s="1"/>
  <c r="U992" i="11"/>
  <c r="O992" i="11"/>
  <c r="R992" i="11" s="1"/>
  <c r="O1087" i="11"/>
  <c r="R1087" i="11" s="1"/>
  <c r="U1087" i="11"/>
  <c r="O974" i="11"/>
  <c r="R974" i="11" s="1"/>
  <c r="U974" i="11"/>
  <c r="O958" i="11"/>
  <c r="R958" i="11" s="1"/>
  <c r="U958" i="11"/>
  <c r="O942" i="11"/>
  <c r="R942" i="11" s="1"/>
  <c r="U942" i="11"/>
  <c r="O926" i="11"/>
  <c r="R926" i="11" s="1"/>
  <c r="U926" i="11"/>
  <c r="O910" i="11"/>
  <c r="R910" i="11" s="1"/>
  <c r="U910" i="11"/>
  <c r="O894" i="11"/>
  <c r="R894" i="11" s="1"/>
  <c r="U894" i="11"/>
  <c r="O878" i="11"/>
  <c r="R878" i="11" s="1"/>
  <c r="U878" i="11"/>
  <c r="O1055" i="11"/>
  <c r="R1055" i="11" s="1"/>
  <c r="U1055" i="11"/>
  <c r="O1039" i="11"/>
  <c r="R1039" i="11" s="1"/>
  <c r="U1039" i="11"/>
  <c r="O1023" i="11"/>
  <c r="R1023" i="11" s="1"/>
  <c r="U1023" i="11"/>
  <c r="O1007" i="11"/>
  <c r="R1007" i="11" s="1"/>
  <c r="U1007" i="11"/>
  <c r="O991" i="11"/>
  <c r="R991" i="11" s="1"/>
  <c r="U991" i="11"/>
  <c r="O987" i="11"/>
  <c r="R987" i="11" s="1"/>
  <c r="U987" i="11"/>
  <c r="O968" i="11"/>
  <c r="R968" i="11" s="1"/>
  <c r="U968" i="11"/>
  <c r="U957" i="11"/>
  <c r="O957" i="11"/>
  <c r="R957" i="11" s="1"/>
  <c r="O936" i="11"/>
  <c r="R936" i="11" s="1"/>
  <c r="U936" i="11"/>
  <c r="U925" i="11"/>
  <c r="O925" i="11"/>
  <c r="R925" i="11" s="1"/>
  <c r="O904" i="11"/>
  <c r="R904" i="11" s="1"/>
  <c r="U904" i="11"/>
  <c r="U893" i="11"/>
  <c r="O893" i="11"/>
  <c r="R893" i="11" s="1"/>
  <c r="O872" i="11"/>
  <c r="R872" i="11" s="1"/>
  <c r="U872" i="11"/>
  <c r="O774" i="11"/>
  <c r="R774" i="11" s="1"/>
  <c r="U774" i="11"/>
  <c r="O766" i="11"/>
  <c r="R766" i="11" s="1"/>
  <c r="U766" i="11"/>
  <c r="O758" i="11"/>
  <c r="R758" i="11" s="1"/>
  <c r="U758" i="11"/>
  <c r="O750" i="11"/>
  <c r="R750" i="11" s="1"/>
  <c r="U750" i="11"/>
  <c r="O742" i="11"/>
  <c r="R742" i="11" s="1"/>
  <c r="U742" i="11"/>
  <c r="O734" i="11"/>
  <c r="R734" i="11" s="1"/>
  <c r="U734" i="11"/>
  <c r="O726" i="11"/>
  <c r="R726" i="11" s="1"/>
  <c r="U726" i="11"/>
  <c r="O718" i="11"/>
  <c r="R718" i="11" s="1"/>
  <c r="U718" i="11"/>
  <c r="O710" i="11"/>
  <c r="R710" i="11" s="1"/>
  <c r="U710" i="11"/>
  <c r="O702" i="11"/>
  <c r="R702" i="11" s="1"/>
  <c r="U702" i="11"/>
  <c r="O694" i="11"/>
  <c r="R694" i="11" s="1"/>
  <c r="U694" i="11"/>
  <c r="O686" i="11"/>
  <c r="R686" i="11" s="1"/>
  <c r="U686" i="11"/>
  <c r="O678" i="11"/>
  <c r="R678" i="11" s="1"/>
  <c r="U678" i="11"/>
  <c r="O670" i="11"/>
  <c r="R670" i="11" s="1"/>
  <c r="U670" i="11"/>
  <c r="O662" i="11"/>
  <c r="R662" i="11" s="1"/>
  <c r="U662" i="11"/>
  <c r="O654" i="11"/>
  <c r="R654" i="11" s="1"/>
  <c r="U654" i="11"/>
  <c r="O646" i="11"/>
  <c r="R646" i="11" s="1"/>
  <c r="U646" i="11"/>
  <c r="O638" i="11"/>
  <c r="R638" i="11" s="1"/>
  <c r="U638" i="11"/>
  <c r="O630" i="11"/>
  <c r="R630" i="11" s="1"/>
  <c r="U630" i="11"/>
  <c r="O622" i="11"/>
  <c r="R622" i="11" s="1"/>
  <c r="U622" i="11"/>
  <c r="U1288" i="11"/>
  <c r="O1288" i="11"/>
  <c r="R1288" i="11" s="1"/>
  <c r="O1209" i="11"/>
  <c r="R1209" i="11" s="1"/>
  <c r="U1209" i="11"/>
  <c r="U1066" i="11"/>
  <c r="O1066" i="11"/>
  <c r="R1066" i="11" s="1"/>
  <c r="U983" i="11"/>
  <c r="O983" i="11"/>
  <c r="R983" i="11" s="1"/>
  <c r="U951" i="11"/>
  <c r="O951" i="11"/>
  <c r="R951" i="11" s="1"/>
  <c r="U919" i="11"/>
  <c r="O919" i="11"/>
  <c r="R919" i="11" s="1"/>
  <c r="U895" i="11"/>
  <c r="O895" i="11"/>
  <c r="R895" i="11" s="1"/>
  <c r="O1067" i="11"/>
  <c r="R1067" i="11" s="1"/>
  <c r="U1067" i="11"/>
  <c r="O1009" i="11"/>
  <c r="R1009" i="11" s="1"/>
  <c r="U1009" i="11"/>
  <c r="U929" i="11"/>
  <c r="O929" i="11"/>
  <c r="R929" i="11" s="1"/>
  <c r="O858" i="11"/>
  <c r="R858" i="11" s="1"/>
  <c r="U858" i="11"/>
  <c r="U804" i="11"/>
  <c r="O804" i="11"/>
  <c r="R804" i="11" s="1"/>
  <c r="O620" i="11"/>
  <c r="R620" i="11" s="1"/>
  <c r="U620" i="11"/>
  <c r="O612" i="11"/>
  <c r="R612" i="11" s="1"/>
  <c r="U612" i="11"/>
  <c r="O604" i="11"/>
  <c r="R604" i="11" s="1"/>
  <c r="U604" i="11"/>
  <c r="O596" i="11"/>
  <c r="R596" i="11" s="1"/>
  <c r="U596" i="11"/>
  <c r="U585" i="11"/>
  <c r="O585" i="11"/>
  <c r="R585" i="11" s="1"/>
  <c r="U577" i="11"/>
  <c r="O577" i="11"/>
  <c r="R577" i="11" s="1"/>
  <c r="U569" i="11"/>
  <c r="O569" i="11"/>
  <c r="R569" i="11" s="1"/>
  <c r="U561" i="11"/>
  <c r="O561" i="11"/>
  <c r="R561" i="11" s="1"/>
  <c r="U553" i="11"/>
  <c r="O553" i="11"/>
  <c r="R553" i="11" s="1"/>
  <c r="U545" i="11"/>
  <c r="O545" i="11"/>
  <c r="R545" i="11" s="1"/>
  <c r="U537" i="11"/>
  <c r="O537" i="11"/>
  <c r="R537" i="11" s="1"/>
  <c r="U529" i="11"/>
  <c r="O529" i="11"/>
  <c r="R529" i="11" s="1"/>
  <c r="U521" i="11"/>
  <c r="O521" i="11"/>
  <c r="R521" i="11" s="1"/>
  <c r="O513" i="11"/>
  <c r="R513" i="11" s="1"/>
  <c r="U505" i="11"/>
  <c r="O505" i="11"/>
  <c r="R505" i="11" s="1"/>
  <c r="U497" i="11"/>
  <c r="O497" i="11"/>
  <c r="R497" i="11" s="1"/>
  <c r="O1053" i="11"/>
  <c r="R1053" i="11" s="1"/>
  <c r="U1053" i="11"/>
  <c r="O989" i="11"/>
  <c r="R989" i="11" s="1"/>
  <c r="U989" i="11"/>
  <c r="O938" i="11"/>
  <c r="R938" i="11" s="1"/>
  <c r="U938" i="11"/>
  <c r="O932" i="11"/>
  <c r="R932" i="11" s="1"/>
  <c r="U932" i="11"/>
  <c r="O874" i="11"/>
  <c r="R874" i="11" s="1"/>
  <c r="U874" i="11"/>
  <c r="O868" i="11"/>
  <c r="R868" i="11" s="1"/>
  <c r="U868" i="11"/>
  <c r="O852" i="11"/>
  <c r="R852" i="11" s="1"/>
  <c r="U852" i="11"/>
  <c r="U812" i="11"/>
  <c r="O812" i="11"/>
  <c r="R812" i="11" s="1"/>
  <c r="U786" i="11"/>
  <c r="O786" i="11"/>
  <c r="R786" i="11" s="1"/>
  <c r="U773" i="11"/>
  <c r="O773" i="11"/>
  <c r="R773" i="11" s="1"/>
  <c r="U757" i="11"/>
  <c r="O757" i="11"/>
  <c r="R757" i="11" s="1"/>
  <c r="U741" i="11"/>
  <c r="O741" i="11"/>
  <c r="R741" i="11" s="1"/>
  <c r="U725" i="11"/>
  <c r="O725" i="11"/>
  <c r="R725" i="11" s="1"/>
  <c r="U709" i="11"/>
  <c r="O709" i="11"/>
  <c r="R709" i="11" s="1"/>
  <c r="U693" i="11"/>
  <c r="O693" i="11"/>
  <c r="R693" i="11" s="1"/>
  <c r="U677" i="11"/>
  <c r="O677" i="11"/>
  <c r="R677" i="11" s="1"/>
  <c r="U661" i="11"/>
  <c r="O661" i="11"/>
  <c r="R661" i="11" s="1"/>
  <c r="U645" i="11"/>
  <c r="O645" i="11"/>
  <c r="R645" i="11" s="1"/>
  <c r="U629" i="11"/>
  <c r="O629" i="11"/>
  <c r="R629" i="11" s="1"/>
  <c r="U611" i="11"/>
  <c r="O611" i="11"/>
  <c r="R611" i="11" s="1"/>
  <c r="U579" i="11"/>
  <c r="O579" i="11"/>
  <c r="R579" i="11" s="1"/>
  <c r="O558" i="11"/>
  <c r="R558" i="11" s="1"/>
  <c r="U558" i="11"/>
  <c r="U547" i="11"/>
  <c r="O547" i="11"/>
  <c r="R547" i="11" s="1"/>
  <c r="O526" i="11"/>
  <c r="R526" i="11" s="1"/>
  <c r="U526" i="11"/>
  <c r="U515" i="11"/>
  <c r="O515" i="11"/>
  <c r="R515" i="11" s="1"/>
  <c r="U493" i="11"/>
  <c r="O493" i="11"/>
  <c r="R493" i="11" s="1"/>
  <c r="U485" i="11"/>
  <c r="O485" i="11"/>
  <c r="R485" i="11" s="1"/>
  <c r="U477" i="11"/>
  <c r="O477" i="11"/>
  <c r="R477" i="11" s="1"/>
  <c r="U469" i="11"/>
  <c r="O469" i="11"/>
  <c r="R469" i="11" s="1"/>
  <c r="U461" i="11"/>
  <c r="O461" i="11"/>
  <c r="R461" i="11" s="1"/>
  <c r="U453" i="11"/>
  <c r="O453" i="11"/>
  <c r="R453" i="11" s="1"/>
  <c r="U445" i="11"/>
  <c r="O445" i="11"/>
  <c r="R445" i="11" s="1"/>
  <c r="U437" i="11"/>
  <c r="O437" i="11"/>
  <c r="R437" i="11" s="1"/>
  <c r="U429" i="11"/>
  <c r="O429" i="11"/>
  <c r="R429" i="11" s="1"/>
  <c r="U421" i="11"/>
  <c r="O421" i="11"/>
  <c r="R421" i="11" s="1"/>
  <c r="U413" i="11"/>
  <c r="O413" i="11"/>
  <c r="R413" i="11" s="1"/>
  <c r="U405" i="11"/>
  <c r="O405" i="11"/>
  <c r="R405" i="11" s="1"/>
  <c r="U397" i="11"/>
  <c r="O397" i="11"/>
  <c r="R397" i="11" s="1"/>
  <c r="U389" i="11"/>
  <c r="O389" i="11"/>
  <c r="R389" i="11" s="1"/>
  <c r="U381" i="11"/>
  <c r="O381" i="11"/>
  <c r="R381" i="11" s="1"/>
  <c r="U373" i="11"/>
  <c r="O373" i="11"/>
  <c r="R373" i="11" s="1"/>
  <c r="U365" i="11"/>
  <c r="O365" i="11"/>
  <c r="R365" i="11" s="1"/>
  <c r="U357" i="11"/>
  <c r="O357" i="11"/>
  <c r="R357" i="11" s="1"/>
  <c r="U349" i="11"/>
  <c r="O349" i="11"/>
  <c r="R349" i="11" s="1"/>
  <c r="U341" i="11"/>
  <c r="O341" i="11"/>
  <c r="R341" i="11" s="1"/>
  <c r="U333" i="11"/>
  <c r="O333" i="11"/>
  <c r="R333" i="11" s="1"/>
  <c r="O327" i="11"/>
  <c r="R327" i="11" s="1"/>
  <c r="U327" i="11"/>
  <c r="O319" i="11"/>
  <c r="R319" i="11" s="1"/>
  <c r="U319" i="11"/>
  <c r="O311" i="11"/>
  <c r="R311" i="11" s="1"/>
  <c r="U311" i="11"/>
  <c r="O303" i="11"/>
  <c r="R303" i="11" s="1"/>
  <c r="U303" i="11"/>
  <c r="O295" i="11"/>
  <c r="R295" i="11" s="1"/>
  <c r="U295" i="11"/>
  <c r="O287" i="11"/>
  <c r="R287" i="11" s="1"/>
  <c r="U287" i="11"/>
  <c r="O279" i="11"/>
  <c r="R279" i="11" s="1"/>
  <c r="U279" i="11"/>
  <c r="O271" i="11"/>
  <c r="R271" i="11" s="1"/>
  <c r="U271" i="11"/>
  <c r="O263" i="11"/>
  <c r="R263" i="11" s="1"/>
  <c r="U263" i="11"/>
  <c r="O255" i="11"/>
  <c r="R255" i="11" s="1"/>
  <c r="U255" i="11"/>
  <c r="O247" i="11"/>
  <c r="R247" i="11" s="1"/>
  <c r="U247" i="11"/>
  <c r="U1244" i="11"/>
  <c r="O1244" i="11"/>
  <c r="R1244" i="11" s="1"/>
  <c r="O1001" i="11"/>
  <c r="R1001" i="11" s="1"/>
  <c r="U1001" i="11"/>
  <c r="O978" i="11"/>
  <c r="R978" i="11" s="1"/>
  <c r="U978" i="11"/>
  <c r="O972" i="11"/>
  <c r="R972" i="11" s="1"/>
  <c r="U972" i="11"/>
  <c r="O914" i="11"/>
  <c r="R914" i="11" s="1"/>
  <c r="U914" i="11"/>
  <c r="O908" i="11"/>
  <c r="R908" i="11" s="1"/>
  <c r="U908" i="11"/>
  <c r="U811" i="11"/>
  <c r="O811" i="11"/>
  <c r="R811" i="11" s="1"/>
  <c r="U763" i="11"/>
  <c r="O763" i="11"/>
  <c r="R763" i="11" s="1"/>
  <c r="U731" i="11"/>
  <c r="O731" i="11"/>
  <c r="R731" i="11" s="1"/>
  <c r="U699" i="11"/>
  <c r="O699" i="11"/>
  <c r="R699" i="11" s="1"/>
  <c r="U667" i="11"/>
  <c r="O667" i="11"/>
  <c r="R667" i="11" s="1"/>
  <c r="U635" i="11"/>
  <c r="O635" i="11"/>
  <c r="R635" i="11" s="1"/>
  <c r="U613" i="11"/>
  <c r="O613" i="11"/>
  <c r="R613" i="11" s="1"/>
  <c r="O592" i="11"/>
  <c r="R592" i="11" s="1"/>
  <c r="U592" i="11"/>
  <c r="U581" i="11"/>
  <c r="O581" i="11"/>
  <c r="R581" i="11" s="1"/>
  <c r="O560" i="11"/>
  <c r="R560" i="11" s="1"/>
  <c r="U560" i="11"/>
  <c r="U549" i="11"/>
  <c r="O549" i="11"/>
  <c r="R549" i="11" s="1"/>
  <c r="O528" i="11"/>
  <c r="R528" i="11" s="1"/>
  <c r="U528" i="11"/>
  <c r="U517" i="11"/>
  <c r="O517" i="11"/>
  <c r="R517" i="11" s="1"/>
  <c r="O496" i="11"/>
  <c r="R496" i="11" s="1"/>
  <c r="U496" i="11"/>
  <c r="U1130" i="11"/>
  <c r="O1130" i="11"/>
  <c r="R1130" i="11" s="1"/>
  <c r="O1029" i="11"/>
  <c r="R1029" i="11" s="1"/>
  <c r="U1029" i="11"/>
  <c r="O916" i="11"/>
  <c r="R916" i="11" s="1"/>
  <c r="U916" i="11"/>
  <c r="U889" i="11"/>
  <c r="O889" i="11"/>
  <c r="R889" i="11" s="1"/>
  <c r="U819" i="11"/>
  <c r="O819" i="11"/>
  <c r="R819" i="11" s="1"/>
  <c r="U753" i="11"/>
  <c r="O753" i="11"/>
  <c r="R753" i="11" s="1"/>
  <c r="U721" i="11"/>
  <c r="O721" i="11"/>
  <c r="R721" i="11" s="1"/>
  <c r="U689" i="11"/>
  <c r="O689" i="11"/>
  <c r="R689" i="11" s="1"/>
  <c r="U657" i="11"/>
  <c r="O657" i="11"/>
  <c r="R657" i="11" s="1"/>
  <c r="U625" i="11"/>
  <c r="O625" i="11"/>
  <c r="R625" i="11" s="1"/>
  <c r="U615" i="11"/>
  <c r="O615" i="11"/>
  <c r="R615" i="11" s="1"/>
  <c r="U607" i="11"/>
  <c r="O607" i="11"/>
  <c r="R607" i="11" s="1"/>
  <c r="U599" i="11"/>
  <c r="O599" i="11"/>
  <c r="R599" i="11" s="1"/>
  <c r="U591" i="11"/>
  <c r="O591" i="11"/>
  <c r="R591" i="11" s="1"/>
  <c r="U583" i="11"/>
  <c r="O583" i="11"/>
  <c r="R583" i="11" s="1"/>
  <c r="U575" i="11"/>
  <c r="O575" i="11"/>
  <c r="R575" i="11" s="1"/>
  <c r="U567" i="11"/>
  <c r="O567" i="11"/>
  <c r="R567" i="11" s="1"/>
  <c r="U559" i="11"/>
  <c r="O559" i="11"/>
  <c r="R559" i="11" s="1"/>
  <c r="U551" i="11"/>
  <c r="O551" i="11"/>
  <c r="R551" i="11" s="1"/>
  <c r="U543" i="11"/>
  <c r="O543" i="11"/>
  <c r="R543" i="11" s="1"/>
  <c r="U535" i="11"/>
  <c r="O535" i="11"/>
  <c r="R535" i="11" s="1"/>
  <c r="U527" i="11"/>
  <c r="O527" i="11"/>
  <c r="R527" i="11" s="1"/>
  <c r="U519" i="11"/>
  <c r="O519" i="11"/>
  <c r="R519" i="11" s="1"/>
  <c r="U511" i="11"/>
  <c r="O511" i="11"/>
  <c r="R511" i="11" s="1"/>
  <c r="U503" i="11"/>
  <c r="O503" i="11"/>
  <c r="R503" i="11" s="1"/>
  <c r="U448" i="11"/>
  <c r="O448" i="11"/>
  <c r="R448" i="11" s="1"/>
  <c r="U393" i="11"/>
  <c r="O393" i="11"/>
  <c r="R393" i="11" s="1"/>
  <c r="U306" i="11"/>
  <c r="O306" i="11"/>
  <c r="R306" i="11" s="1"/>
  <c r="U274" i="11"/>
  <c r="O274" i="11"/>
  <c r="R274" i="11" s="1"/>
  <c r="U242" i="11"/>
  <c r="O242" i="11"/>
  <c r="R242" i="11" s="1"/>
  <c r="U236" i="11"/>
  <c r="O236" i="11"/>
  <c r="R236" i="11" s="1"/>
  <c r="U228" i="11"/>
  <c r="O228" i="11"/>
  <c r="R228" i="11" s="1"/>
  <c r="U220" i="11"/>
  <c r="O220" i="11"/>
  <c r="R220" i="11" s="1"/>
  <c r="U212" i="11"/>
  <c r="O212" i="11"/>
  <c r="R212" i="11" s="1"/>
  <c r="U204" i="11"/>
  <c r="O204" i="11"/>
  <c r="R204" i="11" s="1"/>
  <c r="U196" i="11"/>
  <c r="O196" i="11"/>
  <c r="R196" i="11" s="1"/>
  <c r="U188" i="11"/>
  <c r="O188" i="11"/>
  <c r="R188" i="11" s="1"/>
  <c r="U180" i="11"/>
  <c r="O180" i="11"/>
  <c r="R180" i="11" s="1"/>
  <c r="U172" i="11"/>
  <c r="O172" i="11"/>
  <c r="R172" i="11" s="1"/>
  <c r="U164" i="11"/>
  <c r="O164" i="11"/>
  <c r="R164" i="11" s="1"/>
  <c r="U156" i="11"/>
  <c r="O156" i="11"/>
  <c r="R156" i="11" s="1"/>
  <c r="U148" i="11"/>
  <c r="O148" i="11"/>
  <c r="R148" i="11" s="1"/>
  <c r="U140" i="11"/>
  <c r="O140" i="11"/>
  <c r="R140" i="11" s="1"/>
  <c r="U132" i="11"/>
  <c r="O132" i="11"/>
  <c r="R132" i="11" s="1"/>
  <c r="U124" i="11"/>
  <c r="O124" i="11"/>
  <c r="R124" i="11" s="1"/>
  <c r="U116" i="11"/>
  <c r="O116" i="11"/>
  <c r="R116" i="11" s="1"/>
  <c r="U108" i="11"/>
  <c r="O108" i="11"/>
  <c r="R108" i="11" s="1"/>
  <c r="U100" i="11"/>
  <c r="O100" i="11"/>
  <c r="R100" i="11" s="1"/>
  <c r="U92" i="11"/>
  <c r="O92" i="11"/>
  <c r="U80" i="11"/>
  <c r="O80" i="11"/>
  <c r="R80" i="11" s="1"/>
  <c r="U71" i="11"/>
  <c r="O71" i="11"/>
  <c r="R71" i="11" s="1"/>
  <c r="U48" i="11"/>
  <c r="O48" i="11"/>
  <c r="R48" i="11" s="1"/>
  <c r="U39" i="11"/>
  <c r="O39" i="11"/>
  <c r="R39" i="11" s="1"/>
  <c r="U16" i="11"/>
  <c r="O16" i="11"/>
  <c r="U7" i="11"/>
  <c r="O7" i="11"/>
  <c r="U433" i="11"/>
  <c r="O433" i="11"/>
  <c r="R433" i="11" s="1"/>
  <c r="U320" i="11"/>
  <c r="O320" i="11"/>
  <c r="R320" i="11" s="1"/>
  <c r="U304" i="11"/>
  <c r="O304" i="11"/>
  <c r="R304" i="11" s="1"/>
  <c r="U288" i="11"/>
  <c r="O288" i="11"/>
  <c r="R288" i="11" s="1"/>
  <c r="U272" i="11"/>
  <c r="O272" i="11"/>
  <c r="R272" i="11" s="1"/>
  <c r="U256" i="11"/>
  <c r="O256" i="11"/>
  <c r="R256" i="11" s="1"/>
  <c r="U409" i="11"/>
  <c r="O409" i="11"/>
  <c r="R409" i="11" s="1"/>
  <c r="O195" i="11"/>
  <c r="R195" i="11" s="1"/>
  <c r="U195" i="11"/>
  <c r="U184" i="11"/>
  <c r="O184" i="11"/>
  <c r="R184" i="11" s="1"/>
  <c r="U449" i="11"/>
  <c r="O449" i="11"/>
  <c r="R449" i="11" s="1"/>
  <c r="U423" i="11"/>
  <c r="O423" i="11"/>
  <c r="R423" i="11" s="1"/>
  <c r="U376" i="11"/>
  <c r="O376" i="11"/>
  <c r="R376" i="11" s="1"/>
  <c r="U316" i="11"/>
  <c r="O316" i="11"/>
  <c r="R316" i="11" s="1"/>
  <c r="U300" i="11"/>
  <c r="O300" i="11"/>
  <c r="R300" i="11" s="1"/>
  <c r="U284" i="11"/>
  <c r="O284" i="11"/>
  <c r="R284" i="11" s="1"/>
  <c r="U268" i="11"/>
  <c r="O268" i="11"/>
  <c r="R268" i="11" s="1"/>
  <c r="O229" i="11"/>
  <c r="R229" i="11" s="1"/>
  <c r="U229" i="11"/>
  <c r="O221" i="11"/>
  <c r="R221" i="11" s="1"/>
  <c r="U221" i="11"/>
  <c r="O213" i="11"/>
  <c r="R213" i="11" s="1"/>
  <c r="U213" i="11"/>
  <c r="O205" i="11"/>
  <c r="R205" i="11" s="1"/>
  <c r="U205" i="11"/>
  <c r="N173" i="11"/>
  <c r="B12" i="10" s="1"/>
  <c r="O165" i="11"/>
  <c r="R165" i="11" s="1"/>
  <c r="U165" i="11"/>
  <c r="O157" i="11"/>
  <c r="R157" i="11" s="1"/>
  <c r="U157" i="11"/>
  <c r="O149" i="11"/>
  <c r="R149" i="11" s="1"/>
  <c r="U149" i="11"/>
  <c r="O141" i="11"/>
  <c r="R141" i="11" s="1"/>
  <c r="U141" i="11"/>
  <c r="O133" i="11"/>
  <c r="R133" i="11" s="1"/>
  <c r="U133" i="11"/>
  <c r="O125" i="11"/>
  <c r="R125" i="11" s="1"/>
  <c r="U125" i="11"/>
  <c r="O117" i="11"/>
  <c r="R117" i="11" s="1"/>
  <c r="U117" i="11"/>
  <c r="O109" i="11"/>
  <c r="R109" i="11" s="1"/>
  <c r="U109" i="11"/>
  <c r="O101" i="11"/>
  <c r="R101" i="11" s="1"/>
  <c r="U101" i="11"/>
  <c r="O93" i="11"/>
  <c r="R93" i="11" s="1"/>
  <c r="U93" i="11"/>
  <c r="U85" i="11"/>
  <c r="O85" i="11"/>
  <c r="R85" i="11" s="1"/>
  <c r="U77" i="11"/>
  <c r="O77" i="11"/>
  <c r="R77" i="11" s="1"/>
  <c r="U69" i="11"/>
  <c r="O69" i="11"/>
  <c r="R69" i="11" s="1"/>
  <c r="U61" i="11"/>
  <c r="O61" i="11"/>
  <c r="R61" i="11" s="1"/>
  <c r="U53" i="11"/>
  <c r="O53" i="11"/>
  <c r="R53" i="11" s="1"/>
  <c r="U45" i="11"/>
  <c r="O45" i="11"/>
  <c r="U37" i="11"/>
  <c r="O37" i="11"/>
  <c r="R37" i="11" s="1"/>
  <c r="U29" i="11"/>
  <c r="O29" i="11"/>
  <c r="X23" i="20" s="1"/>
  <c r="Y23" i="20" s="1"/>
  <c r="U21" i="11"/>
  <c r="O21" i="11"/>
  <c r="R21" i="11" s="1"/>
  <c r="U13" i="11"/>
  <c r="O13" i="11"/>
  <c r="R13" i="11" s="1"/>
  <c r="U5" i="11"/>
  <c r="O5" i="11"/>
  <c r="C35" i="3"/>
  <c r="I24" i="5"/>
  <c r="I16" i="5"/>
  <c r="I8" i="5"/>
  <c r="E76" i="3"/>
  <c r="E72" i="3"/>
  <c r="B36" i="3"/>
  <c r="D76" i="3"/>
  <c r="F71" i="3"/>
  <c r="D25" i="5"/>
  <c r="I25" i="5" s="1"/>
  <c r="C57" i="3"/>
  <c r="E57" i="3" s="1"/>
  <c r="F57" i="3" s="1"/>
  <c r="O1795" i="11"/>
  <c r="R1795" i="11" s="1"/>
  <c r="U1795" i="11"/>
  <c r="O1779" i="11"/>
  <c r="R1779" i="11" s="1"/>
  <c r="U1779" i="11"/>
  <c r="O1747" i="11"/>
  <c r="R1747" i="11" s="1"/>
  <c r="U1747" i="11"/>
  <c r="U1792" i="11"/>
  <c r="O1792" i="11"/>
  <c r="R1792" i="11" s="1"/>
  <c r="U1762" i="11"/>
  <c r="O1762" i="11"/>
  <c r="R1762" i="11" s="1"/>
  <c r="U1677" i="11"/>
  <c r="O1677" i="11"/>
  <c r="R1677" i="11" s="1"/>
  <c r="U1629" i="11"/>
  <c r="O1629" i="11"/>
  <c r="R1629" i="11" s="1"/>
  <c r="U1597" i="11"/>
  <c r="O1597" i="11"/>
  <c r="R1597" i="11" s="1"/>
  <c r="O1647" i="11"/>
  <c r="R1647" i="11" s="1"/>
  <c r="U1647" i="11"/>
  <c r="O1699" i="11"/>
  <c r="R1699" i="11" s="1"/>
  <c r="U1699" i="11"/>
  <c r="U1648" i="11"/>
  <c r="O1648" i="11"/>
  <c r="R1648" i="11" s="1"/>
  <c r="U1532" i="11"/>
  <c r="O1532" i="11"/>
  <c r="R1532" i="11" s="1"/>
  <c r="U1508" i="11"/>
  <c r="O1508" i="11"/>
  <c r="R1508" i="11" s="1"/>
  <c r="U1484" i="11"/>
  <c r="O1484" i="11"/>
  <c r="R1484" i="11" s="1"/>
  <c r="U1460" i="11"/>
  <c r="O1460" i="11"/>
  <c r="R1460" i="11" s="1"/>
  <c r="U1436" i="11"/>
  <c r="O1436" i="11"/>
  <c r="R1436" i="11" s="1"/>
  <c r="O1555" i="11"/>
  <c r="R1555" i="11" s="1"/>
  <c r="U1555" i="11"/>
  <c r="O1622" i="11"/>
  <c r="R1622" i="11" s="1"/>
  <c r="U1622" i="11"/>
  <c r="U1584" i="11"/>
  <c r="O1584" i="11"/>
  <c r="R1584" i="11" s="1"/>
  <c r="U1552" i="11"/>
  <c r="O1552" i="11"/>
  <c r="R1552" i="11" s="1"/>
  <c r="U1418" i="11"/>
  <c r="O1418" i="11"/>
  <c r="R1418" i="11" s="1"/>
  <c r="O1709" i="11"/>
  <c r="R1709" i="11" s="1"/>
  <c r="U1709" i="11"/>
  <c r="U1672" i="11"/>
  <c r="O1672" i="11"/>
  <c r="R1672" i="11" s="1"/>
  <c r="U1573" i="11"/>
  <c r="O1573" i="11"/>
  <c r="R1573" i="11" s="1"/>
  <c r="O1412" i="11"/>
  <c r="R1412" i="11" s="1"/>
  <c r="U1412" i="11"/>
  <c r="U1549" i="11"/>
  <c r="O1549" i="11"/>
  <c r="R1549" i="11" s="1"/>
  <c r="O1475" i="11"/>
  <c r="R1475" i="11" s="1"/>
  <c r="U1475" i="11"/>
  <c r="U1408" i="11"/>
  <c r="O1408" i="11"/>
  <c r="R1408" i="11" s="1"/>
  <c r="U1338" i="11"/>
  <c r="O1338" i="11"/>
  <c r="R1338" i="11" s="1"/>
  <c r="U1306" i="11"/>
  <c r="O1306" i="11"/>
  <c r="R1306" i="11" s="1"/>
  <c r="U1770" i="11"/>
  <c r="O1770" i="11"/>
  <c r="R1770" i="11" s="1"/>
  <c r="O1729" i="11"/>
  <c r="R1729" i="11" s="1"/>
  <c r="U1729" i="11"/>
  <c r="O1644" i="11"/>
  <c r="R1644" i="11" s="1"/>
  <c r="U1644" i="11"/>
  <c r="O1487" i="11"/>
  <c r="R1487" i="11" s="1"/>
  <c r="U1487" i="11"/>
  <c r="U1424" i="11"/>
  <c r="O1424" i="11"/>
  <c r="R1424" i="11" s="1"/>
  <c r="U1382" i="11"/>
  <c r="O1382" i="11"/>
  <c r="R1382" i="11" s="1"/>
  <c r="U1318" i="11"/>
  <c r="O1318" i="11"/>
  <c r="R1318" i="11" s="1"/>
  <c r="U1286" i="11"/>
  <c r="O1286" i="11"/>
  <c r="R1286" i="11" s="1"/>
  <c r="H27" i="20"/>
  <c r="H21" i="20"/>
  <c r="H13" i="20"/>
  <c r="N11" i="20"/>
  <c r="N6" i="20"/>
  <c r="U1799" i="11"/>
  <c r="O1799" i="11"/>
  <c r="R1799" i="11" s="1"/>
  <c r="U1774" i="11"/>
  <c r="O1774" i="11"/>
  <c r="R1774" i="11" s="1"/>
  <c r="U1766" i="11"/>
  <c r="O1766" i="11"/>
  <c r="R1766" i="11" s="1"/>
  <c r="U1758" i="11"/>
  <c r="O1758" i="11"/>
  <c r="R1758" i="11" s="1"/>
  <c r="U1780" i="11"/>
  <c r="O1780" i="11"/>
  <c r="R1780" i="11" s="1"/>
  <c r="U1794" i="11"/>
  <c r="O1794" i="11"/>
  <c r="R1794" i="11" s="1"/>
  <c r="U1778" i="11"/>
  <c r="O1778" i="11"/>
  <c r="R1778" i="11" s="1"/>
  <c r="U1764" i="11"/>
  <c r="O1764" i="11"/>
  <c r="R1764" i="11" s="1"/>
  <c r="U1734" i="11"/>
  <c r="O1734" i="11"/>
  <c r="R1734" i="11" s="1"/>
  <c r="U1702" i="11"/>
  <c r="O1702" i="11"/>
  <c r="R1702" i="11" s="1"/>
  <c r="H35" i="20"/>
  <c r="O1757" i="11"/>
  <c r="R1757" i="11" s="1"/>
  <c r="U1757" i="11"/>
  <c r="U1722" i="11"/>
  <c r="O1722" i="11"/>
  <c r="R1722" i="11" s="1"/>
  <c r="O1695" i="11"/>
  <c r="R1695" i="11" s="1"/>
  <c r="U1695" i="11"/>
  <c r="O1662" i="11"/>
  <c r="R1662" i="11" s="1"/>
  <c r="U1662" i="11"/>
  <c r="U1653" i="11"/>
  <c r="O1653" i="11"/>
  <c r="R1653" i="11" s="1"/>
  <c r="U1643" i="11"/>
  <c r="O1643" i="11"/>
  <c r="R1643" i="11" s="1"/>
  <c r="U1635" i="11"/>
  <c r="O1635" i="11"/>
  <c r="R1635" i="11" s="1"/>
  <c r="U1627" i="11"/>
  <c r="O1627" i="11"/>
  <c r="R1627" i="11" s="1"/>
  <c r="U1619" i="11"/>
  <c r="O1619" i="11"/>
  <c r="R1619" i="11" s="1"/>
  <c r="U1611" i="11"/>
  <c r="O1611" i="11"/>
  <c r="R1611" i="11" s="1"/>
  <c r="U1603" i="11"/>
  <c r="O1603" i="11"/>
  <c r="R1603" i="11" s="1"/>
  <c r="U1595" i="11"/>
  <c r="O1595" i="11"/>
  <c r="R1595" i="11" s="1"/>
  <c r="U1720" i="11"/>
  <c r="O1720" i="11"/>
  <c r="R1720" i="11" s="1"/>
  <c r="U1704" i="11"/>
  <c r="O1704" i="11"/>
  <c r="R1704" i="11" s="1"/>
  <c r="U1688" i="11"/>
  <c r="O1688" i="11"/>
  <c r="R1688" i="11" s="1"/>
  <c r="U1660" i="11"/>
  <c r="O1660" i="11"/>
  <c r="R1660" i="11" s="1"/>
  <c r="O1578" i="11"/>
  <c r="R1578" i="11" s="1"/>
  <c r="U1578" i="11"/>
  <c r="U1569" i="11"/>
  <c r="O1569" i="11"/>
  <c r="R1569" i="11" s="1"/>
  <c r="U1538" i="11"/>
  <c r="O1538" i="11"/>
  <c r="R1538" i="11" s="1"/>
  <c r="U1530" i="11"/>
  <c r="O1530" i="11"/>
  <c r="R1530" i="11" s="1"/>
  <c r="U1522" i="11"/>
  <c r="O1522" i="11"/>
  <c r="R1522" i="11" s="1"/>
  <c r="U1514" i="11"/>
  <c r="O1514" i="11"/>
  <c r="R1514" i="11" s="1"/>
  <c r="U1506" i="11"/>
  <c r="O1506" i="11"/>
  <c r="R1506" i="11" s="1"/>
  <c r="U1498" i="11"/>
  <c r="O1498" i="11"/>
  <c r="R1498" i="11" s="1"/>
  <c r="U1490" i="11"/>
  <c r="O1490" i="11"/>
  <c r="R1490" i="11" s="1"/>
  <c r="U1482" i="11"/>
  <c r="O1482" i="11"/>
  <c r="R1482" i="11" s="1"/>
  <c r="U1474" i="11"/>
  <c r="O1474" i="11"/>
  <c r="R1474" i="11" s="1"/>
  <c r="U1466" i="11"/>
  <c r="O1466" i="11"/>
  <c r="R1466" i="11" s="1"/>
  <c r="U1458" i="11"/>
  <c r="O1458" i="11"/>
  <c r="R1458" i="11" s="1"/>
  <c r="U1450" i="11"/>
  <c r="O1450" i="11"/>
  <c r="R1450" i="11" s="1"/>
  <c r="U1442" i="11"/>
  <c r="O1442" i="11"/>
  <c r="R1442" i="11" s="1"/>
  <c r="U1434" i="11"/>
  <c r="O1434" i="11"/>
  <c r="R1434" i="11" s="1"/>
  <c r="O1719" i="11"/>
  <c r="R1719" i="11" s="1"/>
  <c r="U1719" i="11"/>
  <c r="O1563" i="11"/>
  <c r="R1563" i="11" s="1"/>
  <c r="U1563" i="11"/>
  <c r="U1724" i="11"/>
  <c r="O1724" i="11"/>
  <c r="R1724" i="11" s="1"/>
  <c r="O1543" i="11"/>
  <c r="R1543" i="11" s="1"/>
  <c r="U1543" i="11"/>
  <c r="U1426" i="11"/>
  <c r="O1426" i="11"/>
  <c r="R1426" i="11" s="1"/>
  <c r="O1403" i="11"/>
  <c r="R1403" i="11" s="1"/>
  <c r="U1403" i="11"/>
  <c r="U1394" i="11"/>
  <c r="O1394" i="11"/>
  <c r="R1394" i="11" s="1"/>
  <c r="O1592" i="11"/>
  <c r="R1592" i="11" s="1"/>
  <c r="U1592" i="11"/>
  <c r="U1542" i="11"/>
  <c r="O1542" i="11"/>
  <c r="R1542" i="11" s="1"/>
  <c r="O1420" i="11"/>
  <c r="R1420" i="11" s="1"/>
  <c r="U1420" i="11"/>
  <c r="O1388" i="11"/>
  <c r="R1388" i="11" s="1"/>
  <c r="U1388" i="11"/>
  <c r="O1531" i="11"/>
  <c r="R1531" i="11" s="1"/>
  <c r="U1531" i="11"/>
  <c r="O1499" i="11"/>
  <c r="R1499" i="11" s="1"/>
  <c r="U1499" i="11"/>
  <c r="O1467" i="11"/>
  <c r="R1467" i="11" s="1"/>
  <c r="U1467" i="11"/>
  <c r="O1435" i="11"/>
  <c r="R1435" i="11" s="1"/>
  <c r="U1435" i="11"/>
  <c r="O1393" i="11"/>
  <c r="R1393" i="11" s="1"/>
  <c r="U1393" i="11"/>
  <c r="U1362" i="11"/>
  <c r="O1362" i="11"/>
  <c r="R1362" i="11" s="1"/>
  <c r="U1330" i="11"/>
  <c r="O1330" i="11"/>
  <c r="R1330" i="11" s="1"/>
  <c r="U1298" i="11"/>
  <c r="O1298" i="11"/>
  <c r="R1298" i="11" s="1"/>
  <c r="U1546" i="11"/>
  <c r="O1546" i="11"/>
  <c r="R1546" i="11" s="1"/>
  <c r="O1511" i="11"/>
  <c r="R1511" i="11" s="1"/>
  <c r="U1511" i="11"/>
  <c r="O1479" i="11"/>
  <c r="R1479" i="11" s="1"/>
  <c r="U1479" i="11"/>
  <c r="O1447" i="11"/>
  <c r="R1447" i="11" s="1"/>
  <c r="U1447" i="11"/>
  <c r="U1409" i="11"/>
  <c r="O1409" i="11"/>
  <c r="R1409" i="11" s="1"/>
  <c r="U1374" i="11"/>
  <c r="O1374" i="11"/>
  <c r="R1374" i="11" s="1"/>
  <c r="U1342" i="11"/>
  <c r="O1342" i="11"/>
  <c r="R1342" i="11" s="1"/>
  <c r="U1310" i="11"/>
  <c r="O1310" i="11"/>
  <c r="R1310" i="11" s="1"/>
  <c r="O1529" i="11"/>
  <c r="R1529" i="11" s="1"/>
  <c r="U1529" i="11"/>
  <c r="O1497" i="11"/>
  <c r="R1497" i="11" s="1"/>
  <c r="U1497" i="11"/>
  <c r="O1465" i="11"/>
  <c r="R1465" i="11" s="1"/>
  <c r="U1465" i="11"/>
  <c r="O1433" i="11"/>
  <c r="R1433" i="11" s="1"/>
  <c r="U1433" i="11"/>
  <c r="U1274" i="11"/>
  <c r="O1274" i="11"/>
  <c r="R1274" i="11" s="1"/>
  <c r="U1258" i="11"/>
  <c r="O1258" i="11"/>
  <c r="R1258" i="11" s="1"/>
  <c r="U1242" i="11"/>
  <c r="O1242" i="11"/>
  <c r="R1242" i="11" s="1"/>
  <c r="O1171" i="11"/>
  <c r="R1171" i="11" s="1"/>
  <c r="U1171" i="11"/>
  <c r="O1163" i="11"/>
  <c r="R1163" i="11" s="1"/>
  <c r="U1163" i="11"/>
  <c r="O1155" i="11"/>
  <c r="R1155" i="11" s="1"/>
  <c r="U1155" i="11"/>
  <c r="O1147" i="11"/>
  <c r="R1147" i="11" s="1"/>
  <c r="U1147" i="11"/>
  <c r="O1139" i="11"/>
  <c r="R1139" i="11" s="1"/>
  <c r="U1139" i="11"/>
  <c r="U1692" i="11"/>
  <c r="O1692" i="11"/>
  <c r="R1692" i="11" s="1"/>
  <c r="O1473" i="11"/>
  <c r="R1473" i="11" s="1"/>
  <c r="U1473" i="11"/>
  <c r="U1280" i="11"/>
  <c r="O1280" i="11"/>
  <c r="R1280" i="11" s="1"/>
  <c r="U1180" i="11"/>
  <c r="O1180" i="11"/>
  <c r="R1180" i="11" s="1"/>
  <c r="O1383" i="11"/>
  <c r="R1383" i="11" s="1"/>
  <c r="U1383" i="11"/>
  <c r="U1344" i="11"/>
  <c r="O1344" i="11"/>
  <c r="R1344" i="11" s="1"/>
  <c r="O1319" i="11"/>
  <c r="R1319" i="11" s="1"/>
  <c r="U1319" i="11"/>
  <c r="O1259" i="11"/>
  <c r="R1259" i="11" s="1"/>
  <c r="U1259" i="11"/>
  <c r="O1243" i="11"/>
  <c r="R1243" i="11" s="1"/>
  <c r="U1243" i="11"/>
  <c r="U1166" i="11"/>
  <c r="O1166" i="11"/>
  <c r="R1166" i="11" s="1"/>
  <c r="U1158" i="11"/>
  <c r="O1158" i="11"/>
  <c r="R1158" i="11" s="1"/>
  <c r="U1150" i="11"/>
  <c r="O1150" i="11"/>
  <c r="R1150" i="11" s="1"/>
  <c r="U1142" i="11"/>
  <c r="O1142" i="11"/>
  <c r="R1142" i="11" s="1"/>
  <c r="U1118" i="11"/>
  <c r="O1118" i="11"/>
  <c r="R1118" i="11" s="1"/>
  <c r="O1107" i="11"/>
  <c r="R1107" i="11" s="1"/>
  <c r="U1107" i="11"/>
  <c r="U1086" i="11"/>
  <c r="O1086" i="11"/>
  <c r="R1086" i="11" s="1"/>
  <c r="U1356" i="11"/>
  <c r="O1356" i="11"/>
  <c r="R1356" i="11" s="1"/>
  <c r="O1331" i="11"/>
  <c r="R1331" i="11" s="1"/>
  <c r="U1331" i="11"/>
  <c r="U1292" i="11"/>
  <c r="O1292" i="11"/>
  <c r="R1292" i="11" s="1"/>
  <c r="O1269" i="11"/>
  <c r="R1269" i="11" s="1"/>
  <c r="U1269" i="11"/>
  <c r="O1253" i="11"/>
  <c r="R1253" i="11" s="1"/>
  <c r="U1253" i="11"/>
  <c r="O1237" i="11"/>
  <c r="R1237" i="11" s="1"/>
  <c r="U1237" i="11"/>
  <c r="U1222" i="11"/>
  <c r="O1222" i="11"/>
  <c r="R1222" i="11" s="1"/>
  <c r="U1214" i="11"/>
  <c r="O1214" i="11"/>
  <c r="R1214" i="11" s="1"/>
  <c r="U1206" i="11"/>
  <c r="O1206" i="11"/>
  <c r="R1206" i="11" s="1"/>
  <c r="U1198" i="11"/>
  <c r="O1198" i="11"/>
  <c r="R1198" i="11" s="1"/>
  <c r="U1190" i="11"/>
  <c r="O1190" i="11"/>
  <c r="R1190" i="11" s="1"/>
  <c r="U1124" i="11"/>
  <c r="O1124" i="11"/>
  <c r="R1124" i="11" s="1"/>
  <c r="O1113" i="11"/>
  <c r="R1113" i="11" s="1"/>
  <c r="U1113" i="11"/>
  <c r="O1449" i="11"/>
  <c r="R1449" i="11" s="1"/>
  <c r="U1449" i="11"/>
  <c r="U1352" i="11"/>
  <c r="O1352" i="11"/>
  <c r="R1352" i="11" s="1"/>
  <c r="O1327" i="11"/>
  <c r="R1327" i="11" s="1"/>
  <c r="U1327" i="11"/>
  <c r="O1453" i="11"/>
  <c r="R1453" i="11" s="1"/>
  <c r="U1453" i="11"/>
  <c r="U1380" i="11"/>
  <c r="O1380" i="11"/>
  <c r="R1380" i="11" s="1"/>
  <c r="O1355" i="11"/>
  <c r="R1355" i="11" s="1"/>
  <c r="U1355" i="11"/>
  <c r="U1316" i="11"/>
  <c r="O1316" i="11"/>
  <c r="R1316" i="11" s="1"/>
  <c r="O1301" i="11"/>
  <c r="R1301" i="11" s="1"/>
  <c r="U1301" i="11"/>
  <c r="O1291" i="11"/>
  <c r="R1291" i="11" s="1"/>
  <c r="U1291" i="11"/>
  <c r="U1248" i="11"/>
  <c r="O1248" i="11"/>
  <c r="R1248" i="11" s="1"/>
  <c r="O1245" i="11"/>
  <c r="R1245" i="11" s="1"/>
  <c r="U1245" i="11"/>
  <c r="O1231" i="11"/>
  <c r="R1231" i="11" s="1"/>
  <c r="U1231" i="11"/>
  <c r="U1136" i="11"/>
  <c r="O1136" i="11"/>
  <c r="R1136" i="11" s="1"/>
  <c r="O1125" i="11"/>
  <c r="R1125" i="11" s="1"/>
  <c r="U1125" i="11"/>
  <c r="U1252" i="11"/>
  <c r="O1252" i="11"/>
  <c r="R1252" i="11" s="1"/>
  <c r="O1249" i="11"/>
  <c r="R1249" i="11" s="1"/>
  <c r="U1249" i="11"/>
  <c r="U1138" i="11"/>
  <c r="O1138" i="11"/>
  <c r="R1138" i="11" s="1"/>
  <c r="U1112" i="11"/>
  <c r="O1112" i="11"/>
  <c r="R1112" i="11" s="1"/>
  <c r="U865" i="11"/>
  <c r="O865" i="11"/>
  <c r="R865" i="11" s="1"/>
  <c r="U857" i="11"/>
  <c r="O857" i="11"/>
  <c r="R857" i="11" s="1"/>
  <c r="U849" i="11"/>
  <c r="O849" i="11"/>
  <c r="R849" i="11" s="1"/>
  <c r="U1148" i="11"/>
  <c r="O1148" i="11"/>
  <c r="R1148" i="11" s="1"/>
  <c r="O1093" i="11"/>
  <c r="R1093" i="11" s="1"/>
  <c r="U1093" i="11"/>
  <c r="U1192" i="11"/>
  <c r="O1192" i="11"/>
  <c r="R1192" i="11" s="1"/>
  <c r="U1160" i="11"/>
  <c r="O1160" i="11"/>
  <c r="R1160" i="11" s="1"/>
  <c r="O1109" i="11"/>
  <c r="R1109" i="11" s="1"/>
  <c r="U1109" i="11"/>
  <c r="U1100" i="11"/>
  <c r="O1100" i="11"/>
  <c r="R1100" i="11" s="1"/>
  <c r="O1085" i="11"/>
  <c r="R1085" i="11" s="1"/>
  <c r="U1085" i="11"/>
  <c r="U1062" i="11"/>
  <c r="O1062" i="11"/>
  <c r="R1062" i="11" s="1"/>
  <c r="U1054" i="11"/>
  <c r="O1054" i="11"/>
  <c r="R1054" i="11" s="1"/>
  <c r="U1046" i="11"/>
  <c r="O1046" i="11"/>
  <c r="R1046" i="11" s="1"/>
  <c r="U1038" i="11"/>
  <c r="O1038" i="11"/>
  <c r="R1038" i="11" s="1"/>
  <c r="U1030" i="11"/>
  <c r="O1030" i="11"/>
  <c r="R1030" i="11" s="1"/>
  <c r="U1022" i="11"/>
  <c r="O1022" i="11"/>
  <c r="R1022" i="11" s="1"/>
  <c r="U1014" i="11"/>
  <c r="O1014" i="11"/>
  <c r="R1014" i="11" s="1"/>
  <c r="U1006" i="11"/>
  <c r="O1006" i="11"/>
  <c r="R1006" i="11" s="1"/>
  <c r="U998" i="11"/>
  <c r="O998" i="11"/>
  <c r="R998" i="11" s="1"/>
  <c r="U990" i="11"/>
  <c r="O990" i="11"/>
  <c r="R990" i="11" s="1"/>
  <c r="O1071" i="11"/>
  <c r="R1071" i="11" s="1"/>
  <c r="U1071" i="11"/>
  <c r="U1068" i="11"/>
  <c r="O1068" i="11"/>
  <c r="R1068" i="11" s="1"/>
  <c r="U971" i="11"/>
  <c r="O971" i="11"/>
  <c r="R971" i="11" s="1"/>
  <c r="U955" i="11"/>
  <c r="O955" i="11"/>
  <c r="R955" i="11" s="1"/>
  <c r="U939" i="11"/>
  <c r="O939" i="11"/>
  <c r="R939" i="11" s="1"/>
  <c r="U923" i="11"/>
  <c r="O923" i="11"/>
  <c r="R923" i="11" s="1"/>
  <c r="U907" i="11"/>
  <c r="O907" i="11"/>
  <c r="R907" i="11" s="1"/>
  <c r="U891" i="11"/>
  <c r="O891" i="11"/>
  <c r="R891" i="11" s="1"/>
  <c r="U875" i="11"/>
  <c r="O875" i="11"/>
  <c r="R875" i="11" s="1"/>
  <c r="O838" i="11"/>
  <c r="R838" i="11" s="1"/>
  <c r="U838" i="11"/>
  <c r="U830" i="11"/>
  <c r="O830" i="11"/>
  <c r="R830" i="11" s="1"/>
  <c r="O822" i="11"/>
  <c r="R822" i="11" s="1"/>
  <c r="U822" i="11"/>
  <c r="O814" i="11"/>
  <c r="R814" i="11" s="1"/>
  <c r="U814" i="11"/>
  <c r="O806" i="11"/>
  <c r="R806" i="11" s="1"/>
  <c r="U806" i="11"/>
  <c r="U798" i="11"/>
  <c r="O798" i="11"/>
  <c r="R798" i="11" s="1"/>
  <c r="O790" i="11"/>
  <c r="R790" i="11" s="1"/>
  <c r="U790" i="11"/>
  <c r="O782" i="11"/>
  <c r="R782" i="11" s="1"/>
  <c r="U782" i="11"/>
  <c r="O1073" i="11"/>
  <c r="R1073" i="11" s="1"/>
  <c r="U1073" i="11"/>
  <c r="U988" i="11"/>
  <c r="O988" i="11"/>
  <c r="R988" i="11" s="1"/>
  <c r="O976" i="11"/>
  <c r="R976" i="11" s="1"/>
  <c r="U976" i="11"/>
  <c r="U965" i="11"/>
  <c r="O965" i="11"/>
  <c r="R965" i="11" s="1"/>
  <c r="O944" i="11"/>
  <c r="R944" i="11" s="1"/>
  <c r="U944" i="11"/>
  <c r="U933" i="11"/>
  <c r="O933" i="11"/>
  <c r="R933" i="11" s="1"/>
  <c r="O912" i="11"/>
  <c r="R912" i="11" s="1"/>
  <c r="U912" i="11"/>
  <c r="U901" i="11"/>
  <c r="O901" i="11"/>
  <c r="R901" i="11" s="1"/>
  <c r="O880" i="11"/>
  <c r="R880" i="11" s="1"/>
  <c r="U880" i="11"/>
  <c r="U869" i="11"/>
  <c r="O869" i="11"/>
  <c r="R869" i="11" s="1"/>
  <c r="O780" i="11"/>
  <c r="R780" i="11" s="1"/>
  <c r="U780" i="11"/>
  <c r="O772" i="11"/>
  <c r="R772" i="11" s="1"/>
  <c r="U772" i="11"/>
  <c r="O764" i="11"/>
  <c r="R764" i="11" s="1"/>
  <c r="U764" i="11"/>
  <c r="O756" i="11"/>
  <c r="R756" i="11" s="1"/>
  <c r="U756" i="11"/>
  <c r="O748" i="11"/>
  <c r="R748" i="11" s="1"/>
  <c r="U748" i="11"/>
  <c r="O740" i="11"/>
  <c r="R740" i="11" s="1"/>
  <c r="U740" i="11"/>
  <c r="O732" i="11"/>
  <c r="R732" i="11" s="1"/>
  <c r="U732" i="11"/>
  <c r="O724" i="11"/>
  <c r="R724" i="11" s="1"/>
  <c r="U724" i="11"/>
  <c r="O716" i="11"/>
  <c r="R716" i="11" s="1"/>
  <c r="U716" i="11"/>
  <c r="O708" i="11"/>
  <c r="R708" i="11" s="1"/>
  <c r="U708" i="11"/>
  <c r="O700" i="11"/>
  <c r="R700" i="11" s="1"/>
  <c r="U700" i="11"/>
  <c r="O692" i="11"/>
  <c r="R692" i="11" s="1"/>
  <c r="U692" i="11"/>
  <c r="O684" i="11"/>
  <c r="R684" i="11" s="1"/>
  <c r="U684" i="11"/>
  <c r="O676" i="11"/>
  <c r="R676" i="11" s="1"/>
  <c r="U676" i="11"/>
  <c r="O668" i="11"/>
  <c r="R668" i="11" s="1"/>
  <c r="U668" i="11"/>
  <c r="O660" i="11"/>
  <c r="R660" i="11" s="1"/>
  <c r="U660" i="11"/>
  <c r="O652" i="11"/>
  <c r="R652" i="11" s="1"/>
  <c r="U652" i="11"/>
  <c r="O644" i="11"/>
  <c r="R644" i="11" s="1"/>
  <c r="U644" i="11"/>
  <c r="O636" i="11"/>
  <c r="R636" i="11" s="1"/>
  <c r="U636" i="11"/>
  <c r="O628" i="11"/>
  <c r="R628" i="11" s="1"/>
  <c r="U628" i="11"/>
  <c r="O1289" i="11"/>
  <c r="R1289" i="11" s="1"/>
  <c r="U1289" i="11"/>
  <c r="O1065" i="11"/>
  <c r="R1065" i="11" s="1"/>
  <c r="U1065" i="11"/>
  <c r="U986" i="11"/>
  <c r="O986" i="11"/>
  <c r="R986" i="11" s="1"/>
  <c r="U975" i="11"/>
  <c r="O975" i="11"/>
  <c r="R975" i="11" s="1"/>
  <c r="U943" i="11"/>
  <c r="O943" i="11"/>
  <c r="R943" i="11" s="1"/>
  <c r="U911" i="11"/>
  <c r="O911" i="11"/>
  <c r="R911" i="11" s="1"/>
  <c r="U887" i="11"/>
  <c r="O887" i="11"/>
  <c r="R887" i="11" s="1"/>
  <c r="O930" i="11"/>
  <c r="R930" i="11" s="1"/>
  <c r="U930" i="11"/>
  <c r="O924" i="11"/>
  <c r="R924" i="11" s="1"/>
  <c r="U924" i="11"/>
  <c r="O866" i="11"/>
  <c r="R866" i="11" s="1"/>
  <c r="U866" i="11"/>
  <c r="U836" i="11"/>
  <c r="O836" i="11"/>
  <c r="R836" i="11" s="1"/>
  <c r="U810" i="11"/>
  <c r="O810" i="11"/>
  <c r="R810" i="11" s="1"/>
  <c r="U775" i="11"/>
  <c r="O775" i="11"/>
  <c r="R775" i="11" s="1"/>
  <c r="U759" i="11"/>
  <c r="O759" i="11"/>
  <c r="R759" i="11" s="1"/>
  <c r="U743" i="11"/>
  <c r="O743" i="11"/>
  <c r="R743" i="11" s="1"/>
  <c r="U727" i="11"/>
  <c r="O727" i="11"/>
  <c r="R727" i="11" s="1"/>
  <c r="U711" i="11"/>
  <c r="O711" i="11"/>
  <c r="R711" i="11" s="1"/>
  <c r="U695" i="11"/>
  <c r="O695" i="11"/>
  <c r="R695" i="11" s="1"/>
  <c r="U679" i="11"/>
  <c r="O679" i="11"/>
  <c r="R679" i="11" s="1"/>
  <c r="U663" i="11"/>
  <c r="O663" i="11"/>
  <c r="R663" i="11" s="1"/>
  <c r="U647" i="11"/>
  <c r="O647" i="11"/>
  <c r="R647" i="11" s="1"/>
  <c r="U631" i="11"/>
  <c r="O631" i="11"/>
  <c r="R631" i="11" s="1"/>
  <c r="O588" i="11"/>
  <c r="R588" i="11" s="1"/>
  <c r="U588" i="11"/>
  <c r="O580" i="11"/>
  <c r="R580" i="11" s="1"/>
  <c r="U580" i="11"/>
  <c r="O572" i="11"/>
  <c r="R572" i="11" s="1"/>
  <c r="U572" i="11"/>
  <c r="O564" i="11"/>
  <c r="R564" i="11" s="1"/>
  <c r="U564" i="11"/>
  <c r="O556" i="11"/>
  <c r="R556" i="11" s="1"/>
  <c r="U556" i="11"/>
  <c r="O548" i="11"/>
  <c r="R548" i="11" s="1"/>
  <c r="U548" i="11"/>
  <c r="O540" i="11"/>
  <c r="R540" i="11" s="1"/>
  <c r="U540" i="11"/>
  <c r="O532" i="11"/>
  <c r="R532" i="11" s="1"/>
  <c r="U532" i="11"/>
  <c r="O524" i="11"/>
  <c r="R524" i="11" s="1"/>
  <c r="U524" i="11"/>
  <c r="O516" i="11"/>
  <c r="R516" i="11" s="1"/>
  <c r="U516" i="11"/>
  <c r="O508" i="11"/>
  <c r="R508" i="11" s="1"/>
  <c r="U508" i="11"/>
  <c r="O500" i="11"/>
  <c r="R500" i="11" s="1"/>
  <c r="U500" i="11"/>
  <c r="U969" i="11"/>
  <c r="O969" i="11"/>
  <c r="R969" i="11" s="1"/>
  <c r="U905" i="11"/>
  <c r="O905" i="11"/>
  <c r="R905" i="11" s="1"/>
  <c r="O860" i="11"/>
  <c r="R860" i="11" s="1"/>
  <c r="U860" i="11"/>
  <c r="U818" i="11"/>
  <c r="O818" i="11"/>
  <c r="R818" i="11" s="1"/>
  <c r="O614" i="11"/>
  <c r="R614" i="11" s="1"/>
  <c r="U614" i="11"/>
  <c r="U603" i="11"/>
  <c r="O603" i="11"/>
  <c r="R603" i="11" s="1"/>
  <c r="O582" i="11"/>
  <c r="R582" i="11" s="1"/>
  <c r="U582" i="11"/>
  <c r="U571" i="11"/>
  <c r="O571" i="11"/>
  <c r="R571" i="11" s="1"/>
  <c r="O550" i="11"/>
  <c r="R550" i="11" s="1"/>
  <c r="U550" i="11"/>
  <c r="U539" i="11"/>
  <c r="O539" i="11"/>
  <c r="R539" i="11" s="1"/>
  <c r="O518" i="11"/>
  <c r="R518" i="11" s="1"/>
  <c r="U518" i="11"/>
  <c r="U507" i="11"/>
  <c r="O507" i="11"/>
  <c r="R507" i="11" s="1"/>
  <c r="O492" i="11"/>
  <c r="R492" i="11" s="1"/>
  <c r="U492" i="11"/>
  <c r="O484" i="11"/>
  <c r="R484" i="11" s="1"/>
  <c r="U484" i="11"/>
  <c r="O476" i="11"/>
  <c r="R476" i="11" s="1"/>
  <c r="U476" i="11"/>
  <c r="O468" i="11"/>
  <c r="R468" i="11" s="1"/>
  <c r="U468" i="11"/>
  <c r="O460" i="11"/>
  <c r="R460" i="11" s="1"/>
  <c r="U460" i="11"/>
  <c r="O452" i="11"/>
  <c r="R452" i="11" s="1"/>
  <c r="U452" i="11"/>
  <c r="O444" i="11"/>
  <c r="R444" i="11" s="1"/>
  <c r="U444" i="11"/>
  <c r="O436" i="11"/>
  <c r="R436" i="11" s="1"/>
  <c r="U436" i="11"/>
  <c r="O428" i="11"/>
  <c r="R428" i="11" s="1"/>
  <c r="U428" i="11"/>
  <c r="O420" i="11"/>
  <c r="R420" i="11" s="1"/>
  <c r="U420" i="11"/>
  <c r="O412" i="11"/>
  <c r="R412" i="11" s="1"/>
  <c r="U412" i="11"/>
  <c r="O404" i="11"/>
  <c r="R404" i="11" s="1"/>
  <c r="U404" i="11"/>
  <c r="O396" i="11"/>
  <c r="R396" i="11" s="1"/>
  <c r="U396" i="11"/>
  <c r="O388" i="11"/>
  <c r="R388" i="11" s="1"/>
  <c r="U388" i="11"/>
  <c r="O380" i="11"/>
  <c r="R380" i="11" s="1"/>
  <c r="U380" i="11"/>
  <c r="O372" i="11"/>
  <c r="R372" i="11" s="1"/>
  <c r="U372" i="11"/>
  <c r="O364" i="11"/>
  <c r="R364" i="11" s="1"/>
  <c r="U364" i="11"/>
  <c r="O356" i="11"/>
  <c r="R356" i="11" s="1"/>
  <c r="U356" i="11"/>
  <c r="O348" i="11"/>
  <c r="R348" i="11" s="1"/>
  <c r="U348" i="11"/>
  <c r="O340" i="11"/>
  <c r="R340" i="11" s="1"/>
  <c r="U340" i="11"/>
  <c r="O332" i="11"/>
  <c r="R332" i="11" s="1"/>
  <c r="U332" i="11"/>
  <c r="O325" i="11"/>
  <c r="R325" i="11" s="1"/>
  <c r="U325" i="11"/>
  <c r="O317" i="11"/>
  <c r="R317" i="11" s="1"/>
  <c r="U317" i="11"/>
  <c r="O309" i="11"/>
  <c r="R309" i="11" s="1"/>
  <c r="U309" i="11"/>
  <c r="O301" i="11"/>
  <c r="R301" i="11" s="1"/>
  <c r="U301" i="11"/>
  <c r="O293" i="11"/>
  <c r="R293" i="11" s="1"/>
  <c r="U293" i="11"/>
  <c r="O285" i="11"/>
  <c r="R285" i="11" s="1"/>
  <c r="U285" i="11"/>
  <c r="O277" i="11"/>
  <c r="R277" i="11" s="1"/>
  <c r="U277" i="11"/>
  <c r="O269" i="11"/>
  <c r="R269" i="11" s="1"/>
  <c r="U269" i="11"/>
  <c r="O261" i="11"/>
  <c r="R261" i="11" s="1"/>
  <c r="U261" i="11"/>
  <c r="O253" i="11"/>
  <c r="R253" i="11" s="1"/>
  <c r="U253" i="11"/>
  <c r="O245" i="11"/>
  <c r="R245" i="11" s="1"/>
  <c r="U245" i="11"/>
  <c r="U1240" i="11"/>
  <c r="O1240" i="11"/>
  <c r="R1240" i="11" s="1"/>
  <c r="O1235" i="11"/>
  <c r="R1235" i="11" s="1"/>
  <c r="U1235" i="11"/>
  <c r="U945" i="11"/>
  <c r="O945" i="11"/>
  <c r="R945" i="11" s="1"/>
  <c r="U881" i="11"/>
  <c r="O881" i="11"/>
  <c r="R881" i="11" s="1"/>
  <c r="O846" i="11"/>
  <c r="R846" i="11" s="1"/>
  <c r="U846" i="11"/>
  <c r="U788" i="11"/>
  <c r="O788" i="11"/>
  <c r="R788" i="11" s="1"/>
  <c r="U755" i="11"/>
  <c r="O755" i="11"/>
  <c r="R755" i="11" s="1"/>
  <c r="U723" i="11"/>
  <c r="O723" i="11"/>
  <c r="R723" i="11" s="1"/>
  <c r="U691" i="11"/>
  <c r="O691" i="11"/>
  <c r="R691" i="11" s="1"/>
  <c r="U659" i="11"/>
  <c r="O659" i="11"/>
  <c r="R659" i="11" s="1"/>
  <c r="U627" i="11"/>
  <c r="O627" i="11"/>
  <c r="R627" i="11" s="1"/>
  <c r="U605" i="11"/>
  <c r="O605" i="11"/>
  <c r="R605" i="11" s="1"/>
  <c r="U573" i="11"/>
  <c r="O573" i="11"/>
  <c r="R573" i="11" s="1"/>
  <c r="U541" i="11"/>
  <c r="O541" i="11"/>
  <c r="R541" i="11" s="1"/>
  <c r="U509" i="11"/>
  <c r="O509" i="11"/>
  <c r="R509" i="11" s="1"/>
  <c r="U985" i="11"/>
  <c r="O985" i="11"/>
  <c r="R985" i="11" s="1"/>
  <c r="O890" i="11"/>
  <c r="R890" i="11" s="1"/>
  <c r="U890" i="11"/>
  <c r="O884" i="11"/>
  <c r="R884" i="11" s="1"/>
  <c r="U884" i="11"/>
  <c r="O856" i="11"/>
  <c r="R856" i="11" s="1"/>
  <c r="U856" i="11"/>
  <c r="U796" i="11"/>
  <c r="O796" i="11"/>
  <c r="R796" i="11" s="1"/>
  <c r="U777" i="11"/>
  <c r="O777" i="11"/>
  <c r="R777" i="11" s="1"/>
  <c r="U745" i="11"/>
  <c r="O745" i="11"/>
  <c r="R745" i="11" s="1"/>
  <c r="U713" i="11"/>
  <c r="O713" i="11"/>
  <c r="R713" i="11" s="1"/>
  <c r="U681" i="11"/>
  <c r="O681" i="11"/>
  <c r="R681" i="11" s="1"/>
  <c r="U649" i="11"/>
  <c r="O649" i="11"/>
  <c r="R649" i="11" s="1"/>
  <c r="U480" i="11"/>
  <c r="O480" i="11"/>
  <c r="R480" i="11" s="1"/>
  <c r="U425" i="11"/>
  <c r="O425" i="11"/>
  <c r="R425" i="11" s="1"/>
  <c r="U399" i="11"/>
  <c r="O399" i="11"/>
  <c r="R399" i="11" s="1"/>
  <c r="U352" i="11"/>
  <c r="O352" i="11"/>
  <c r="R352" i="11" s="1"/>
  <c r="U298" i="11"/>
  <c r="O298" i="11"/>
  <c r="R298" i="11" s="1"/>
  <c r="U266" i="11"/>
  <c r="O266" i="11"/>
  <c r="R266" i="11" s="1"/>
  <c r="O239" i="11"/>
  <c r="R239" i="11" s="1"/>
  <c r="U239" i="11"/>
  <c r="O231" i="11"/>
  <c r="R231" i="11" s="1"/>
  <c r="U231" i="11"/>
  <c r="O223" i="11"/>
  <c r="R223" i="11" s="1"/>
  <c r="U223" i="11"/>
  <c r="O215" i="11"/>
  <c r="R215" i="11" s="1"/>
  <c r="U215" i="11"/>
  <c r="O207" i="11"/>
  <c r="R207" i="11" s="1"/>
  <c r="U207" i="11"/>
  <c r="O199" i="11"/>
  <c r="R199" i="11" s="1"/>
  <c r="U199" i="11"/>
  <c r="O191" i="11"/>
  <c r="R191" i="11" s="1"/>
  <c r="U191" i="11"/>
  <c r="O183" i="11"/>
  <c r="R183" i="11" s="1"/>
  <c r="U183" i="11"/>
  <c r="O175" i="11"/>
  <c r="R175" i="11" s="1"/>
  <c r="U175" i="11"/>
  <c r="O167" i="11"/>
  <c r="R167" i="11" s="1"/>
  <c r="U167" i="11"/>
  <c r="O159" i="11"/>
  <c r="R159" i="11" s="1"/>
  <c r="U159" i="11"/>
  <c r="O151" i="11"/>
  <c r="R151" i="11" s="1"/>
  <c r="U151" i="11"/>
  <c r="O143" i="11"/>
  <c r="R143" i="11" s="1"/>
  <c r="U143" i="11"/>
  <c r="O135" i="11"/>
  <c r="R135" i="11" s="1"/>
  <c r="U135" i="11"/>
  <c r="O127" i="11"/>
  <c r="R127" i="11" s="1"/>
  <c r="U127" i="11"/>
  <c r="O119" i="11"/>
  <c r="R119" i="11" s="1"/>
  <c r="U119" i="11"/>
  <c r="O111" i="11"/>
  <c r="R111" i="11" s="1"/>
  <c r="U111" i="11"/>
  <c r="O103" i="11"/>
  <c r="R103" i="11" s="1"/>
  <c r="U103" i="11"/>
  <c r="O95" i="11"/>
  <c r="R95" i="11" s="1"/>
  <c r="U95" i="11"/>
  <c r="U88" i="11"/>
  <c r="O88" i="11"/>
  <c r="R88" i="11" s="1"/>
  <c r="U79" i="11"/>
  <c r="O79" i="11"/>
  <c r="R79" i="11" s="1"/>
  <c r="U56" i="11"/>
  <c r="O56" i="11"/>
  <c r="R56" i="11" s="1"/>
  <c r="U47" i="11"/>
  <c r="O47" i="11"/>
  <c r="R47" i="11" s="1"/>
  <c r="U24" i="11"/>
  <c r="O24" i="11"/>
  <c r="R24" i="11" s="1"/>
  <c r="U15" i="11"/>
  <c r="O15" i="11"/>
  <c r="R15" i="11" s="1"/>
  <c r="U465" i="11"/>
  <c r="O465" i="11"/>
  <c r="R465" i="11" s="1"/>
  <c r="U392" i="11"/>
  <c r="O392" i="11"/>
  <c r="R392" i="11" s="1"/>
  <c r="U337" i="11"/>
  <c r="O337" i="11"/>
  <c r="R337" i="11" s="1"/>
  <c r="U238" i="11"/>
  <c r="O238" i="11"/>
  <c r="R238" i="11" s="1"/>
  <c r="U230" i="11"/>
  <c r="O230" i="11"/>
  <c r="R230" i="11" s="1"/>
  <c r="U222" i="11"/>
  <c r="O222" i="11"/>
  <c r="R222" i="11" s="1"/>
  <c r="U214" i="11"/>
  <c r="O214" i="11"/>
  <c r="R214" i="11" s="1"/>
  <c r="U206" i="11"/>
  <c r="O206" i="11"/>
  <c r="R206" i="11" s="1"/>
  <c r="U198" i="11"/>
  <c r="O198" i="11"/>
  <c r="R198" i="11" s="1"/>
  <c r="U190" i="11"/>
  <c r="O190" i="11"/>
  <c r="R190" i="11" s="1"/>
  <c r="U182" i="11"/>
  <c r="O182" i="11"/>
  <c r="R182" i="11" s="1"/>
  <c r="U174" i="11"/>
  <c r="O174" i="11"/>
  <c r="R174" i="11" s="1"/>
  <c r="U166" i="11"/>
  <c r="O166" i="11"/>
  <c r="R166" i="11" s="1"/>
  <c r="U158" i="11"/>
  <c r="O158" i="11"/>
  <c r="R158" i="11" s="1"/>
  <c r="U150" i="11"/>
  <c r="O150" i="11"/>
  <c r="R150" i="11" s="1"/>
  <c r="U142" i="11"/>
  <c r="O142" i="11"/>
  <c r="R142" i="11" s="1"/>
  <c r="U134" i="11"/>
  <c r="O134" i="11"/>
  <c r="R134" i="11" s="1"/>
  <c r="U126" i="11"/>
  <c r="O126" i="11"/>
  <c r="R126" i="11" s="1"/>
  <c r="U118" i="11"/>
  <c r="O118" i="11"/>
  <c r="R118" i="11" s="1"/>
  <c r="U110" i="11"/>
  <c r="O110" i="11"/>
  <c r="R110" i="11" s="1"/>
  <c r="U102" i="11"/>
  <c r="O102" i="11"/>
  <c r="R102" i="11" s="1"/>
  <c r="U94" i="11"/>
  <c r="O94" i="11"/>
  <c r="R94" i="11" s="1"/>
  <c r="U441" i="11"/>
  <c r="O441" i="11"/>
  <c r="R441" i="11" s="1"/>
  <c r="U368" i="11"/>
  <c r="O368" i="11"/>
  <c r="R368" i="11" s="1"/>
  <c r="U318" i="11"/>
  <c r="O318" i="11"/>
  <c r="R318" i="11" s="1"/>
  <c r="U302" i="11"/>
  <c r="O302" i="11"/>
  <c r="R302" i="11" s="1"/>
  <c r="U286" i="11"/>
  <c r="O286" i="11"/>
  <c r="R286" i="11" s="1"/>
  <c r="U270" i="11"/>
  <c r="O270" i="11"/>
  <c r="R270" i="11" s="1"/>
  <c r="U254" i="11"/>
  <c r="O254" i="11"/>
  <c r="R254" i="11" s="1"/>
  <c r="U240" i="11"/>
  <c r="O240" i="11"/>
  <c r="R240" i="11" s="1"/>
  <c r="O187" i="11"/>
  <c r="R187" i="11" s="1"/>
  <c r="U187" i="11"/>
  <c r="U176" i="11"/>
  <c r="O176" i="11"/>
  <c r="R176" i="11" s="1"/>
  <c r="U495" i="11"/>
  <c r="O495" i="11"/>
  <c r="R495" i="11" s="1"/>
  <c r="U481" i="11"/>
  <c r="O481" i="11"/>
  <c r="R481" i="11" s="1"/>
  <c r="U455" i="11"/>
  <c r="O455" i="11"/>
  <c r="R455" i="11" s="1"/>
  <c r="U408" i="11"/>
  <c r="O408" i="11"/>
  <c r="R408" i="11" s="1"/>
  <c r="U353" i="11"/>
  <c r="O353" i="11"/>
  <c r="R353" i="11" s="1"/>
  <c r="U260" i="11"/>
  <c r="O260" i="11"/>
  <c r="R260" i="11" s="1"/>
  <c r="E29" i="7"/>
  <c r="AJ7" i="20"/>
  <c r="AL7" i="20" s="1"/>
  <c r="D38" i="3"/>
  <c r="D37" i="3"/>
  <c r="G22" i="5"/>
  <c r="H22" i="5" s="1"/>
  <c r="K22" i="5" s="1"/>
  <c r="G6" i="5"/>
  <c r="H6" i="5" s="1"/>
  <c r="K6" i="5" s="1"/>
  <c r="D25" i="3"/>
  <c r="B45" i="3"/>
  <c r="E18" i="3"/>
  <c r="F75" i="3"/>
  <c r="C63" i="3"/>
  <c r="E63" i="3" s="1"/>
  <c r="F63" i="3" s="1"/>
  <c r="F25" i="5"/>
  <c r="O1791" i="11"/>
  <c r="R1791" i="11" s="1"/>
  <c r="U1791" i="11"/>
  <c r="O1775" i="11"/>
  <c r="R1775" i="11" s="1"/>
  <c r="U1775" i="11"/>
  <c r="U1772" i="11"/>
  <c r="O1772" i="11"/>
  <c r="R1772" i="11" s="1"/>
  <c r="U1776" i="11"/>
  <c r="O1776" i="11"/>
  <c r="R1776" i="11" s="1"/>
  <c r="O1711" i="11"/>
  <c r="R1711" i="11" s="1"/>
  <c r="U1711" i="11"/>
  <c r="U1654" i="11"/>
  <c r="O1654" i="11"/>
  <c r="R1654" i="11" s="1"/>
  <c r="U1621" i="11"/>
  <c r="O1621" i="11"/>
  <c r="R1621" i="11" s="1"/>
  <c r="O1679" i="11"/>
  <c r="R1679" i="11" s="1"/>
  <c r="U1679" i="11"/>
  <c r="O1731" i="11"/>
  <c r="R1731" i="11" s="1"/>
  <c r="U1731" i="11"/>
  <c r="U1676" i="11"/>
  <c r="O1676" i="11"/>
  <c r="R1676" i="11" s="1"/>
  <c r="U1570" i="11"/>
  <c r="O1570" i="11"/>
  <c r="R1570" i="11" s="1"/>
  <c r="U1524" i="11"/>
  <c r="O1524" i="11"/>
  <c r="R1524" i="11" s="1"/>
  <c r="U1500" i="11"/>
  <c r="O1500" i="11"/>
  <c r="R1500" i="11" s="1"/>
  <c r="U1476" i="11"/>
  <c r="O1476" i="11"/>
  <c r="R1476" i="11" s="1"/>
  <c r="U1452" i="11"/>
  <c r="O1452" i="11"/>
  <c r="R1452" i="11" s="1"/>
  <c r="O1735" i="11"/>
  <c r="R1735" i="11" s="1"/>
  <c r="U1735" i="11"/>
  <c r="H31" i="20"/>
  <c r="B20" i="2" s="1"/>
  <c r="H20" i="20"/>
  <c r="H12" i="2" s="1"/>
  <c r="N8" i="20"/>
  <c r="AG5" i="20"/>
  <c r="N10" i="20"/>
  <c r="AF5" i="20"/>
  <c r="O1801" i="11"/>
  <c r="R1801" i="11" s="1"/>
  <c r="U1801" i="11"/>
  <c r="H15" i="20"/>
  <c r="O1796" i="11"/>
  <c r="R1796" i="11" s="1"/>
  <c r="U1796" i="11"/>
  <c r="O1793" i="11"/>
  <c r="R1793" i="11" s="1"/>
  <c r="U1793" i="11"/>
  <c r="O1789" i="11"/>
  <c r="R1789" i="11" s="1"/>
  <c r="U1789" i="11"/>
  <c r="O1785" i="11"/>
  <c r="R1785" i="11" s="1"/>
  <c r="U1785" i="11"/>
  <c r="O1781" i="11"/>
  <c r="R1781" i="11" s="1"/>
  <c r="U1781" i="11"/>
  <c r="O1777" i="11"/>
  <c r="R1777" i="11" s="1"/>
  <c r="U1777" i="11"/>
  <c r="O1773" i="11"/>
  <c r="R1773" i="11" s="1"/>
  <c r="U1773" i="11"/>
  <c r="U1782" i="11"/>
  <c r="O1782" i="11"/>
  <c r="R1782" i="11" s="1"/>
  <c r="U1788" i="11"/>
  <c r="O1788" i="11"/>
  <c r="R1788" i="11" s="1"/>
  <c r="O1769" i="11"/>
  <c r="R1769" i="11" s="1"/>
  <c r="U1769" i="11"/>
  <c r="U1784" i="11"/>
  <c r="O1784" i="11"/>
  <c r="R1784" i="11" s="1"/>
  <c r="U1746" i="11"/>
  <c r="O1746" i="11"/>
  <c r="R1746" i="11" s="1"/>
  <c r="U1726" i="11"/>
  <c r="O1726" i="11"/>
  <c r="R1726" i="11" s="1"/>
  <c r="U1694" i="11"/>
  <c r="O1694" i="11"/>
  <c r="R1694" i="11" s="1"/>
  <c r="O1767" i="11"/>
  <c r="R1767" i="11" s="1"/>
  <c r="U1767" i="11"/>
  <c r="U1732" i="11"/>
  <c r="O1732" i="11"/>
  <c r="R1732" i="11" s="1"/>
  <c r="U1706" i="11"/>
  <c r="O1706" i="11"/>
  <c r="R1706" i="11" s="1"/>
  <c r="U1670" i="11"/>
  <c r="O1670" i="11"/>
  <c r="R1670" i="11" s="1"/>
  <c r="U1661" i="11"/>
  <c r="O1661" i="11"/>
  <c r="R1661" i="11" s="1"/>
  <c r="U1641" i="11"/>
  <c r="O1641" i="11"/>
  <c r="R1641" i="11" s="1"/>
  <c r="U1633" i="11"/>
  <c r="O1633" i="11"/>
  <c r="R1633" i="11" s="1"/>
  <c r="U1625" i="11"/>
  <c r="O1625" i="11"/>
  <c r="R1625" i="11" s="1"/>
  <c r="U1617" i="11"/>
  <c r="O1617" i="11"/>
  <c r="R1617" i="11" s="1"/>
  <c r="U1609" i="11"/>
  <c r="O1609" i="11"/>
  <c r="R1609" i="11" s="1"/>
  <c r="U1601" i="11"/>
  <c r="O1601" i="11"/>
  <c r="R1601" i="11" s="1"/>
  <c r="U1593" i="11"/>
  <c r="O1593" i="11"/>
  <c r="R1593" i="11" s="1"/>
  <c r="U1686" i="11"/>
  <c r="O1686" i="11"/>
  <c r="R1686" i="11" s="1"/>
  <c r="O1671" i="11"/>
  <c r="R1671" i="11" s="1"/>
  <c r="U1671" i="11"/>
  <c r="O1655" i="11"/>
  <c r="R1655" i="11" s="1"/>
  <c r="U1655" i="11"/>
  <c r="U1738" i="11"/>
  <c r="O1738" i="11"/>
  <c r="R1738" i="11" s="1"/>
  <c r="U1730" i="11"/>
  <c r="O1730" i="11"/>
  <c r="R1730" i="11" s="1"/>
  <c r="U1714" i="11"/>
  <c r="O1714" i="11"/>
  <c r="R1714" i="11" s="1"/>
  <c r="U1698" i="11"/>
  <c r="O1698" i="11"/>
  <c r="R1698" i="11" s="1"/>
  <c r="U1649" i="11"/>
  <c r="O1649" i="11"/>
  <c r="R1649" i="11" s="1"/>
  <c r="O1586" i="11"/>
  <c r="R1586" i="11" s="1"/>
  <c r="U1586" i="11"/>
  <c r="U1577" i="11"/>
  <c r="O1577" i="11"/>
  <c r="R1577" i="11" s="1"/>
  <c r="O1554" i="11"/>
  <c r="R1554" i="11" s="1"/>
  <c r="U1554" i="11"/>
  <c r="U1536" i="11"/>
  <c r="O1536" i="11"/>
  <c r="R1536" i="11" s="1"/>
  <c r="U1528" i="11"/>
  <c r="O1528" i="11"/>
  <c r="R1528" i="11" s="1"/>
  <c r="U1520" i="11"/>
  <c r="O1520" i="11"/>
  <c r="R1520" i="11" s="1"/>
  <c r="U1512" i="11"/>
  <c r="O1512" i="11"/>
  <c r="R1512" i="11" s="1"/>
  <c r="U1504" i="11"/>
  <c r="O1504" i="11"/>
  <c r="R1504" i="11" s="1"/>
  <c r="U1496" i="11"/>
  <c r="O1496" i="11"/>
  <c r="R1496" i="11" s="1"/>
  <c r="U1488" i="11"/>
  <c r="O1488" i="11"/>
  <c r="R1488" i="11" s="1"/>
  <c r="U1480" i="11"/>
  <c r="O1480" i="11"/>
  <c r="R1480" i="11" s="1"/>
  <c r="U1472" i="11"/>
  <c r="O1472" i="11"/>
  <c r="R1472" i="11" s="1"/>
  <c r="U1464" i="11"/>
  <c r="O1464" i="11"/>
  <c r="R1464" i="11" s="1"/>
  <c r="U1456" i="11"/>
  <c r="O1456" i="11"/>
  <c r="R1456" i="11" s="1"/>
  <c r="U1448" i="11"/>
  <c r="O1448" i="11"/>
  <c r="R1448" i="11" s="1"/>
  <c r="U1440" i="11"/>
  <c r="O1440" i="11"/>
  <c r="R1440" i="11" s="1"/>
  <c r="O1703" i="11"/>
  <c r="R1703" i="11" s="1"/>
  <c r="U1703" i="11"/>
  <c r="O1571" i="11"/>
  <c r="R1571" i="11" s="1"/>
  <c r="U1571" i="11"/>
  <c r="O1691" i="11"/>
  <c r="R1691" i="11" s="1"/>
  <c r="U1691" i="11"/>
  <c r="U1540" i="11"/>
  <c r="O1540" i="11"/>
  <c r="R1540" i="11" s="1"/>
  <c r="U1411" i="11"/>
  <c r="O1411" i="11"/>
  <c r="R1411" i="11" s="1"/>
  <c r="U1402" i="11"/>
  <c r="O1402" i="11"/>
  <c r="R1402" i="11" s="1"/>
  <c r="U1708" i="11"/>
  <c r="O1708" i="11"/>
  <c r="R1708" i="11" s="1"/>
  <c r="U1675" i="11"/>
  <c r="O1675" i="11"/>
  <c r="R1675" i="11" s="1"/>
  <c r="O1668" i="11"/>
  <c r="R1668" i="11" s="1"/>
  <c r="U1668" i="11"/>
  <c r="U1659" i="11"/>
  <c r="O1659" i="11"/>
  <c r="R1659" i="11" s="1"/>
  <c r="O1652" i="11"/>
  <c r="R1652" i="11" s="1"/>
  <c r="U1652" i="11"/>
  <c r="O1428" i="11"/>
  <c r="R1428" i="11" s="1"/>
  <c r="U1428" i="11"/>
  <c r="O1396" i="11"/>
  <c r="R1396" i="11" s="1"/>
  <c r="U1396" i="11"/>
  <c r="O1523" i="11"/>
  <c r="R1523" i="11" s="1"/>
  <c r="U1523" i="11"/>
  <c r="O1491" i="11"/>
  <c r="R1491" i="11" s="1"/>
  <c r="U1491" i="11"/>
  <c r="O1459" i="11"/>
  <c r="R1459" i="11" s="1"/>
  <c r="U1459" i="11"/>
  <c r="O1425" i="11"/>
  <c r="R1425" i="11" s="1"/>
  <c r="U1425" i="11"/>
  <c r="U1386" i="11"/>
  <c r="O1386" i="11"/>
  <c r="R1386" i="11" s="1"/>
  <c r="U1354" i="11"/>
  <c r="O1354" i="11"/>
  <c r="R1354" i="11" s="1"/>
  <c r="U1322" i="11"/>
  <c r="O1322" i="11"/>
  <c r="R1322" i="11" s="1"/>
  <c r="U1290" i="11"/>
  <c r="O1290" i="11"/>
  <c r="R1290" i="11" s="1"/>
  <c r="U1745" i="11"/>
  <c r="O1745" i="11"/>
  <c r="R1745" i="11" s="1"/>
  <c r="O1541" i="11"/>
  <c r="R1541" i="11" s="1"/>
  <c r="U1541" i="11"/>
  <c r="O1503" i="11"/>
  <c r="R1503" i="11" s="1"/>
  <c r="U1503" i="11"/>
  <c r="O1471" i="11"/>
  <c r="R1471" i="11" s="1"/>
  <c r="U1471" i="11"/>
  <c r="O1439" i="11"/>
  <c r="R1439" i="11" s="1"/>
  <c r="U1439" i="11"/>
  <c r="U1366" i="11"/>
  <c r="O1366" i="11"/>
  <c r="R1366" i="11" s="1"/>
  <c r="U1334" i="11"/>
  <c r="O1334" i="11"/>
  <c r="R1334" i="11" s="1"/>
  <c r="U1302" i="11"/>
  <c r="O1302" i="11"/>
  <c r="R1302" i="11" s="1"/>
  <c r="O1525" i="11"/>
  <c r="R1525" i="11" s="1"/>
  <c r="U1525" i="11"/>
  <c r="O1493" i="11"/>
  <c r="R1493" i="11" s="1"/>
  <c r="U1493" i="11"/>
  <c r="O1461" i="11"/>
  <c r="R1461" i="11" s="1"/>
  <c r="U1461" i="11"/>
  <c r="U1398" i="11"/>
  <c r="O1398" i="11"/>
  <c r="R1398" i="11" s="1"/>
  <c r="U1278" i="11"/>
  <c r="O1278" i="11"/>
  <c r="R1278" i="11" s="1"/>
  <c r="U1551" i="11"/>
  <c r="O1551" i="11"/>
  <c r="R1551" i="11" s="1"/>
  <c r="U1270" i="11"/>
  <c r="O1270" i="11"/>
  <c r="R1270" i="11" s="1"/>
  <c r="U1254" i="11"/>
  <c r="O1254" i="11"/>
  <c r="R1254" i="11" s="1"/>
  <c r="U1238" i="11"/>
  <c r="O1238" i="11"/>
  <c r="R1238" i="11" s="1"/>
  <c r="O1169" i="11"/>
  <c r="R1169" i="11" s="1"/>
  <c r="U1169" i="11"/>
  <c r="O1161" i="11"/>
  <c r="R1161" i="11" s="1"/>
  <c r="U1161" i="11"/>
  <c r="O1153" i="11"/>
  <c r="R1153" i="11" s="1"/>
  <c r="U1153" i="11"/>
  <c r="O1145" i="11"/>
  <c r="R1145" i="11" s="1"/>
  <c r="U1145" i="11"/>
  <c r="O1509" i="11"/>
  <c r="R1509" i="11" s="1"/>
  <c r="U1509" i="11"/>
  <c r="O1445" i="11"/>
  <c r="R1445" i="11" s="1"/>
  <c r="U1445" i="11"/>
  <c r="U1400" i="11"/>
  <c r="O1400" i="11"/>
  <c r="R1400" i="11" s="1"/>
  <c r="O1275" i="11"/>
  <c r="R1275" i="11" s="1"/>
  <c r="U1275" i="11"/>
  <c r="U1178" i="11"/>
  <c r="O1178" i="11"/>
  <c r="R1178" i="11" s="1"/>
  <c r="U1360" i="11"/>
  <c r="O1360" i="11"/>
  <c r="R1360" i="11" s="1"/>
  <c r="O1335" i="11"/>
  <c r="R1335" i="11" s="1"/>
  <c r="U1335" i="11"/>
  <c r="U1296" i="11"/>
  <c r="O1296" i="11"/>
  <c r="R1296" i="11" s="1"/>
  <c r="O1273" i="11"/>
  <c r="R1273" i="11" s="1"/>
  <c r="U1273" i="11"/>
  <c r="O1257" i="11"/>
  <c r="R1257" i="11" s="1"/>
  <c r="U1257" i="11"/>
  <c r="O1241" i="11"/>
  <c r="R1241" i="11" s="1"/>
  <c r="U1241" i="11"/>
  <c r="U1126" i="11"/>
  <c r="O1126" i="11"/>
  <c r="R1126" i="11" s="1"/>
  <c r="O1115" i="11"/>
  <c r="R1115" i="11" s="1"/>
  <c r="U1115" i="11"/>
  <c r="U1094" i="11"/>
  <c r="O1094" i="11"/>
  <c r="R1094" i="11" s="1"/>
  <c r="O1083" i="11"/>
  <c r="R1083" i="11" s="1"/>
  <c r="U1083" i="11"/>
  <c r="U1372" i="11"/>
  <c r="O1372" i="11"/>
  <c r="R1372" i="11" s="1"/>
  <c r="O1347" i="11"/>
  <c r="R1347" i="11" s="1"/>
  <c r="U1347" i="11"/>
  <c r="U1308" i="11"/>
  <c r="O1308" i="11"/>
  <c r="R1308" i="11" s="1"/>
  <c r="U1132" i="11"/>
  <c r="O1132" i="11"/>
  <c r="R1132" i="11" s="1"/>
  <c r="O1121" i="11"/>
  <c r="R1121" i="11" s="1"/>
  <c r="U1121" i="11"/>
  <c r="O1481" i="11"/>
  <c r="R1481" i="11" s="1"/>
  <c r="U1481" i="11"/>
  <c r="U1416" i="11"/>
  <c r="O1416" i="11"/>
  <c r="R1416" i="11" s="1"/>
  <c r="U1368" i="11"/>
  <c r="O1368" i="11"/>
  <c r="R1368" i="11" s="1"/>
  <c r="O1343" i="11"/>
  <c r="R1343" i="11" s="1"/>
  <c r="U1343" i="11"/>
  <c r="U1304" i="11"/>
  <c r="O1304" i="11"/>
  <c r="R1304" i="11" s="1"/>
  <c r="O1485" i="11"/>
  <c r="R1485" i="11" s="1"/>
  <c r="U1485" i="11"/>
  <c r="O1371" i="11"/>
  <c r="R1371" i="11" s="1"/>
  <c r="U1371" i="11"/>
  <c r="U1332" i="11"/>
  <c r="O1332" i="11"/>
  <c r="R1332" i="11" s="1"/>
  <c r="O1307" i="11"/>
  <c r="R1307" i="11" s="1"/>
  <c r="U1307" i="11"/>
  <c r="U1232" i="11"/>
  <c r="O1232" i="11"/>
  <c r="R1232" i="11" s="1"/>
  <c r="O1229" i="11"/>
  <c r="R1229" i="11" s="1"/>
  <c r="U1229" i="11"/>
  <c r="U1226" i="11"/>
  <c r="O1226" i="11"/>
  <c r="R1226" i="11" s="1"/>
  <c r="U1218" i="11"/>
  <c r="O1218" i="11"/>
  <c r="R1218" i="11" s="1"/>
  <c r="U1210" i="11"/>
  <c r="O1210" i="11"/>
  <c r="R1210" i="11" s="1"/>
  <c r="U1202" i="11"/>
  <c r="O1202" i="11"/>
  <c r="R1202" i="11" s="1"/>
  <c r="U1194" i="11"/>
  <c r="O1194" i="11"/>
  <c r="R1194" i="11" s="1"/>
  <c r="U1186" i="11"/>
  <c r="O1186" i="11"/>
  <c r="R1186" i="11" s="1"/>
  <c r="O1133" i="11"/>
  <c r="R1133" i="11" s="1"/>
  <c r="U1133" i="11"/>
  <c r="O1279" i="11"/>
  <c r="R1279" i="11" s="1"/>
  <c r="U1279" i="11"/>
  <c r="U1216" i="11"/>
  <c r="O1216" i="11"/>
  <c r="R1216" i="11" s="1"/>
  <c r="O1127" i="11"/>
  <c r="R1127" i="11" s="1"/>
  <c r="U1127" i="11"/>
  <c r="O1101" i="11"/>
  <c r="R1101" i="11" s="1"/>
  <c r="U1101" i="11"/>
  <c r="U1084" i="11"/>
  <c r="O1084" i="11"/>
  <c r="R1084" i="11" s="1"/>
  <c r="O1079" i="11"/>
  <c r="R1079" i="11" s="1"/>
  <c r="U1079" i="11"/>
  <c r="U863" i="11"/>
  <c r="O863" i="11"/>
  <c r="R863" i="11" s="1"/>
  <c r="U855" i="11"/>
  <c r="O855" i="11"/>
  <c r="R855" i="11" s="1"/>
  <c r="U847" i="11"/>
  <c r="O847" i="11"/>
  <c r="R847" i="11" s="1"/>
  <c r="O1075" i="11"/>
  <c r="R1075" i="11" s="1"/>
  <c r="U1075" i="11"/>
  <c r="U1228" i="11"/>
  <c r="O1228" i="11"/>
  <c r="R1228" i="11" s="1"/>
  <c r="O1181" i="11"/>
  <c r="R1181" i="11" s="1"/>
  <c r="U1181" i="11"/>
  <c r="U1144" i="11"/>
  <c r="O1144" i="11"/>
  <c r="R1144" i="11" s="1"/>
  <c r="U1106" i="11"/>
  <c r="O1106" i="11"/>
  <c r="R1106" i="11" s="1"/>
  <c r="U1098" i="11"/>
  <c r="O1098" i="11"/>
  <c r="R1098" i="11" s="1"/>
  <c r="U1078" i="11"/>
  <c r="O1078" i="11"/>
  <c r="R1078" i="11" s="1"/>
  <c r="U1064" i="11"/>
  <c r="O1064" i="11"/>
  <c r="R1064" i="11" s="1"/>
  <c r="U1060" i="11"/>
  <c r="O1060" i="11"/>
  <c r="R1060" i="11" s="1"/>
  <c r="U1052" i="11"/>
  <c r="O1052" i="11"/>
  <c r="R1052" i="11" s="1"/>
  <c r="U1044" i="11"/>
  <c r="O1044" i="11"/>
  <c r="R1044" i="11" s="1"/>
  <c r="U1036" i="11"/>
  <c r="O1036" i="11"/>
  <c r="R1036" i="11" s="1"/>
  <c r="U1028" i="11"/>
  <c r="O1028" i="11"/>
  <c r="R1028" i="11" s="1"/>
  <c r="U1020" i="11"/>
  <c r="O1020" i="11"/>
  <c r="R1020" i="11" s="1"/>
  <c r="U1012" i="11"/>
  <c r="O1012" i="11"/>
  <c r="R1012" i="11" s="1"/>
  <c r="U1004" i="11"/>
  <c r="O1004" i="11"/>
  <c r="R1004" i="11" s="1"/>
  <c r="U996" i="11"/>
  <c r="O996" i="11"/>
  <c r="R996" i="11" s="1"/>
  <c r="O1111" i="11"/>
  <c r="R1111" i="11" s="1"/>
  <c r="U1111" i="11"/>
  <c r="U1070" i="11"/>
  <c r="O1070" i="11"/>
  <c r="R1070" i="11" s="1"/>
  <c r="O982" i="11"/>
  <c r="R982" i="11" s="1"/>
  <c r="U982" i="11"/>
  <c r="O966" i="11"/>
  <c r="R966" i="11" s="1"/>
  <c r="U966" i="11"/>
  <c r="O950" i="11"/>
  <c r="R950" i="11" s="1"/>
  <c r="U950" i="11"/>
  <c r="O934" i="11"/>
  <c r="R934" i="11" s="1"/>
  <c r="U934" i="11"/>
  <c r="O918" i="11"/>
  <c r="R918" i="11" s="1"/>
  <c r="U918" i="11"/>
  <c r="O902" i="11"/>
  <c r="R902" i="11" s="1"/>
  <c r="U902" i="11"/>
  <c r="O886" i="11"/>
  <c r="R886" i="11" s="1"/>
  <c r="U886" i="11"/>
  <c r="O870" i="11"/>
  <c r="R870" i="11" s="1"/>
  <c r="U870" i="11"/>
  <c r="U837" i="11"/>
  <c r="O837" i="11"/>
  <c r="R837" i="11" s="1"/>
  <c r="U829" i="11"/>
  <c r="O829" i="11"/>
  <c r="R829" i="11" s="1"/>
  <c r="U821" i="11"/>
  <c r="O821" i="11"/>
  <c r="R821" i="11" s="1"/>
  <c r="U813" i="11"/>
  <c r="O813" i="11"/>
  <c r="R813" i="11" s="1"/>
  <c r="U805" i="11"/>
  <c r="O805" i="11"/>
  <c r="R805" i="11" s="1"/>
  <c r="U797" i="11"/>
  <c r="O797" i="11"/>
  <c r="R797" i="11" s="1"/>
  <c r="U789" i="11"/>
  <c r="O789" i="11"/>
  <c r="R789" i="11" s="1"/>
  <c r="U781" i="11"/>
  <c r="O781" i="11"/>
  <c r="R781" i="11" s="1"/>
  <c r="O1063" i="11"/>
  <c r="R1063" i="11" s="1"/>
  <c r="U1063" i="11"/>
  <c r="O1047" i="11"/>
  <c r="R1047" i="11" s="1"/>
  <c r="U1047" i="11"/>
  <c r="O1031" i="11"/>
  <c r="R1031" i="11" s="1"/>
  <c r="U1031" i="11"/>
  <c r="O1015" i="11"/>
  <c r="R1015" i="11" s="1"/>
  <c r="U1015" i="11"/>
  <c r="O999" i="11"/>
  <c r="R999" i="11" s="1"/>
  <c r="U999" i="11"/>
  <c r="O984" i="11"/>
  <c r="R984" i="11" s="1"/>
  <c r="U984" i="11"/>
  <c r="U973" i="11"/>
  <c r="O973" i="11"/>
  <c r="R973" i="11" s="1"/>
  <c r="O952" i="11"/>
  <c r="R952" i="11" s="1"/>
  <c r="U952" i="11"/>
  <c r="U941" i="11"/>
  <c r="O941" i="11"/>
  <c r="R941" i="11" s="1"/>
  <c r="O920" i="11"/>
  <c r="R920" i="11" s="1"/>
  <c r="U920" i="11"/>
  <c r="U909" i="11"/>
  <c r="O909" i="11"/>
  <c r="R909" i="11" s="1"/>
  <c r="O888" i="11"/>
  <c r="R888" i="11" s="1"/>
  <c r="U888" i="11"/>
  <c r="U877" i="11"/>
  <c r="O877" i="11"/>
  <c r="R877" i="11" s="1"/>
  <c r="U840" i="11"/>
  <c r="O840" i="11"/>
  <c r="R840" i="11" s="1"/>
  <c r="U832" i="11"/>
  <c r="O832" i="11"/>
  <c r="R832" i="11" s="1"/>
  <c r="U824" i="11"/>
  <c r="O824" i="11"/>
  <c r="R824" i="11" s="1"/>
  <c r="U816" i="11"/>
  <c r="O816" i="11"/>
  <c r="R816" i="11" s="1"/>
  <c r="U808" i="11"/>
  <c r="O808" i="11"/>
  <c r="R808" i="11" s="1"/>
  <c r="U800" i="11"/>
  <c r="O800" i="11"/>
  <c r="R800" i="11" s="1"/>
  <c r="U792" i="11"/>
  <c r="O792" i="11"/>
  <c r="R792" i="11" s="1"/>
  <c r="U784" i="11"/>
  <c r="O784" i="11"/>
  <c r="R784" i="11" s="1"/>
  <c r="O778" i="11"/>
  <c r="R778" i="11" s="1"/>
  <c r="U778" i="11"/>
  <c r="O770" i="11"/>
  <c r="R770" i="11" s="1"/>
  <c r="U770" i="11"/>
  <c r="O762" i="11"/>
  <c r="R762" i="11" s="1"/>
  <c r="U762" i="11"/>
  <c r="O754" i="11"/>
  <c r="R754" i="11" s="1"/>
  <c r="U754" i="11"/>
  <c r="O746" i="11"/>
  <c r="R746" i="11" s="1"/>
  <c r="U746" i="11"/>
  <c r="O738" i="11"/>
  <c r="R738" i="11" s="1"/>
  <c r="U738" i="11"/>
  <c r="O730" i="11"/>
  <c r="R730" i="11" s="1"/>
  <c r="U730" i="11"/>
  <c r="O722" i="11"/>
  <c r="R722" i="11" s="1"/>
  <c r="U722" i="11"/>
  <c r="O714" i="11"/>
  <c r="R714" i="11" s="1"/>
  <c r="U714" i="11"/>
  <c r="O706" i="11"/>
  <c r="R706" i="11" s="1"/>
  <c r="U706" i="11"/>
  <c r="O698" i="11"/>
  <c r="R698" i="11" s="1"/>
  <c r="U698" i="11"/>
  <c r="O690" i="11"/>
  <c r="R690" i="11" s="1"/>
  <c r="U690" i="11"/>
  <c r="O682" i="11"/>
  <c r="R682" i="11" s="1"/>
  <c r="U682" i="11"/>
  <c r="O674" i="11"/>
  <c r="R674" i="11" s="1"/>
  <c r="U674" i="11"/>
  <c r="O666" i="11"/>
  <c r="R666" i="11" s="1"/>
  <c r="U666" i="11"/>
  <c r="O658" i="11"/>
  <c r="R658" i="11" s="1"/>
  <c r="U658" i="11"/>
  <c r="O650" i="11"/>
  <c r="R650" i="11" s="1"/>
  <c r="U650" i="11"/>
  <c r="O642" i="11"/>
  <c r="R642" i="11" s="1"/>
  <c r="U642" i="11"/>
  <c r="O634" i="11"/>
  <c r="R634" i="11" s="1"/>
  <c r="U634" i="11"/>
  <c r="O626" i="11"/>
  <c r="R626" i="11" s="1"/>
  <c r="U626" i="11"/>
  <c r="U1172" i="11"/>
  <c r="O1172" i="11"/>
  <c r="R1172" i="11" s="1"/>
  <c r="U1096" i="11"/>
  <c r="O1096" i="11"/>
  <c r="R1096" i="11" s="1"/>
  <c r="U967" i="11"/>
  <c r="O967" i="11"/>
  <c r="R967" i="11" s="1"/>
  <c r="U935" i="11"/>
  <c r="O935" i="11"/>
  <c r="R935" i="11" s="1"/>
  <c r="R903" i="11"/>
  <c r="U879" i="11"/>
  <c r="O879" i="11"/>
  <c r="R879" i="11" s="1"/>
  <c r="O1041" i="11"/>
  <c r="R1041" i="11" s="1"/>
  <c r="U1041" i="11"/>
  <c r="U961" i="11"/>
  <c r="O961" i="11"/>
  <c r="R961" i="11" s="1"/>
  <c r="U897" i="11"/>
  <c r="O897" i="11"/>
  <c r="R897" i="11" s="1"/>
  <c r="U795" i="11"/>
  <c r="O795" i="11"/>
  <c r="R795" i="11" s="1"/>
  <c r="O491" i="11"/>
  <c r="R491" i="11" s="1"/>
  <c r="U491" i="11"/>
  <c r="U483" i="11"/>
  <c r="O483" i="11"/>
  <c r="R483" i="11" s="1"/>
  <c r="O475" i="11"/>
  <c r="R475" i="11" s="1"/>
  <c r="U475" i="11"/>
  <c r="O467" i="11"/>
  <c r="R467" i="11" s="1"/>
  <c r="U467" i="11"/>
  <c r="O459" i="11"/>
  <c r="R459" i="11" s="1"/>
  <c r="U459" i="11"/>
  <c r="U451" i="11"/>
  <c r="O451" i="11"/>
  <c r="R451" i="11" s="1"/>
  <c r="O443" i="11"/>
  <c r="R443" i="11" s="1"/>
  <c r="U443" i="11"/>
  <c r="O435" i="11"/>
  <c r="R435" i="11" s="1"/>
  <c r="U435" i="11"/>
  <c r="O427" i="11"/>
  <c r="R427" i="11" s="1"/>
  <c r="U427" i="11"/>
  <c r="U419" i="11"/>
  <c r="O419" i="11"/>
  <c r="R419" i="11" s="1"/>
  <c r="O411" i="11"/>
  <c r="R411" i="11" s="1"/>
  <c r="U411" i="11"/>
  <c r="O403" i="11"/>
  <c r="R403" i="11" s="1"/>
  <c r="U403" i="11"/>
  <c r="O395" i="11"/>
  <c r="R395" i="11" s="1"/>
  <c r="U395" i="11"/>
  <c r="U387" i="11"/>
  <c r="O387" i="11"/>
  <c r="R387" i="11" s="1"/>
  <c r="O379" i="11"/>
  <c r="R379" i="11" s="1"/>
  <c r="U379" i="11"/>
  <c r="O371" i="11"/>
  <c r="R371" i="11" s="1"/>
  <c r="U371" i="11"/>
  <c r="O363" i="11"/>
  <c r="R363" i="11" s="1"/>
  <c r="U363" i="11"/>
  <c r="U355" i="11"/>
  <c r="O355" i="11"/>
  <c r="R355" i="11" s="1"/>
  <c r="O347" i="11"/>
  <c r="R347" i="11" s="1"/>
  <c r="U347" i="11"/>
  <c r="O339" i="11"/>
  <c r="R339" i="11" s="1"/>
  <c r="U339" i="11"/>
  <c r="O331" i="11"/>
  <c r="R331" i="11" s="1"/>
  <c r="U331" i="11"/>
  <c r="O1021" i="11"/>
  <c r="R1021" i="11" s="1"/>
  <c r="U1021" i="11"/>
  <c r="O964" i="11"/>
  <c r="R964" i="11" s="1"/>
  <c r="U964" i="11"/>
  <c r="O900" i="11"/>
  <c r="R900" i="11" s="1"/>
  <c r="U900" i="11"/>
  <c r="U803" i="11"/>
  <c r="O803" i="11"/>
  <c r="R803" i="11" s="1"/>
  <c r="U765" i="11"/>
  <c r="O765" i="11"/>
  <c r="R765" i="11" s="1"/>
  <c r="U749" i="11"/>
  <c r="O749" i="11"/>
  <c r="R749" i="11" s="1"/>
  <c r="U733" i="11"/>
  <c r="O733" i="11"/>
  <c r="R733" i="11" s="1"/>
  <c r="U717" i="11"/>
  <c r="O717" i="11"/>
  <c r="R717" i="11" s="1"/>
  <c r="U701" i="11"/>
  <c r="O701" i="11"/>
  <c r="R701" i="11" s="1"/>
  <c r="U685" i="11"/>
  <c r="O685" i="11"/>
  <c r="R685" i="11" s="1"/>
  <c r="U669" i="11"/>
  <c r="O669" i="11"/>
  <c r="R669" i="11" s="1"/>
  <c r="U653" i="11"/>
  <c r="O653" i="11"/>
  <c r="R653" i="11" s="1"/>
  <c r="U637" i="11"/>
  <c r="O637" i="11"/>
  <c r="R637" i="11" s="1"/>
  <c r="O606" i="11"/>
  <c r="R606" i="11" s="1"/>
  <c r="U606" i="11"/>
  <c r="U595" i="11"/>
  <c r="O595" i="11"/>
  <c r="R595" i="11" s="1"/>
  <c r="O574" i="11"/>
  <c r="R574" i="11" s="1"/>
  <c r="U574" i="11"/>
  <c r="U563" i="11"/>
  <c r="O563" i="11"/>
  <c r="R563" i="11" s="1"/>
  <c r="O542" i="11"/>
  <c r="R542" i="11" s="1"/>
  <c r="U542" i="11"/>
  <c r="U531" i="11"/>
  <c r="O531" i="11"/>
  <c r="R531" i="11" s="1"/>
  <c r="O510" i="11"/>
  <c r="R510" i="11" s="1"/>
  <c r="U510" i="11"/>
  <c r="U499" i="11"/>
  <c r="O499" i="11"/>
  <c r="R499" i="11" s="1"/>
  <c r="O323" i="11"/>
  <c r="R323" i="11" s="1"/>
  <c r="U323" i="11"/>
  <c r="O315" i="11"/>
  <c r="R315" i="11" s="1"/>
  <c r="U315" i="11"/>
  <c r="O307" i="11"/>
  <c r="R307" i="11" s="1"/>
  <c r="U307" i="11"/>
  <c r="O299" i="11"/>
  <c r="R299" i="11" s="1"/>
  <c r="U299" i="11"/>
  <c r="O291" i="11"/>
  <c r="R291" i="11" s="1"/>
  <c r="U291" i="11"/>
  <c r="O283" i="11"/>
  <c r="R283" i="11" s="1"/>
  <c r="U283" i="11"/>
  <c r="O275" i="11"/>
  <c r="R275" i="11" s="1"/>
  <c r="U275" i="11"/>
  <c r="O267" i="11"/>
  <c r="R267" i="11" s="1"/>
  <c r="U267" i="11"/>
  <c r="O259" i="11"/>
  <c r="R259" i="11" s="1"/>
  <c r="U259" i="11"/>
  <c r="O251" i="11"/>
  <c r="R251" i="11" s="1"/>
  <c r="U251" i="11"/>
  <c r="O243" i="11"/>
  <c r="R243" i="11" s="1"/>
  <c r="U243" i="11"/>
  <c r="U1236" i="11"/>
  <c r="O1236" i="11"/>
  <c r="R1236" i="11" s="1"/>
  <c r="O1233" i="11"/>
  <c r="R1233" i="11" s="1"/>
  <c r="U1233" i="11"/>
  <c r="U1076" i="11"/>
  <c r="O1076" i="11"/>
  <c r="R1076" i="11" s="1"/>
  <c r="O1033" i="11"/>
  <c r="R1033" i="11" s="1"/>
  <c r="U1033" i="11"/>
  <c r="O940" i="11"/>
  <c r="R940" i="11" s="1"/>
  <c r="U940" i="11"/>
  <c r="O876" i="11"/>
  <c r="R876" i="11" s="1"/>
  <c r="U876" i="11"/>
  <c r="U820" i="11"/>
  <c r="O820" i="11"/>
  <c r="R820" i="11" s="1"/>
  <c r="U779" i="11"/>
  <c r="O779" i="11"/>
  <c r="R779" i="11" s="1"/>
  <c r="U747" i="11"/>
  <c r="O747" i="11"/>
  <c r="R747" i="11" s="1"/>
  <c r="U715" i="11"/>
  <c r="O715" i="11"/>
  <c r="R715" i="11" s="1"/>
  <c r="U683" i="11"/>
  <c r="O683" i="11"/>
  <c r="R683" i="11" s="1"/>
  <c r="U651" i="11"/>
  <c r="O651" i="11"/>
  <c r="R651" i="11" s="1"/>
  <c r="U597" i="11"/>
  <c r="O597" i="11"/>
  <c r="R597" i="11" s="1"/>
  <c r="U565" i="11"/>
  <c r="O565" i="11"/>
  <c r="R565" i="11" s="1"/>
  <c r="U533" i="11"/>
  <c r="O533" i="11"/>
  <c r="R533" i="11" s="1"/>
  <c r="U501" i="11"/>
  <c r="O501" i="11"/>
  <c r="R501" i="11" s="1"/>
  <c r="O1061" i="11"/>
  <c r="R1061" i="11" s="1"/>
  <c r="U1061" i="11"/>
  <c r="O997" i="11"/>
  <c r="R997" i="11" s="1"/>
  <c r="U997" i="11"/>
  <c r="O980" i="11"/>
  <c r="R980" i="11" s="1"/>
  <c r="U980" i="11"/>
  <c r="U953" i="11"/>
  <c r="O953" i="11"/>
  <c r="R953" i="11" s="1"/>
  <c r="O864" i="11"/>
  <c r="R864" i="11" s="1"/>
  <c r="U864" i="11"/>
  <c r="U828" i="11"/>
  <c r="O828" i="11"/>
  <c r="R828" i="11" s="1"/>
  <c r="U802" i="11"/>
  <c r="O802" i="11"/>
  <c r="R802" i="11" s="1"/>
  <c r="U769" i="11"/>
  <c r="O769" i="11"/>
  <c r="R769" i="11" s="1"/>
  <c r="U737" i="11"/>
  <c r="O737" i="11"/>
  <c r="R737" i="11" s="1"/>
  <c r="U705" i="11"/>
  <c r="O705" i="11"/>
  <c r="R705" i="11" s="1"/>
  <c r="U673" i="11"/>
  <c r="O673" i="11"/>
  <c r="R673" i="11" s="1"/>
  <c r="U641" i="11"/>
  <c r="O641" i="11"/>
  <c r="R641" i="11" s="1"/>
  <c r="U457" i="11"/>
  <c r="O457" i="11"/>
  <c r="R457" i="11" s="1"/>
  <c r="U431" i="11"/>
  <c r="O431" i="11"/>
  <c r="R431" i="11" s="1"/>
  <c r="U384" i="11"/>
  <c r="O384" i="11"/>
  <c r="R384" i="11" s="1"/>
  <c r="U322" i="11"/>
  <c r="O322" i="11"/>
  <c r="R322" i="11" s="1"/>
  <c r="U290" i="11"/>
  <c r="O290" i="11"/>
  <c r="R290" i="11" s="1"/>
  <c r="U258" i="11"/>
  <c r="O258" i="11"/>
  <c r="R258" i="11" s="1"/>
  <c r="U87" i="11"/>
  <c r="O87" i="11"/>
  <c r="R87" i="11" s="1"/>
  <c r="U64" i="11"/>
  <c r="O64" i="11"/>
  <c r="R64" i="11" s="1"/>
  <c r="U55" i="11"/>
  <c r="O55" i="11"/>
  <c r="R55" i="11" s="1"/>
  <c r="U32" i="11"/>
  <c r="O32" i="11"/>
  <c r="R32" i="11" s="1"/>
  <c r="U23" i="11"/>
  <c r="O23" i="11"/>
  <c r="R23" i="11" s="1"/>
  <c r="U471" i="11"/>
  <c r="O471" i="11"/>
  <c r="R471" i="11" s="1"/>
  <c r="U424" i="11"/>
  <c r="O424" i="11"/>
  <c r="R424" i="11" s="1"/>
  <c r="U369" i="11"/>
  <c r="O369" i="11"/>
  <c r="R369" i="11" s="1"/>
  <c r="U343" i="11"/>
  <c r="O343" i="11"/>
  <c r="R343" i="11" s="1"/>
  <c r="U328" i="11"/>
  <c r="O328" i="11"/>
  <c r="R328" i="11" s="1"/>
  <c r="U312" i="11"/>
  <c r="O312" i="11"/>
  <c r="R312" i="11" s="1"/>
  <c r="U296" i="11"/>
  <c r="O296" i="11"/>
  <c r="R296" i="11" s="1"/>
  <c r="U280" i="11"/>
  <c r="O280" i="11"/>
  <c r="R280" i="11" s="1"/>
  <c r="U264" i="11"/>
  <c r="O264" i="11"/>
  <c r="R264" i="11" s="1"/>
  <c r="U248" i="11"/>
  <c r="O248" i="11"/>
  <c r="R248" i="11" s="1"/>
  <c r="O233" i="11"/>
  <c r="R233" i="11" s="1"/>
  <c r="U233" i="11"/>
  <c r="O225" i="11"/>
  <c r="R225" i="11" s="1"/>
  <c r="U225" i="11"/>
  <c r="O217" i="11"/>
  <c r="R217" i="11" s="1"/>
  <c r="U217" i="11"/>
  <c r="O209" i="11"/>
  <c r="R209" i="11" s="1"/>
  <c r="U209" i="11"/>
  <c r="O201" i="11"/>
  <c r="R201" i="11" s="1"/>
  <c r="U201" i="11"/>
  <c r="O193" i="11"/>
  <c r="R193" i="11" s="1"/>
  <c r="U193" i="11"/>
  <c r="O185" i="11"/>
  <c r="R185" i="11" s="1"/>
  <c r="U185" i="11"/>
  <c r="O177" i="11"/>
  <c r="R177" i="11" s="1"/>
  <c r="U177" i="11"/>
  <c r="O169" i="11"/>
  <c r="R169" i="11" s="1"/>
  <c r="U169" i="11"/>
  <c r="O161" i="11"/>
  <c r="R161" i="11" s="1"/>
  <c r="U161" i="11"/>
  <c r="O153" i="11"/>
  <c r="R153" i="11" s="1"/>
  <c r="U153" i="11"/>
  <c r="O145" i="11"/>
  <c r="R145" i="11" s="1"/>
  <c r="U145" i="11"/>
  <c r="O137" i="11"/>
  <c r="R137" i="11" s="1"/>
  <c r="U137" i="11"/>
  <c r="O129" i="11"/>
  <c r="R129" i="11" s="1"/>
  <c r="U129" i="11"/>
  <c r="O121" i="11"/>
  <c r="R121" i="11" s="1"/>
  <c r="U121" i="11"/>
  <c r="O113" i="11"/>
  <c r="R113" i="11" s="1"/>
  <c r="U113" i="11"/>
  <c r="O105" i="11"/>
  <c r="R105" i="11" s="1"/>
  <c r="U105" i="11"/>
  <c r="O97" i="11"/>
  <c r="U97" i="11"/>
  <c r="U90" i="11"/>
  <c r="O90" i="11"/>
  <c r="R90" i="11" s="1"/>
  <c r="U82" i="11"/>
  <c r="O82" i="11"/>
  <c r="R82" i="11" s="1"/>
  <c r="U74" i="11"/>
  <c r="O74" i="11"/>
  <c r="R74" i="11" s="1"/>
  <c r="U66" i="11"/>
  <c r="O66" i="11"/>
  <c r="R66" i="11" s="1"/>
  <c r="U58" i="11"/>
  <c r="O58" i="11"/>
  <c r="R58" i="11" s="1"/>
  <c r="U50" i="11"/>
  <c r="O50" i="11"/>
  <c r="R50" i="11" s="1"/>
  <c r="U42" i="11"/>
  <c r="O42" i="11"/>
  <c r="R42" i="11" s="1"/>
  <c r="U34" i="11"/>
  <c r="O34" i="11"/>
  <c r="R34" i="11" s="1"/>
  <c r="U26" i="11"/>
  <c r="O26" i="11"/>
  <c r="X6" i="20" s="1"/>
  <c r="Y6" i="20" s="1"/>
  <c r="U18" i="11"/>
  <c r="O18" i="11"/>
  <c r="R18" i="11" s="1"/>
  <c r="U10" i="11"/>
  <c r="O10" i="11"/>
  <c r="R10" i="11" s="1"/>
  <c r="C11" i="10"/>
  <c r="C8" i="10"/>
  <c r="U2" i="11"/>
  <c r="C12" i="10"/>
  <c r="B9" i="10"/>
  <c r="O2" i="11"/>
  <c r="C10" i="10"/>
  <c r="C7" i="10"/>
  <c r="U473" i="11"/>
  <c r="O473" i="11"/>
  <c r="R473" i="11" s="1"/>
  <c r="U447" i="11"/>
  <c r="O447" i="11"/>
  <c r="R447" i="11" s="1"/>
  <c r="U400" i="11"/>
  <c r="O400" i="11"/>
  <c r="R400" i="11" s="1"/>
  <c r="U345" i="11"/>
  <c r="O345" i="11"/>
  <c r="R345" i="11" s="1"/>
  <c r="U232" i="11"/>
  <c r="O232" i="11"/>
  <c r="R232" i="11" s="1"/>
  <c r="U224" i="11"/>
  <c r="O224" i="11"/>
  <c r="R224" i="11" s="1"/>
  <c r="U216" i="11"/>
  <c r="O216" i="11"/>
  <c r="R216" i="11" s="1"/>
  <c r="U208" i="11"/>
  <c r="O208" i="11"/>
  <c r="R208" i="11" s="1"/>
  <c r="U200" i="11"/>
  <c r="O200" i="11"/>
  <c r="R200" i="11" s="1"/>
  <c r="O179" i="11"/>
  <c r="R179" i="11" s="1"/>
  <c r="U179" i="11"/>
  <c r="U168" i="11"/>
  <c r="O168" i="11"/>
  <c r="R168" i="11" s="1"/>
  <c r="U160" i="11"/>
  <c r="O160" i="11"/>
  <c r="R160" i="11" s="1"/>
  <c r="U152" i="11"/>
  <c r="O152" i="11"/>
  <c r="R152" i="11" s="1"/>
  <c r="U144" i="11"/>
  <c r="O144" i="11"/>
  <c r="R144" i="11" s="1"/>
  <c r="U136" i="11"/>
  <c r="O136" i="11"/>
  <c r="R136" i="11" s="1"/>
  <c r="U128" i="11"/>
  <c r="O128" i="11"/>
  <c r="R128" i="11" s="1"/>
  <c r="U120" i="11"/>
  <c r="O120" i="11"/>
  <c r="R120" i="11" s="1"/>
  <c r="U112" i="11"/>
  <c r="O112" i="11"/>
  <c r="R112" i="11" s="1"/>
  <c r="U104" i="11"/>
  <c r="O104" i="11"/>
  <c r="R104" i="11" s="1"/>
  <c r="U96" i="11"/>
  <c r="O96" i="11"/>
  <c r="R96" i="11" s="1"/>
  <c r="U84" i="11"/>
  <c r="O84" i="11"/>
  <c r="R84" i="11" s="1"/>
  <c r="U76" i="11"/>
  <c r="O76" i="11"/>
  <c r="R76" i="11" s="1"/>
  <c r="U68" i="11"/>
  <c r="O68" i="11"/>
  <c r="R68" i="11" s="1"/>
  <c r="U60" i="11"/>
  <c r="O60" i="11"/>
  <c r="R60" i="11" s="1"/>
  <c r="U52" i="11"/>
  <c r="O52" i="11"/>
  <c r="R52" i="11" s="1"/>
  <c r="U44" i="11"/>
  <c r="O44" i="11"/>
  <c r="R44" i="11" s="1"/>
  <c r="U36" i="11"/>
  <c r="O36" i="11"/>
  <c r="X16" i="20" s="1"/>
  <c r="Y16" i="20" s="1"/>
  <c r="U28" i="11"/>
  <c r="O28" i="11"/>
  <c r="R28" i="11" s="1"/>
  <c r="U20" i="11"/>
  <c r="O20" i="11"/>
  <c r="X21" i="20" s="1"/>
  <c r="Y21" i="20" s="1"/>
  <c r="U12" i="11"/>
  <c r="O12" i="11"/>
  <c r="U4" i="11"/>
  <c r="O4" i="11"/>
  <c r="X17" i="20" s="1"/>
  <c r="Y17" i="20" s="1"/>
  <c r="U385" i="11"/>
  <c r="O385" i="11"/>
  <c r="R385" i="11" s="1"/>
  <c r="U324" i="11"/>
  <c r="O324" i="11"/>
  <c r="R324" i="11" s="1"/>
  <c r="U308" i="11"/>
  <c r="O308" i="11"/>
  <c r="R308" i="11" s="1"/>
  <c r="U292" i="11"/>
  <c r="O292" i="11"/>
  <c r="R292" i="11" s="1"/>
  <c r="U276" i="11"/>
  <c r="O276" i="11"/>
  <c r="R276" i="11" s="1"/>
  <c r="U252" i="11"/>
  <c r="O252" i="11"/>
  <c r="R252" i="11" s="1"/>
  <c r="B31" i="10"/>
  <c r="G25" i="5"/>
  <c r="H25" i="5" s="1"/>
  <c r="H5" i="5"/>
  <c r="K5" i="5" s="1"/>
  <c r="C36" i="3"/>
  <c r="B42" i="3"/>
  <c r="B24" i="3"/>
  <c r="H46" i="20" s="1"/>
  <c r="K12" i="2" s="1"/>
  <c r="I20" i="5"/>
  <c r="J20" i="5" s="1"/>
  <c r="I12" i="5"/>
  <c r="J5" i="5" s="1"/>
  <c r="E74" i="3"/>
  <c r="E70" i="3"/>
  <c r="E21" i="3"/>
  <c r="B48" i="3"/>
  <c r="C17" i="3"/>
  <c r="M76" i="3" s="1"/>
  <c r="C64" i="3"/>
  <c r="E64" i="3" s="1"/>
  <c r="F64" i="3" s="1"/>
  <c r="C62" i="3"/>
  <c r="E62" i="3" s="1"/>
  <c r="F62" i="3" s="1"/>
  <c r="C58" i="3"/>
  <c r="E58" i="3" s="1"/>
  <c r="F58" i="3" s="1"/>
  <c r="C54" i="3"/>
  <c r="C56" i="3"/>
  <c r="E56" i="3" s="1"/>
  <c r="F56" i="3" s="1"/>
  <c r="C60" i="3"/>
  <c r="E60" i="3" s="1"/>
  <c r="F60" i="3" s="1"/>
  <c r="B73" i="3"/>
  <c r="J9" i="5"/>
  <c r="C61" i="3"/>
  <c r="E61" i="3" s="1"/>
  <c r="F61" i="3" s="1"/>
  <c r="C53" i="3"/>
  <c r="X24" i="20" l="1"/>
  <c r="Y24" i="20" s="1"/>
  <c r="J19" i="5"/>
  <c r="X18" i="20"/>
  <c r="Y18" i="20" s="1"/>
  <c r="J21" i="5"/>
  <c r="R45" i="11"/>
  <c r="D10" i="7"/>
  <c r="B43" i="3"/>
  <c r="E16" i="3"/>
  <c r="E47" i="3"/>
  <c r="AQ10" i="20" s="1"/>
  <c r="D47" i="3"/>
  <c r="AP10" i="20" s="1"/>
  <c r="B11" i="10"/>
  <c r="R97" i="11"/>
  <c r="D7" i="7"/>
  <c r="U10" i="20"/>
  <c r="S10" i="20" s="1"/>
  <c r="R7" i="11"/>
  <c r="B19" i="8"/>
  <c r="D19" i="8" s="1"/>
  <c r="D28" i="7"/>
  <c r="R92" i="11"/>
  <c r="D14" i="7"/>
  <c r="J6" i="5"/>
  <c r="J23" i="5"/>
  <c r="J70" i="3"/>
  <c r="K72" i="3"/>
  <c r="I75" i="3"/>
  <c r="L72" i="3"/>
  <c r="L71" i="3"/>
  <c r="J71" i="3"/>
  <c r="K71" i="3"/>
  <c r="I74" i="3"/>
  <c r="R14" i="11"/>
  <c r="B7" i="8"/>
  <c r="C9" i="4"/>
  <c r="E9" i="4" s="1"/>
  <c r="D25" i="7"/>
  <c r="U7" i="20"/>
  <c r="S7" i="20" s="1"/>
  <c r="R46" i="11"/>
  <c r="F7" i="8"/>
  <c r="D9" i="7"/>
  <c r="R19" i="11"/>
  <c r="R8" i="11"/>
  <c r="B17" i="8"/>
  <c r="D17" i="8" s="1"/>
  <c r="C12" i="4"/>
  <c r="E12" i="4" s="1"/>
  <c r="B10" i="8"/>
  <c r="D5" i="7"/>
  <c r="H38" i="20"/>
  <c r="E19" i="2" s="1"/>
  <c r="E20" i="2"/>
  <c r="H33" i="20"/>
  <c r="B19" i="2" s="1"/>
  <c r="E19" i="3"/>
  <c r="B46" i="3"/>
  <c r="O173" i="11"/>
  <c r="R173" i="11" s="1"/>
  <c r="U173" i="11"/>
  <c r="H28" i="20"/>
  <c r="N15" i="2" s="1"/>
  <c r="U903" i="11"/>
  <c r="J15" i="5"/>
  <c r="U250" i="11"/>
  <c r="U1102" i="11"/>
  <c r="J17" i="5"/>
  <c r="E54" i="3"/>
  <c r="F54" i="3" s="1"/>
  <c r="D17" i="3"/>
  <c r="C22" i="3"/>
  <c r="R12" i="11"/>
  <c r="F10" i="8"/>
  <c r="X12" i="20"/>
  <c r="Y12" i="20" s="1"/>
  <c r="D12" i="7"/>
  <c r="C9" i="10"/>
  <c r="R2" i="11"/>
  <c r="B21" i="10"/>
  <c r="B18" i="8"/>
  <c r="D18" i="8" s="1"/>
  <c r="C8" i="4"/>
  <c r="E8" i="4" s="1"/>
  <c r="F6" i="8"/>
  <c r="B6" i="8"/>
  <c r="D13" i="7"/>
  <c r="U6" i="20"/>
  <c r="S6" i="20" s="1"/>
  <c r="H23" i="20"/>
  <c r="M8" i="10"/>
  <c r="I8" i="10"/>
  <c r="J7" i="10"/>
  <c r="K8" i="10"/>
  <c r="I7" i="10"/>
  <c r="J6" i="10"/>
  <c r="G8" i="10"/>
  <c r="H7" i="10"/>
  <c r="L6" i="10"/>
  <c r="G6" i="10"/>
  <c r="L8" i="10"/>
  <c r="M7" i="10"/>
  <c r="G7" i="10"/>
  <c r="K6" i="10"/>
  <c r="J8" i="10"/>
  <c r="L7" i="10"/>
  <c r="I6" i="10"/>
  <c r="H8" i="10"/>
  <c r="K7" i="10"/>
  <c r="M6" i="10"/>
  <c r="H6" i="10"/>
  <c r="C65" i="3"/>
  <c r="E53" i="3"/>
  <c r="D48" i="3"/>
  <c r="AP11" i="20" s="1"/>
  <c r="E48" i="3"/>
  <c r="AQ11" i="20" s="1"/>
  <c r="G42" i="3"/>
  <c r="F42" i="3"/>
  <c r="AR5" i="20" s="1"/>
  <c r="B10" i="10"/>
  <c r="B6" i="10"/>
  <c r="C6" i="10"/>
  <c r="B20" i="10"/>
  <c r="C21" i="10" s="1"/>
  <c r="R26" i="11"/>
  <c r="D6" i="7"/>
  <c r="X14" i="20"/>
  <c r="Y14" i="20" s="1"/>
  <c r="H18" i="20"/>
  <c r="E12" i="2"/>
  <c r="U8" i="20"/>
  <c r="S8" i="20" s="1"/>
  <c r="X10" i="20"/>
  <c r="Y10" i="20" s="1"/>
  <c r="X8" i="20"/>
  <c r="Y8" i="20" s="1"/>
  <c r="X7" i="20"/>
  <c r="Y7" i="20" s="1"/>
  <c r="H16" i="20"/>
  <c r="B12" i="2"/>
  <c r="B11" i="2"/>
  <c r="J8" i="5"/>
  <c r="R5" i="11"/>
  <c r="D22" i="7"/>
  <c r="C10" i="4"/>
  <c r="E10" i="4" s="1"/>
  <c r="B8" i="8"/>
  <c r="U513" i="11"/>
  <c r="K16" i="10" s="1"/>
  <c r="L73" i="3"/>
  <c r="K70" i="3"/>
  <c r="I73" i="3"/>
  <c r="M75" i="3"/>
  <c r="L74" i="3"/>
  <c r="J72" i="3"/>
  <c r="J73" i="3"/>
  <c r="I72" i="3"/>
  <c r="M74" i="3"/>
  <c r="D65" i="3"/>
  <c r="H53" i="3"/>
  <c r="H65" i="3" s="1"/>
  <c r="R3" i="11"/>
  <c r="K20" i="7"/>
  <c r="D15" i="7"/>
  <c r="X15" i="20"/>
  <c r="Y15" i="20" s="1"/>
  <c r="R33" i="11"/>
  <c r="D27" i="7"/>
  <c r="X5" i="20"/>
  <c r="Y5" i="20" s="1"/>
  <c r="J14" i="5"/>
  <c r="J10" i="5"/>
  <c r="J12" i="5"/>
  <c r="AJ6" i="20"/>
  <c r="AK6" i="20" s="1"/>
  <c r="C38" i="3"/>
  <c r="C37" i="3"/>
  <c r="R4" i="11"/>
  <c r="F5" i="8"/>
  <c r="B5" i="8"/>
  <c r="C7" i="4"/>
  <c r="D17" i="7"/>
  <c r="U5" i="20"/>
  <c r="R20" i="11"/>
  <c r="C14" i="4"/>
  <c r="E14" i="4" s="1"/>
  <c r="B12" i="8"/>
  <c r="D21" i="7"/>
  <c r="R36" i="11"/>
  <c r="D16" i="7"/>
  <c r="B7" i="10"/>
  <c r="B8" i="10"/>
  <c r="X27" i="20"/>
  <c r="Y27" i="20" s="1"/>
  <c r="X11" i="20"/>
  <c r="Y11" i="20" s="1"/>
  <c r="J11" i="5"/>
  <c r="E45" i="3"/>
  <c r="AQ8" i="20" s="1"/>
  <c r="D45" i="3"/>
  <c r="AP8" i="20" s="1"/>
  <c r="H36" i="20"/>
  <c r="H19" i="2" s="1"/>
  <c r="H20" i="2"/>
  <c r="X28" i="20"/>
  <c r="Y28" i="20" s="1"/>
  <c r="U12" i="20"/>
  <c r="S12" i="20" s="1"/>
  <c r="J13" i="5"/>
  <c r="AJ5" i="20"/>
  <c r="AL5" i="20" s="1"/>
  <c r="B38" i="3"/>
  <c r="B37" i="3"/>
  <c r="J16" i="5"/>
  <c r="R16" i="11"/>
  <c r="B11" i="8"/>
  <c r="C13" i="4"/>
  <c r="E13" i="4" s="1"/>
  <c r="D8" i="7"/>
  <c r="J7" i="5"/>
  <c r="A27" i="5" s="1"/>
  <c r="AJ8" i="20"/>
  <c r="AL8" i="20" s="1"/>
  <c r="E38" i="3"/>
  <c r="E37" i="3"/>
  <c r="J74" i="3"/>
  <c r="I71" i="3"/>
  <c r="M73" i="3"/>
  <c r="K76" i="3"/>
  <c r="J75" i="3"/>
  <c r="L75" i="3"/>
  <c r="I70" i="3"/>
  <c r="M72" i="3"/>
  <c r="K75" i="3"/>
  <c r="R6" i="11"/>
  <c r="E20" i="8" s="1"/>
  <c r="B20" i="8"/>
  <c r="D20" i="8" s="1"/>
  <c r="F9" i="8"/>
  <c r="B9" i="8"/>
  <c r="C11" i="4"/>
  <c r="E11" i="4" s="1"/>
  <c r="D11" i="7"/>
  <c r="U9" i="20"/>
  <c r="S9" i="20" s="1"/>
  <c r="R22" i="11"/>
  <c r="D18" i="7"/>
  <c r="R43" i="11"/>
  <c r="D26" i="7"/>
  <c r="R31" i="11"/>
  <c r="D24" i="7"/>
  <c r="X13" i="20"/>
  <c r="Y13" i="20" s="1"/>
  <c r="X9" i="20"/>
  <c r="Y9" i="20" s="1"/>
  <c r="X25" i="20"/>
  <c r="Y25" i="20" s="1"/>
  <c r="J18" i="5"/>
  <c r="E55" i="3"/>
  <c r="F55" i="3" s="1"/>
  <c r="K16" i="2"/>
  <c r="B16" i="2"/>
  <c r="J24" i="5"/>
  <c r="R29" i="11"/>
  <c r="D23" i="7"/>
  <c r="R9" i="11"/>
  <c r="D19" i="7"/>
  <c r="U11" i="20"/>
  <c r="S11" i="20" s="1"/>
  <c r="X22" i="20"/>
  <c r="Y22" i="20" s="1"/>
  <c r="J22" i="5"/>
  <c r="F19" i="7" l="1"/>
  <c r="F21" i="7"/>
  <c r="AT8" i="20"/>
  <c r="J10" i="4"/>
  <c r="H10" i="4"/>
  <c r="I10" i="4" s="1"/>
  <c r="H19" i="20"/>
  <c r="N12" i="2"/>
  <c r="N11" i="2"/>
  <c r="F53" i="3"/>
  <c r="E65" i="3"/>
  <c r="F65" i="3" s="1"/>
  <c r="H12" i="10"/>
  <c r="M16" i="10"/>
  <c r="I9" i="10"/>
  <c r="H13" i="10"/>
  <c r="I17" i="10"/>
  <c r="M11" i="10"/>
  <c r="I15" i="10"/>
  <c r="J10" i="10"/>
  <c r="L15" i="10"/>
  <c r="I10" i="10"/>
  <c r="J13" i="10"/>
  <c r="I16" i="10"/>
  <c r="G10" i="10"/>
  <c r="M12" i="10"/>
  <c r="M14" i="10"/>
  <c r="H17" i="10"/>
  <c r="F13" i="7"/>
  <c r="F12" i="7"/>
  <c r="D22" i="3"/>
  <c r="E22" i="3" s="1"/>
  <c r="C23" i="3"/>
  <c r="C26" i="3"/>
  <c r="D46" i="3"/>
  <c r="AP9" i="20" s="1"/>
  <c r="E46" i="3"/>
  <c r="AQ9" i="20" s="1"/>
  <c r="AT10" i="20"/>
  <c r="J12" i="4"/>
  <c r="H12" i="4"/>
  <c r="I12" i="4" s="1"/>
  <c r="F10" i="7"/>
  <c r="F24" i="7"/>
  <c r="F18" i="7"/>
  <c r="AT9" i="20"/>
  <c r="H11" i="4"/>
  <c r="I11" i="4" s="1"/>
  <c r="J11" i="4"/>
  <c r="G11" i="8"/>
  <c r="C11" i="8"/>
  <c r="E11" i="8"/>
  <c r="S5" i="20"/>
  <c r="H51" i="20"/>
  <c r="B23" i="2" s="1"/>
  <c r="G9" i="8"/>
  <c r="C9" i="8"/>
  <c r="E9" i="8"/>
  <c r="E12" i="8"/>
  <c r="G12" i="8"/>
  <c r="C12" i="8"/>
  <c r="F17" i="7"/>
  <c r="F27" i="7"/>
  <c r="F23" i="7"/>
  <c r="F26" i="7"/>
  <c r="F8" i="7"/>
  <c r="F16" i="7"/>
  <c r="AT12" i="20"/>
  <c r="H14" i="4"/>
  <c r="I14" i="4" s="1"/>
  <c r="J14" i="4"/>
  <c r="C15" i="4"/>
  <c r="E7" i="4"/>
  <c r="F22" i="7"/>
  <c r="G43" i="3"/>
  <c r="C43" i="3"/>
  <c r="AO6" i="20" s="1"/>
  <c r="I65" i="3"/>
  <c r="G13" i="10"/>
  <c r="M10" i="10"/>
  <c r="H14" i="10"/>
  <c r="J9" i="10"/>
  <c r="K12" i="10"/>
  <c r="J16" i="10"/>
  <c r="H11" i="10"/>
  <c r="L16" i="10"/>
  <c r="K11" i="10"/>
  <c r="G14" i="10"/>
  <c r="G17" i="10"/>
  <c r="K10" i="10"/>
  <c r="I13" i="10"/>
  <c r="J15" i="10"/>
  <c r="L17" i="10"/>
  <c r="E6" i="8"/>
  <c r="G6" i="8"/>
  <c r="C6" i="8"/>
  <c r="C22" i="10"/>
  <c r="D22" i="10" s="1"/>
  <c r="D21" i="10"/>
  <c r="E17" i="3"/>
  <c r="I6" i="3"/>
  <c r="I9" i="3" s="1"/>
  <c r="H10" i="3" s="1"/>
  <c r="B44" i="3"/>
  <c r="X20" i="20"/>
  <c r="Y20" i="20" s="1"/>
  <c r="F9" i="7"/>
  <c r="F25" i="7"/>
  <c r="F28" i="7"/>
  <c r="F7" i="7"/>
  <c r="H25" i="20"/>
  <c r="F11" i="7"/>
  <c r="AT11" i="20"/>
  <c r="H13" i="4"/>
  <c r="I13" i="4" s="1"/>
  <c r="J13" i="4"/>
  <c r="G5" i="8"/>
  <c r="C5" i="8"/>
  <c r="E5" i="8"/>
  <c r="H17" i="20"/>
  <c r="K11" i="2" s="1"/>
  <c r="H11" i="2"/>
  <c r="F6" i="7"/>
  <c r="B13" i="10"/>
  <c r="L10" i="10"/>
  <c r="G15" i="10"/>
  <c r="L11" i="10"/>
  <c r="H15" i="10"/>
  <c r="H10" i="10"/>
  <c r="K13" i="10"/>
  <c r="J17" i="10"/>
  <c r="L13" i="10"/>
  <c r="K17" i="10"/>
  <c r="G9" i="10"/>
  <c r="G12" i="10"/>
  <c r="L14" i="10"/>
  <c r="M17" i="10"/>
  <c r="H9" i="10"/>
  <c r="J11" i="10"/>
  <c r="M13" i="10"/>
  <c r="G16" i="10"/>
  <c r="H29" i="20"/>
  <c r="K15" i="2" s="1"/>
  <c r="B15" i="2"/>
  <c r="E18" i="8"/>
  <c r="H24" i="20"/>
  <c r="F5" i="7"/>
  <c r="E17" i="8"/>
  <c r="AT7" i="20"/>
  <c r="H9" i="4"/>
  <c r="I9" i="4" s="1"/>
  <c r="J9" i="4"/>
  <c r="AC14" i="20"/>
  <c r="AB14" i="20" s="1"/>
  <c r="AC12" i="20"/>
  <c r="AB12" i="20" s="1"/>
  <c r="AC11" i="20"/>
  <c r="AB11" i="20" s="1"/>
  <c r="AC8" i="20"/>
  <c r="AB8" i="20" s="1"/>
  <c r="AC6" i="20"/>
  <c r="AB6" i="20" s="1"/>
  <c r="AC10" i="20"/>
  <c r="AB10" i="20" s="1"/>
  <c r="AC13" i="20"/>
  <c r="AB13" i="20" s="1"/>
  <c r="AC9" i="20"/>
  <c r="AB9" i="20" s="1"/>
  <c r="AC7" i="20"/>
  <c r="AB7" i="20" s="1"/>
  <c r="AC5" i="20"/>
  <c r="AB5" i="20" s="1"/>
  <c r="F15" i="7"/>
  <c r="E8" i="8"/>
  <c r="G8" i="8"/>
  <c r="C8" i="8"/>
  <c r="I11" i="10"/>
  <c r="M15" i="10"/>
  <c r="J12" i="10"/>
  <c r="H16" i="10"/>
  <c r="G11" i="10"/>
  <c r="J14" i="10"/>
  <c r="K9" i="10"/>
  <c r="K14" i="10"/>
  <c r="M9" i="10"/>
  <c r="L12" i="10"/>
  <c r="K15" i="10"/>
  <c r="L9" i="10"/>
  <c r="I12" i="10"/>
  <c r="I14" i="10"/>
  <c r="AT6" i="20"/>
  <c r="J8" i="4"/>
  <c r="H8" i="4"/>
  <c r="I8" i="4" s="1"/>
  <c r="E10" i="8"/>
  <c r="G10" i="8"/>
  <c r="C10" i="8"/>
  <c r="D20" i="7"/>
  <c r="H12" i="7" s="1"/>
  <c r="G7" i="8"/>
  <c r="C7" i="8"/>
  <c r="E7" i="8"/>
  <c r="F14" i="7"/>
  <c r="E19" i="8"/>
  <c r="E43" i="3"/>
  <c r="AQ6" i="20" s="1"/>
  <c r="D43" i="3"/>
  <c r="AP6" i="20" s="1"/>
  <c r="H11" i="7" l="1"/>
  <c r="H7" i="7"/>
  <c r="D44" i="3"/>
  <c r="AP7" i="20" s="1"/>
  <c r="E44" i="3"/>
  <c r="AQ7" i="20" s="1"/>
  <c r="H22" i="7"/>
  <c r="H16" i="7"/>
  <c r="H5" i="7"/>
  <c r="H14" i="7"/>
  <c r="D29" i="7"/>
  <c r="H15" i="7"/>
  <c r="E16" i="2"/>
  <c r="E15" i="2"/>
  <c r="H9" i="7"/>
  <c r="G44" i="3"/>
  <c r="C44" i="3"/>
  <c r="AO7" i="20" s="1"/>
  <c r="AT5" i="20"/>
  <c r="E15" i="4"/>
  <c r="H7" i="4"/>
  <c r="I7" i="4" s="1"/>
  <c r="J7" i="4"/>
  <c r="J15" i="4" s="1"/>
  <c r="H17" i="7"/>
  <c r="H40" i="20"/>
  <c r="B49" i="3"/>
  <c r="F49" i="3" s="1"/>
  <c r="AR12" i="20" s="1"/>
  <c r="C24" i="3"/>
  <c r="F23" i="3"/>
  <c r="D23" i="3"/>
  <c r="H20" i="7"/>
  <c r="G20" i="7"/>
  <c r="F20" i="7"/>
  <c r="H6" i="7"/>
  <c r="H26" i="20"/>
  <c r="H15" i="2" s="1"/>
  <c r="H16" i="2"/>
  <c r="H26" i="7"/>
  <c r="H27" i="7"/>
  <c r="H24" i="7"/>
  <c r="H10" i="7"/>
  <c r="C40" i="10"/>
  <c r="C37" i="10"/>
  <c r="C38" i="10"/>
  <c r="C39" i="10"/>
  <c r="C41" i="10"/>
  <c r="B14" i="10"/>
  <c r="H28" i="7"/>
  <c r="H25" i="7"/>
  <c r="H8" i="7"/>
  <c r="H23" i="7"/>
  <c r="H18" i="7"/>
  <c r="H13" i="7"/>
  <c r="H53" i="20"/>
  <c r="B25" i="2" s="1"/>
  <c r="H21" i="7"/>
  <c r="H19" i="7"/>
  <c r="P15" i="7" l="1"/>
  <c r="L15" i="7"/>
  <c r="P13" i="7"/>
  <c r="L13" i="7"/>
  <c r="P11" i="7"/>
  <c r="L11" i="7"/>
  <c r="P9" i="7"/>
  <c r="L9" i="7"/>
  <c r="P7" i="7"/>
  <c r="L7" i="7"/>
  <c r="M14" i="7"/>
  <c r="N14" i="7" s="1"/>
  <c r="M12" i="7"/>
  <c r="N12" i="7" s="1"/>
  <c r="M10" i="7"/>
  <c r="N10" i="7" s="1"/>
  <c r="M8" i="7"/>
  <c r="N8" i="7" s="1"/>
  <c r="M6" i="7"/>
  <c r="N6" i="7" s="1"/>
  <c r="P14" i="7"/>
  <c r="L14" i="7"/>
  <c r="P12" i="7"/>
  <c r="L12" i="7"/>
  <c r="P10" i="7"/>
  <c r="L10" i="7"/>
  <c r="P8" i="7"/>
  <c r="L8" i="7"/>
  <c r="P6" i="7"/>
  <c r="L6" i="7"/>
  <c r="K21" i="7" s="1"/>
  <c r="M15" i="7"/>
  <c r="N15" i="7" s="1"/>
  <c r="M13" i="7"/>
  <c r="N13" i="7" s="1"/>
  <c r="M11" i="7"/>
  <c r="N11" i="7" s="1"/>
  <c r="M9" i="7"/>
  <c r="N9" i="7" s="1"/>
  <c r="M7" i="7"/>
  <c r="N7" i="7" s="1"/>
  <c r="B20" i="4"/>
  <c r="B19" i="4"/>
  <c r="B18" i="4"/>
  <c r="G45" i="3"/>
  <c r="H41" i="20"/>
  <c r="N19" i="2" s="1"/>
  <c r="D24" i="3"/>
  <c r="H43" i="20"/>
  <c r="K20" i="2" s="1"/>
  <c r="E23" i="3"/>
  <c r="K19" i="2"/>
  <c r="H54" i="20"/>
  <c r="B26" i="2" s="1"/>
  <c r="H45" i="20"/>
  <c r="D15" i="4"/>
  <c r="I7" i="3"/>
  <c r="H15" i="4"/>
  <c r="D30" i="7"/>
  <c r="G17" i="7"/>
  <c r="G16" i="7"/>
  <c r="G22" i="7"/>
  <c r="G7" i="7"/>
  <c r="G11" i="7"/>
  <c r="G19" i="7"/>
  <c r="G21" i="7"/>
  <c r="G13" i="7"/>
  <c r="G18" i="7"/>
  <c r="G8" i="7"/>
  <c r="G25" i="7"/>
  <c r="G28" i="7"/>
  <c r="G5" i="7"/>
  <c r="G10" i="7"/>
  <c r="G24" i="7"/>
  <c r="G23" i="7"/>
  <c r="G26" i="7"/>
  <c r="G6" i="7"/>
  <c r="G12" i="7"/>
  <c r="G27" i="7"/>
  <c r="G9" i="7"/>
  <c r="G15" i="7"/>
  <c r="G14" i="7"/>
  <c r="H52" i="20"/>
  <c r="B24" i="2" s="1"/>
  <c r="I15" i="4" l="1"/>
  <c r="A22" i="4"/>
  <c r="G46" i="3"/>
  <c r="C46" i="3"/>
  <c r="AO9" i="20" s="1"/>
  <c r="O15" i="7"/>
  <c r="O13" i="7"/>
  <c r="O11" i="7"/>
  <c r="O9" i="7"/>
  <c r="O7" i="7"/>
  <c r="O14" i="7"/>
  <c r="O12" i="7"/>
  <c r="O10" i="7"/>
  <c r="K19" i="7" s="1"/>
  <c r="O8" i="7"/>
  <c r="O6" i="7"/>
  <c r="C45" i="3"/>
  <c r="AO8" i="20" s="1"/>
  <c r="G47" i="3" l="1"/>
  <c r="C47" i="3"/>
  <c r="AO10" i="20" s="1"/>
  <c r="G48" i="3" l="1"/>
  <c r="C48" i="3"/>
  <c r="AO11" i="20" s="1"/>
  <c r="H49" i="3" l="1"/>
  <c r="G49"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E5" authorId="0" shapeId="0" xr:uid="{00000000-0006-0000-0200-000002000000}">
      <text>
        <r>
          <rPr>
            <sz val="10"/>
            <rFont val="Arial"/>
            <family val="2"/>
          </rPr>
          <t>Custom column: overwrite these yellow cells to test your own case, then pick Custom on the Dashboard.</t>
        </r>
      </text>
    </comment>
    <comment ref="B13" authorId="0" shapeId="0" xr:uid="{00000000-0006-0000-0200-000001000000}">
      <text>
        <r>
          <rPr>
            <sz val="10"/>
            <rFont val="Arial"/>
            <family val="2"/>
          </rPr>
          <t>Assumption: 2026 Opex budget = 2025 budget x (1 + uplift). Used only for forecast-vs-budget comparison.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4" authorId="0" shapeId="0" xr:uid="{00000000-0006-0000-0300-000001000000}">
      <text>
        <r>
          <rPr>
            <sz val="10"/>
            <rFont val="Arial"/>
            <family val="2"/>
          </rPr>
          <t>Input: number of 2026 months covered by the realised figures. Forecast = YTD / months x 12 (straight-line run rate).</t>
        </r>
      </text>
    </comment>
    <comment ref="F6" authorId="0" shapeId="0" xr:uid="{00000000-0006-0000-0300-000002000000}">
      <text>
        <r>
          <rPr>
            <sz val="10"/>
            <rFont val="Arial"/>
            <family val="2"/>
          </rPr>
          <t>Synthetic 2026 realised savings to end of August, entered as inputs. In live use these come from the savings register each month-end.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H21" authorId="0" shapeId="0" xr:uid="{00000000-0006-0000-0500-000001000000}">
      <text>
        <r>
          <rPr>
            <sz val="10"/>
            <rFont val="Arial"/>
            <family val="2"/>
          </rPr>
          <t>Annual absence days divided by average monthly FTE (FTE summed over 12 months / 12).</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28" authorId="0" shapeId="0" xr:uid="{00000000-0006-0000-0900-000001000000}">
      <text>
        <r>
          <rPr>
            <sz val="10"/>
            <rFont val="Arial"/>
            <family val="2"/>
          </rPr>
          <t>Assumption: differences under 0.1% are timing/rounding and accepted. Change to tighten.</t>
        </r>
      </text>
    </comment>
    <comment ref="B33" authorId="0" shapeId="0" xr:uid="{00000000-0006-0000-0900-000002000000}">
      <text>
        <r>
          <rPr>
            <sz val="10"/>
            <rFont val="Arial"/>
            <family val="2"/>
          </rPr>
          <t>Hardcoded: counted once when the 37-row lookup was rebuilt to 24 rows (13 lower-case duplicates + 1 conflicting CloudLink mapping).</t>
        </r>
      </text>
    </comment>
  </commentList>
</comments>
</file>

<file path=xl/sharedStrings.xml><?xml version="1.0" encoding="utf-8"?>
<sst xmlns="http://schemas.openxmlformats.org/spreadsheetml/2006/main" count="30941" uniqueCount="2603">
  <si>
    <t>CareTech Commercial Analytics &amp; Financial Modelling Capstone (v2)</t>
  </si>
  <si>
    <t>Synthetic data only. No service-user, employee or supplier personal data. Built for the Junior Data Analyst (Commercial) role.</t>
  </si>
  <si>
    <t>Business problem</t>
  </si>
  <si>
    <t>A growing Commercial team receives procurement, fleet, workforce, agency and finance extracts from separate systems. The extracts disagree on naming, carry duplicates and gaps, and are reported by hand. The team needs one trusted view of spend, a savings tracker it can defend, and a 2026 model that shows what pay, agency and sourcing decisions do to EBITDA.</t>
  </si>
  <si>
    <t>Workflow</t>
  </si>
  <si>
    <t>Raw CSV extracts -&gt; VBA consolidation -&gt; Excel Tables -&gt; formula cleansing &amp; DQ flags -&gt; reconciliation -&gt; analysis -&gt; driver-based model -&gt; savings tracker -&gt; interactive dashboard -&gt; VBA refresh &amp; PDF report pack</t>
  </si>
  <si>
    <t>Sheet guide (click to open)</t>
  </si>
  <si>
    <t>Sheet</t>
  </si>
  <si>
    <t>Layer</t>
  </si>
  <si>
    <t>What it shows</t>
  </si>
  <si>
    <t>JD requirement evidenced</t>
  </si>
  <si>
    <t>Dashboard</t>
  </si>
  <si>
    <t>Presentation</t>
  </si>
  <si>
    <t>Interactive executive view: 4 selectors, 15 KPI cards, 4 live insight sentences, 8 charts.</t>
  </si>
  <si>
    <t>Recurring commercial reports; explaining findings to non-analysts</t>
  </si>
  <si>
    <t>Financial_Model</t>
  </si>
  <si>
    <t>Model</t>
  </si>
  <si>
    <t>Driver-based 2026 forecast, 4 scenarios, EBITDA bridge, monthly phasing, budget comparison, two sensitivity grids.</t>
  </si>
  <si>
    <t>Cost models and scenario analysis</t>
  </si>
  <si>
    <t>Savings_Tracker</t>
  </si>
  <si>
    <t>Category targets vs realised YTD, run-rate forecast, RAG status, cross-check to the model.</t>
  </si>
  <si>
    <t>Savings trackers</t>
  </si>
  <si>
    <t>Site_Performance</t>
  </si>
  <si>
    <t>Analysis</t>
  </si>
  <si>
    <t>Budget vs actual Opex and EBITDA margin by site with RAG and ranking.</t>
  </si>
  <si>
    <t>Finance data; variance analysis</t>
  </si>
  <si>
    <t>Ops_Analysis</t>
  </si>
  <si>
    <t>Fleet cost per mile, overtime and absence, agency rates and share of staff cost.</t>
  </si>
  <si>
    <t>Fleet, workforce and agency data</t>
  </si>
  <si>
    <t>Supplier_Analysis</t>
  </si>
  <si>
    <t>Supplier spend, rank, Pareto concentration and contract compliance.</t>
  </si>
  <si>
    <t>Supplier spend analysis</t>
  </si>
  <si>
    <t>Pivot_Analysis</t>
  </si>
  <si>
    <t>Formula cross-tabs by category, region and month.</t>
  </si>
  <si>
    <t>Lookups, pivots and formulas</t>
  </si>
  <si>
    <t>Actual_Pivot</t>
  </si>
  <si>
    <t>Genuine PivotTable on the cleaned table, used to validate the formulas.</t>
  </si>
  <si>
    <t>PivotTables</t>
  </si>
  <si>
    <t>Data_Quality</t>
  </si>
  <si>
    <t>Control</t>
  </si>
  <si>
    <t>Exception counts, treatment rules, reconciliations with PASS/FAIL, live exception log.</t>
  </si>
  <si>
    <t>Cleanse, validate, quality-assure</t>
  </si>
  <si>
    <t>Cleaned_Procurement</t>
  </si>
  <si>
    <t>Transform</t>
  </si>
  <si>
    <t>Formula-cleaned procurement layer: trimmed, standardised, enriched and flagged.</t>
  </si>
  <si>
    <t>Consistency across disparate systems</t>
  </si>
  <si>
    <t>Dash_Calc</t>
  </si>
  <si>
    <t>Engine</t>
  </si>
  <si>
    <t>Filtered measures and chart series behind the Dashboard.</t>
  </si>
  <si>
    <t>Maintainable, auditable build</t>
  </si>
  <si>
    <t>Procurement_Raw ... Finance_Raw</t>
  </si>
  <si>
    <t>Source</t>
  </si>
  <si>
    <t>Untouched source tables (tblProcurement, tblFleet, tblWorkforce, tblAgency, tblFinance).</t>
  </si>
  <si>
    <t>Messy multi-source data</t>
  </si>
  <si>
    <t>Formula_Audit</t>
  </si>
  <si>
    <t>Docs</t>
  </si>
  <si>
    <t>Where each advanced technique is used, with the cell to inspect.</t>
  </si>
  <si>
    <t>Documenting work</t>
  </si>
  <si>
    <t>VBA_Code</t>
  </si>
  <si>
    <t>Macro catalogue, import steps and button setup.</t>
  </si>
  <si>
    <t>Intermediate VBA</t>
  </si>
  <si>
    <t>Methodology</t>
  </si>
  <si>
    <t>Assumptions, GDPR approach, limitations.</t>
  </si>
  <si>
    <t>GDPR-first approach</t>
  </si>
  <si>
    <t>Colour convention</t>
  </si>
  <si>
    <t>Blue text on yellow = input you can change</t>
  </si>
  <si>
    <t>Green text = link to another sheet</t>
  </si>
  <si>
    <t>Black text = calculation (do not overwrite)</t>
  </si>
  <si>
    <t>Five-minute demo</t>
  </si>
  <si>
    <t>1. Dashboard: set Region = Wales, Month = Oct-2025. Every card, chart and sentence updates.</t>
  </si>
  <si>
    <t>2. Switch scenario to Conservative: 2026 EBITDA, the bridge and the scenario chart move together.</t>
  </si>
  <si>
    <t>3. Data_Quality: show the flagged exceptions and the PASS reconciliations to the finance ledger.</t>
  </si>
  <si>
    <t>4. Financial_Model: walk the bridge and the sensitivity grids (payroll matters more than procurement).</t>
  </si>
  <si>
    <t>5. Alt+F8 -&gt; ExportRegionalReportPack: one PDF per region in a few seconds.</t>
  </si>
  <si>
    <t>Last refreshed: run RefreshCommercialModel (Alt+F8) to stamp this line.</t>
  </si>
  <si>
    <t>Region</t>
  </si>
  <si>
    <t>All</t>
  </si>
  <si>
    <t>Category</t>
  </si>
  <si>
    <t>Month</t>
  </si>
  <si>
    <t>2026 scenario</t>
  </si>
  <si>
    <t>Base</t>
  </si>
  <si>
    <t>Pick from the yellow drop-downs. Region, category and month filter the actuals; the scenario drives the 2026 model. Category affects procurement cards and the supplier chart only.</t>
  </si>
  <si>
    <t>FINANCE (region + month filter)</t>
  </si>
  <si>
    <t>Revenue</t>
  </si>
  <si>
    <t>Actual Opex</t>
  </si>
  <si>
    <t>EBITDA</t>
  </si>
  <si>
    <t>EBITDA margin</t>
  </si>
  <si>
    <t>Opex vs budget</t>
  </si>
  <si>
    <t>PROCUREMENT (region + category + month filter)</t>
  </si>
  <si>
    <t>Procurement spend</t>
  </si>
  <si>
    <t>Savings potential</t>
  </si>
  <si>
    <t>Off-contract share</t>
  </si>
  <si>
    <t>Average invoice</t>
  </si>
  <si>
    <t>Data-quality exceptions</t>
  </si>
  <si>
    <t>OPERATIONS (region + month)  &amp;  2026 MODEL (group, scenario)</t>
  </si>
  <si>
    <t>Fleet cost per mile</t>
  </si>
  <si>
    <t>Agency % of staff cost</t>
  </si>
  <si>
    <t>Overtime % of payroll</t>
  </si>
  <si>
    <t>2026 EBITDA</t>
  </si>
  <si>
    <t>2026 EBITDA margin</t>
  </si>
  <si>
    <t>WHAT THE NUMBERS SAY</t>
  </si>
  <si>
    <t>Charts read from Dash_Calc, so they redraw whenever a selector changes. Source logic: Financial_Model, Savings_Tracker, Cleaned_Procurement, raw tables.</t>
  </si>
  <si>
    <t>2026 Driver-Based Financial Model</t>
  </si>
  <si>
    <t>Blue = input, green = link to another sheet, black = calculation. Scenario is chosen on the Dashboard control panel.</t>
  </si>
  <si>
    <t>Selected scenario</t>
  </si>
  <si>
    <t>Driver</t>
  </si>
  <si>
    <t>Conservative</t>
  </si>
  <si>
    <t>Aggressive</t>
  </si>
  <si>
    <t>Custom</t>
  </si>
  <si>
    <t>Selected</t>
  </si>
  <si>
    <t>Savings plan cross-check</t>
  </si>
  <si>
    <t>Revenue growth</t>
  </si>
  <si>
    <t>Top-down: procurement saving in selected scenario</t>
  </si>
  <si>
    <t>Procurement savings</t>
  </si>
  <si>
    <t>Bottom-up: category targets (Savings_Tracker)</t>
  </si>
  <si>
    <t>Agency rate inflation</t>
  </si>
  <si>
    <t>Delivery: full-year forecast (Savings_Tracker)</t>
  </si>
  <si>
    <t>Fleet efficiency</t>
  </si>
  <si>
    <t>Forecast delivery minus model assumption</t>
  </si>
  <si>
    <t>Payroll inflation</t>
  </si>
  <si>
    <t>Other Opex inflation</t>
  </si>
  <si>
    <t>2026 budget uplift on 2025 budget</t>
  </si>
  <si>
    <t>Metric</t>
  </si>
  <si>
    <t>2025 Actual</t>
  </si>
  <si>
    <t>2026 Forecast</t>
  </si>
  <si>
    <t>Change</t>
  </si>
  <si>
    <t>% Change</t>
  </si>
  <si>
    <t>Driver applied</t>
  </si>
  <si>
    <t>x (1 + revenue growth)</t>
  </si>
  <si>
    <t>Procurement</t>
  </si>
  <si>
    <t>x (1 - procurement savings)</t>
  </si>
  <si>
    <t>Agency</t>
  </si>
  <si>
    <t>x (1 + agency rate inflation)</t>
  </si>
  <si>
    <t>Fleet</t>
  </si>
  <si>
    <t>x (1 - fleet efficiency)</t>
  </si>
  <si>
    <t>Payroll</t>
  </si>
  <si>
    <t>x (1 + payroll inflation)</t>
  </si>
  <si>
    <t>Other Opex</t>
  </si>
  <si>
    <t>x (1 + other Opex inflation)</t>
  </si>
  <si>
    <t>Total Opex</t>
  </si>
  <si>
    <t>Budget Opex</t>
  </si>
  <si>
    <t>Opex vs budget (+ = under)</t>
  </si>
  <si>
    <t>Scenario comparison</t>
  </si>
  <si>
    <t>EBITDA vs 2025</t>
  </si>
  <si>
    <t>EBITDA bridge 2025 -&gt; 2026</t>
  </si>
  <si>
    <t>Value</t>
  </si>
  <si>
    <t>Increase</t>
  </si>
  <si>
    <t>Decrease</t>
  </si>
  <si>
    <t>Total</t>
  </si>
  <si>
    <t>Running</t>
  </si>
  <si>
    <t>2025 EBITDA</t>
  </si>
  <si>
    <t>Base/Increase/Decrease/Total feed the stacked-column waterfall on the Dashboard.</t>
  </si>
  <si>
    <t>Month (2026)</t>
  </si>
  <si>
    <t>2025 Revenue</t>
  </si>
  <si>
    <t>2026 Revenue</t>
  </si>
  <si>
    <t>2026 Opex</t>
  </si>
  <si>
    <t>Margin</t>
  </si>
  <si>
    <t>2026 Budget Opex</t>
  </si>
  <si>
    <t>Fcst vs budget</t>
  </si>
  <si>
    <t>FY 2026</t>
  </si>
  <si>
    <t>Sensitivity 1: 2026 EBITDA by revenue growth (rows) and procurement savings (columns); other drivers as selected</t>
  </si>
  <si>
    <t>Sensitivity 2: EBITDA by payroll inflation (rows) and agency rate inflation (columns)</t>
  </si>
  <si>
    <t>Growth \ Savings</t>
  </si>
  <si>
    <t>Payroll \ Agency</t>
  </si>
  <si>
    <t>Commercial Savings Tracker (2026 plan vs delivery)</t>
  </si>
  <si>
    <t>Target = 2025 category spend x target %. Realised YTD values are the monthly input from the savings register (blue cells).</t>
  </si>
  <si>
    <t>Months elapsed (YTD to Aug-2026)</t>
  </si>
  <si>
    <t xml:space="preserve">Status thresholds: On Target &gt;= 100% of target, Watch &gt;= </t>
  </si>
  <si>
    <t>Owner</t>
  </si>
  <si>
    <t>2025 Spend</t>
  </si>
  <si>
    <t>Target %</t>
  </si>
  <si>
    <t>Target saving</t>
  </si>
  <si>
    <t>Realised YTD</t>
  </si>
  <si>
    <t>FY forecast</t>
  </si>
  <si>
    <t>% of target</t>
  </si>
  <si>
    <t>Status</t>
  </si>
  <si>
    <t>Gap to target</t>
  </si>
  <si>
    <t>Medical Supplies</t>
  </si>
  <si>
    <t>Food &amp; Catering</t>
  </si>
  <si>
    <t>Facilities</t>
  </si>
  <si>
    <t>Utilities</t>
  </si>
  <si>
    <t>IT &amp; Telecoms</t>
  </si>
  <si>
    <t>Vehicle &amp; Fuel</t>
  </si>
  <si>
    <t>Agency Labour</t>
  </si>
  <si>
    <t>Office &amp; Training</t>
  </si>
  <si>
    <t>Status count</t>
  </si>
  <si>
    <t>On Target</t>
  </si>
  <si>
    <t>Watch</t>
  </si>
  <si>
    <t>Off Track</t>
  </si>
  <si>
    <t>Site Performance: Budget vs Actual Opex and EBITDA (2025)</t>
  </si>
  <si>
    <t>Variance = Budget - Actual (positive is favourable). RAG thresholds are inputs.</t>
  </si>
  <si>
    <t>SiteID</t>
  </si>
  <si>
    <t>Site</t>
  </si>
  <si>
    <t>Variance</t>
  </si>
  <si>
    <t>Var %</t>
  </si>
  <si>
    <t>Margin rank</t>
  </si>
  <si>
    <t>RAG thresholds</t>
  </si>
  <si>
    <t>Red if overspend worse than</t>
  </si>
  <si>
    <t>Amber if overspend worse than</t>
  </si>
  <si>
    <t>Fleet, Workforce &amp; Agency Analysis (2025, monthly)</t>
  </si>
  <si>
    <t>Unit-cost KPIs that commercial teams track: cost per mile, overtime share, agency share of staff cost, absence per FTE.</t>
  </si>
  <si>
    <t>Miles</t>
  </si>
  <si>
    <t>Fuel cost</t>
  </si>
  <si>
    <t>Total fleet cost</t>
  </si>
  <si>
    <t>Cost / mile</t>
  </si>
  <si>
    <t>FTE</t>
  </si>
  <si>
    <t>Total payroll</t>
  </si>
  <si>
    <t>Overtime cost</t>
  </si>
  <si>
    <t>OT % payroll</t>
  </si>
  <si>
    <t>Absence days</t>
  </si>
  <si>
    <t>Absence / FTE</t>
  </si>
  <si>
    <t>Agency hours</t>
  </si>
  <si>
    <t>Agency spend</t>
  </si>
  <si>
    <t>Avg agency rate</t>
  </si>
  <si>
    <t>Agency % staff cost</t>
  </si>
  <si>
    <t>FY 2025</t>
  </si>
  <si>
    <t>By region</t>
  </si>
  <si>
    <t>Cost per mile by vehicle type</t>
  </si>
  <si>
    <t>Fleet cost</t>
  </si>
  <si>
    <t>Vehicle type</t>
  </si>
  <si>
    <t>Total cost</t>
  </si>
  <si>
    <t>North</t>
  </si>
  <si>
    <t>Car</t>
  </si>
  <si>
    <t>Midlands</t>
  </si>
  <si>
    <t>Van</t>
  </si>
  <si>
    <t>South</t>
  </si>
  <si>
    <t>MPV</t>
  </si>
  <si>
    <t>Wales</t>
  </si>
  <si>
    <t>Minibus</t>
  </si>
  <si>
    <t>Agency rate by agency and role (average £/hour)</t>
  </si>
  <si>
    <t>Registered Nurse</t>
  </si>
  <si>
    <t>Senior Support Worker</t>
  </si>
  <si>
    <t>Support Worker</t>
  </si>
  <si>
    <t>Total spend</t>
  </si>
  <si>
    <t>CareTemps</t>
  </si>
  <si>
    <t>HealthStaffing</t>
  </si>
  <si>
    <t>NurseLink</t>
  </si>
  <si>
    <t>Supplier Spend, Concentration &amp; Contract Compliance (2025)</t>
  </si>
  <si>
    <t>Supplier list is driven by the Supplier_Lookup master; ranking uses RANK and INDEX/MATCH.</t>
  </si>
  <si>
    <t>Supplier</t>
  </si>
  <si>
    <t>Contracted</t>
  </si>
  <si>
    <t>Spend</t>
  </si>
  <si>
    <t>Invoices</t>
  </si>
  <si>
    <t>Avg invoice</t>
  </si>
  <si>
    <t>Share</t>
  </si>
  <si>
    <t>Rank</t>
  </si>
  <si>
    <t>Avg terms (days)</t>
  </si>
  <si>
    <t>Top 10 suppliers (Pareto)</t>
  </si>
  <si>
    <t>Cumulative</t>
  </si>
  <si>
    <t>Findings (live)</t>
  </si>
  <si>
    <t>Unattributed (missing supplier)</t>
  </si>
  <si>
    <t>Pivot-Style Commercial Analysis – Refreshable Formula Summary</t>
  </si>
  <si>
    <t>v2 fix: Contracted spend now reads the real Contracted flag (column M); Wales potential saving no longer errors because NetSpend_Clean is always numeric.</t>
  </si>
  <si>
    <t>Spend by Category</t>
  </si>
  <si>
    <t>% of Total</t>
  </si>
  <si>
    <t>Target Savings</t>
  </si>
  <si>
    <t>Potential Saving</t>
  </si>
  <si>
    <t>Contracted Spend</t>
  </si>
  <si>
    <t>Non-Contracted Spend</t>
  </si>
  <si>
    <t>Spend by Region</t>
  </si>
  <si>
    <t>Avg Invoice</t>
  </si>
  <si>
    <t>Monthly Finance Performance</t>
  </si>
  <si>
    <t>Genuine Excel PivotTable on tblCleanProc (refreshes on open). Use it to cross-check Pivot_Analysis.</t>
  </si>
  <si>
    <t>Filter</t>
  </si>
  <si>
    <t>Data</t>
  </si>
  <si>
    <t>Total Result</t>
  </si>
  <si>
    <t>Sum - NetSpend_Clean</t>
  </si>
  <si>
    <t>Count - InvoiceID</t>
  </si>
  <si>
    <t>Total Sum - NetSpend_Clean</t>
  </si>
  <si>
    <t>Total Count - InvoiceID</t>
  </si>
  <si>
    <t>Data Quality &amp; Reconciliation Controls</t>
  </si>
  <si>
    <t>Every figure is a live formula over the raw and cleaned tables. Source values are never overwritten; issues are flagged, logged and treated.</t>
  </si>
  <si>
    <t>1. Exception summary (procurement)</t>
  </si>
  <si>
    <t>5. Exception log (first 12 exceptions, live)</t>
  </si>
  <si>
    <t>Flag</t>
  </si>
  <si>
    <t>Records</t>
  </si>
  <si>
    <t>Spend affected</t>
  </si>
  <si>
    <t>Treatment</t>
  </si>
  <si>
    <t>#</t>
  </si>
  <si>
    <t>InvoiceID</t>
  </si>
  <si>
    <t>Date</t>
  </si>
  <si>
    <t>GrossSpend</t>
  </si>
  <si>
    <t>Missing supplier</t>
  </si>
  <si>
    <t>Spend retained; supplier shown as blank. Chase AP for supplier master record.</t>
  </si>
  <si>
    <t>Missing site</t>
  </si>
  <si>
    <t>Spend retained at company level; excluded from site analysis. Confirm cost centre.</t>
  </si>
  <si>
    <t>Missing spend</t>
  </si>
  <si>
    <t>Excluded (value unknown). Request invoice copy from source system.</t>
  </si>
  <si>
    <t>Duplicate invoice</t>
  </si>
  <si>
    <t>Same ID + supplier + amount. Second occurrence excluded from spend.</t>
  </si>
  <si>
    <t>Duplicate ID - review</t>
  </si>
  <si>
    <t>Same ID, different supplier/amount: likely ID collision, both retained and referred.</t>
  </si>
  <si>
    <t>Category mismatch</t>
  </si>
  <si>
    <t>Invoice category differs from supplier master. Retained as invoiced, referred to category owner.</t>
  </si>
  <si>
    <t>OK</t>
  </si>
  <si>
    <t>Passed all checks.</t>
  </si>
  <si>
    <t>Total records</t>
  </si>
  <si>
    <t>Exception rate</t>
  </si>
  <si>
    <t>2. Reconciliation: raw -&gt; cleaned -&gt; finance ledger</t>
  </si>
  <si>
    <t>Check</t>
  </si>
  <si>
    <t>Compare to</t>
  </si>
  <si>
    <t>Raw procurement rows</t>
  </si>
  <si>
    <t>Raw GrossSpend total</t>
  </si>
  <si>
    <t>Less: excluded duplicates</t>
  </si>
  <si>
    <t>Cleaned NetSpend total</t>
  </si>
  <si>
    <t>Procurement per finance ledger</t>
  </si>
  <si>
    <t>Fleet: Fleet_Raw vs ledger</t>
  </si>
  <si>
    <t>Agency: Agency_Raw vs ledger</t>
  </si>
  <si>
    <t>Payroll: Workforce_Raw vs ledger</t>
  </si>
  <si>
    <t>Opex: components vs ActualOpex</t>
  </si>
  <si>
    <t>Reconciliation tolerance</t>
  </si>
  <si>
    <t>3. Standardisation</t>
  </si>
  <si>
    <t>Invoices with supplier/category casing or whitespace corrected</t>
  </si>
  <si>
    <t>Invoices whose supplier is not in the master</t>
  </si>
  <si>
    <t>Supplier master rows removed (duplicates / conflicts)</t>
  </si>
  <si>
    <t>4. Completeness of key raw fields</t>
  </si>
  <si>
    <t>Field</t>
  </si>
  <si>
    <t>Blank values</t>
  </si>
  <si>
    <t>Completeness</t>
  </si>
  <si>
    <t>InvoiceDate</t>
  </si>
  <si>
    <t>SiteName</t>
  </si>
  <si>
    <t>Quantity</t>
  </si>
  <si>
    <t>UnitCost</t>
  </si>
  <si>
    <t>PaymentTermsDays</t>
  </si>
  <si>
    <t>SourceSystem</t>
  </si>
  <si>
    <t>DataQualityFlag</t>
  </si>
  <si>
    <t>NetSpend_Clean</t>
  </si>
  <si>
    <t>Supplier_Category_Lookup</t>
  </si>
  <si>
    <t>Savings_Target</t>
  </si>
  <si>
    <t>Potential_Saving</t>
  </si>
  <si>
    <t>Town</t>
  </si>
  <si>
    <t>ExceptionNo</t>
  </si>
  <si>
    <t>StandardisedFlag</t>
  </si>
  <si>
    <t>VAT</t>
  </si>
  <si>
    <t>NetSpend</t>
  </si>
  <si>
    <t>S006</t>
  </si>
  <si>
    <t>Birmingham Care &amp; Education Centre</t>
  </si>
  <si>
    <t>freshserve</t>
  </si>
  <si>
    <t>INV-2025-00001</t>
  </si>
  <si>
    <t>ERP</t>
  </si>
  <si>
    <t>Y</t>
  </si>
  <si>
    <t>S008</t>
  </si>
  <si>
    <t>Leicester Care &amp; Education Centre</t>
  </si>
  <si>
    <t>KitchenPro</t>
  </si>
  <si>
    <t>INV-2025-00002</t>
  </si>
  <si>
    <t>Procurement Portal</t>
  </si>
  <si>
    <t>N</t>
  </si>
  <si>
    <t>S009</t>
  </si>
  <si>
    <t>Derby Care &amp; Education Centre</t>
  </si>
  <si>
    <t>MediSure</t>
  </si>
  <si>
    <t>INV-2025-00003</t>
  </si>
  <si>
    <t>Legacy Spend File</t>
  </si>
  <si>
    <t>PowerDirect</t>
  </si>
  <si>
    <t>INV-2025-00004</t>
  </si>
  <si>
    <t>S016</t>
  </si>
  <si>
    <t>Cardiff Care &amp; Education Centre</t>
  </si>
  <si>
    <t>CloudLink</t>
  </si>
  <si>
    <t>INV-2025-00005</t>
  </si>
  <si>
    <t>S013</t>
  </si>
  <si>
    <t>Reading Care &amp; Education Centre</t>
  </si>
  <si>
    <t>WaterGrid</t>
  </si>
  <si>
    <t>INV-2025-00006</t>
  </si>
  <si>
    <t>S005</t>
  </si>
  <si>
    <t>Sheffield Care &amp; Education Centre</t>
  </si>
  <si>
    <t>AutoCare</t>
  </si>
  <si>
    <t>INV-2025-00007</t>
  </si>
  <si>
    <t>S004</t>
  </si>
  <si>
    <t>Newcastle Care &amp; Education Centre</t>
  </si>
  <si>
    <t>NourishCo</t>
  </si>
  <si>
    <t>INV-2025-00008</t>
  </si>
  <si>
    <t>S017</t>
  </si>
  <si>
    <t>Swansea Care &amp; Education Centre</t>
  </si>
  <si>
    <t>INV-2025-00009</t>
  </si>
  <si>
    <t>S015</t>
  </si>
  <si>
    <t>Brighton Care &amp; Education Centre</t>
  </si>
  <si>
    <t>INV-2025-00010</t>
  </si>
  <si>
    <t>FleetFuel</t>
  </si>
  <si>
    <t>INV-2025-00011</t>
  </si>
  <si>
    <t>S019</t>
  </si>
  <si>
    <t>Wrexham Care &amp; Education Centre</t>
  </si>
  <si>
    <t>INV-2025-00012</t>
  </si>
  <si>
    <t>SafeGuard FM</t>
  </si>
  <si>
    <t>INV-2025-00013</t>
  </si>
  <si>
    <t>S014</t>
  </si>
  <si>
    <t>Southampton Care &amp; Education Centre</t>
  </si>
  <si>
    <t>INV-2025-00014</t>
  </si>
  <si>
    <t>S007</t>
  </si>
  <si>
    <t>Nottingham Care &amp; Education Centre</t>
  </si>
  <si>
    <t>INV-2025-00015</t>
  </si>
  <si>
    <t>INV-2025-00016</t>
  </si>
  <si>
    <t>S001</t>
  </si>
  <si>
    <t>Preston Care &amp; Education Centre</t>
  </si>
  <si>
    <t>INV-2025-00017</t>
  </si>
  <si>
    <t>S020</t>
  </si>
  <si>
    <t>Bangor Care &amp; Education Centre</t>
  </si>
  <si>
    <t>INV-2025-00018</t>
  </si>
  <si>
    <t>OfficePlus</t>
  </si>
  <si>
    <t>INV-2025-00019</t>
  </si>
  <si>
    <t>S018</t>
  </si>
  <si>
    <t>Newport Care &amp; Education Centre</t>
  </si>
  <si>
    <t>INV-2025-00020</t>
  </si>
  <si>
    <t>S002</t>
  </si>
  <si>
    <t>Manchester Care &amp; Education Centre</t>
  </si>
  <si>
    <t>NetServe</t>
  </si>
  <si>
    <t>INV-2025-00021</t>
  </si>
  <si>
    <t>INV-2025-00022</t>
  </si>
  <si>
    <t>S012</t>
  </si>
  <si>
    <t>Bristol Care &amp; Education Centre</t>
  </si>
  <si>
    <t>INV-2025-00023</t>
  </si>
  <si>
    <t>S010</t>
  </si>
  <si>
    <t>Coventry Care &amp; Education Centre</t>
  </si>
  <si>
    <t>INV-2025-00024</t>
  </si>
  <si>
    <t>BuildCare</t>
  </si>
  <si>
    <t>INV-2025-00025</t>
  </si>
  <si>
    <t>INV-2025-00026</t>
  </si>
  <si>
    <t>FreshServe</t>
  </si>
  <si>
    <t>INV-2025-00027</t>
  </si>
  <si>
    <t>PrintCo</t>
  </si>
  <si>
    <t>INV-2025-00028</t>
  </si>
  <si>
    <t>INV-2025-00029</t>
  </si>
  <si>
    <t>RoadReady</t>
  </si>
  <si>
    <t>INV-2025-00030</t>
  </si>
  <si>
    <t>INV-2025-00031</t>
  </si>
  <si>
    <t>UK Energy Partners</t>
  </si>
  <si>
    <t>INV-2025-00032</t>
  </si>
  <si>
    <t>INV-2025-00033</t>
  </si>
  <si>
    <t>INV-2025-00034</t>
  </si>
  <si>
    <t>LearnWell</t>
  </si>
  <si>
    <t>INV-2025-00035</t>
  </si>
  <si>
    <t>INV-2025-00036</t>
  </si>
  <si>
    <t>INV-2025-00037</t>
  </si>
  <si>
    <t>S003</t>
  </si>
  <si>
    <t>Leeds Care &amp; Education Centre</t>
  </si>
  <si>
    <t>INV-2025-00038</t>
  </si>
  <si>
    <t>INV-2025-00039</t>
  </si>
  <si>
    <t>INV-2025-00040</t>
  </si>
  <si>
    <t>INV-2025-00041</t>
  </si>
  <si>
    <t>TeleCare IT</t>
  </si>
  <si>
    <t>INV-2025-00042</t>
  </si>
  <si>
    <t>INV-2025-00043</t>
  </si>
  <si>
    <t>ClinEquip</t>
  </si>
  <si>
    <t>INV-2025-00044</t>
  </si>
  <si>
    <t>CleanWorks</t>
  </si>
  <si>
    <t>INV-2025-00045</t>
  </si>
  <si>
    <t>INV-2025-00046</t>
  </si>
  <si>
    <t>INV-2025-00047</t>
  </si>
  <si>
    <t>INV-2025-00048</t>
  </si>
  <si>
    <t>INV-2025-00049</t>
  </si>
  <si>
    <t>INV-2025-00050</t>
  </si>
  <si>
    <t>INV-2025-00051</t>
  </si>
  <si>
    <t>INV-2025-00052</t>
  </si>
  <si>
    <t>INV-2025-00053</t>
  </si>
  <si>
    <t>INV-2025-00054</t>
  </si>
  <si>
    <t>INV-2025-00055</t>
  </si>
  <si>
    <t>INV-2025-00056</t>
  </si>
  <si>
    <t>INV-2025-00057</t>
  </si>
  <si>
    <t>INV-2025-00058</t>
  </si>
  <si>
    <t>INV-2025-00059</t>
  </si>
  <si>
    <t>INV-2025-00060</t>
  </si>
  <si>
    <t>INV-2025-00061</t>
  </si>
  <si>
    <t>INV-2025-00062</t>
  </si>
  <si>
    <t>INV-2025-00063</t>
  </si>
  <si>
    <t>INV-2025-00064</t>
  </si>
  <si>
    <t>INV-2025-00065</t>
  </si>
  <si>
    <t>INV-2025-00066</t>
  </si>
  <si>
    <t>INV-2025-00067</t>
  </si>
  <si>
    <t>INV-2025-00068</t>
  </si>
  <si>
    <t>INV-2025-00069</t>
  </si>
  <si>
    <t>INV-2025-00070</t>
  </si>
  <si>
    <t>INV-2025-00071</t>
  </si>
  <si>
    <t>INV-2025-00072</t>
  </si>
  <si>
    <t>INV-2025-00073</t>
  </si>
  <si>
    <t>INV-2025-00074</t>
  </si>
  <si>
    <t>INV-2025-00075</t>
  </si>
  <si>
    <t>INV-2025-00076</t>
  </si>
  <si>
    <t>INV-2025-00077</t>
  </si>
  <si>
    <t>INV-2025-00078</t>
  </si>
  <si>
    <t>INV-2025-00079</t>
  </si>
  <si>
    <t>INV-2025-00080</t>
  </si>
  <si>
    <t>INV-2025-00081</t>
  </si>
  <si>
    <t>INV-2025-00082</t>
  </si>
  <si>
    <t>INV-2025-00083</t>
  </si>
  <si>
    <t>INV-2025-00084</t>
  </si>
  <si>
    <t>INV-2025-00085</t>
  </si>
  <si>
    <t>INV-2025-00086</t>
  </si>
  <si>
    <t>INV-2025-00087</t>
  </si>
  <si>
    <t>INV-2025-00088</t>
  </si>
  <si>
    <t>INV-2025-00089</t>
  </si>
  <si>
    <t>S011</t>
  </si>
  <si>
    <t>London Care &amp; Education Centre</t>
  </si>
  <si>
    <t>INV-2025-00090</t>
  </si>
  <si>
    <t>INV-2025-00091</t>
  </si>
  <si>
    <t>INV-2025-00092</t>
  </si>
  <si>
    <t>INV-2025-00093</t>
  </si>
  <si>
    <t>INV-2025-00094</t>
  </si>
  <si>
    <t>INV-2025-00095</t>
  </si>
  <si>
    <t>CareMed</t>
  </si>
  <si>
    <t>INV-2025-00096</t>
  </si>
  <si>
    <t>INV-2025-00097</t>
  </si>
  <si>
    <t>INV-2025-00098</t>
  </si>
  <si>
    <t>INV-2025-00099</t>
  </si>
  <si>
    <t>INV-2025-00100</t>
  </si>
  <si>
    <t>INV-2025-00101</t>
  </si>
  <si>
    <t>INV-2025-00102</t>
  </si>
  <si>
    <t>INV-2025-00103</t>
  </si>
  <si>
    <t>INV-2025-00104</t>
  </si>
  <si>
    <t>INV-2025-00105</t>
  </si>
  <si>
    <t>INV-2025-00106</t>
  </si>
  <si>
    <t>INV-2025-00107</t>
  </si>
  <si>
    <t>INV-2025-00108</t>
  </si>
  <si>
    <t>INV-2025-00109</t>
  </si>
  <si>
    <t>INV-2025-00110</t>
  </si>
  <si>
    <t>INV-2025-00111</t>
  </si>
  <si>
    <t>INV-2025-00112</t>
  </si>
  <si>
    <t>INV-2025-00113</t>
  </si>
  <si>
    <t>INV-2025-00114</t>
  </si>
  <si>
    <t>INV-2025-00115</t>
  </si>
  <si>
    <t>INV-2025-00116</t>
  </si>
  <si>
    <t>INV-2025-00117</t>
  </si>
  <si>
    <t>INV-2025-00118</t>
  </si>
  <si>
    <t>INV-2025-00119</t>
  </si>
  <si>
    <t>INV-2025-00120</t>
  </si>
  <si>
    <t>INV-2025-00121</t>
  </si>
  <si>
    <t>INV-2025-00122</t>
  </si>
  <si>
    <t>INV-2025-00123</t>
  </si>
  <si>
    <t>INV-2025-00124</t>
  </si>
  <si>
    <t>INV-2025-00125</t>
  </si>
  <si>
    <t>INV-2025-00126</t>
  </si>
  <si>
    <t>INV-2025-00127</t>
  </si>
  <si>
    <t>INV-2025-00128</t>
  </si>
  <si>
    <t>INV-2025-00129</t>
  </si>
  <si>
    <t>INV-2025-00130</t>
  </si>
  <si>
    <t>INV-2025-00131</t>
  </si>
  <si>
    <t>INV-2025-00132</t>
  </si>
  <si>
    <t>INV-2025-00133</t>
  </si>
  <si>
    <t>INV-2025-00134</t>
  </si>
  <si>
    <t>INV-2025-00135</t>
  </si>
  <si>
    <t>INV-2025-00136</t>
  </si>
  <si>
    <t>INV-2025-00137</t>
  </si>
  <si>
    <t>officeplus</t>
  </si>
  <si>
    <t>INV-2025-00138</t>
  </si>
  <si>
    <t>INV-2025-00139</t>
  </si>
  <si>
    <t>INV-2025-00140</t>
  </si>
  <si>
    <t>INV-2025-00141</t>
  </si>
  <si>
    <t>INV-2025-00142</t>
  </si>
  <si>
    <t>INV-2025-00143</t>
  </si>
  <si>
    <t>INV-2025-00144</t>
  </si>
  <si>
    <t>INV-2025-00145</t>
  </si>
  <si>
    <t>INV-2025-00146</t>
  </si>
  <si>
    <t>INV-2025-00147</t>
  </si>
  <si>
    <t>INV-2025-00148</t>
  </si>
  <si>
    <t>INV-2025-00149</t>
  </si>
  <si>
    <t>INV-2025-00150</t>
  </si>
  <si>
    <t>INV-2025-00151</t>
  </si>
  <si>
    <t>INV-2025-00152</t>
  </si>
  <si>
    <t>INV-2025-00153</t>
  </si>
  <si>
    <t>INV-2025-00154</t>
  </si>
  <si>
    <t>INV-2025-00155</t>
  </si>
  <si>
    <t>INV-2025-00156</t>
  </si>
  <si>
    <t>INV-2025-00157</t>
  </si>
  <si>
    <t>INV-2025-00158</t>
  </si>
  <si>
    <t>INV-2025-00159</t>
  </si>
  <si>
    <t>INV-2025-00160</t>
  </si>
  <si>
    <t>INV-2025-00161</t>
  </si>
  <si>
    <t>INV-2025-00162</t>
  </si>
  <si>
    <t>INV-2025-00163</t>
  </si>
  <si>
    <t>INV-2025-00164</t>
  </si>
  <si>
    <t>INV-2025-00165</t>
  </si>
  <si>
    <t>INV-2025-00166</t>
  </si>
  <si>
    <t>INV-2025-00167</t>
  </si>
  <si>
    <t>INV-2025-00168</t>
  </si>
  <si>
    <t>INV-2025-00169</t>
  </si>
  <si>
    <t>INV-2025-00170</t>
  </si>
  <si>
    <t>INV-2025-00171</t>
  </si>
  <si>
    <t>INV-2025-00172</t>
  </si>
  <si>
    <t>INV-2025-00173</t>
  </si>
  <si>
    <t>INV-2025-00174</t>
  </si>
  <si>
    <t>INV-2025-00175</t>
  </si>
  <si>
    <t>INV-2025-00176</t>
  </si>
  <si>
    <t>INV-2025-00177</t>
  </si>
  <si>
    <t>INV-2025-00178</t>
  </si>
  <si>
    <t>INV-2025-00179</t>
  </si>
  <si>
    <t>INV-2025-00180</t>
  </si>
  <si>
    <t>INV-2025-00181</t>
  </si>
  <si>
    <t>INV-2025-00182</t>
  </si>
  <si>
    <t>INV-2025-00183</t>
  </si>
  <si>
    <t>INV-2025-00184</t>
  </si>
  <si>
    <t>INV-2025-00185</t>
  </si>
  <si>
    <t>INV-2025-00186</t>
  </si>
  <si>
    <t>INV-2025-00187</t>
  </si>
  <si>
    <t>INV-2025-00188</t>
  </si>
  <si>
    <t>INV-2025-00189</t>
  </si>
  <si>
    <t>INV-2025-00190</t>
  </si>
  <si>
    <t>INV-2025-00191</t>
  </si>
  <si>
    <t>INV-2025-00192</t>
  </si>
  <si>
    <t>INV-2025-00193</t>
  </si>
  <si>
    <t>INV-2025-00194</t>
  </si>
  <si>
    <t>INV-2025-00195</t>
  </si>
  <si>
    <t>INV-2025-00196</t>
  </si>
  <si>
    <t>INV-2025-00197</t>
  </si>
  <si>
    <t>INV-2025-00198</t>
  </si>
  <si>
    <t>INV-2025-00199</t>
  </si>
  <si>
    <t>INV-2025-00200</t>
  </si>
  <si>
    <t>INV-2025-00201</t>
  </si>
  <si>
    <t>INV-2025-00202</t>
  </si>
  <si>
    <t>INV-2025-00203</t>
  </si>
  <si>
    <t>INV-2025-00204</t>
  </si>
  <si>
    <t>INV-2025-00205</t>
  </si>
  <si>
    <t>INV-2025-00206</t>
  </si>
  <si>
    <t>INV-2025-00207</t>
  </si>
  <si>
    <t>INV-2025-00208</t>
  </si>
  <si>
    <t>INV-2025-00209</t>
  </si>
  <si>
    <t>INV-2025-00210</t>
  </si>
  <si>
    <t>INV-2025-00211</t>
  </si>
  <si>
    <t>INV-2025-00212</t>
  </si>
  <si>
    <t>INV-2025-00213</t>
  </si>
  <si>
    <t>INV-2025-00214</t>
  </si>
  <si>
    <t>INV-2025-00215</t>
  </si>
  <si>
    <t>INV-2025-00216</t>
  </si>
  <si>
    <t>INV-2025-00217</t>
  </si>
  <si>
    <t>INV-2025-00218</t>
  </si>
  <si>
    <t>INV-2025-00219</t>
  </si>
  <si>
    <t>INV-2025-00220</t>
  </si>
  <si>
    <t>INV-2025-00221</t>
  </si>
  <si>
    <t>INV-2025-00222</t>
  </si>
  <si>
    <t>INV-2025-00223</t>
  </si>
  <si>
    <t>INV-2025-00224</t>
  </si>
  <si>
    <t>INV-2025-00225</t>
  </si>
  <si>
    <t>INV-2025-00226</t>
  </si>
  <si>
    <t>INV-2025-00227</t>
  </si>
  <si>
    <t>INV-2025-00228</t>
  </si>
  <si>
    <t>INV-2025-00229</t>
  </si>
  <si>
    <t>INV-2025-00230</t>
  </si>
  <si>
    <t>INV-2025-00231</t>
  </si>
  <si>
    <t>INV-2025-00232</t>
  </si>
  <si>
    <t>INV-2025-00233</t>
  </si>
  <si>
    <t>INV-2025-00234</t>
  </si>
  <si>
    <t>INV-2025-00235</t>
  </si>
  <si>
    <t>INV-2025-00236</t>
  </si>
  <si>
    <t>INV-2025-00237</t>
  </si>
  <si>
    <t>INV-2025-00238</t>
  </si>
  <si>
    <t>INV-2025-00239</t>
  </si>
  <si>
    <t>INV-2025-00240</t>
  </si>
  <si>
    <t>INV-2025-00241</t>
  </si>
  <si>
    <t>INV-2025-00242</t>
  </si>
  <si>
    <t>INV-2025-00243</t>
  </si>
  <si>
    <t>INV-2025-00244</t>
  </si>
  <si>
    <t>INV-2025-00245</t>
  </si>
  <si>
    <t>INV-2025-00246</t>
  </si>
  <si>
    <t>INV-2025-00247</t>
  </si>
  <si>
    <t>INV-2025-00248</t>
  </si>
  <si>
    <t>INV-2025-00249</t>
  </si>
  <si>
    <t>INV-2025-00250</t>
  </si>
  <si>
    <t>INV-2025-00252</t>
  </si>
  <si>
    <t>INV-2025-00253</t>
  </si>
  <si>
    <t>INV-2025-00254</t>
  </si>
  <si>
    <t>INV-2025-00255</t>
  </si>
  <si>
    <t>INV-2025-00256</t>
  </si>
  <si>
    <t>INV-2025-00257</t>
  </si>
  <si>
    <t>INV-2025-00258</t>
  </si>
  <si>
    <t>INV-2025-00259</t>
  </si>
  <si>
    <t>INV-2025-00260</t>
  </si>
  <si>
    <t>INV-2025-00261</t>
  </si>
  <si>
    <t>INV-2025-00262</t>
  </si>
  <si>
    <t>INV-2025-00263</t>
  </si>
  <si>
    <t>INV-2025-00264</t>
  </si>
  <si>
    <t>INV-2025-00265</t>
  </si>
  <si>
    <t>INV-2025-00266</t>
  </si>
  <si>
    <t>INV-2025-00267</t>
  </si>
  <si>
    <t>INV-2025-00268</t>
  </si>
  <si>
    <t>INV-2025-00269</t>
  </si>
  <si>
    <t>INV-2025-00270</t>
  </si>
  <si>
    <t>INV-2025-00271</t>
  </si>
  <si>
    <t>INV-2025-00272</t>
  </si>
  <si>
    <t>INV-2025-00273</t>
  </si>
  <si>
    <t>INV-2025-00274</t>
  </si>
  <si>
    <t>netserve</t>
  </si>
  <si>
    <t>INV-2025-00275</t>
  </si>
  <si>
    <t>INV-2025-00276</t>
  </si>
  <si>
    <t>INV-2025-00277</t>
  </si>
  <si>
    <t>INV-2025-00278</t>
  </si>
  <si>
    <t>INV-2025-00279</t>
  </si>
  <si>
    <t>INV-2025-00280</t>
  </si>
  <si>
    <t>INV-2025-00281</t>
  </si>
  <si>
    <t>INV-2025-00282</t>
  </si>
  <si>
    <t>INV-2025-00283</t>
  </si>
  <si>
    <t>INV-2025-00284</t>
  </si>
  <si>
    <t>INV-2025-00285</t>
  </si>
  <si>
    <t>INV-2025-00286</t>
  </si>
  <si>
    <t>INV-2025-00287</t>
  </si>
  <si>
    <t>INV-2025-00288</t>
  </si>
  <si>
    <t>INV-2025-00289</t>
  </si>
  <si>
    <t>INV-2025-00290</t>
  </si>
  <si>
    <t>INV-2025-00291</t>
  </si>
  <si>
    <t>INV-2025-00292</t>
  </si>
  <si>
    <t>INV-2025-00293</t>
  </si>
  <si>
    <t>INV-2025-00294</t>
  </si>
  <si>
    <t>INV-2025-00295</t>
  </si>
  <si>
    <t>INV-2025-00296</t>
  </si>
  <si>
    <t>INV-2025-00297</t>
  </si>
  <si>
    <t>INV-2025-00298</t>
  </si>
  <si>
    <t>INV-2025-00299</t>
  </si>
  <si>
    <t>INV-2025-00300</t>
  </si>
  <si>
    <t>INV-2025-00301</t>
  </si>
  <si>
    <t>INV-2025-00302</t>
  </si>
  <si>
    <t>INV-2025-00303</t>
  </si>
  <si>
    <t>INV-2025-00304</t>
  </si>
  <si>
    <t>INV-2025-00305</t>
  </si>
  <si>
    <t>INV-2025-00306</t>
  </si>
  <si>
    <t>INV-2025-00307</t>
  </si>
  <si>
    <t>INV-2025-00308</t>
  </si>
  <si>
    <t>INV-2025-00309</t>
  </si>
  <si>
    <t>INV-2025-00310</t>
  </si>
  <si>
    <t>INV-2025-00311</t>
  </si>
  <si>
    <t>INV-2025-00312</t>
  </si>
  <si>
    <t>INV-2025-00313</t>
  </si>
  <si>
    <t>INV-2025-00314</t>
  </si>
  <si>
    <t>INV-2025-00315</t>
  </si>
  <si>
    <t>INV-2025-00316</t>
  </si>
  <si>
    <t>INV-2025-00317</t>
  </si>
  <si>
    <t>INV-2025-00318</t>
  </si>
  <si>
    <t>INV-2025-00319</t>
  </si>
  <si>
    <t>INV-2025-00320</t>
  </si>
  <si>
    <t>INV-2025-00321</t>
  </si>
  <si>
    <t>INV-2025-00322</t>
  </si>
  <si>
    <t>INV-2025-00323</t>
  </si>
  <si>
    <t>INV-2025-00324</t>
  </si>
  <si>
    <t>INV-2025-00325</t>
  </si>
  <si>
    <t>INV-2025-00326</t>
  </si>
  <si>
    <t>INV-2025-00327</t>
  </si>
  <si>
    <t>INV-2025-00328</t>
  </si>
  <si>
    <t>INV-2025-00329</t>
  </si>
  <si>
    <t>INV-2025-00330</t>
  </si>
  <si>
    <t>INV-2025-00331</t>
  </si>
  <si>
    <t>INV-2025-00332</t>
  </si>
  <si>
    <t>INV-2025-00333</t>
  </si>
  <si>
    <t>INV-2025-00334</t>
  </si>
  <si>
    <t>INV-2025-00335</t>
  </si>
  <si>
    <t>INV-2025-00336</t>
  </si>
  <si>
    <t>INV-2025-00337</t>
  </si>
  <si>
    <t>INV-2025-00338</t>
  </si>
  <si>
    <t>INV-2025-00339</t>
  </si>
  <si>
    <t>INV-2025-00340</t>
  </si>
  <si>
    <t>INV-2025-00341</t>
  </si>
  <si>
    <t>INV-2025-00342</t>
  </si>
  <si>
    <t>INV-2025-00343</t>
  </si>
  <si>
    <t>INV-2025-00344</t>
  </si>
  <si>
    <t>INV-2025-00345</t>
  </si>
  <si>
    <t>INV-2025-00346</t>
  </si>
  <si>
    <t>INV-2025-00347</t>
  </si>
  <si>
    <t>INV-2025-00348</t>
  </si>
  <si>
    <t>INV-2025-00349</t>
  </si>
  <si>
    <t>INV-2025-00350</t>
  </si>
  <si>
    <t>INV-2025-00351</t>
  </si>
  <si>
    <t>INV-2025-00352</t>
  </si>
  <si>
    <t>INV-2025-00353</t>
  </si>
  <si>
    <t>INV-2025-00354</t>
  </si>
  <si>
    <t>INV-2025-00355</t>
  </si>
  <si>
    <t>INV-2025-00356</t>
  </si>
  <si>
    <t>INV-2025-00357</t>
  </si>
  <si>
    <t>INV-2025-00358</t>
  </si>
  <si>
    <t>INV-2025-00359</t>
  </si>
  <si>
    <t>INV-2025-00360</t>
  </si>
  <si>
    <t>INV-2025-00361</t>
  </si>
  <si>
    <t>INV-2025-00362</t>
  </si>
  <si>
    <t>INV-2025-00363</t>
  </si>
  <si>
    <t>INV-2025-00364</t>
  </si>
  <si>
    <t>INV-2025-00365</t>
  </si>
  <si>
    <t>INV-2025-00366</t>
  </si>
  <si>
    <t>INV-2025-00367</t>
  </si>
  <si>
    <t>INV-2025-00368</t>
  </si>
  <si>
    <t>INV-2025-00369</t>
  </si>
  <si>
    <t>INV-2025-00370</t>
  </si>
  <si>
    <t>INV-2025-00371</t>
  </si>
  <si>
    <t>INV-2025-00372</t>
  </si>
  <si>
    <t>INV-2025-00373</t>
  </si>
  <si>
    <t>INV-2025-00374</t>
  </si>
  <si>
    <t>INV-2025-00375</t>
  </si>
  <si>
    <t>INV-2025-00376</t>
  </si>
  <si>
    <t>INV-2025-00377</t>
  </si>
  <si>
    <t>INV-2025-00378</t>
  </si>
  <si>
    <t>INV-2025-00379</t>
  </si>
  <si>
    <t>INV-2025-00380</t>
  </si>
  <si>
    <t>INV-2025-00381</t>
  </si>
  <si>
    <t>INV-2025-00382</t>
  </si>
  <si>
    <t>INV-2025-00383</t>
  </si>
  <si>
    <t>INV-2025-00384</t>
  </si>
  <si>
    <t>INV-2025-00385</t>
  </si>
  <si>
    <t>INV-2025-00386</t>
  </si>
  <si>
    <t>INV-2025-00387</t>
  </si>
  <si>
    <t>INV-2025-00388</t>
  </si>
  <si>
    <t>INV-2025-00389</t>
  </si>
  <si>
    <t>INV-2025-00390</t>
  </si>
  <si>
    <t>INV-2025-00391</t>
  </si>
  <si>
    <t>INV-2025-00392</t>
  </si>
  <si>
    <t>INV-2025-00393</t>
  </si>
  <si>
    <t>INV-2025-00394</t>
  </si>
  <si>
    <t>INV-2025-00395</t>
  </si>
  <si>
    <t>INV-2025-00396</t>
  </si>
  <si>
    <t>INV-2025-00397</t>
  </si>
  <si>
    <t>INV-2025-00398</t>
  </si>
  <si>
    <t>INV-2025-00399</t>
  </si>
  <si>
    <t>INV-2025-00400</t>
  </si>
  <si>
    <t>INV-2025-00401</t>
  </si>
  <si>
    <t>INV-2025-00402</t>
  </si>
  <si>
    <t>INV-2025-00403</t>
  </si>
  <si>
    <t>INV-2025-00404</t>
  </si>
  <si>
    <t>INV-2025-00405</t>
  </si>
  <si>
    <t>INV-2025-00406</t>
  </si>
  <si>
    <t>INV-2025-00407</t>
  </si>
  <si>
    <t>INV-2025-00408</t>
  </si>
  <si>
    <t>INV-2025-00409</t>
  </si>
  <si>
    <t>INV-2025-00410</t>
  </si>
  <si>
    <t>INV-2025-00411</t>
  </si>
  <si>
    <t>telecare it</t>
  </si>
  <si>
    <t>INV-2025-00412</t>
  </si>
  <si>
    <t>INV-2025-00413</t>
  </si>
  <si>
    <t>INV-2025-00414</t>
  </si>
  <si>
    <t>INV-2025-00415</t>
  </si>
  <si>
    <t>INV-2025-00416</t>
  </si>
  <si>
    <t>INV-2025-00417</t>
  </si>
  <si>
    <t>INV-2025-00418</t>
  </si>
  <si>
    <t>INV-2025-00419</t>
  </si>
  <si>
    <t>INV-2025-00420</t>
  </si>
  <si>
    <t>INV-2025-00421</t>
  </si>
  <si>
    <t>INV-2025-00422</t>
  </si>
  <si>
    <t>INV-2025-00423</t>
  </si>
  <si>
    <t>INV-2025-00424</t>
  </si>
  <si>
    <t>INV-2025-00425</t>
  </si>
  <si>
    <t>INV-2025-00426</t>
  </si>
  <si>
    <t>INV-2025-00427</t>
  </si>
  <si>
    <t>INV-2025-00428</t>
  </si>
  <si>
    <t>INV-2025-00429</t>
  </si>
  <si>
    <t>INV-2025-00430</t>
  </si>
  <si>
    <t>INV-2025-00431</t>
  </si>
  <si>
    <t>INV-2025-00432</t>
  </si>
  <si>
    <t>INV-2025-00433</t>
  </si>
  <si>
    <t>INV-2025-00434</t>
  </si>
  <si>
    <t>INV-2025-00435</t>
  </si>
  <si>
    <t>INV-2025-00436</t>
  </si>
  <si>
    <t>INV-2025-00437</t>
  </si>
  <si>
    <t>INV-2025-00438</t>
  </si>
  <si>
    <t>INV-2025-00439</t>
  </si>
  <si>
    <t>INV-2025-00440</t>
  </si>
  <si>
    <t>INV-2025-00441</t>
  </si>
  <si>
    <t>INV-2025-00442</t>
  </si>
  <si>
    <t>INV-2025-00443</t>
  </si>
  <si>
    <t>INV-2025-00444</t>
  </si>
  <si>
    <t>INV-2025-00445</t>
  </si>
  <si>
    <t>INV-2025-00446</t>
  </si>
  <si>
    <t>INV-2025-00447</t>
  </si>
  <si>
    <t>INV-2025-00448</t>
  </si>
  <si>
    <t>INV-2025-00449</t>
  </si>
  <si>
    <t>INV-2025-00450</t>
  </si>
  <si>
    <t>INV-2025-00451</t>
  </si>
  <si>
    <t>INV-2025-00452</t>
  </si>
  <si>
    <t>INV-2025-00453</t>
  </si>
  <si>
    <t>INV-2025-00454</t>
  </si>
  <si>
    <t>INV-2025-00455</t>
  </si>
  <si>
    <t>INV-2025-00456</t>
  </si>
  <si>
    <t>INV-2025-00457</t>
  </si>
  <si>
    <t>INV-2025-00458</t>
  </si>
  <si>
    <t>INV-2025-00459</t>
  </si>
  <si>
    <t>INV-2025-00460</t>
  </si>
  <si>
    <t>INV-2025-00461</t>
  </si>
  <si>
    <t>INV-2025-00462</t>
  </si>
  <si>
    <t>INV-2025-00463</t>
  </si>
  <si>
    <t>INV-2025-00464</t>
  </si>
  <si>
    <t>INV-2025-00465</t>
  </si>
  <si>
    <t>INV-2025-00466</t>
  </si>
  <si>
    <t>INV-2025-00467</t>
  </si>
  <si>
    <t>INV-2025-00468</t>
  </si>
  <si>
    <t>INV-2025-00469</t>
  </si>
  <si>
    <t>INV-2025-00470</t>
  </si>
  <si>
    <t>INV-2025-00471</t>
  </si>
  <si>
    <t>INV-2025-00472</t>
  </si>
  <si>
    <t>INV-2025-00473</t>
  </si>
  <si>
    <t>INV-2025-00474</t>
  </si>
  <si>
    <t>INV-2025-00475</t>
  </si>
  <si>
    <t>INV-2025-00476</t>
  </si>
  <si>
    <t>INV-2025-00477</t>
  </si>
  <si>
    <t>INV-2025-00478</t>
  </si>
  <si>
    <t>INV-2025-00479</t>
  </si>
  <si>
    <t>INV-2025-00480</t>
  </si>
  <si>
    <t>INV-2025-00481</t>
  </si>
  <si>
    <t>INV-2025-00482</t>
  </si>
  <si>
    <t>INV-2025-00483</t>
  </si>
  <si>
    <t>INV-2025-00484</t>
  </si>
  <si>
    <t>INV-2025-00485</t>
  </si>
  <si>
    <t>INV-2025-00486</t>
  </si>
  <si>
    <t>INV-2025-00487</t>
  </si>
  <si>
    <t>INV-2025-00488</t>
  </si>
  <si>
    <t>INV-2025-00489</t>
  </si>
  <si>
    <t>INV-2025-00490</t>
  </si>
  <si>
    <t>INV-2025-00491</t>
  </si>
  <si>
    <t>INV-2025-00492</t>
  </si>
  <si>
    <t>INV-2025-00493</t>
  </si>
  <si>
    <t>INV-2025-00494</t>
  </si>
  <si>
    <t>INV-2025-00495</t>
  </si>
  <si>
    <t>INV-2025-00496</t>
  </si>
  <si>
    <t>INV-2025-00497</t>
  </si>
  <si>
    <t>INV-2025-00498</t>
  </si>
  <si>
    <t>INV-2025-00499</t>
  </si>
  <si>
    <t>INV-2025-00500</t>
  </si>
  <si>
    <t>INV-2025-00501</t>
  </si>
  <si>
    <t>INV-2025-00502</t>
  </si>
  <si>
    <t>INV-2025-00503</t>
  </si>
  <si>
    <t>INV-2025-00504</t>
  </si>
  <si>
    <t>INV-2025-00505</t>
  </si>
  <si>
    <t>INV-2025-00506</t>
  </si>
  <si>
    <t>INV-2025-00507</t>
  </si>
  <si>
    <t>INV-2025-00508</t>
  </si>
  <si>
    <t>INV-2025-00509</t>
  </si>
  <si>
    <t>INV-2025-00510</t>
  </si>
  <si>
    <t>INV-2025-00511</t>
  </si>
  <si>
    <t>medical supplies</t>
  </si>
  <si>
    <t>INV-2025-00512</t>
  </si>
  <si>
    <t>INV-2025-00513</t>
  </si>
  <si>
    <t>INV-2025-00514</t>
  </si>
  <si>
    <t>INV-2025-00515</t>
  </si>
  <si>
    <t>INV-2025-00516</t>
  </si>
  <si>
    <t>INV-2025-00517</t>
  </si>
  <si>
    <t>INV-2025-00518</t>
  </si>
  <si>
    <t>INV-2025-00519</t>
  </si>
  <si>
    <t>INV-2025-00520</t>
  </si>
  <si>
    <t>INV-2025-00521</t>
  </si>
  <si>
    <t>INV-2025-00522</t>
  </si>
  <si>
    <t>INV-2025-00523</t>
  </si>
  <si>
    <t>INV-2025-00524</t>
  </si>
  <si>
    <t>INV-2025-00525</t>
  </si>
  <si>
    <t>INV-2025-00526</t>
  </si>
  <si>
    <t>INV-2025-00527</t>
  </si>
  <si>
    <t>INV-2025-00528</t>
  </si>
  <si>
    <t>INV-2025-00529</t>
  </si>
  <si>
    <t>INV-2025-00530</t>
  </si>
  <si>
    <t>INV-2025-00531</t>
  </si>
  <si>
    <t>INV-2025-00532</t>
  </si>
  <si>
    <t>INV-2025-00533</t>
  </si>
  <si>
    <t>INV-2025-00534</t>
  </si>
  <si>
    <t>INV-2025-00535</t>
  </si>
  <si>
    <t>INV-2025-00536</t>
  </si>
  <si>
    <t>INV-2025-00537</t>
  </si>
  <si>
    <t>INV-2025-00538</t>
  </si>
  <si>
    <t>INV-2025-00539</t>
  </si>
  <si>
    <t>INV-2025-00540</t>
  </si>
  <si>
    <t>INV-2025-00541</t>
  </si>
  <si>
    <t>INV-2025-00542</t>
  </si>
  <si>
    <t>INV-2025-00543</t>
  </si>
  <si>
    <t>INV-2025-00544</t>
  </si>
  <si>
    <t>INV-2025-00545</t>
  </si>
  <si>
    <t>INV-2025-00546</t>
  </si>
  <si>
    <t>INV-2025-00547</t>
  </si>
  <si>
    <t>INV-2025-00548</t>
  </si>
  <si>
    <t>nourishco</t>
  </si>
  <si>
    <t>INV-2025-00549</t>
  </si>
  <si>
    <t>INV-2025-00550</t>
  </si>
  <si>
    <t>INV-2025-00551</t>
  </si>
  <si>
    <t>INV-2025-00552</t>
  </si>
  <si>
    <t>INV-2025-00553</t>
  </si>
  <si>
    <t>INV-2025-00554</t>
  </si>
  <si>
    <t>INV-2025-00555</t>
  </si>
  <si>
    <t>INV-2025-00556</t>
  </si>
  <si>
    <t>INV-2025-00557</t>
  </si>
  <si>
    <t>INV-2025-00558</t>
  </si>
  <si>
    <t>INV-2025-00559</t>
  </si>
  <si>
    <t>INV-2025-00560</t>
  </si>
  <si>
    <t>INV-2025-00561</t>
  </si>
  <si>
    <t>INV-2025-00562</t>
  </si>
  <si>
    <t>INV-2025-00563</t>
  </si>
  <si>
    <t>INV-2025-00564</t>
  </si>
  <si>
    <t>INV-2025-00565</t>
  </si>
  <si>
    <t>INV-2025-00566</t>
  </si>
  <si>
    <t>INV-2025-00567</t>
  </si>
  <si>
    <t>INV-2025-00568</t>
  </si>
  <si>
    <t>INV-2025-00569</t>
  </si>
  <si>
    <t>INV-2025-00570</t>
  </si>
  <si>
    <t>INV-2025-00571</t>
  </si>
  <si>
    <t>INV-2025-00572</t>
  </si>
  <si>
    <t>INV-2025-00573</t>
  </si>
  <si>
    <t>INV-2025-00574</t>
  </si>
  <si>
    <t>INV-2025-00575</t>
  </si>
  <si>
    <t>INV-2025-00576</t>
  </si>
  <si>
    <t>INV-2025-00577</t>
  </si>
  <si>
    <t>INV-2025-00578</t>
  </si>
  <si>
    <t>INV-2025-00579</t>
  </si>
  <si>
    <t>INV-2025-00580</t>
  </si>
  <si>
    <t>INV-2025-00581</t>
  </si>
  <si>
    <t>INV-2025-00582</t>
  </si>
  <si>
    <t>INV-2025-00583</t>
  </si>
  <si>
    <t>INV-2025-00584</t>
  </si>
  <si>
    <t>INV-2025-00585</t>
  </si>
  <si>
    <t>INV-2025-00586</t>
  </si>
  <si>
    <t>INV-2025-00587</t>
  </si>
  <si>
    <t>INV-2025-00588</t>
  </si>
  <si>
    <t>INV-2025-00589</t>
  </si>
  <si>
    <t>INV-2025-00590</t>
  </si>
  <si>
    <t>INV-2025-00591</t>
  </si>
  <si>
    <t>INV-2025-00592</t>
  </si>
  <si>
    <t>INV-2025-00593</t>
  </si>
  <si>
    <t>INV-2025-00594</t>
  </si>
  <si>
    <t>INV-2025-00595</t>
  </si>
  <si>
    <t>INV-2025-00596</t>
  </si>
  <si>
    <t>INV-2025-00597</t>
  </si>
  <si>
    <t>INV-2025-00598</t>
  </si>
  <si>
    <t>INV-2025-00599</t>
  </si>
  <si>
    <t>INV-2025-00600</t>
  </si>
  <si>
    <t>INV-2025-00601</t>
  </si>
  <si>
    <t>INV-2025-00602</t>
  </si>
  <si>
    <t>INV-2025-00603</t>
  </si>
  <si>
    <t>INV-2025-00604</t>
  </si>
  <si>
    <t>INV-2025-00605</t>
  </si>
  <si>
    <t>INV-2025-00606</t>
  </si>
  <si>
    <t>INV-2025-00607</t>
  </si>
  <si>
    <t>INV-2025-00608</t>
  </si>
  <si>
    <t>INV-2025-00609</t>
  </si>
  <si>
    <t>INV-2025-00610</t>
  </si>
  <si>
    <t>INV-2025-00611</t>
  </si>
  <si>
    <t>INV-2025-00612</t>
  </si>
  <si>
    <t>INV-2025-00613</t>
  </si>
  <si>
    <t>INV-2025-00614</t>
  </si>
  <si>
    <t>INV-2025-00615</t>
  </si>
  <si>
    <t>INV-2025-00616</t>
  </si>
  <si>
    <t>INV-2025-00617</t>
  </si>
  <si>
    <t>INV-2025-00618</t>
  </si>
  <si>
    <t>INV-2025-00619</t>
  </si>
  <si>
    <t>INV-2025-00620</t>
  </si>
  <si>
    <t>INV-2025-00621</t>
  </si>
  <si>
    <t>INV-2025-00622</t>
  </si>
  <si>
    <t>INV-2025-00623</t>
  </si>
  <si>
    <t>INV-2025-00624</t>
  </si>
  <si>
    <t>INV-2025-00625</t>
  </si>
  <si>
    <t>INV-2025-00626</t>
  </si>
  <si>
    <t>INV-2025-00627</t>
  </si>
  <si>
    <t>INV-2025-00628</t>
  </si>
  <si>
    <t>INV-2025-00629</t>
  </si>
  <si>
    <t>INV-2025-00630</t>
  </si>
  <si>
    <t>INV-2025-00631</t>
  </si>
  <si>
    <t>INV-2025-00632</t>
  </si>
  <si>
    <t>INV-2025-00633</t>
  </si>
  <si>
    <t>INV-2025-00634</t>
  </si>
  <si>
    <t>INV-2025-00635</t>
  </si>
  <si>
    <t>INV-2025-00636</t>
  </si>
  <si>
    <t>INV-2025-00637</t>
  </si>
  <si>
    <t>INV-2025-00638</t>
  </si>
  <si>
    <t>INV-2025-00639</t>
  </si>
  <si>
    <t>INV-2025-00640</t>
  </si>
  <si>
    <t>INV-2025-00641</t>
  </si>
  <si>
    <t>INV-2025-00642</t>
  </si>
  <si>
    <t>INV-2025-00643</t>
  </si>
  <si>
    <t>INV-2025-00644</t>
  </si>
  <si>
    <t>INV-2025-00645</t>
  </si>
  <si>
    <t>INV-2025-00646</t>
  </si>
  <si>
    <t>INV-2025-00647</t>
  </si>
  <si>
    <t>INV-2025-00648</t>
  </si>
  <si>
    <t>INV-2025-00649</t>
  </si>
  <si>
    <t>INV-2025-00650</t>
  </si>
  <si>
    <t>INV-2025-00651</t>
  </si>
  <si>
    <t>INV-2025-00652</t>
  </si>
  <si>
    <t>INV-2025-00653</t>
  </si>
  <si>
    <t>INV-2025-00654</t>
  </si>
  <si>
    <t>INV-2025-00655</t>
  </si>
  <si>
    <t>INV-2025-00656</t>
  </si>
  <si>
    <t>INV-2025-00657</t>
  </si>
  <si>
    <t>INV-2025-00658</t>
  </si>
  <si>
    <t>INV-2025-00659</t>
  </si>
  <si>
    <t>INV-2025-00660</t>
  </si>
  <si>
    <t>INV-2025-00661</t>
  </si>
  <si>
    <t>INV-2025-00662</t>
  </si>
  <si>
    <t>INV-2025-00663</t>
  </si>
  <si>
    <t>INV-2025-00664</t>
  </si>
  <si>
    <t>INV-2025-00665</t>
  </si>
  <si>
    <t>INV-2025-00666</t>
  </si>
  <si>
    <t>INV-2025-00667</t>
  </si>
  <si>
    <t>INV-2025-00668</t>
  </si>
  <si>
    <t>INV-2025-00669</t>
  </si>
  <si>
    <t>INV-2025-00670</t>
  </si>
  <si>
    <t>INV-2025-00671</t>
  </si>
  <si>
    <t>INV-2025-00672</t>
  </si>
  <si>
    <t>INV-2025-00673</t>
  </si>
  <si>
    <t>INV-2025-00674</t>
  </si>
  <si>
    <t>INV-2025-00675</t>
  </si>
  <si>
    <t>INV-2025-00676</t>
  </si>
  <si>
    <t>INV-2025-00677</t>
  </si>
  <si>
    <t>INV-2025-00678</t>
  </si>
  <si>
    <t>INV-2025-00679</t>
  </si>
  <si>
    <t>INV-2025-00680</t>
  </si>
  <si>
    <t>INV-2025-00681</t>
  </si>
  <si>
    <t>INV-2025-00682</t>
  </si>
  <si>
    <t>INV-2025-00683</t>
  </si>
  <si>
    <t>INV-2025-00684</t>
  </si>
  <si>
    <t>INV-2025-00685</t>
  </si>
  <si>
    <t>uk energy partners</t>
  </si>
  <si>
    <t>INV-2025-00686</t>
  </si>
  <si>
    <t>INV-2025-00687</t>
  </si>
  <si>
    <t>INV-2025-00688</t>
  </si>
  <si>
    <t>INV-2025-00689</t>
  </si>
  <si>
    <t>INV-2025-00690</t>
  </si>
  <si>
    <t>INV-2025-00691</t>
  </si>
  <si>
    <t>INV-2025-00692</t>
  </si>
  <si>
    <t>INV-2025-00693</t>
  </si>
  <si>
    <t>INV-2025-00694</t>
  </si>
  <si>
    <t>INV-2025-00695</t>
  </si>
  <si>
    <t>INV-2025-00696</t>
  </si>
  <si>
    <t>INV-2025-00697</t>
  </si>
  <si>
    <t>INV-2025-00698</t>
  </si>
  <si>
    <t>INV-2025-00699</t>
  </si>
  <si>
    <t>INV-2025-00700</t>
  </si>
  <si>
    <t>INV-2025-00701</t>
  </si>
  <si>
    <t>INV-2025-00702</t>
  </si>
  <si>
    <t>INV-2025-00703</t>
  </si>
  <si>
    <t>INV-2025-00704</t>
  </si>
  <si>
    <t>INV-2025-00705</t>
  </si>
  <si>
    <t>INV-2025-00706</t>
  </si>
  <si>
    <t>INV-2025-00707</t>
  </si>
  <si>
    <t>INV-2025-00708</t>
  </si>
  <si>
    <t>INV-2025-00709</t>
  </si>
  <si>
    <t>INV-2025-00710</t>
  </si>
  <si>
    <t>INV-2025-00711</t>
  </si>
  <si>
    <t>INV-2025-00712</t>
  </si>
  <si>
    <t>INV-2025-00713</t>
  </si>
  <si>
    <t>INV-2025-00714</t>
  </si>
  <si>
    <t>INV-2025-00715</t>
  </si>
  <si>
    <t>INV-2025-00716</t>
  </si>
  <si>
    <t>INV-2025-00717</t>
  </si>
  <si>
    <t>INV-2025-00718</t>
  </si>
  <si>
    <t>INV-2025-00719</t>
  </si>
  <si>
    <t>INV-2025-00720</t>
  </si>
  <si>
    <t>INV-2025-00721</t>
  </si>
  <si>
    <t>INV-2025-00722</t>
  </si>
  <si>
    <t>INV-2025-00723</t>
  </si>
  <si>
    <t>INV-2025-00724</t>
  </si>
  <si>
    <t>INV-2025-00725</t>
  </si>
  <si>
    <t>INV-2025-00726</t>
  </si>
  <si>
    <t>INV-2025-00727</t>
  </si>
  <si>
    <t>INV-2025-00728</t>
  </si>
  <si>
    <t>INV-2025-00729</t>
  </si>
  <si>
    <t>INV-2025-00730</t>
  </si>
  <si>
    <t>INV-2025-00731</t>
  </si>
  <si>
    <t>INV-2025-00732</t>
  </si>
  <si>
    <t>INV-2025-00733</t>
  </si>
  <si>
    <t>INV-2025-00734</t>
  </si>
  <si>
    <t>INV-2025-00735</t>
  </si>
  <si>
    <t>INV-2025-00736</t>
  </si>
  <si>
    <t>INV-2025-00737</t>
  </si>
  <si>
    <t>INV-2025-00738</t>
  </si>
  <si>
    <t>INV-2025-00739</t>
  </si>
  <si>
    <t>INV-2025-00740</t>
  </si>
  <si>
    <t>INV-2025-00741</t>
  </si>
  <si>
    <t>INV-2025-00742</t>
  </si>
  <si>
    <t>INV-2025-00743</t>
  </si>
  <si>
    <t>INV-2025-00744</t>
  </si>
  <si>
    <t>INV-2025-00745</t>
  </si>
  <si>
    <t>INV-2025-00746</t>
  </si>
  <si>
    <t>INV-2025-00747</t>
  </si>
  <si>
    <t>INV-2025-00748</t>
  </si>
  <si>
    <t>INV-2025-00749</t>
  </si>
  <si>
    <t>INV-2025-00750</t>
  </si>
  <si>
    <t>INV-2025-00751</t>
  </si>
  <si>
    <t>INV-2025-00752</t>
  </si>
  <si>
    <t>INV-2025-00753</t>
  </si>
  <si>
    <t>INV-2025-00754</t>
  </si>
  <si>
    <t>INV-2025-00755</t>
  </si>
  <si>
    <t>INV-2025-00756</t>
  </si>
  <si>
    <t>INV-2025-00757</t>
  </si>
  <si>
    <t>INV-2025-00758</t>
  </si>
  <si>
    <t>INV-2025-00759</t>
  </si>
  <si>
    <t>INV-2025-00760</t>
  </si>
  <si>
    <t>INV-2025-00761</t>
  </si>
  <si>
    <t>INV-2025-00762</t>
  </si>
  <si>
    <t>INV-2025-00763</t>
  </si>
  <si>
    <t>INV-2025-00764</t>
  </si>
  <si>
    <t>INV-2025-00765</t>
  </si>
  <si>
    <t>INV-2025-00766</t>
  </si>
  <si>
    <t>INV-2025-00767</t>
  </si>
  <si>
    <t>INV-2025-00768</t>
  </si>
  <si>
    <t>INV-2025-00769</t>
  </si>
  <si>
    <t>INV-2025-00770</t>
  </si>
  <si>
    <t>INV-2025-00771</t>
  </si>
  <si>
    <t>INV-2025-00772</t>
  </si>
  <si>
    <t>INV-2025-00773</t>
  </si>
  <si>
    <t>INV-2025-00774</t>
  </si>
  <si>
    <t>INV-2025-00775</t>
  </si>
  <si>
    <t>INV-2025-00776</t>
  </si>
  <si>
    <t>INV-2025-00777</t>
  </si>
  <si>
    <t>INV-2025-00778</t>
  </si>
  <si>
    <t>INV-2025-00779</t>
  </si>
  <si>
    <t>INV-2025-00780</t>
  </si>
  <si>
    <t>INV-2025-00781</t>
  </si>
  <si>
    <t>INV-2025-00782</t>
  </si>
  <si>
    <t>INV-2025-00783</t>
  </si>
  <si>
    <t>INV-2025-00784</t>
  </si>
  <si>
    <t>INV-2025-00785</t>
  </si>
  <si>
    <t>INV-2025-00786</t>
  </si>
  <si>
    <t>INV-2025-00787</t>
  </si>
  <si>
    <t>INV-2025-00788</t>
  </si>
  <si>
    <t>INV-2025-00789</t>
  </si>
  <si>
    <t>INV-2025-00790</t>
  </si>
  <si>
    <t>INV-2025-00791</t>
  </si>
  <si>
    <t>INV-2025-00792</t>
  </si>
  <si>
    <t>INV-2025-00793</t>
  </si>
  <si>
    <t>INV-2025-00794</t>
  </si>
  <si>
    <t>INV-2025-00795</t>
  </si>
  <si>
    <t>INV-2025-00796</t>
  </si>
  <si>
    <t>INV-2025-00797</t>
  </si>
  <si>
    <t>INV-2025-00798</t>
  </si>
  <si>
    <t>INV-2025-00799</t>
  </si>
  <si>
    <t>INV-2025-00800</t>
  </si>
  <si>
    <t>INV-2025-00801</t>
  </si>
  <si>
    <t>INV-2025-00802</t>
  </si>
  <si>
    <t>INV-2025-00803</t>
  </si>
  <si>
    <t>INV-2025-00804</t>
  </si>
  <si>
    <t>INV-2025-00805</t>
  </si>
  <si>
    <t>INV-2025-00806</t>
  </si>
  <si>
    <t>INV-2025-00807</t>
  </si>
  <si>
    <t>INV-2025-00808</t>
  </si>
  <si>
    <t>INV-2025-00809</t>
  </si>
  <si>
    <t>INV-2025-00810</t>
  </si>
  <si>
    <t>INV-2025-00811</t>
  </si>
  <si>
    <t>INV-2025-00812</t>
  </si>
  <si>
    <t>INV-2025-00813</t>
  </si>
  <si>
    <t>INV-2025-00814</t>
  </si>
  <si>
    <t>INV-2025-00815</t>
  </si>
  <si>
    <t>INV-2025-00816</t>
  </si>
  <si>
    <t>INV-2025-00817</t>
  </si>
  <si>
    <t>INV-2025-00818</t>
  </si>
  <si>
    <t>INV-2025-00819</t>
  </si>
  <si>
    <t>INV-2025-00820</t>
  </si>
  <si>
    <t>INV-2025-00821</t>
  </si>
  <si>
    <t>INV-2025-00822</t>
  </si>
  <si>
    <t>safeguard fm</t>
  </si>
  <si>
    <t>INV-2025-00823</t>
  </si>
  <si>
    <t>INV-2025-00824</t>
  </si>
  <si>
    <t>INV-2025-00825</t>
  </si>
  <si>
    <t>INV-2025-00826</t>
  </si>
  <si>
    <t>INV-2025-00827</t>
  </si>
  <si>
    <t>INV-2025-00828</t>
  </si>
  <si>
    <t>INV-2025-00829</t>
  </si>
  <si>
    <t>INV-2025-00830</t>
  </si>
  <si>
    <t>INV-2025-00831</t>
  </si>
  <si>
    <t>INV-2025-00832</t>
  </si>
  <si>
    <t>INV-2025-00833</t>
  </si>
  <si>
    <t>INV-2025-00834</t>
  </si>
  <si>
    <t>INV-2025-00835</t>
  </si>
  <si>
    <t>INV-2025-00836</t>
  </si>
  <si>
    <t>INV-2025-00837</t>
  </si>
  <si>
    <t>INV-2025-00838</t>
  </si>
  <si>
    <t>INV-2025-00839</t>
  </si>
  <si>
    <t>INV-2025-00840</t>
  </si>
  <si>
    <t>INV-2025-00841</t>
  </si>
  <si>
    <t>INV-2025-00842</t>
  </si>
  <si>
    <t>INV-2025-00843</t>
  </si>
  <si>
    <t>INV-2025-00844</t>
  </si>
  <si>
    <t>INV-2025-00845</t>
  </si>
  <si>
    <t>INV-2025-00846</t>
  </si>
  <si>
    <t>INV-2025-00847</t>
  </si>
  <si>
    <t>INV-2025-00848</t>
  </si>
  <si>
    <t>INV-2025-00849</t>
  </si>
  <si>
    <t>INV-2025-00850</t>
  </si>
  <si>
    <t>INV-2025-00851</t>
  </si>
  <si>
    <t>INV-2025-00852</t>
  </si>
  <si>
    <t>INV-2025-00853</t>
  </si>
  <si>
    <t>INV-2025-00854</t>
  </si>
  <si>
    <t>INV-2025-00855</t>
  </si>
  <si>
    <t>INV-2025-00856</t>
  </si>
  <si>
    <t>INV-2025-00857</t>
  </si>
  <si>
    <t>INV-2025-00858</t>
  </si>
  <si>
    <t>INV-2025-00859</t>
  </si>
  <si>
    <t>INV-2025-00860</t>
  </si>
  <si>
    <t>INV-2025-00861</t>
  </si>
  <si>
    <t>INV-2025-00862</t>
  </si>
  <si>
    <t>INV-2025-00863</t>
  </si>
  <si>
    <t>INV-2025-00864</t>
  </si>
  <si>
    <t>INV-2025-00865</t>
  </si>
  <si>
    <t>INV-2025-00866</t>
  </si>
  <si>
    <t>INV-2025-00867</t>
  </si>
  <si>
    <t>INV-2025-00868</t>
  </si>
  <si>
    <t>INV-2025-00869</t>
  </si>
  <si>
    <t>INV-2025-00870</t>
  </si>
  <si>
    <t>INV-2025-00871</t>
  </si>
  <si>
    <t>INV-2025-00872</t>
  </si>
  <si>
    <t>INV-2025-00873</t>
  </si>
  <si>
    <t>INV-2025-00874</t>
  </si>
  <si>
    <t>INV-2025-00875</t>
  </si>
  <si>
    <t>INV-2025-00876</t>
  </si>
  <si>
    <t>INV-2025-00877</t>
  </si>
  <si>
    <t>INV-2025-00878</t>
  </si>
  <si>
    <t>INV-2025-00879</t>
  </si>
  <si>
    <t>INV-2025-00880</t>
  </si>
  <si>
    <t>INV-2025-00881</t>
  </si>
  <si>
    <t>INV-2025-00882</t>
  </si>
  <si>
    <t>INV-2025-00883</t>
  </si>
  <si>
    <t>INV-2025-00884</t>
  </si>
  <si>
    <t>INV-2025-00885</t>
  </si>
  <si>
    <t>INV-2025-00886</t>
  </si>
  <si>
    <t>INV-2025-00887</t>
  </si>
  <si>
    <t>INV-2025-00888</t>
  </si>
  <si>
    <t>INV-2025-00889</t>
  </si>
  <si>
    <t>INV-2025-00890</t>
  </si>
  <si>
    <t>INV-2025-00891</t>
  </si>
  <si>
    <t>INV-2025-00892</t>
  </si>
  <si>
    <t>INV-2025-00893</t>
  </si>
  <si>
    <t>INV-2025-00894</t>
  </si>
  <si>
    <t>INV-2025-00895</t>
  </si>
  <si>
    <t>INV-2025-00896</t>
  </si>
  <si>
    <t>INV-2025-00897</t>
  </si>
  <si>
    <t>INV-2025-00898</t>
  </si>
  <si>
    <t>INV-2025-00899</t>
  </si>
  <si>
    <t>INV-2025-00900</t>
  </si>
  <si>
    <t>INV-2025-00901</t>
  </si>
  <si>
    <t>INV-2025-00902</t>
  </si>
  <si>
    <t>INV-2025-00903</t>
  </si>
  <si>
    <t>INV-2025-00904</t>
  </si>
  <si>
    <t>INV-2025-00905</t>
  </si>
  <si>
    <t>INV-2025-00906</t>
  </si>
  <si>
    <t>INV-2025-00907</t>
  </si>
  <si>
    <t>INV-2025-00908</t>
  </si>
  <si>
    <t>INV-2025-00909</t>
  </si>
  <si>
    <t>INV-2025-00910</t>
  </si>
  <si>
    <t>INV-2025-00911</t>
  </si>
  <si>
    <t>INV-2025-00912</t>
  </si>
  <si>
    <t>INV-2025-00913</t>
  </si>
  <si>
    <t>INV-2025-00914</t>
  </si>
  <si>
    <t>INV-2025-00915</t>
  </si>
  <si>
    <t>INV-2025-00916</t>
  </si>
  <si>
    <t>INV-2025-00917</t>
  </si>
  <si>
    <t>INV-2025-00918</t>
  </si>
  <si>
    <t>INV-2025-00919</t>
  </si>
  <si>
    <t>INV-2025-00920</t>
  </si>
  <si>
    <t>INV-2025-00921</t>
  </si>
  <si>
    <t>INV-2025-00922</t>
  </si>
  <si>
    <t>INV-2025-00923</t>
  </si>
  <si>
    <t>INV-2025-00924</t>
  </si>
  <si>
    <t>INV-2025-00925</t>
  </si>
  <si>
    <t>INV-2025-00926</t>
  </si>
  <si>
    <t>INV-2025-00927</t>
  </si>
  <si>
    <t>INV-2025-00928</t>
  </si>
  <si>
    <t>INV-2025-00929</t>
  </si>
  <si>
    <t>INV-2025-00930</t>
  </si>
  <si>
    <t>INV-2025-00931</t>
  </si>
  <si>
    <t>INV-2025-00932</t>
  </si>
  <si>
    <t>INV-2025-00933</t>
  </si>
  <si>
    <t>INV-2025-00934</t>
  </si>
  <si>
    <t>INV-2025-00935</t>
  </si>
  <si>
    <t>INV-2025-00936</t>
  </si>
  <si>
    <t>INV-2025-00937</t>
  </si>
  <si>
    <t>INV-2025-00938</t>
  </si>
  <si>
    <t>INV-2025-00939</t>
  </si>
  <si>
    <t>INV-2025-00940</t>
  </si>
  <si>
    <t>INV-2025-00941</t>
  </si>
  <si>
    <t>INV-2025-00942</t>
  </si>
  <si>
    <t>INV-2025-00943</t>
  </si>
  <si>
    <t>INV-2025-00944</t>
  </si>
  <si>
    <t>INV-2025-00945</t>
  </si>
  <si>
    <t>INV-2025-00946</t>
  </si>
  <si>
    <t>INV-2025-00947</t>
  </si>
  <si>
    <t>INV-2025-00948</t>
  </si>
  <si>
    <t>INV-2025-00949</t>
  </si>
  <si>
    <t>INV-2025-00950</t>
  </si>
  <si>
    <t>INV-2025-00951</t>
  </si>
  <si>
    <t>INV-2025-00952</t>
  </si>
  <si>
    <t>INV-2025-00953</t>
  </si>
  <si>
    <t>INV-2025-00954</t>
  </si>
  <si>
    <t>INV-2025-00955</t>
  </si>
  <si>
    <t>INV-2025-00956</t>
  </si>
  <si>
    <t>INV-2025-00957</t>
  </si>
  <si>
    <t>INV-2025-00958</t>
  </si>
  <si>
    <t>INV-2025-00959</t>
  </si>
  <si>
    <t>INV-2025-00960</t>
  </si>
  <si>
    <t>INV-2025-00961</t>
  </si>
  <si>
    <t>INV-2025-00962</t>
  </si>
  <si>
    <t>INV-2025-00963</t>
  </si>
  <si>
    <t>INV-2025-00964</t>
  </si>
  <si>
    <t>INV-2025-00965</t>
  </si>
  <si>
    <t>INV-2025-00966</t>
  </si>
  <si>
    <t>INV-2025-00967</t>
  </si>
  <si>
    <t>INV-2025-00968</t>
  </si>
  <si>
    <t>INV-2025-00969</t>
  </si>
  <si>
    <t>INV-2025-00970</t>
  </si>
  <si>
    <t>INV-2025-00971</t>
  </si>
  <si>
    <t>INV-2025-00972</t>
  </si>
  <si>
    <t>INV-2025-00973</t>
  </si>
  <si>
    <t>INV-2025-00974</t>
  </si>
  <si>
    <t>INV-2025-00975</t>
  </si>
  <si>
    <t>INV-2025-00976</t>
  </si>
  <si>
    <t>INV-2025-00977</t>
  </si>
  <si>
    <t>INV-2025-00978</t>
  </si>
  <si>
    <t>INV-2025-00979</t>
  </si>
  <si>
    <t>INV-2025-00980</t>
  </si>
  <si>
    <t>INV-2025-00981</t>
  </si>
  <si>
    <t>INV-2025-00982</t>
  </si>
  <si>
    <t>INV-2025-00983</t>
  </si>
  <si>
    <t>INV-2025-00984</t>
  </si>
  <si>
    <t>INV-2025-00985</t>
  </si>
  <si>
    <t>INV-2025-00986</t>
  </si>
  <si>
    <t>INV-2025-00987</t>
  </si>
  <si>
    <t>INV-2025-00988</t>
  </si>
  <si>
    <t>INV-2025-00989</t>
  </si>
  <si>
    <t>INV-2025-00990</t>
  </si>
  <si>
    <t>INV-2025-00991</t>
  </si>
  <si>
    <t>INV-2025-00992</t>
  </si>
  <si>
    <t>INV-2025-00993</t>
  </si>
  <si>
    <t>INV-2025-00994</t>
  </si>
  <si>
    <t>INV-2025-00995</t>
  </si>
  <si>
    <t>INV-2025-00996</t>
  </si>
  <si>
    <t>INV-2025-00997</t>
  </si>
  <si>
    <t>INV-2025-00998</t>
  </si>
  <si>
    <t>INV-2025-00999</t>
  </si>
  <si>
    <t>INV-2025-01000</t>
  </si>
  <si>
    <t>INV-2025-01001</t>
  </si>
  <si>
    <t>INV-2025-01002</t>
  </si>
  <si>
    <t>INV-2025-01003</t>
  </si>
  <si>
    <t>INV-2025-01004</t>
  </si>
  <si>
    <t>INV-2025-01005</t>
  </si>
  <si>
    <t>INV-2025-01006</t>
  </si>
  <si>
    <t>INV-2025-01007</t>
  </si>
  <si>
    <t>INV-2025-01008</t>
  </si>
  <si>
    <t>INV-2025-01009</t>
  </si>
  <si>
    <t>INV-2025-01010</t>
  </si>
  <si>
    <t>INV-2025-01011</t>
  </si>
  <si>
    <t>INV-2025-01012</t>
  </si>
  <si>
    <t>INV-2025-01013</t>
  </si>
  <si>
    <t>INV-2025-01014</t>
  </si>
  <si>
    <t>INV-2025-01015</t>
  </si>
  <si>
    <t>INV-2025-01016</t>
  </si>
  <si>
    <t>INV-2025-01017</t>
  </si>
  <si>
    <t>INV-2025-01018</t>
  </si>
  <si>
    <t>INV-2025-01019</t>
  </si>
  <si>
    <t>INV-2025-01020</t>
  </si>
  <si>
    <t>INV-2025-01021</t>
  </si>
  <si>
    <t>INV-2025-01022</t>
  </si>
  <si>
    <t>INV-2025-01023</t>
  </si>
  <si>
    <t>INV-2025-01024</t>
  </si>
  <si>
    <t>INV-2025-01025</t>
  </si>
  <si>
    <t>INV-2025-01026</t>
  </si>
  <si>
    <t>INV-2025-01027</t>
  </si>
  <si>
    <t>INV-2025-01028</t>
  </si>
  <si>
    <t>INV-2025-01029</t>
  </si>
  <si>
    <t>INV-2025-01030</t>
  </si>
  <si>
    <t>INV-2025-01031</t>
  </si>
  <si>
    <t>INV-2025-01032</t>
  </si>
  <si>
    <t>INV-2025-01033</t>
  </si>
  <si>
    <t>INV-2025-01034</t>
  </si>
  <si>
    <t>INV-2025-01035</t>
  </si>
  <si>
    <t>INV-2025-01036</t>
  </si>
  <si>
    <t>INV-2025-01037</t>
  </si>
  <si>
    <t>INV-2025-01038</t>
  </si>
  <si>
    <t>INV-2025-01039</t>
  </si>
  <si>
    <t>INV-2025-01040</t>
  </si>
  <si>
    <t>INV-2025-01041</t>
  </si>
  <si>
    <t>INV-2025-01042</t>
  </si>
  <si>
    <t>INV-2025-01043</t>
  </si>
  <si>
    <t>INV-2025-01044</t>
  </si>
  <si>
    <t>INV-2025-01045</t>
  </si>
  <si>
    <t>INV-2025-01046</t>
  </si>
  <si>
    <t>INV-2025-01047</t>
  </si>
  <si>
    <t>INV-2025-01048</t>
  </si>
  <si>
    <t>INV-2025-01049</t>
  </si>
  <si>
    <t>INV-2025-01050</t>
  </si>
  <si>
    <t>INV-2025-01051</t>
  </si>
  <si>
    <t>INV-2025-01052</t>
  </si>
  <si>
    <t>INV-2025-01053</t>
  </si>
  <si>
    <t>INV-2025-01054</t>
  </si>
  <si>
    <t>INV-2025-01055</t>
  </si>
  <si>
    <t>INV-2025-01056</t>
  </si>
  <si>
    <t>INV-2025-01057</t>
  </si>
  <si>
    <t>INV-2025-01058</t>
  </si>
  <si>
    <t>INV-2025-01059</t>
  </si>
  <si>
    <t>INV-2025-01060</t>
  </si>
  <si>
    <t>INV-2025-01061</t>
  </si>
  <si>
    <t>INV-2025-01062</t>
  </si>
  <si>
    <t>INV-2025-01063</t>
  </si>
  <si>
    <t>INV-2025-01064</t>
  </si>
  <si>
    <t>INV-2025-01065</t>
  </si>
  <si>
    <t>INV-2025-01066</t>
  </si>
  <si>
    <t>INV-2025-01067</t>
  </si>
  <si>
    <t>INV-2025-01068</t>
  </si>
  <si>
    <t>INV-2025-01069</t>
  </si>
  <si>
    <t>INV-2025-01070</t>
  </si>
  <si>
    <t>INV-2025-01071</t>
  </si>
  <si>
    <t>INV-2025-01072</t>
  </si>
  <si>
    <t>INV-2025-01073</t>
  </si>
  <si>
    <t>INV-2025-01074</t>
  </si>
  <si>
    <t>INV-2025-01075</t>
  </si>
  <si>
    <t>INV-2025-01076</t>
  </si>
  <si>
    <t>INV-2025-01077</t>
  </si>
  <si>
    <t>INV-2025-01078</t>
  </si>
  <si>
    <t>INV-2025-01079</t>
  </si>
  <si>
    <t>INV-2025-01080</t>
  </si>
  <si>
    <t>INV-2025-01081</t>
  </si>
  <si>
    <t>INV-2025-01082</t>
  </si>
  <si>
    <t>INV-2025-01083</t>
  </si>
  <si>
    <t>INV-2025-01084</t>
  </si>
  <si>
    <t>INV-2025-01085</t>
  </si>
  <si>
    <t>INV-2025-01086</t>
  </si>
  <si>
    <t>INV-2025-01087</t>
  </si>
  <si>
    <t>INV-2025-01088</t>
  </si>
  <si>
    <t>INV-2025-01089</t>
  </si>
  <si>
    <t>INV-2025-01090</t>
  </si>
  <si>
    <t>INV-2025-01091</t>
  </si>
  <si>
    <t>INV-2025-01092</t>
  </si>
  <si>
    <t>INV-2025-01093</t>
  </si>
  <si>
    <t>INV-2025-01094</t>
  </si>
  <si>
    <t>INV-2025-01095</t>
  </si>
  <si>
    <t>INV-2025-01096</t>
  </si>
  <si>
    <t>fleetfuel</t>
  </si>
  <si>
    <t>INV-2025-01097</t>
  </si>
  <si>
    <t>INV-2025-01098</t>
  </si>
  <si>
    <t>INV-2025-01099</t>
  </si>
  <si>
    <t>INV-2025-01100</t>
  </si>
  <si>
    <t>INV-2025-01101</t>
  </si>
  <si>
    <t>INV-2025-01102</t>
  </si>
  <si>
    <t>INV-2025-01103</t>
  </si>
  <si>
    <t>INV-2025-01104</t>
  </si>
  <si>
    <t>INV-2025-01105</t>
  </si>
  <si>
    <t>INV-2025-01106</t>
  </si>
  <si>
    <t>INV-2025-01107</t>
  </si>
  <si>
    <t>INV-2025-01108</t>
  </si>
  <si>
    <t>INV-2025-01109</t>
  </si>
  <si>
    <t>INV-2025-01110</t>
  </si>
  <si>
    <t>INV-2025-01111</t>
  </si>
  <si>
    <t>INV-2025-01112</t>
  </si>
  <si>
    <t>INV-2025-01113</t>
  </si>
  <si>
    <t>INV-2025-01114</t>
  </si>
  <si>
    <t>INV-2025-01115</t>
  </si>
  <si>
    <t>INV-2025-01116</t>
  </si>
  <si>
    <t>INV-2025-01117</t>
  </si>
  <si>
    <t>INV-2025-01118</t>
  </si>
  <si>
    <t>INV-2025-01119</t>
  </si>
  <si>
    <t>INV-2025-01120</t>
  </si>
  <si>
    <t>INV-2025-01121</t>
  </si>
  <si>
    <t>INV-2025-01122</t>
  </si>
  <si>
    <t>INV-2025-01123</t>
  </si>
  <si>
    <t>INV-2025-01124</t>
  </si>
  <si>
    <t>INV-2025-01125</t>
  </si>
  <si>
    <t>INV-2025-01126</t>
  </si>
  <si>
    <t>INV-2025-01127</t>
  </si>
  <si>
    <t>INV-2025-01128</t>
  </si>
  <si>
    <t>INV-2025-01129</t>
  </si>
  <si>
    <t>INV-2025-01130</t>
  </si>
  <si>
    <t>INV-2025-01131</t>
  </si>
  <si>
    <t>INV-2025-01132</t>
  </si>
  <si>
    <t>INV-2025-01133</t>
  </si>
  <si>
    <t>INV-2025-01134</t>
  </si>
  <si>
    <t>INV-2025-01135</t>
  </si>
  <si>
    <t>INV-2025-01136</t>
  </si>
  <si>
    <t>INV-2025-01137</t>
  </si>
  <si>
    <t>INV-2025-01138</t>
  </si>
  <si>
    <t>INV-2025-01139</t>
  </si>
  <si>
    <t>INV-2025-01140</t>
  </si>
  <si>
    <t>INV-2025-01141</t>
  </si>
  <si>
    <t>INV-2025-01142</t>
  </si>
  <si>
    <t>INV-2025-01143</t>
  </si>
  <si>
    <t>INV-2025-01144</t>
  </si>
  <si>
    <t>INV-2025-01145</t>
  </si>
  <si>
    <t>INV-2025-01146</t>
  </si>
  <si>
    <t>INV-2025-01147</t>
  </si>
  <si>
    <t>INV-2025-01148</t>
  </si>
  <si>
    <t>INV-2025-01149</t>
  </si>
  <si>
    <t>INV-2025-01150</t>
  </si>
  <si>
    <t>INV-2025-01151</t>
  </si>
  <si>
    <t>INV-2025-01152</t>
  </si>
  <si>
    <t>INV-2025-01153</t>
  </si>
  <si>
    <t>INV-2025-01154</t>
  </si>
  <si>
    <t>INV-2025-01155</t>
  </si>
  <si>
    <t>INV-2025-01156</t>
  </si>
  <si>
    <t>INV-2025-01157</t>
  </si>
  <si>
    <t>INV-2025-01158</t>
  </si>
  <si>
    <t>INV-2025-01159</t>
  </si>
  <si>
    <t>INV-2025-01160</t>
  </si>
  <si>
    <t>INV-2025-01161</t>
  </si>
  <si>
    <t>INV-2025-01162</t>
  </si>
  <si>
    <t>INV-2025-01163</t>
  </si>
  <si>
    <t>INV-2025-01164</t>
  </si>
  <si>
    <t>INV-2025-01165</t>
  </si>
  <si>
    <t>INV-2025-01166</t>
  </si>
  <si>
    <t>INV-2025-01167</t>
  </si>
  <si>
    <t>INV-2025-01168</t>
  </si>
  <si>
    <t>INV-2025-01169</t>
  </si>
  <si>
    <t>INV-2025-01170</t>
  </si>
  <si>
    <t>INV-2025-01171</t>
  </si>
  <si>
    <t>INV-2025-01172</t>
  </si>
  <si>
    <t>INV-2025-01173</t>
  </si>
  <si>
    <t>INV-2025-01174</t>
  </si>
  <si>
    <t>INV-2025-01175</t>
  </si>
  <si>
    <t>INV-2025-01176</t>
  </si>
  <si>
    <t>INV-2025-01177</t>
  </si>
  <si>
    <t>INV-2025-01178</t>
  </si>
  <si>
    <t>INV-2025-01179</t>
  </si>
  <si>
    <t>INV-2025-01180</t>
  </si>
  <si>
    <t>INV-2025-01181</t>
  </si>
  <si>
    <t>INV-2025-01182</t>
  </si>
  <si>
    <t>INV-2025-01183</t>
  </si>
  <si>
    <t>INV-2025-01184</t>
  </si>
  <si>
    <t>INV-2025-01185</t>
  </si>
  <si>
    <t>INV-2025-01186</t>
  </si>
  <si>
    <t>INV-2025-01187</t>
  </si>
  <si>
    <t>INV-2025-01188</t>
  </si>
  <si>
    <t>INV-2025-01189</t>
  </si>
  <si>
    <t>INV-2025-01190</t>
  </si>
  <si>
    <t>INV-2025-01191</t>
  </si>
  <si>
    <t>INV-2025-01192</t>
  </si>
  <si>
    <t>INV-2025-01193</t>
  </si>
  <si>
    <t>INV-2025-01194</t>
  </si>
  <si>
    <t>INV-2025-01195</t>
  </si>
  <si>
    <t>INV-2025-01196</t>
  </si>
  <si>
    <t>INV-2025-01197</t>
  </si>
  <si>
    <t>INV-2025-01198</t>
  </si>
  <si>
    <t>INV-2025-01199</t>
  </si>
  <si>
    <t>INV-2025-01200</t>
  </si>
  <si>
    <t>INV-2025-01201</t>
  </si>
  <si>
    <t>INV-2025-01202</t>
  </si>
  <si>
    <t>INV-2025-01203</t>
  </si>
  <si>
    <t>INV-2025-01204</t>
  </si>
  <si>
    <t>INV-2025-01205</t>
  </si>
  <si>
    <t>INV-2025-01206</t>
  </si>
  <si>
    <t>INV-2025-01207</t>
  </si>
  <si>
    <t>INV-2025-01208</t>
  </si>
  <si>
    <t>INV-2025-01209</t>
  </si>
  <si>
    <t>INV-2025-01210</t>
  </si>
  <si>
    <t>INV-2025-01211</t>
  </si>
  <si>
    <t>INV-2025-01212</t>
  </si>
  <si>
    <t>INV-2025-01213</t>
  </si>
  <si>
    <t>INV-2025-01214</t>
  </si>
  <si>
    <t>INV-2025-01215</t>
  </si>
  <si>
    <t>INV-2025-01216</t>
  </si>
  <si>
    <t>INV-2025-01217</t>
  </si>
  <si>
    <t>INV-2025-01218</t>
  </si>
  <si>
    <t>INV-2025-01219</t>
  </si>
  <si>
    <t>INV-2025-01220</t>
  </si>
  <si>
    <t>INV-2025-01221</t>
  </si>
  <si>
    <t>INV-2025-01222</t>
  </si>
  <si>
    <t>INV-2025-01223</t>
  </si>
  <si>
    <t>INV-2025-01224</t>
  </si>
  <si>
    <t>INV-2025-01225</t>
  </si>
  <si>
    <t>INV-2025-01226</t>
  </si>
  <si>
    <t>INV-2025-01227</t>
  </si>
  <si>
    <t>INV-2025-01228</t>
  </si>
  <si>
    <t>INV-2025-01229</t>
  </si>
  <si>
    <t>INV-2025-01230</t>
  </si>
  <si>
    <t>INV-2025-01231</t>
  </si>
  <si>
    <t>INV-2025-01232</t>
  </si>
  <si>
    <t>INV-2025-01233</t>
  </si>
  <si>
    <t>buildcare</t>
  </si>
  <si>
    <t>INV-2025-01234</t>
  </si>
  <si>
    <t>INV-2025-01235</t>
  </si>
  <si>
    <t>INV-2025-01236</t>
  </si>
  <si>
    <t>INV-2025-01237</t>
  </si>
  <si>
    <t>INV-2025-01238</t>
  </si>
  <si>
    <t>INV-2025-01239</t>
  </si>
  <si>
    <t>INV-2025-01240</t>
  </si>
  <si>
    <t>INV-2025-01241</t>
  </si>
  <si>
    <t>INV-2025-01242</t>
  </si>
  <si>
    <t>INV-2025-01243</t>
  </si>
  <si>
    <t>INV-2025-01244</t>
  </si>
  <si>
    <t>INV-2025-01245</t>
  </si>
  <si>
    <t>INV-2025-01246</t>
  </si>
  <si>
    <t>INV-2025-01247</t>
  </si>
  <si>
    <t>INV-2025-01248</t>
  </si>
  <si>
    <t>INV-2025-01249</t>
  </si>
  <si>
    <t>INV-2025-01250</t>
  </si>
  <si>
    <t>INV-2025-01251</t>
  </si>
  <si>
    <t>INV-2025-01252</t>
  </si>
  <si>
    <t>INV-2025-01253</t>
  </si>
  <si>
    <t>INV-2025-01254</t>
  </si>
  <si>
    <t>INV-2025-01255</t>
  </si>
  <si>
    <t>INV-2025-01256</t>
  </si>
  <si>
    <t>INV-2025-01257</t>
  </si>
  <si>
    <t>INV-2025-01258</t>
  </si>
  <si>
    <t>INV-2025-01259</t>
  </si>
  <si>
    <t>INV-2025-01260</t>
  </si>
  <si>
    <t>INV-2025-01261</t>
  </si>
  <si>
    <t>INV-2025-01262</t>
  </si>
  <si>
    <t>INV-2025-01263</t>
  </si>
  <si>
    <t>INV-2025-01264</t>
  </si>
  <si>
    <t>INV-2025-01265</t>
  </si>
  <si>
    <t>INV-2025-01266</t>
  </si>
  <si>
    <t>INV-2025-01267</t>
  </si>
  <si>
    <t>INV-2025-01268</t>
  </si>
  <si>
    <t>INV-2025-01269</t>
  </si>
  <si>
    <t>INV-2025-01270</t>
  </si>
  <si>
    <t>INV-2025-01271</t>
  </si>
  <si>
    <t>INV-2025-01272</t>
  </si>
  <si>
    <t>INV-2025-01273</t>
  </si>
  <si>
    <t>INV-2025-01274</t>
  </si>
  <si>
    <t>INV-2025-01275</t>
  </si>
  <si>
    <t>INV-2025-01276</t>
  </si>
  <si>
    <t>INV-2025-01277</t>
  </si>
  <si>
    <t>INV-2025-01278</t>
  </si>
  <si>
    <t>INV-2025-01279</t>
  </si>
  <si>
    <t>INV-2025-01280</t>
  </si>
  <si>
    <t>INV-2025-01281</t>
  </si>
  <si>
    <t>INV-2025-01282</t>
  </si>
  <si>
    <t>INV-2025-01283</t>
  </si>
  <si>
    <t>INV-2025-01284</t>
  </si>
  <si>
    <t>INV-2025-01285</t>
  </si>
  <si>
    <t>INV-2025-01286</t>
  </si>
  <si>
    <t>INV-2025-01287</t>
  </si>
  <si>
    <t>INV-2025-01288</t>
  </si>
  <si>
    <t>INV-2025-01289</t>
  </si>
  <si>
    <t>INV-2025-01290</t>
  </si>
  <si>
    <t>INV-2025-01291</t>
  </si>
  <si>
    <t>INV-2025-01292</t>
  </si>
  <si>
    <t>INV-2025-01293</t>
  </si>
  <si>
    <t>INV-2025-01294</t>
  </si>
  <si>
    <t>INV-2025-01295</t>
  </si>
  <si>
    <t>INV-2025-01296</t>
  </si>
  <si>
    <t>INV-2025-01297</t>
  </si>
  <si>
    <t>INV-2025-01298</t>
  </si>
  <si>
    <t>INV-2025-01299</t>
  </si>
  <si>
    <t>INV-2025-01300</t>
  </si>
  <si>
    <t>INV-2025-01301</t>
  </si>
  <si>
    <t>INV-2025-01302</t>
  </si>
  <si>
    <t>INV-2025-01303</t>
  </si>
  <si>
    <t>INV-2025-01304</t>
  </si>
  <si>
    <t>INV-2025-01305</t>
  </si>
  <si>
    <t>INV-2025-01306</t>
  </si>
  <si>
    <t>INV-2025-01307</t>
  </si>
  <si>
    <t>INV-2025-01308</t>
  </si>
  <si>
    <t>INV-2025-01309</t>
  </si>
  <si>
    <t>INV-2025-01310</t>
  </si>
  <si>
    <t>INV-2025-01311</t>
  </si>
  <si>
    <t>INV-2025-01312</t>
  </si>
  <si>
    <t>INV-2025-01313</t>
  </si>
  <si>
    <t>INV-2025-01314</t>
  </si>
  <si>
    <t>INV-2025-01315</t>
  </si>
  <si>
    <t>INV-2025-01316</t>
  </si>
  <si>
    <t>INV-2025-01317</t>
  </si>
  <si>
    <t>INV-2025-01318</t>
  </si>
  <si>
    <t>INV-2025-01319</t>
  </si>
  <si>
    <t>INV-2025-01320</t>
  </si>
  <si>
    <t>INV-2025-01321</t>
  </si>
  <si>
    <t>INV-2025-01322</t>
  </si>
  <si>
    <t>INV-2025-01323</t>
  </si>
  <si>
    <t>INV-2025-01324</t>
  </si>
  <si>
    <t>INV-2025-01325</t>
  </si>
  <si>
    <t>INV-2025-01326</t>
  </si>
  <si>
    <t>INV-2025-01327</t>
  </si>
  <si>
    <t>INV-2025-01328</t>
  </si>
  <si>
    <t>INV-2025-01329</t>
  </si>
  <si>
    <t>INV-2025-01330</t>
  </si>
  <si>
    <t>INV-2025-01331</t>
  </si>
  <si>
    <t>INV-2025-01332</t>
  </si>
  <si>
    <t>INV-2025-01333</t>
  </si>
  <si>
    <t>INV-2025-01334</t>
  </si>
  <si>
    <t>INV-2025-01335</t>
  </si>
  <si>
    <t>INV-2025-01336</t>
  </si>
  <si>
    <t>INV-2025-01337</t>
  </si>
  <si>
    <t>INV-2025-01338</t>
  </si>
  <si>
    <t>INV-2025-01339</t>
  </si>
  <si>
    <t>INV-2025-01340</t>
  </si>
  <si>
    <t>INV-2025-01341</t>
  </si>
  <si>
    <t>INV-2025-01342</t>
  </si>
  <si>
    <t>INV-2025-01343</t>
  </si>
  <si>
    <t>INV-2025-01344</t>
  </si>
  <si>
    <t>INV-2025-01345</t>
  </si>
  <si>
    <t>INV-2025-01346</t>
  </si>
  <si>
    <t>INV-2025-01347</t>
  </si>
  <si>
    <t>INV-2025-01348</t>
  </si>
  <si>
    <t>INV-2025-01349</t>
  </si>
  <si>
    <t>INV-2025-01350</t>
  </si>
  <si>
    <t>INV-2025-01351</t>
  </si>
  <si>
    <t>INV-2025-01352</t>
  </si>
  <si>
    <t>INV-2025-01353</t>
  </si>
  <si>
    <t>INV-2025-01354</t>
  </si>
  <si>
    <t>INV-2025-01355</t>
  </si>
  <si>
    <t>INV-2025-01356</t>
  </si>
  <si>
    <t>INV-2025-01357</t>
  </si>
  <si>
    <t>INV-2025-01358</t>
  </si>
  <si>
    <t>INV-2025-01359</t>
  </si>
  <si>
    <t>INV-2025-01360</t>
  </si>
  <si>
    <t>INV-2025-01361</t>
  </si>
  <si>
    <t>INV-2025-01362</t>
  </si>
  <si>
    <t>INV-2025-01363</t>
  </si>
  <si>
    <t>INV-2025-01364</t>
  </si>
  <si>
    <t>INV-2025-01365</t>
  </si>
  <si>
    <t>INV-2025-01366</t>
  </si>
  <si>
    <t>INV-2025-01367</t>
  </si>
  <si>
    <t>INV-2025-01368</t>
  </si>
  <si>
    <t>INV-2025-01369</t>
  </si>
  <si>
    <t>INV-2025-01370</t>
  </si>
  <si>
    <t>kitchenpro</t>
  </si>
  <si>
    <t>INV-2025-01371</t>
  </si>
  <si>
    <t>INV-2025-01372</t>
  </si>
  <si>
    <t>INV-2025-01373</t>
  </si>
  <si>
    <t>INV-2025-01374</t>
  </si>
  <si>
    <t>INV-2025-01375</t>
  </si>
  <si>
    <t>INV-2025-01376</t>
  </si>
  <si>
    <t>INV-2025-01377</t>
  </si>
  <si>
    <t>INV-2025-01378</t>
  </si>
  <si>
    <t>INV-2025-01379</t>
  </si>
  <si>
    <t>INV-2025-01380</t>
  </si>
  <si>
    <t>INV-2025-01381</t>
  </si>
  <si>
    <t>INV-2025-01382</t>
  </si>
  <si>
    <t>INV-2025-01383</t>
  </si>
  <si>
    <t>INV-2025-01384</t>
  </si>
  <si>
    <t>INV-2025-01385</t>
  </si>
  <si>
    <t>INV-2025-01386</t>
  </si>
  <si>
    <t>INV-2025-01387</t>
  </si>
  <si>
    <t>INV-2025-01388</t>
  </si>
  <si>
    <t>INV-2025-01389</t>
  </si>
  <si>
    <t>INV-2025-01390</t>
  </si>
  <si>
    <t>INV-2025-01391</t>
  </si>
  <si>
    <t>INV-2025-01392</t>
  </si>
  <si>
    <t>INV-2025-01393</t>
  </si>
  <si>
    <t>INV-2025-01394</t>
  </si>
  <si>
    <t>INV-2025-01395</t>
  </si>
  <si>
    <t>INV-2025-01396</t>
  </si>
  <si>
    <t>INV-2025-01397</t>
  </si>
  <si>
    <t>INV-2025-01398</t>
  </si>
  <si>
    <t>INV-2025-01399</t>
  </si>
  <si>
    <t>INV-2025-01400</t>
  </si>
  <si>
    <t>INV-2025-01401</t>
  </si>
  <si>
    <t>INV-2025-01402</t>
  </si>
  <si>
    <t>INV-2025-01403</t>
  </si>
  <si>
    <t>INV-2025-01404</t>
  </si>
  <si>
    <t>INV-2025-01405</t>
  </si>
  <si>
    <t>INV-2025-01406</t>
  </si>
  <si>
    <t>INV-2025-01407</t>
  </si>
  <si>
    <t>INV-2025-01408</t>
  </si>
  <si>
    <t>INV-2025-01409</t>
  </si>
  <si>
    <t>INV-2025-01410</t>
  </si>
  <si>
    <t>INV-2025-01411</t>
  </si>
  <si>
    <t>INV-2025-01412</t>
  </si>
  <si>
    <t>INV-2025-01413</t>
  </si>
  <si>
    <t>INV-2025-01414</t>
  </si>
  <si>
    <t>INV-2025-01415</t>
  </si>
  <si>
    <t>INV-2025-01416</t>
  </si>
  <si>
    <t>INV-2025-01417</t>
  </si>
  <si>
    <t>INV-2025-01418</t>
  </si>
  <si>
    <t>INV-2025-01419</t>
  </si>
  <si>
    <t>INV-2025-01420</t>
  </si>
  <si>
    <t>INV-2025-01421</t>
  </si>
  <si>
    <t>INV-2025-01422</t>
  </si>
  <si>
    <t>INV-2025-01423</t>
  </si>
  <si>
    <t>INV-2025-01424</t>
  </si>
  <si>
    <t>INV-2025-01425</t>
  </si>
  <si>
    <t>INV-2025-01426</t>
  </si>
  <si>
    <t>INV-2025-01427</t>
  </si>
  <si>
    <t>INV-2025-01428</t>
  </si>
  <si>
    <t>INV-2025-01429</t>
  </si>
  <si>
    <t>INV-2025-01430</t>
  </si>
  <si>
    <t>INV-2025-01431</t>
  </si>
  <si>
    <t>INV-2025-01432</t>
  </si>
  <si>
    <t>INV-2025-01433</t>
  </si>
  <si>
    <t>INV-2025-01434</t>
  </si>
  <si>
    <t>INV-2025-01435</t>
  </si>
  <si>
    <t>INV-2025-01436</t>
  </si>
  <si>
    <t>INV-2025-01437</t>
  </si>
  <si>
    <t>INV-2025-01438</t>
  </si>
  <si>
    <t>INV-2025-01439</t>
  </si>
  <si>
    <t>INV-2025-01440</t>
  </si>
  <si>
    <t>INV-2025-01441</t>
  </si>
  <si>
    <t>INV-2025-01442</t>
  </si>
  <si>
    <t>INV-2025-01443</t>
  </si>
  <si>
    <t>INV-2025-01444</t>
  </si>
  <si>
    <t>INV-2025-01445</t>
  </si>
  <si>
    <t>INV-2025-01446</t>
  </si>
  <si>
    <t>INV-2025-01447</t>
  </si>
  <si>
    <t>INV-2025-01448</t>
  </si>
  <si>
    <t>INV-2025-01449</t>
  </si>
  <si>
    <t>INV-2025-01450</t>
  </si>
  <si>
    <t>INV-2025-01451</t>
  </si>
  <si>
    <t>INV-2025-01452</t>
  </si>
  <si>
    <t>INV-2025-01453</t>
  </si>
  <si>
    <t>INV-2025-01454</t>
  </si>
  <si>
    <t>INV-2025-01455</t>
  </si>
  <si>
    <t>INV-2025-01456</t>
  </si>
  <si>
    <t>INV-2025-01457</t>
  </si>
  <si>
    <t>INV-2025-01458</t>
  </si>
  <si>
    <t>INV-2025-01459</t>
  </si>
  <si>
    <t>INV-2025-01460</t>
  </si>
  <si>
    <t>INV-2025-01461</t>
  </si>
  <si>
    <t>INV-2025-01462</t>
  </si>
  <si>
    <t>INV-2025-01463</t>
  </si>
  <si>
    <t>INV-2025-01464</t>
  </si>
  <si>
    <t>INV-2025-01465</t>
  </si>
  <si>
    <t>INV-2025-01466</t>
  </si>
  <si>
    <t>INV-2025-01467</t>
  </si>
  <si>
    <t>INV-2025-01468</t>
  </si>
  <si>
    <t>INV-2025-01469</t>
  </si>
  <si>
    <t>INV-2025-01470</t>
  </si>
  <si>
    <t>INV-2025-01471</t>
  </si>
  <si>
    <t>INV-2025-01472</t>
  </si>
  <si>
    <t>INV-2025-01473</t>
  </si>
  <si>
    <t>INV-2025-01474</t>
  </si>
  <si>
    <t>INV-2025-01475</t>
  </si>
  <si>
    <t>INV-2025-01476</t>
  </si>
  <si>
    <t>INV-2025-01477</t>
  </si>
  <si>
    <t>INV-2025-01478</t>
  </si>
  <si>
    <t>INV-2025-01479</t>
  </si>
  <si>
    <t>INV-2025-01480</t>
  </si>
  <si>
    <t>INV-2025-01481</t>
  </si>
  <si>
    <t>INV-2025-01482</t>
  </si>
  <si>
    <t>INV-2025-01483</t>
  </si>
  <si>
    <t>INV-2025-01484</t>
  </si>
  <si>
    <t>INV-2025-01485</t>
  </si>
  <si>
    <t>INV-2025-01486</t>
  </si>
  <si>
    <t>INV-2025-01487</t>
  </si>
  <si>
    <t>INV-2025-01488</t>
  </si>
  <si>
    <t>INV-2025-01489</t>
  </si>
  <si>
    <t>INV-2025-01490</t>
  </si>
  <si>
    <t>INV-2025-01491</t>
  </si>
  <si>
    <t>INV-2025-01492</t>
  </si>
  <si>
    <t>INV-2025-01493</t>
  </si>
  <si>
    <t>INV-2025-01494</t>
  </si>
  <si>
    <t>INV-2025-01495</t>
  </si>
  <si>
    <t>INV-2025-01496</t>
  </si>
  <si>
    <t>INV-2025-01497</t>
  </si>
  <si>
    <t>INV-2025-01498</t>
  </si>
  <si>
    <t>INV-2025-01499</t>
  </si>
  <si>
    <t>INV-2025-01500</t>
  </si>
  <si>
    <t>INV-2025-01501</t>
  </si>
  <si>
    <t>INV-2025-01502</t>
  </si>
  <si>
    <t>INV-2025-01503</t>
  </si>
  <si>
    <t>INV-2025-01504</t>
  </si>
  <si>
    <t>INV-2025-01505</t>
  </si>
  <si>
    <t>INV-2025-01506</t>
  </si>
  <si>
    <t>INV-2025-01507</t>
  </si>
  <si>
    <t>powerdirect</t>
  </si>
  <si>
    <t>INV-2025-01508</t>
  </si>
  <si>
    <t>INV-2025-01509</t>
  </si>
  <si>
    <t>INV-2025-01510</t>
  </si>
  <si>
    <t>INV-2025-01511</t>
  </si>
  <si>
    <t>INV-2025-01512</t>
  </si>
  <si>
    <t>INV-2025-01513</t>
  </si>
  <si>
    <t>INV-2025-01514</t>
  </si>
  <si>
    <t>INV-2025-01515</t>
  </si>
  <si>
    <t>INV-2025-01516</t>
  </si>
  <si>
    <t>INV-2025-01517</t>
  </si>
  <si>
    <t>INV-2025-01518</t>
  </si>
  <si>
    <t>INV-2025-01519</t>
  </si>
  <si>
    <t>INV-2025-01520</t>
  </si>
  <si>
    <t>INV-2025-01521</t>
  </si>
  <si>
    <t>INV-2025-01522</t>
  </si>
  <si>
    <t>INV-2025-01523</t>
  </si>
  <si>
    <t>INV-2025-01524</t>
  </si>
  <si>
    <t>INV-2025-01525</t>
  </si>
  <si>
    <t>INV-2025-01526</t>
  </si>
  <si>
    <t>INV-2025-01527</t>
  </si>
  <si>
    <t>INV-2025-01528</t>
  </si>
  <si>
    <t>INV-2025-01529</t>
  </si>
  <si>
    <t>INV-2025-01530</t>
  </si>
  <si>
    <t>INV-2025-01531</t>
  </si>
  <si>
    <t>INV-2025-01532</t>
  </si>
  <si>
    <t>INV-2025-01533</t>
  </si>
  <si>
    <t>INV-2025-01534</t>
  </si>
  <si>
    <t>INV-2025-01535</t>
  </si>
  <si>
    <t>INV-2025-01536</t>
  </si>
  <si>
    <t>INV-2025-01537</t>
  </si>
  <si>
    <t>INV-2025-01538</t>
  </si>
  <si>
    <t>INV-2025-01539</t>
  </si>
  <si>
    <t>INV-2025-01540</t>
  </si>
  <si>
    <t>INV-2025-01541</t>
  </si>
  <si>
    <t>INV-2025-01542</t>
  </si>
  <si>
    <t>INV-2025-01543</t>
  </si>
  <si>
    <t>INV-2025-01544</t>
  </si>
  <si>
    <t>INV-2025-01545</t>
  </si>
  <si>
    <t>INV-2025-01546</t>
  </si>
  <si>
    <t>INV-2025-01547</t>
  </si>
  <si>
    <t>INV-2025-01548</t>
  </si>
  <si>
    <t>INV-2025-01549</t>
  </si>
  <si>
    <t>INV-2025-01550</t>
  </si>
  <si>
    <t>INV-2025-01551</t>
  </si>
  <si>
    <t>INV-2025-01552</t>
  </si>
  <si>
    <t>INV-2025-01553</t>
  </si>
  <si>
    <t>INV-2025-01554</t>
  </si>
  <si>
    <t>INV-2025-01555</t>
  </si>
  <si>
    <t>INV-2025-01556</t>
  </si>
  <si>
    <t>INV-2025-01557</t>
  </si>
  <si>
    <t>INV-2025-01558</t>
  </si>
  <si>
    <t>INV-2025-01559</t>
  </si>
  <si>
    <t>INV-2025-01560</t>
  </si>
  <si>
    <t>INV-2025-01561</t>
  </si>
  <si>
    <t>INV-2025-01562</t>
  </si>
  <si>
    <t>INV-2025-01563</t>
  </si>
  <si>
    <t>INV-2025-01564</t>
  </si>
  <si>
    <t>INV-2025-01565</t>
  </si>
  <si>
    <t>INV-2025-01566</t>
  </si>
  <si>
    <t>INV-2025-01567</t>
  </si>
  <si>
    <t>INV-2025-01568</t>
  </si>
  <si>
    <t>INV-2025-01569</t>
  </si>
  <si>
    <t>INV-2025-01570</t>
  </si>
  <si>
    <t>INV-2025-01571</t>
  </si>
  <si>
    <t>INV-2025-01572</t>
  </si>
  <si>
    <t>INV-2025-01573</t>
  </si>
  <si>
    <t>INV-2025-01574</t>
  </si>
  <si>
    <t>INV-2025-01575</t>
  </si>
  <si>
    <t>INV-2025-01576</t>
  </si>
  <si>
    <t>INV-2025-01577</t>
  </si>
  <si>
    <t>INV-2025-01578</t>
  </si>
  <si>
    <t>INV-2025-01579</t>
  </si>
  <si>
    <t>INV-2025-01580</t>
  </si>
  <si>
    <t>INV-2025-01581</t>
  </si>
  <si>
    <t>INV-2025-01582</t>
  </si>
  <si>
    <t>INV-2025-01583</t>
  </si>
  <si>
    <t>INV-2025-01584</t>
  </si>
  <si>
    <t>INV-2025-01585</t>
  </si>
  <si>
    <t>INV-2025-01586</t>
  </si>
  <si>
    <t>INV-2025-01587</t>
  </si>
  <si>
    <t>INV-2025-01588</t>
  </si>
  <si>
    <t>INV-2025-01589</t>
  </si>
  <si>
    <t>INV-2025-01590</t>
  </si>
  <si>
    <t>INV-2025-01591</t>
  </si>
  <si>
    <t>INV-2025-01592</t>
  </si>
  <si>
    <t>INV-2025-01593</t>
  </si>
  <si>
    <t>INV-2025-01594</t>
  </si>
  <si>
    <t>INV-2025-01595</t>
  </si>
  <si>
    <t>INV-2025-01596</t>
  </si>
  <si>
    <t>INV-2025-01597</t>
  </si>
  <si>
    <t>INV-2025-01598</t>
  </si>
  <si>
    <t>INV-2025-01599</t>
  </si>
  <si>
    <t>INV-2025-01600</t>
  </si>
  <si>
    <t>INV-2025-01601</t>
  </si>
  <si>
    <t>INV-2025-01602</t>
  </si>
  <si>
    <t>INV-2025-01603</t>
  </si>
  <si>
    <t>INV-2025-01604</t>
  </si>
  <si>
    <t>INV-2025-01605</t>
  </si>
  <si>
    <t>INV-2025-01606</t>
  </si>
  <si>
    <t>INV-2025-01607</t>
  </si>
  <si>
    <t>INV-2025-01608</t>
  </si>
  <si>
    <t>INV-2025-01609</t>
  </si>
  <si>
    <t>INV-2025-01610</t>
  </si>
  <si>
    <t>INV-2025-01611</t>
  </si>
  <si>
    <t>INV-2025-01612</t>
  </si>
  <si>
    <t>INV-2025-01613</t>
  </si>
  <si>
    <t>INV-2025-01614</t>
  </si>
  <si>
    <t>INV-2025-01615</t>
  </si>
  <si>
    <t>INV-2025-01616</t>
  </si>
  <si>
    <t>INV-2025-01617</t>
  </si>
  <si>
    <t>INV-2025-01618</t>
  </si>
  <si>
    <t>INV-2025-01619</t>
  </si>
  <si>
    <t>INV-2025-01620</t>
  </si>
  <si>
    <t>INV-2025-01621</t>
  </si>
  <si>
    <t>INV-2025-01622</t>
  </si>
  <si>
    <t>INV-2025-01623</t>
  </si>
  <si>
    <t>INV-2025-01624</t>
  </si>
  <si>
    <t>INV-2025-01625</t>
  </si>
  <si>
    <t>INV-2025-01626</t>
  </si>
  <si>
    <t>INV-2025-01627</t>
  </si>
  <si>
    <t>INV-2025-01628</t>
  </si>
  <si>
    <t>INV-2025-01629</t>
  </si>
  <si>
    <t>INV-2025-01630</t>
  </si>
  <si>
    <t>INV-2025-01631</t>
  </si>
  <si>
    <t>INV-2025-01632</t>
  </si>
  <si>
    <t>INV-2025-01633</t>
  </si>
  <si>
    <t>INV-2025-01634</t>
  </si>
  <si>
    <t>INV-2025-01635</t>
  </si>
  <si>
    <t>INV-2025-01636</t>
  </si>
  <si>
    <t>INV-2025-01637</t>
  </si>
  <si>
    <t>INV-2025-01638</t>
  </si>
  <si>
    <t>INV-2025-01639</t>
  </si>
  <si>
    <t>INV-2025-01640</t>
  </si>
  <si>
    <t>INV-2025-01641</t>
  </si>
  <si>
    <t>INV-2025-01642</t>
  </si>
  <si>
    <t>INV-2025-01643</t>
  </si>
  <si>
    <t>INV-2025-01644</t>
  </si>
  <si>
    <t>INV-2025-01645</t>
  </si>
  <si>
    <t>INV-2025-01646</t>
  </si>
  <si>
    <t>INV-2025-01647</t>
  </si>
  <si>
    <t>INV-2025-01648</t>
  </si>
  <si>
    <t>INV-2025-01649</t>
  </si>
  <si>
    <t>INV-2025-01650</t>
  </si>
  <si>
    <t>INV-2025-01651</t>
  </si>
  <si>
    <t>INV-2025-01652</t>
  </si>
  <si>
    <t>INV-2025-01653</t>
  </si>
  <si>
    <t>INV-2025-01654</t>
  </si>
  <si>
    <t>INV-2025-01655</t>
  </si>
  <si>
    <t>INV-2025-01656</t>
  </si>
  <si>
    <t>INV-2025-01657</t>
  </si>
  <si>
    <t>INV-2025-01658</t>
  </si>
  <si>
    <t>INV-2025-01659</t>
  </si>
  <si>
    <t>INV-2025-01660</t>
  </si>
  <si>
    <t>INV-2025-01661</t>
  </si>
  <si>
    <t>INV-2025-01662</t>
  </si>
  <si>
    <t>INV-2025-01663</t>
  </si>
  <si>
    <t>INV-2025-01664</t>
  </si>
  <si>
    <t>INV-2025-01665</t>
  </si>
  <si>
    <t>INV-2025-01666</t>
  </si>
  <si>
    <t>INV-2025-01667</t>
  </si>
  <si>
    <t>INV-2025-01668</t>
  </si>
  <si>
    <t>INV-2025-01669</t>
  </si>
  <si>
    <t>INV-2025-01670</t>
  </si>
  <si>
    <t>INV-2025-01671</t>
  </si>
  <si>
    <t>INV-2025-01672</t>
  </si>
  <si>
    <t>INV-2025-01673</t>
  </si>
  <si>
    <t>INV-2025-01674</t>
  </si>
  <si>
    <t>INV-2025-01675</t>
  </si>
  <si>
    <t>INV-2025-01676</t>
  </si>
  <si>
    <t>INV-2025-01677</t>
  </si>
  <si>
    <t>INV-2025-01678</t>
  </si>
  <si>
    <t>INV-2025-01679</t>
  </si>
  <si>
    <t>INV-2025-01680</t>
  </si>
  <si>
    <t>INV-2025-01681</t>
  </si>
  <si>
    <t>INV-2025-01682</t>
  </si>
  <si>
    <t>INV-2025-01683</t>
  </si>
  <si>
    <t>INV-2025-01684</t>
  </si>
  <si>
    <t>INV-2025-01685</t>
  </si>
  <si>
    <t>INV-2025-01686</t>
  </si>
  <si>
    <t>INV-2025-01687</t>
  </si>
  <si>
    <t>INV-2025-01688</t>
  </si>
  <si>
    <t>INV-2025-01689</t>
  </si>
  <si>
    <t>INV-2025-01690</t>
  </si>
  <si>
    <t>INV-2025-01691</t>
  </si>
  <si>
    <t>INV-2025-01692</t>
  </si>
  <si>
    <t>INV-2025-01693</t>
  </si>
  <si>
    <t>INV-2025-01694</t>
  </si>
  <si>
    <t>INV-2025-01695</t>
  </si>
  <si>
    <t>INV-2025-01696</t>
  </si>
  <si>
    <t>INV-2025-01697</t>
  </si>
  <si>
    <t>INV-2025-01698</t>
  </si>
  <si>
    <t>INV-2025-01699</t>
  </si>
  <si>
    <t>INV-2025-01700</t>
  </si>
  <si>
    <t>INV-2025-01701</t>
  </si>
  <si>
    <t>INV-2025-01702</t>
  </si>
  <si>
    <t>INV-2025-01703</t>
  </si>
  <si>
    <t>INV-2025-01704</t>
  </si>
  <si>
    <t>INV-2025-01705</t>
  </si>
  <si>
    <t>INV-2025-01706</t>
  </si>
  <si>
    <t>INV-2025-01707</t>
  </si>
  <si>
    <t>INV-2025-01708</t>
  </si>
  <si>
    <t>INV-2025-01709</t>
  </si>
  <si>
    <t>INV-2025-01710</t>
  </si>
  <si>
    <t>INV-2025-01711</t>
  </si>
  <si>
    <t>INV-2025-01712</t>
  </si>
  <si>
    <t>INV-2025-01713</t>
  </si>
  <si>
    <t>INV-2025-01714</t>
  </si>
  <si>
    <t>INV-2025-01715</t>
  </si>
  <si>
    <t>INV-2025-01716</t>
  </si>
  <si>
    <t>INV-2025-01717</t>
  </si>
  <si>
    <t>INV-2025-01718</t>
  </si>
  <si>
    <t>INV-2025-01719</t>
  </si>
  <si>
    <t>INV-2025-01720</t>
  </si>
  <si>
    <t>INV-2025-01721</t>
  </si>
  <si>
    <t>INV-2025-01722</t>
  </si>
  <si>
    <t>INV-2025-01723</t>
  </si>
  <si>
    <t>INV-2025-01724</t>
  </si>
  <si>
    <t>INV-2025-01725</t>
  </si>
  <si>
    <t>INV-2025-01726</t>
  </si>
  <si>
    <t>INV-2025-01727</t>
  </si>
  <si>
    <t>INV-2025-01728</t>
  </si>
  <si>
    <t>INV-2025-01729</t>
  </si>
  <si>
    <t>INV-2025-01730</t>
  </si>
  <si>
    <t>INV-2025-01731</t>
  </si>
  <si>
    <t>INV-2025-01732</t>
  </si>
  <si>
    <t>INV-2025-01733</t>
  </si>
  <si>
    <t>INV-2025-01734</t>
  </si>
  <si>
    <t>INV-2025-01735</t>
  </si>
  <si>
    <t>INV-2025-01736</t>
  </si>
  <si>
    <t>INV-2025-01737</t>
  </si>
  <si>
    <t>INV-2025-01738</t>
  </si>
  <si>
    <t>INV-2025-01739</t>
  </si>
  <si>
    <t>INV-2025-01740</t>
  </si>
  <si>
    <t>INV-2025-01741</t>
  </si>
  <si>
    <t>INV-2025-01742</t>
  </si>
  <si>
    <t>INV-2025-01743</t>
  </si>
  <si>
    <t>INV-2025-01744</t>
  </si>
  <si>
    <t>INV-2025-01745</t>
  </si>
  <si>
    <t>INV-2025-01746</t>
  </si>
  <si>
    <t>INV-2025-01747</t>
  </si>
  <si>
    <t>INV-2025-01748</t>
  </si>
  <si>
    <t>INV-2025-01749</t>
  </si>
  <si>
    <t>INV-2025-01750</t>
  </si>
  <si>
    <t>INV-2025-01751</t>
  </si>
  <si>
    <t>INV-2025-01752</t>
  </si>
  <si>
    <t>INV-2025-01753</t>
  </si>
  <si>
    <t>INV-2025-01754</t>
  </si>
  <si>
    <t>INV-2025-01755</t>
  </si>
  <si>
    <t>INV-2025-01756</t>
  </si>
  <si>
    <t>INV-2025-01757</t>
  </si>
  <si>
    <t>INV-2025-01758</t>
  </si>
  <si>
    <t>INV-2025-01759</t>
  </si>
  <si>
    <t>INV-2025-01760</t>
  </si>
  <si>
    <t>INV-2025-01761</t>
  </si>
  <si>
    <t>INV-2025-01762</t>
  </si>
  <si>
    <t>INV-2025-01763</t>
  </si>
  <si>
    <t>INV-2025-01764</t>
  </si>
  <si>
    <t>INV-2025-01765</t>
  </si>
  <si>
    <t>INV-2025-01766</t>
  </si>
  <si>
    <t>INV-2025-01767</t>
  </si>
  <si>
    <t>INV-2025-01768</t>
  </si>
  <si>
    <t>INV-2025-01769</t>
  </si>
  <si>
    <t>INV-2025-01770</t>
  </si>
  <si>
    <t>INV-2025-01771</t>
  </si>
  <si>
    <t>INV-2025-01772</t>
  </si>
  <si>
    <t>INV-2025-01773</t>
  </si>
  <si>
    <t>INV-2025-01774</t>
  </si>
  <si>
    <t>INV-2025-01775</t>
  </si>
  <si>
    <t>INV-2025-01776</t>
  </si>
  <si>
    <t>INV-2025-01777</t>
  </si>
  <si>
    <t>INV-2025-01778</t>
  </si>
  <si>
    <t>INV-2025-01779</t>
  </si>
  <si>
    <t>INV-2025-01780</t>
  </si>
  <si>
    <t>INV-2025-01781</t>
  </si>
  <si>
    <t>learnwell</t>
  </si>
  <si>
    <t>INV-2025-01782</t>
  </si>
  <si>
    <t>INV-2025-01783</t>
  </si>
  <si>
    <t>INV-2025-01784</t>
  </si>
  <si>
    <t>INV-2025-01785</t>
  </si>
  <si>
    <t>INV-2025-01786</t>
  </si>
  <si>
    <t>INV-2025-01787</t>
  </si>
  <si>
    <t>INV-2025-01788</t>
  </si>
  <si>
    <t>INV-2025-01789</t>
  </si>
  <si>
    <t>INV-2025-01790</t>
  </si>
  <si>
    <t>INV-2025-01791</t>
  </si>
  <si>
    <t>INV-2025-01792</t>
  </si>
  <si>
    <t>INV-2025-01793</t>
  </si>
  <si>
    <t>INV-2025-01794</t>
  </si>
  <si>
    <t>INV-2025-01795</t>
  </si>
  <si>
    <t>INV-2025-01796</t>
  </si>
  <si>
    <t>INV-2025-01797</t>
  </si>
  <si>
    <t>INV-2025-01798</t>
  </si>
  <si>
    <t>INV-2025-01799</t>
  </si>
  <si>
    <t>INV-2025-01800</t>
  </si>
  <si>
    <t>VehicleID</t>
  </si>
  <si>
    <t>VehicleType</t>
  </si>
  <si>
    <t>FuelLitres</t>
  </si>
  <si>
    <t>FuelCost</t>
  </si>
  <si>
    <t>MaintenanceCost</t>
  </si>
  <si>
    <t>LeaseCost</t>
  </si>
  <si>
    <t>TotalFleetCost</t>
  </si>
  <si>
    <t>VH0077</t>
  </si>
  <si>
    <t>VH0050</t>
  </si>
  <si>
    <t>VH0138</t>
  </si>
  <si>
    <t>VH0063</t>
  </si>
  <si>
    <t>VH0118</t>
  </si>
  <si>
    <t>VH0032</t>
  </si>
  <si>
    <t>VH0028</t>
  </si>
  <si>
    <t>VH0093</t>
  </si>
  <si>
    <t>VH0054</t>
  </si>
  <si>
    <t>VH0101</t>
  </si>
  <si>
    <t>VH0026</t>
  </si>
  <si>
    <t>VH0126</t>
  </si>
  <si>
    <t>VH0006</t>
  </si>
  <si>
    <t>VH0046</t>
  </si>
  <si>
    <t>VH0009</t>
  </si>
  <si>
    <t>VH0031</t>
  </si>
  <si>
    <t>VH0008</t>
  </si>
  <si>
    <t>VH0084</t>
  </si>
  <si>
    <t>VH0036</t>
  </si>
  <si>
    <t>VH0057</t>
  </si>
  <si>
    <t>VH0090</t>
  </si>
  <si>
    <t>VH0076</t>
  </si>
  <si>
    <t>VH0120</t>
  </si>
  <si>
    <t>VH0072</t>
  </si>
  <si>
    <t>VH0027</t>
  </si>
  <si>
    <t>VH0080</t>
  </si>
  <si>
    <t>VH0099</t>
  </si>
  <si>
    <t>VH0110</t>
  </si>
  <si>
    <t>VH0052</t>
  </si>
  <si>
    <t>VH0091</t>
  </si>
  <si>
    <t>VH0096</t>
  </si>
  <si>
    <t>VH0017</t>
  </si>
  <si>
    <t>VH0019</t>
  </si>
  <si>
    <t>VH0056</t>
  </si>
  <si>
    <t>VH0038</t>
  </si>
  <si>
    <t>VH0073</t>
  </si>
  <si>
    <t>VH0055</t>
  </si>
  <si>
    <t>VH0135</t>
  </si>
  <si>
    <t>VH0116</t>
  </si>
  <si>
    <t>VH0044</t>
  </si>
  <si>
    <t>VH0002</t>
  </si>
  <si>
    <t>VH0119</t>
  </si>
  <si>
    <t>VH0034</t>
  </si>
  <si>
    <t>VH0104</t>
  </si>
  <si>
    <t>VH0010</t>
  </si>
  <si>
    <t>VH0137</t>
  </si>
  <si>
    <t>VH0013</t>
  </si>
  <si>
    <t>VH0117</t>
  </si>
  <si>
    <t>VH0127</t>
  </si>
  <si>
    <t>VH0049</t>
  </si>
  <si>
    <t>VH0095</t>
  </si>
  <si>
    <t>VH0020</t>
  </si>
  <si>
    <t>VH0068</t>
  </si>
  <si>
    <t>VH0085</t>
  </si>
  <si>
    <t>VH0098</t>
  </si>
  <si>
    <t>VH0070</t>
  </si>
  <si>
    <t>VH0136</t>
  </si>
  <si>
    <t>VH0062</t>
  </si>
  <si>
    <t>VH0123</t>
  </si>
  <si>
    <t>VH0083</t>
  </si>
  <si>
    <t>VH0124</t>
  </si>
  <si>
    <t>VH0125</t>
  </si>
  <si>
    <t>VH0094</t>
  </si>
  <si>
    <t>VH0029</t>
  </si>
  <si>
    <t>VH0005</t>
  </si>
  <si>
    <t>VH0129</t>
  </si>
  <si>
    <t>VH0111</t>
  </si>
  <si>
    <t>VH0131</t>
  </si>
  <si>
    <t>VH0086</t>
  </si>
  <si>
    <t>VH0014</t>
  </si>
  <si>
    <t>VH0113</t>
  </si>
  <si>
    <t>VH0133</t>
  </si>
  <si>
    <t>VH0064</t>
  </si>
  <si>
    <t>VH0069</t>
  </si>
  <si>
    <t>VH0053</t>
  </si>
  <si>
    <t>VH0081</t>
  </si>
  <si>
    <t>VH0018</t>
  </si>
  <si>
    <t>VH0043</t>
  </si>
  <si>
    <t>VH0003</t>
  </si>
  <si>
    <t>VH0122</t>
  </si>
  <si>
    <t>VH0025</t>
  </si>
  <si>
    <t>VH0078</t>
  </si>
  <si>
    <t>VH0037</t>
  </si>
  <si>
    <t>VH0092</t>
  </si>
  <si>
    <t>VH0128</t>
  </si>
  <si>
    <t>VH0140</t>
  </si>
  <si>
    <t>VH0045</t>
  </si>
  <si>
    <t>VH0089</t>
  </si>
  <si>
    <t>VH0074</t>
  </si>
  <si>
    <t>VH0065</t>
  </si>
  <si>
    <t>VH0021</t>
  </si>
  <si>
    <t>VH0075</t>
  </si>
  <si>
    <t>VH0112</t>
  </si>
  <si>
    <t>VH0047</t>
  </si>
  <si>
    <t>VH0097</t>
  </si>
  <si>
    <t>VH0132</t>
  </si>
  <si>
    <t>VH0022</t>
  </si>
  <si>
    <t>VH0015</t>
  </si>
  <si>
    <t>VH0030</t>
  </si>
  <si>
    <t>VH0048</t>
  </si>
  <si>
    <t>VH0071</t>
  </si>
  <si>
    <t>VH0114</t>
  </si>
  <si>
    <t>VH0041</t>
  </si>
  <si>
    <t>VH0087</t>
  </si>
  <si>
    <t>VH0012</t>
  </si>
  <si>
    <t>VH0060</t>
  </si>
  <si>
    <t>VH0051</t>
  </si>
  <si>
    <t>VH0007</t>
  </si>
  <si>
    <t>VH0033</t>
  </si>
  <si>
    <t>VH0108</t>
  </si>
  <si>
    <t>VH0067</t>
  </si>
  <si>
    <t>VH0016</t>
  </si>
  <si>
    <t>VH0011</t>
  </si>
  <si>
    <t>VH0100</t>
  </si>
  <si>
    <t>VH0059</t>
  </si>
  <si>
    <t>VH0106</t>
  </si>
  <si>
    <t>VH0082</t>
  </si>
  <si>
    <t>VH0079</t>
  </si>
  <si>
    <t>VH0139</t>
  </si>
  <si>
    <t>VH0061</t>
  </si>
  <si>
    <t>VH0004</t>
  </si>
  <si>
    <t>VH0130</t>
  </si>
  <si>
    <t>VH0105</t>
  </si>
  <si>
    <t>VH0121</t>
  </si>
  <si>
    <t>VH0088</t>
  </si>
  <si>
    <t>VH0023</t>
  </si>
  <si>
    <t>VH0134</t>
  </si>
  <si>
    <t>VH0115</t>
  </si>
  <si>
    <t>VH0102</t>
  </si>
  <si>
    <t>VH0039</t>
  </si>
  <si>
    <t>VH0109</t>
  </si>
  <si>
    <t>VH0058</t>
  </si>
  <si>
    <t>VH0024</t>
  </si>
  <si>
    <t>VH0103</t>
  </si>
  <si>
    <t>VH0035</t>
  </si>
  <si>
    <t>VH0001</t>
  </si>
  <si>
    <t>VH0042</t>
  </si>
  <si>
    <t>VH0066</t>
  </si>
  <si>
    <t>VH0107</t>
  </si>
  <si>
    <t>VH0040</t>
  </si>
  <si>
    <t>Role</t>
  </si>
  <si>
    <t>AnnualSalary</t>
  </si>
  <si>
    <t>OvertimeHours</t>
  </si>
  <si>
    <t>OvertimeCost</t>
  </si>
  <si>
    <t>AbsenceDays</t>
  </si>
  <si>
    <t>BasePayroll</t>
  </si>
  <si>
    <t>TotalPayroll</t>
  </si>
  <si>
    <t>Manager</t>
  </si>
  <si>
    <t>Administrator</t>
  </si>
  <si>
    <t>Team Leader</t>
  </si>
  <si>
    <t>Hours</t>
  </si>
  <si>
    <t>HourlyRate</t>
  </si>
  <si>
    <t>AgencySpend</t>
  </si>
  <si>
    <t>OtherOpex</t>
  </si>
  <si>
    <t>BudgetOpex</t>
  </si>
  <si>
    <t>ActualOpex</t>
  </si>
  <si>
    <t>EBITDA_Margin</t>
  </si>
  <si>
    <t>Preston</t>
  </si>
  <si>
    <t>Manchester</t>
  </si>
  <si>
    <t>Leeds</t>
  </si>
  <si>
    <t>Newcastle</t>
  </si>
  <si>
    <t>Sheffield</t>
  </si>
  <si>
    <t>Birmingham</t>
  </si>
  <si>
    <t>Nottingham</t>
  </si>
  <si>
    <t>Leicester</t>
  </si>
  <si>
    <t>Derby</t>
  </si>
  <si>
    <t>Coventry</t>
  </si>
  <si>
    <t>London</t>
  </si>
  <si>
    <t>Bristol</t>
  </si>
  <si>
    <t>Reading</t>
  </si>
  <si>
    <t>Southampton</t>
  </si>
  <si>
    <t>Brighton</t>
  </si>
  <si>
    <t>Cardiff</t>
  </si>
  <si>
    <t>Swansea</t>
  </si>
  <si>
    <t>Newport</t>
  </si>
  <si>
    <t>Wrexham</t>
  </si>
  <si>
    <t>Bangor</t>
  </si>
  <si>
    <t>TargetSavingsPct</t>
  </si>
  <si>
    <t>IT</t>
  </si>
  <si>
    <t>Workforce</t>
  </si>
  <si>
    <t>Commercial</t>
  </si>
  <si>
    <t>Reference-data fix (v2)</t>
  </si>
  <si>
    <t>Original lookup held 37 rows: 13 lower-case duplicates of existing suppliers and one conflicting mapping (CloudLink -&gt; "medical supplies"). Rebuilt as a 24-row master, one row per supplier. MATCH is case-insensitive, so casing variants in invoices still resolve.</t>
  </si>
  <si>
    <t>Dashboard calculation engine</t>
  </si>
  <si>
    <t>Reads the four selectors on the Dashboard and returns filtered measures. Nothing here needs editing.</t>
  </si>
  <si>
    <t>Measure</t>
  </si>
  <si>
    <t>Regions</t>
  </si>
  <si>
    <t>Categories</t>
  </si>
  <si>
    <t>Months</t>
  </si>
  <si>
    <t>Month date</t>
  </si>
  <si>
    <t>Scenarios</t>
  </si>
  <si>
    <t>Region selected</t>
  </si>
  <si>
    <t>Opex</t>
  </si>
  <si>
    <t>Overtime</t>
  </si>
  <si>
    <t>Other</t>
  </si>
  <si>
    <t>Filtered spend</t>
  </si>
  <si>
    <t>Rank key</t>
  </si>
  <si>
    <t>Top supplier</t>
  </si>
  <si>
    <t>Scenario</t>
  </si>
  <si>
    <t>Bridge step</t>
  </si>
  <si>
    <t>Target</t>
  </si>
  <si>
    <t>Region criterion</t>
  </si>
  <si>
    <t>Jan</t>
  </si>
  <si>
    <t>2025</t>
  </si>
  <si>
    <t>Jan-2025</t>
  </si>
  <si>
    <t>Category selected</t>
  </si>
  <si>
    <t>Feb</t>
  </si>
  <si>
    <t>Feb-2025</t>
  </si>
  <si>
    <t>Category criterion</t>
  </si>
  <si>
    <t>Mar</t>
  </si>
  <si>
    <t>Mar-2025</t>
  </si>
  <si>
    <t>Month selected</t>
  </si>
  <si>
    <t>Apr</t>
  </si>
  <si>
    <t>Apr-2025</t>
  </si>
  <si>
    <t>Period start</t>
  </si>
  <si>
    <t>May</t>
  </si>
  <si>
    <t>May-2025</t>
  </si>
  <si>
    <t>Period end</t>
  </si>
  <si>
    <t>Jun</t>
  </si>
  <si>
    <t>Jun-2025</t>
  </si>
  <si>
    <t>Jul</t>
  </si>
  <si>
    <t>Jul-2025</t>
  </si>
  <si>
    <t>Aug</t>
  </si>
  <si>
    <t>2026</t>
  </si>
  <si>
    <t>Aug-2025</t>
  </si>
  <si>
    <t>Sep</t>
  </si>
  <si>
    <t>Sep-2025</t>
  </si>
  <si>
    <t>Oct</t>
  </si>
  <si>
    <t>Oct-2025</t>
  </si>
  <si>
    <t>Nov</t>
  </si>
  <si>
    <t>Nov-2025</t>
  </si>
  <si>
    <t>Dec</t>
  </si>
  <si>
    <t>Dec-2025</t>
  </si>
  <si>
    <t>Budget variance (+ fav)</t>
  </si>
  <si>
    <t>Budget variance %</t>
  </si>
  <si>
    <t>Agency (ledger)</t>
  </si>
  <si>
    <t>Group revenue (period)</t>
  </si>
  <si>
    <t>Off-contract spend</t>
  </si>
  <si>
    <t>Off-contract %</t>
  </si>
  <si>
    <t>DQ exceptions</t>
  </si>
  <si>
    <t>Fleet miles</t>
  </si>
  <si>
    <t>Payroll (workforce)</t>
  </si>
  <si>
    <t>Overtime % payroll</t>
  </si>
  <si>
    <t>EBITDA change vs 2025</t>
  </si>
  <si>
    <t>Savings FY forecast</t>
  </si>
  <si>
    <t>Savings target</t>
  </si>
  <si>
    <t>Group 2025 margin</t>
  </si>
  <si>
    <t>Region label</t>
  </si>
  <si>
    <t>Period label</t>
  </si>
  <si>
    <t>Insight sentences</t>
  </si>
  <si>
    <t>Insight 1</t>
  </si>
  <si>
    <t>Insight 2</t>
  </si>
  <si>
    <t>Insight 3</t>
  </si>
  <si>
    <t>Insight 4</t>
  </si>
  <si>
    <t>Advanced Excel technique catalogue</t>
  </si>
  <si>
    <t>Open the cell listed to see the live formula.</t>
  </si>
  <si>
    <t>Technique</t>
  </si>
  <si>
    <t>Where to look</t>
  </si>
  <si>
    <t>What it does here</t>
  </si>
  <si>
    <t>SUMIFS / COUNTIFS (multi-criteria)</t>
  </si>
  <si>
    <t>Dash_Calc!H23, Pivot_Analysis!B5</t>
  </si>
  <si>
    <t>Spend by region x category x date window; invoice and exception counts.</t>
  </si>
  <si>
    <t>Wildcard criteria ("*")</t>
  </si>
  <si>
    <t>Dash_Calc!H5, H7</t>
  </si>
  <si>
    <t>"All" selections become "*" so one SUMIFS serves every filter combination.</t>
  </si>
  <si>
    <t>Date-window criteria ("&gt;="&amp;start)</t>
  </si>
  <si>
    <t>Dash_Calc!H9:H10, H13</t>
  </si>
  <si>
    <t>Month selector converted to start/end dates with INDEX/MATCH and EOMONTH.</t>
  </si>
  <si>
    <t>INDEX + MATCH</t>
  </si>
  <si>
    <t>Cleaned_Procurement!E2, Supplier_Analysis!L6</t>
  </si>
  <si>
    <t>Case-insensitive supplier standardisation; top-N retrieval.</t>
  </si>
  <si>
    <t>VLOOKUP (exact match)</t>
  </si>
  <si>
    <t>Cleaned_Procurement!T2</t>
  </si>
  <si>
    <t>Site town enrichment from the Sites table. XLOOKUP equivalent: XLOOKUP(B2,Sites[SiteID],Sites[Town],"Unknown").</t>
  </si>
  <si>
    <t>LARGE + tie-break key</t>
  </si>
  <si>
    <t>Dash_Calc!Y5, AB5:AC14</t>
  </si>
  <si>
    <t>Dynamic top 10 suppliers that respects all filters; ROW()/1e6 breaks ties.</t>
  </si>
  <si>
    <t>RANK</t>
  </si>
  <si>
    <t>Supplier_Analysis!H5, Site_Performance!J5</t>
  </si>
  <si>
    <t>Supplier and site ranking.</t>
  </si>
  <si>
    <t>CHOOSE + MATCH</t>
  </si>
  <si>
    <t>Financial_Model!F6</t>
  </si>
  <si>
    <t>Scenario selector maps to the selected driver column.</t>
  </si>
  <si>
    <t>Running COUNTIFS</t>
  </si>
  <si>
    <t>Cleaned_Procurement!N2, U2</t>
  </si>
  <si>
    <t>Flags only the 2nd+ occurrence of a true duplicate; numbers exceptions for the log.</t>
  </si>
  <si>
    <t>EXACT / TRIM / PROPER logic</t>
  </si>
  <si>
    <t>Cleaned_Procurement!V2</t>
  </si>
  <si>
    <t>Counts records whose casing or whitespace was corrected.</t>
  </si>
  <si>
    <t>IFERROR / defensive formulas</t>
  </si>
  <si>
    <t>Data_Quality!G6</t>
  </si>
  <si>
    <t>Exception log returns blanks rather than lookup errors once exceptions run out.</t>
  </si>
  <si>
    <t>Nested IF classification</t>
  </si>
  <si>
    <t>Cleaned_Procurement!N2, Savings_Tracker!I7</t>
  </si>
  <si>
    <t>Data-quality hierarchy and RAG status.</t>
  </si>
  <si>
    <t>Dynamic text (TEXT &amp; concatenation)</t>
  </si>
  <si>
    <t>Dash_Calc!H51:H54</t>
  </si>
  <si>
    <t>Insight sentences rewrite themselves for each selection.</t>
  </si>
  <si>
    <t>Named ranges</t>
  </si>
  <si>
    <t>Formulas &gt; Name Manager</t>
  </si>
  <si>
    <t>selRegion, selCategory, selMonth, selScenario, critRegion, dStart, dEnd, lst* lists.</t>
  </si>
  <si>
    <t>Data validation</t>
  </si>
  <si>
    <t>Dashboard!C6, G6, K6, O6</t>
  </si>
  <si>
    <t>Drop-down selectors driven by named lists.</t>
  </si>
  <si>
    <t>Conditional formatting</t>
  </si>
  <si>
    <t>Site_Performance!K5, Financial_Model!B70, Supplier_Analysis!D5</t>
  </si>
  <si>
    <t>RAG text, colour scales, data bars, selected-scenario highlight.</t>
  </si>
  <si>
    <t>Excel Tables</t>
  </si>
  <si>
    <t>tblProcurement, tblCleanProc, tblSuppliers ...</t>
  </si>
  <si>
    <t>Structured, extendable sources for formulas, PivotTable and VBA.</t>
  </si>
  <si>
    <t>PivotTable</t>
  </si>
  <si>
    <t>Independent check on the formula cross-tab (refreshes on open).</t>
  </si>
  <si>
    <t>Waterfall via stacked columns</t>
  </si>
  <si>
    <t>Financial_Model!A41:G49</t>
  </si>
  <si>
    <t>Invisible base series builds an EBITDA bridge compatible with any Excel version.</t>
  </si>
  <si>
    <t>Two-way sensitivity grids</t>
  </si>
  <si>
    <t>Financial_Model!A69:M76</t>
  </si>
  <si>
    <t>Formula grids (no Data Table needed) so they recalculate everywhere.</t>
  </si>
  <si>
    <t>Reconciliation controls</t>
  </si>
  <si>
    <t>Data_Quality!D18:D26</t>
  </si>
  <si>
    <t>PASS/FAIL ties between raw, cleaned and ledger with an input tolerance.</t>
  </si>
  <si>
    <t>VBA automation catalogue</t>
  </si>
  <si>
    <t>Import the .bas files into a macro-enabled copy (.xlsm). Excel desktop for Windows; Excel Online cannot run VBA.</t>
  </si>
  <si>
    <t>Module</t>
  </si>
  <si>
    <t>Macro</t>
  </si>
  <si>
    <t>What it automates</t>
  </si>
  <si>
    <t>Typical use</t>
  </si>
  <si>
    <t>Module_CleanseData</t>
  </si>
  <si>
    <t>CleanseProcurementData</t>
  </si>
  <si>
    <t>Array-based validation of tblProcurement with a Dictionary duplicate check. Writes flags to DataQualityFlag and a timestamped DQ_Log sheet. Raw supplier/category text is left untouched.</t>
  </si>
  <si>
    <t>After each new extract</t>
  </si>
  <si>
    <t>Module_ConsolidateCSVs</t>
  </si>
  <si>
    <t>ConsolidateCSVFiles</t>
  </si>
  <si>
    <t>Loops a chosen folder, checks each CSV header against the first file, appends matching files with a SourceFile column, skips and reports mismatches.</t>
  </si>
  <si>
    <t>Monthly supplier-spend files</t>
  </si>
  <si>
    <t>Module_RefreshDashboard</t>
  </si>
  <si>
    <t>RefreshCommercialModel</t>
  </si>
  <si>
    <t>RefreshAll, PivotTable refresh, full recalculation, reconciliation status check and a timestamp on the Dashboard.</t>
  </si>
  <si>
    <t>Before any report run</t>
  </si>
  <si>
    <t>Module_ExportReport</t>
  </si>
  <si>
    <t>ExportDashboardToPDF</t>
  </si>
  <si>
    <t>Landscape, fit-to-width PDF of the Dashboard with a dated file name.</t>
  </si>
  <si>
    <t>Ad-hoc stakeholder requests</t>
  </si>
  <si>
    <t>ExportRegionalReportPack</t>
  </si>
  <si>
    <t>Sets the Region selector to each region in turn and saves one PDF per region, then restores the original selection.</t>
  </si>
  <si>
    <t>Monthly regional pack</t>
  </si>
  <si>
    <t>Module_ScenarioRunner</t>
  </si>
  <si>
    <t>RunAllScenarios</t>
  </si>
  <si>
    <t>Cycles every scenario through the model and logs revenue, Opex, EBITDA and margin to Scenario_Log.</t>
  </si>
  <si>
    <t>Budget season, board papers</t>
  </si>
  <si>
    <t>Module_DashboardControls</t>
  </si>
  <si>
    <t>ResetDashboardFilters / AddDashboardButtons</t>
  </si>
  <si>
    <t>Resets selectors to All/Base; one-off macro that draws clickable buttons on the Dashboard and assigns the macros.</t>
  </si>
  <si>
    <t>Setup and daily use</t>
  </si>
  <si>
    <t>Setup</t>
  </si>
  <si>
    <t>1. Save a copy as .xlsm (File &gt; Save As &gt; Excel Macro-Enabled Workbook).</t>
  </si>
  <si>
    <t>2. Alt+F11 &gt; File &gt; Import File &gt; import all six .bas files.</t>
  </si>
  <si>
    <t>3. Alt+F8 &gt; AddDashboardButtons (run once) to create the Dashboard buttons.</t>
  </si>
  <si>
    <t>4. Test CleanseProcurementData and ConsolidateCSVFiles on a copy first (use the Sample_Procurement_Files folder).</t>
  </si>
  <si>
    <t>Methodology, assumptions and limitations</t>
  </si>
  <si>
    <t>Topic</t>
  </si>
  <si>
    <t>Detail</t>
  </si>
  <si>
    <t>Data provenance</t>
  </si>
  <si>
    <t>All data is synthetic, generated for this portfolio project. 20 sites, 4 regions, calendar 2025. Figures are illustrative and are not CareTech data.</t>
  </si>
  <si>
    <t>Cleansing principle</t>
  </si>
  <si>
    <t>Raw tables are never overwritten by formulas. Cleaning happens in Cleaned_Procurement; every exception keeps its source value, gets a flag and a documented treatment on Data_Quality.</t>
  </si>
  <si>
    <t>Duplicate rule</t>
  </si>
  <si>
    <t>A true duplicate needs the same invoice ID, supplier and amount; only the second occurrence is excluded. A shared ID with a different supplier or amount is an ID collision: both lines stay in, flagged for review.</t>
  </si>
  <si>
    <t>Reference data</t>
  </si>
  <si>
    <t>The supplier lookup was rebuilt from 37 rows to a 24-row master after finding 13 lower-case duplicates and one conflicting mapping. A lookup with conflicting rows silently picks the first match.</t>
  </si>
  <si>
    <t>Reconciliation</t>
  </si>
  <si>
    <t>Cleaned procurement ties to raw less exclusions. Procurement, fleet, agency and payroll extracts reconcile to the finance ledger within an input tolerance (0.1%).</t>
  </si>
  <si>
    <t>Model structure</t>
  </si>
  <si>
    <t>2026 = 2025 actual x (1 +/- driver) per cost line. Four scenarios; Custom is user-defined. Monthly phasing follows 2025 seasonality. Budget = 2025 budget x (1 + uplift).</t>
  </si>
  <si>
    <t>Savings forecast</t>
  </si>
  <si>
    <t>Straight-line run rate: realised YTD / months elapsed x 12. Realised YTD figures are synthetic inputs, as they would come from a savings register.</t>
  </si>
  <si>
    <t>Simplifications</t>
  </si>
  <si>
    <t>No volume growth in costs, no working capital, no depreciation or tax (EBITDA only). Procurement saving applied to the 2025 base without price inflation.</t>
  </si>
  <si>
    <t>GDPR-first design</t>
  </si>
  <si>
    <t>No names, addresses, NHS numbers, payroll numbers or dates of birth. Workforce data is aggregated by site, month and role. Sites and vehicles use synthetic IDs. In live use: role-based access, data minimisation, agreed retention and no personal data in exported PDFs.</t>
  </si>
  <si>
    <t>Tooling choices</t>
  </si>
  <si>
    <t>INDEX/MATCH over XLOOKUP for compatibility with older Excel builds used across large estates. Formula sensitivity grids instead of Data Tables so they recalculate with manual calc mode off.</t>
  </si>
  <si>
    <t>COMMERCIAL ANALYTICS  |  EXECUTIVE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</si>
</sst>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0.0,,\m;&quot;(£&quot;#,##0.0,,&quot;m)&quot;;\-"/>
    <numFmt numFmtId="165" formatCode="0.0%;\(0.0%\);\-"/>
    <numFmt numFmtId="166" formatCode="\£#,##0,\k;&quot;(£&quot;#,##0,&quot;k)&quot;;\-"/>
    <numFmt numFmtId="167" formatCode="\£#,##0;&quot;(£&quot;#,##0\);\-"/>
    <numFmt numFmtId="168" formatCode="#,##0;\(#,##0\);\-"/>
    <numFmt numFmtId="169" formatCode="\£0.00"/>
    <numFmt numFmtId="172" formatCode="0.0%"/>
    <numFmt numFmtId="173" formatCode="\+0.0%;\-0.0%"/>
    <numFmt numFmtId="174" formatCode="#,##0.0"/>
    <numFmt numFmtId="175" formatCode="0.0"/>
    <numFmt numFmtId="176" formatCode="\£#,##0;[Red]&quot;-£&quot;#,##0"/>
    <numFmt numFmtId="177" formatCode="\£#,##0.00;&quot;(£&quot;#,##0.00\);\-"/>
    <numFmt numFmtId="178" formatCode="dd\-mmm\-yyyy"/>
    <numFmt numFmtId="179" formatCode="\£#,##0.00;[Red]&quot;-£&quot;#,##0.00"/>
    <numFmt numFmtId="180" formatCode="0.000000"/>
  </numFmts>
  <fonts count="26" x14ac:knownFonts="1">
    <font>
      <sz val="11"/>
      <color theme="1"/>
      <name val="Calibri"/>
      <family val="2"/>
      <charset val="1"/>
    </font>
    <font>
      <b/>
      <sz val="11"/>
      <color theme="1"/>
      <name val="Calibri"/>
      <family val="2"/>
      <charset val="1"/>
    </font>
    <font>
      <b/>
      <sz val="16"/>
      <color rgb="FF1F4E78"/>
      <name val="Calibri"/>
      <charset val="1"/>
    </font>
    <font>
      <i/>
      <sz val="9"/>
      <color rgb="FF595959"/>
      <name val="Calibri"/>
      <charset val="1"/>
    </font>
    <font>
      <b/>
      <sz val="12"/>
      <color rgb="FF1F4E78"/>
      <name val="Calibri"/>
      <charset val="1"/>
    </font>
    <font>
      <sz val="11"/>
      <name val="Calibri"/>
      <charset val="1"/>
    </font>
    <font>
      <b/>
      <sz val="11"/>
      <color rgb="FFFFFFFF"/>
      <name val="Calibri"/>
      <charset val="1"/>
    </font>
    <font>
      <u/>
      <sz val="11"/>
      <color rgb="FF0563C1"/>
      <name val="Calibri"/>
      <charset val="1"/>
    </font>
    <font>
      <sz val="11"/>
      <color rgb="FF0000FF"/>
      <name val="Calibri"/>
      <charset val="1"/>
    </font>
    <font>
      <sz val="11"/>
      <color rgb="FF008000"/>
      <name val="Calibri"/>
      <charset val="1"/>
    </font>
    <font>
      <b/>
      <sz val="18"/>
      <color rgb="FFFFFFFF"/>
      <name val="Calibri"/>
      <charset val="1"/>
    </font>
    <font>
      <i/>
      <sz val="11"/>
      <color rgb="FF1F4E78"/>
      <name val="Calibri"/>
      <charset val="1"/>
    </font>
    <font>
      <b/>
      <sz val="11"/>
      <name val="Calibri"/>
      <charset val="1"/>
    </font>
    <font>
      <b/>
      <sz val="12"/>
      <color rgb="FF0000FF"/>
      <name val="Calibri"/>
      <charset val="1"/>
    </font>
    <font>
      <b/>
      <sz val="10"/>
      <color rgb="FF4472C4"/>
      <name val="Calibri"/>
      <charset val="1"/>
    </font>
    <font>
      <b/>
      <sz val="10"/>
      <color rgb="FF595959"/>
      <name val="Calibri"/>
      <charset val="1"/>
    </font>
    <font>
      <b/>
      <sz val="20"/>
      <color rgb="FF1F4E78"/>
      <name val="Calibri"/>
      <charset val="1"/>
    </font>
    <font>
      <sz val="9"/>
      <color rgb="FF595959"/>
      <name val="Calibri"/>
      <charset val="1"/>
    </font>
    <font>
      <b/>
      <sz val="11"/>
      <color rgb="FF1F4E78"/>
      <name val="Calibri"/>
      <charset val="1"/>
    </font>
    <font>
      <b/>
      <sz val="11"/>
      <color rgb="FF008000"/>
      <name val="Calibri"/>
      <charset val="1"/>
    </font>
    <font>
      <b/>
      <sz val="11"/>
      <color rgb="FF0000FF"/>
      <name val="Calibri"/>
      <charset val="1"/>
    </font>
    <font>
      <sz val="10"/>
      <name val="Arial"/>
      <family val="2"/>
    </font>
    <font>
      <b/>
      <sz val="20"/>
      <color rgb="FFFFFFFF"/>
      <name val="Calibri"/>
      <family val="2"/>
      <charset val="1"/>
    </font>
    <font>
      <b/>
      <sz val="12"/>
      <color rgb="FFFFFFFF"/>
      <name val="Calibri"/>
      <family val="2"/>
      <charset val="1"/>
    </font>
    <font>
      <b/>
      <sz val="11"/>
      <color rgb="FFFFFFFF"/>
      <name val="Calibri"/>
      <family val="2"/>
      <charset val="1"/>
    </font>
    <font>
      <sz val="11"/>
      <color theme="1"/>
      <name val="Calibri"/>
      <family val="2"/>
      <charset val="1"/>
    </font>
  </fonts>
  <fills count="7">
    <fill>
      <patternFill patternType="none"/>
    </fill>
    <fill>
      <patternFill patternType="gray125"/>
    </fill>
    <fill>
      <patternFill patternType="solid">
        <fgColor rgb="FF1F4E78"/>
        <bgColor rgb="FF003366"/>
      </patternFill>
    </fill>
    <fill>
      <patternFill patternType="solid">
        <fgColor rgb="FFFFF2CC"/>
        <bgColor rgb="FFFFEB9C"/>
      </patternFill>
    </fill>
    <fill>
      <patternFill patternType="solid">
        <fgColor rgb="FFDDEBF7"/>
        <bgColor rgb="FFD9D9D9"/>
      </patternFill>
    </fill>
    <fill>
      <patternFill patternType="solid">
        <fgColor rgb="FF4472C4"/>
        <bgColor rgb="FF5B9BD5"/>
      </patternFill>
    </fill>
    <fill>
      <patternFill patternType="solid">
        <fgColor rgb="FF5B9BD5"/>
        <bgColor rgb="FF4472C4"/>
      </patternFill>
    </fill>
  </fills>
  <borders count="36">
    <border>
      <left/>
      <right/>
      <top/>
      <bottom/>
      <diagonal/>
    </border>
    <border>
      <left style="thin">
        <color rgb="FFBFBFBF"/>
      </left>
      <right style="thin">
        <color rgb="FFBFBFBF"/>
      </right>
      <top style="thin">
        <color rgb="FFBFBFBF"/>
      </top>
      <bottom style="thin">
        <color rgb="FFBFBFBF"/>
      </bottom>
      <diagonal/>
    </border>
    <border>
      <left style="medium">
        <color rgb="FF1F4E78"/>
      </left>
      <right style="medium">
        <color rgb="FF1F4E78"/>
      </right>
      <top style="medium">
        <color rgb="FF1F4E78"/>
      </top>
      <bottom style="medium">
        <color rgb="FF1F4E78"/>
      </bottom>
      <diagonal/>
    </border>
    <border>
      <left style="thick">
        <color rgb="FF4472C4"/>
      </left>
      <right/>
      <top style="thin">
        <color rgb="FFDDEBF7"/>
      </top>
      <bottom style="thin">
        <color rgb="FFDDEBF7"/>
      </bottom>
      <diagonal/>
    </border>
    <border>
      <left style="thick">
        <color rgb="FF70AD47"/>
      </left>
      <right/>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diagonal/>
    </border>
    <border>
      <left/>
      <right style="thin">
        <color auto="1"/>
      </right>
      <top style="thin">
        <color auto="1"/>
      </top>
      <bottom/>
      <diagonal/>
    </border>
    <border>
      <left style="thin">
        <color auto="1"/>
      </left>
      <right/>
      <top style="thin">
        <color auto="1"/>
      </top>
      <bottom/>
      <diagonal/>
    </border>
    <border>
      <left/>
      <right/>
      <top style="thin">
        <color auto="1"/>
      </top>
      <bottom/>
      <diagonal/>
    </border>
    <border>
      <left style="thin">
        <color auto="1"/>
      </left>
      <right style="medium">
        <color auto="1"/>
      </right>
      <top style="thin">
        <color auto="1"/>
      </top>
      <bottom/>
      <diagonal/>
    </border>
    <border>
      <left style="medium">
        <color auto="1"/>
      </left>
      <right/>
      <top/>
      <bottom/>
      <diagonal/>
    </border>
    <border>
      <left/>
      <right style="thin">
        <color auto="1"/>
      </right>
      <top/>
      <bottom/>
      <diagonal/>
    </border>
    <border>
      <left style="thin">
        <color auto="1"/>
      </left>
      <right/>
      <top/>
      <bottom/>
      <diagonal/>
    </border>
    <border>
      <left style="thin">
        <color auto="1"/>
      </left>
      <right style="medium">
        <color auto="1"/>
      </right>
      <top/>
      <bottom/>
      <diagonal/>
    </border>
    <border>
      <left style="thin">
        <color auto="1"/>
      </left>
      <right style="medium">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7">
    <xf numFmtId="0" fontId="0" fillId="0" borderId="0"/>
    <xf numFmtId="0" fontId="25" fillId="0" borderId="0">
      <alignment horizontal="left"/>
    </xf>
    <xf numFmtId="0" fontId="25" fillId="0" borderId="0"/>
    <xf numFmtId="0" fontId="25" fillId="0" borderId="0"/>
    <xf numFmtId="0" fontId="1" fillId="0" borderId="0"/>
    <xf numFmtId="0" fontId="1" fillId="0" borderId="0">
      <alignment horizontal="left"/>
    </xf>
    <xf numFmtId="0" fontId="25" fillId="0" borderId="0"/>
  </cellStyleXfs>
  <cellXfs count="133">
    <xf numFmtId="0" fontId="0" fillId="0" borderId="0" xfId="0"/>
    <xf numFmtId="0" fontId="5" fillId="0" borderId="0" xfId="0" applyFont="1" applyAlignment="1">
      <alignment vertical="top" wrapText="1"/>
    </xf>
    <xf numFmtId="0" fontId="5" fillId="0" borderId="4" xfId="0" applyFont="1" applyBorder="1" applyAlignment="1">
      <alignment horizontal="left" vertical="center" wrapText="1" indent="1"/>
    </xf>
    <xf numFmtId="169" fontId="16" fillId="4" borderId="3" xfId="0" applyNumberFormat="1" applyFont="1" applyFill="1" applyBorder="1" applyAlignment="1">
      <alignment horizontal="left" vertical="center" indent="1"/>
    </xf>
    <xf numFmtId="168" fontId="16" fillId="4" borderId="3" xfId="0" applyNumberFormat="1" applyFont="1" applyFill="1" applyBorder="1" applyAlignment="1">
      <alignment horizontal="left" vertical="center" indent="1"/>
    </xf>
    <xf numFmtId="167" fontId="16" fillId="4" borderId="3" xfId="0" applyNumberFormat="1" applyFont="1" applyFill="1" applyBorder="1" applyAlignment="1">
      <alignment horizontal="left" vertical="center" indent="1"/>
    </xf>
    <xf numFmtId="0" fontId="17" fillId="4" borderId="3" xfId="0" applyFont="1" applyFill="1" applyBorder="1" applyAlignment="1">
      <alignment horizontal="left" indent="1"/>
    </xf>
    <xf numFmtId="166" fontId="16" fillId="4" borderId="3" xfId="0" applyNumberFormat="1" applyFont="1" applyFill="1" applyBorder="1" applyAlignment="1">
      <alignment horizontal="left" vertical="center" indent="1"/>
    </xf>
    <xf numFmtId="165" fontId="16" fillId="4" borderId="3" xfId="0" applyNumberFormat="1" applyFont="1" applyFill="1" applyBorder="1" applyAlignment="1">
      <alignment horizontal="left" vertical="center" indent="1"/>
    </xf>
    <xf numFmtId="164" fontId="16" fillId="4" borderId="3" xfId="0" applyNumberFormat="1" applyFont="1" applyFill="1" applyBorder="1" applyAlignment="1">
      <alignment horizontal="left" vertical="center" indent="1"/>
    </xf>
    <xf numFmtId="0" fontId="15" fillId="4" borderId="3" xfId="0" applyFont="1" applyFill="1" applyBorder="1" applyAlignment="1">
      <alignment horizontal="left" indent="1"/>
    </xf>
    <xf numFmtId="0" fontId="13" fillId="3" borderId="2" xfId="0" applyFont="1" applyFill="1" applyBorder="1" applyAlignment="1">
      <alignment horizontal="center" vertical="center" wrapText="1"/>
    </xf>
    <xf numFmtId="0" fontId="3" fillId="0" borderId="0" xfId="0" applyFont="1"/>
    <xf numFmtId="0" fontId="11" fillId="4" borderId="0" xfId="0" applyFont="1" applyFill="1" applyAlignment="1">
      <alignment horizontal="left" indent="1"/>
    </xf>
    <xf numFmtId="0" fontId="10" fillId="2" borderId="0" xfId="0" applyFont="1" applyFill="1" applyAlignment="1">
      <alignment horizontal="left" vertical="center" indent="1"/>
    </xf>
    <xf numFmtId="0" fontId="2" fillId="0" borderId="0" xfId="0" applyFont="1"/>
    <xf numFmtId="0" fontId="3" fillId="0" borderId="0" xfId="0" applyFont="1"/>
    <xf numFmtId="0" fontId="4" fillId="0" borderId="0" xfId="0" applyFont="1"/>
    <xf numFmtId="0" fontId="6" fillId="2" borderId="1" xfId="0" applyFont="1" applyFill="1" applyBorder="1" applyAlignment="1">
      <alignment horizontal="center" vertical="center" wrapText="1"/>
    </xf>
    <xf numFmtId="0" fontId="7" fillId="0" borderId="1" xfId="0" applyFont="1" applyBorder="1"/>
    <xf numFmtId="0" fontId="5" fillId="0" borderId="1" xfId="0" applyFont="1" applyBorder="1"/>
    <xf numFmtId="0" fontId="5" fillId="0" borderId="1" xfId="0" applyFont="1" applyBorder="1" applyAlignment="1">
      <alignment vertical="top" wrapText="1"/>
    </xf>
    <xf numFmtId="0" fontId="8" fillId="3" borderId="0" xfId="0" applyFont="1" applyFill="1"/>
    <xf numFmtId="0" fontId="9" fillId="0" borderId="0" xfId="0" applyFont="1"/>
    <xf numFmtId="0" fontId="5" fillId="0" borderId="0" xfId="0" applyFont="1"/>
    <xf numFmtId="0" fontId="12" fillId="0" borderId="0" xfId="0" applyFont="1" applyAlignment="1">
      <alignment horizontal="right"/>
    </xf>
    <xf numFmtId="0" fontId="14" fillId="0" borderId="0" xfId="0" applyFont="1"/>
    <xf numFmtId="0" fontId="18" fillId="0" borderId="0" xfId="0" applyFont="1"/>
    <xf numFmtId="0" fontId="12" fillId="0" borderId="0" xfId="0" applyFont="1"/>
    <xf numFmtId="0" fontId="19" fillId="4" borderId="0" xfId="0" applyFont="1" applyFill="1" applyAlignment="1">
      <alignment horizontal="center" vertical="center" wrapText="1"/>
    </xf>
    <xf numFmtId="172" fontId="8" fillId="0" borderId="1" xfId="0" applyNumberFormat="1" applyFont="1" applyBorder="1"/>
    <xf numFmtId="172" fontId="8" fillId="3" borderId="1" xfId="0" applyNumberFormat="1" applyFont="1" applyFill="1" applyBorder="1"/>
    <xf numFmtId="172" fontId="12" fillId="4" borderId="1" xfId="0" applyNumberFormat="1" applyFont="1" applyFill="1" applyBorder="1"/>
    <xf numFmtId="167" fontId="5" fillId="0" borderId="1" xfId="0" applyNumberFormat="1" applyFont="1" applyBorder="1"/>
    <xf numFmtId="167" fontId="9" fillId="0" borderId="1" xfId="0" applyNumberFormat="1" applyFont="1" applyBorder="1"/>
    <xf numFmtId="172" fontId="8" fillId="3" borderId="0" xfId="0" applyNumberFormat="1" applyFont="1" applyFill="1"/>
    <xf numFmtId="165" fontId="5" fillId="0" borderId="1" xfId="0" applyNumberFormat="1" applyFont="1" applyBorder="1"/>
    <xf numFmtId="0" fontId="3" fillId="0" borderId="1" xfId="0" applyFont="1" applyBorder="1"/>
    <xf numFmtId="0" fontId="12" fillId="4" borderId="1" xfId="0" applyFont="1" applyFill="1" applyBorder="1"/>
    <xf numFmtId="167" fontId="12" fillId="4" borderId="1" xfId="0" applyNumberFormat="1" applyFont="1" applyFill="1" applyBorder="1"/>
    <xf numFmtId="165" fontId="12" fillId="4" borderId="1" xfId="0" applyNumberFormat="1" applyFont="1" applyFill="1" applyBorder="1"/>
    <xf numFmtId="0" fontId="12" fillId="0" borderId="1" xfId="0" applyFont="1" applyBorder="1"/>
    <xf numFmtId="165" fontId="12" fillId="0" borderId="1" xfId="0" applyNumberFormat="1" applyFont="1" applyBorder="1"/>
    <xf numFmtId="173" fontId="12" fillId="0" borderId="1" xfId="0" applyNumberFormat="1" applyFont="1" applyBorder="1"/>
    <xf numFmtId="167" fontId="12" fillId="0" borderId="1" xfId="0" applyNumberFormat="1" applyFont="1" applyBorder="1"/>
    <xf numFmtId="17" fontId="5" fillId="0" borderId="1" xfId="0" applyNumberFormat="1" applyFont="1" applyBorder="1"/>
    <xf numFmtId="9" fontId="20" fillId="4" borderId="1" xfId="0" applyNumberFormat="1" applyFont="1" applyFill="1" applyBorder="1" applyAlignment="1">
      <alignment horizontal="center" vertical="center" wrapText="1"/>
    </xf>
    <xf numFmtId="172" fontId="20" fillId="4" borderId="1" xfId="0" applyNumberFormat="1" applyFont="1" applyFill="1" applyBorder="1" applyAlignment="1">
      <alignment horizontal="center" vertical="center" wrapText="1"/>
    </xf>
    <xf numFmtId="164" fontId="5" fillId="0" borderId="1" xfId="0" applyNumberFormat="1" applyFont="1" applyBorder="1"/>
    <xf numFmtId="1" fontId="8" fillId="3" borderId="0" xfId="0" applyNumberFormat="1" applyFont="1" applyFill="1"/>
    <xf numFmtId="9" fontId="8" fillId="3" borderId="0" xfId="0" applyNumberFormat="1" applyFont="1" applyFill="1"/>
    <xf numFmtId="167" fontId="8" fillId="3" borderId="1" xfId="0" applyNumberFormat="1" applyFont="1" applyFill="1" applyBorder="1"/>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1" fontId="5" fillId="0" borderId="1" xfId="0" applyNumberFormat="1" applyFont="1" applyBorder="1"/>
    <xf numFmtId="0" fontId="9" fillId="0" borderId="1" xfId="0" applyFont="1" applyBorder="1"/>
    <xf numFmtId="1" fontId="5" fillId="0" borderId="1" xfId="0" applyNumberFormat="1" applyFont="1" applyBorder="1" applyAlignment="1">
      <alignment horizontal="center" vertical="center" wrapText="1"/>
    </xf>
    <xf numFmtId="167" fontId="12" fillId="0" borderId="0" xfId="0" applyNumberFormat="1" applyFont="1"/>
    <xf numFmtId="165" fontId="12" fillId="0" borderId="0" xfId="0" applyNumberFormat="1" applyFont="1"/>
    <xf numFmtId="168" fontId="5" fillId="0" borderId="1" xfId="0" applyNumberFormat="1" applyFont="1" applyBorder="1"/>
    <xf numFmtId="169" fontId="5" fillId="0" borderId="1" xfId="0" applyNumberFormat="1" applyFont="1" applyBorder="1"/>
    <xf numFmtId="174" fontId="5" fillId="0" borderId="1" xfId="0" applyNumberFormat="1" applyFont="1" applyBorder="1"/>
    <xf numFmtId="10" fontId="5" fillId="0" borderId="1" xfId="0" applyNumberFormat="1" applyFont="1" applyBorder="1"/>
    <xf numFmtId="2" fontId="5" fillId="0" borderId="1" xfId="0" applyNumberFormat="1" applyFont="1" applyBorder="1"/>
    <xf numFmtId="168" fontId="12" fillId="0" borderId="1" xfId="0" applyNumberFormat="1" applyFont="1" applyBorder="1"/>
    <xf numFmtId="169" fontId="12" fillId="0" borderId="1" xfId="0" applyNumberFormat="1" applyFont="1" applyBorder="1"/>
    <xf numFmtId="174" fontId="12" fillId="0" borderId="1" xfId="0" applyNumberFormat="1" applyFont="1" applyBorder="1"/>
    <xf numFmtId="10" fontId="12" fillId="0" borderId="1" xfId="0" applyNumberFormat="1" applyFont="1" applyBorder="1"/>
    <xf numFmtId="2" fontId="12" fillId="0" borderId="1" xfId="0" applyNumberFormat="1" applyFont="1" applyBorder="1"/>
    <xf numFmtId="175" fontId="5" fillId="0" borderId="1" xfId="0" applyNumberFormat="1" applyFont="1" applyBorder="1"/>
    <xf numFmtId="0" fontId="9" fillId="0" borderId="1" xfId="0" applyFont="1" applyBorder="1" applyAlignment="1">
      <alignment horizontal="center" vertical="center" wrapText="1"/>
    </xf>
    <xf numFmtId="168" fontId="12" fillId="0" borderId="0" xfId="0" applyNumberFormat="1" applyFont="1"/>
    <xf numFmtId="167" fontId="3" fillId="0" borderId="0" xfId="0" applyNumberFormat="1" applyFont="1"/>
    <xf numFmtId="0" fontId="23" fillId="5" borderId="0" xfId="0" applyFont="1" applyFill="1"/>
    <xf numFmtId="0" fontId="24" fillId="6" borderId="5" xfId="0" applyFont="1" applyFill="1" applyBorder="1" applyAlignment="1">
      <alignment wrapText="1"/>
    </xf>
    <xf numFmtId="176" fontId="0" fillId="0" borderId="0" xfId="0" applyNumberFormat="1"/>
    <xf numFmtId="172" fontId="0" fillId="0" borderId="0" xfId="0" applyNumberFormat="1"/>
    <xf numFmtId="3" fontId="0" fillId="0" borderId="0" xfId="0" applyNumberFormat="1"/>
    <xf numFmtId="17" fontId="0" fillId="0" borderId="0" xfId="0" applyNumberFormat="1"/>
    <xf numFmtId="0" fontId="25" fillId="0" borderId="6" xfId="2" applyBorder="1"/>
    <xf numFmtId="0" fontId="25" fillId="0" borderId="7" xfId="2" applyBorder="1"/>
    <xf numFmtId="0" fontId="25" fillId="0" borderId="8" xfId="3" applyBorder="1"/>
    <xf numFmtId="0" fontId="25" fillId="0" borderId="9" xfId="2" applyBorder="1"/>
    <xf numFmtId="0" fontId="25" fillId="0" borderId="10" xfId="2" applyBorder="1"/>
    <xf numFmtId="0" fontId="25" fillId="0" borderId="11" xfId="3" applyBorder="1"/>
    <xf numFmtId="0" fontId="25" fillId="0" borderId="12" xfId="3" applyBorder="1"/>
    <xf numFmtId="0" fontId="25" fillId="0" borderId="13" xfId="1" applyBorder="1">
      <alignment horizontal="left"/>
    </xf>
    <xf numFmtId="0" fontId="25" fillId="0" borderId="14" xfId="1" applyBorder="1">
      <alignment horizontal="left"/>
    </xf>
    <xf numFmtId="0" fontId="1" fillId="0" borderId="15" xfId="5" applyBorder="1">
      <alignment horizontal="left"/>
    </xf>
    <xf numFmtId="0" fontId="25" fillId="0" borderId="16" xfId="1" applyBorder="1">
      <alignment horizontal="left"/>
    </xf>
    <xf numFmtId="0" fontId="25" fillId="0" borderId="17" xfId="1" applyBorder="1">
      <alignment horizontal="left"/>
    </xf>
    <xf numFmtId="0" fontId="25" fillId="0" borderId="18" xfId="6" applyBorder="1"/>
    <xf numFmtId="0" fontId="25" fillId="0" borderId="19" xfId="6" applyBorder="1"/>
    <xf numFmtId="0" fontId="25" fillId="0" borderId="17" xfId="6" applyBorder="1"/>
    <xf numFmtId="0" fontId="1" fillId="0" borderId="20" xfId="4" applyBorder="1"/>
    <xf numFmtId="0" fontId="25" fillId="0" borderId="21" xfId="1" applyBorder="1">
      <alignment horizontal="left"/>
    </xf>
    <xf numFmtId="0" fontId="25" fillId="0" borderId="22" xfId="1" applyBorder="1">
      <alignment horizontal="left"/>
    </xf>
    <xf numFmtId="177" fontId="25" fillId="0" borderId="23" xfId="6" applyNumberFormat="1" applyBorder="1"/>
    <xf numFmtId="177" fontId="25" fillId="0" borderId="0" xfId="6" applyNumberFormat="1"/>
    <xf numFmtId="177" fontId="25" fillId="0" borderId="22" xfId="6" applyNumberFormat="1" applyBorder="1"/>
    <xf numFmtId="177" fontId="1" fillId="0" borderId="24" xfId="4" applyNumberFormat="1" applyBorder="1"/>
    <xf numFmtId="0" fontId="25" fillId="0" borderId="13" xfId="6" applyBorder="1"/>
    <xf numFmtId="0" fontId="25" fillId="0" borderId="14" xfId="6" applyBorder="1"/>
    <xf numFmtId="0" fontId="25" fillId="0" borderId="12" xfId="6" applyBorder="1"/>
    <xf numFmtId="0" fontId="1" fillId="0" borderId="25" xfId="4" applyBorder="1"/>
    <xf numFmtId="0" fontId="1" fillId="0" borderId="21" xfId="5" applyBorder="1">
      <alignment horizontal="left"/>
    </xf>
    <xf numFmtId="0" fontId="1" fillId="0" borderId="22" xfId="5" applyBorder="1">
      <alignment horizontal="left"/>
    </xf>
    <xf numFmtId="177" fontId="1" fillId="0" borderId="26" xfId="4" applyNumberFormat="1" applyBorder="1"/>
    <xf numFmtId="177" fontId="1" fillId="0" borderId="27" xfId="4" applyNumberFormat="1" applyBorder="1"/>
    <xf numFmtId="177" fontId="1" fillId="0" borderId="28" xfId="4" applyNumberFormat="1" applyBorder="1"/>
    <xf numFmtId="177" fontId="1" fillId="0" borderId="29" xfId="4" applyNumberFormat="1" applyBorder="1"/>
    <xf numFmtId="0" fontId="1" fillId="0" borderId="30" xfId="5" applyBorder="1">
      <alignment horizontal="left"/>
    </xf>
    <xf numFmtId="0" fontId="1" fillId="0" borderId="31" xfId="5" applyBorder="1">
      <alignment horizontal="left"/>
    </xf>
    <xf numFmtId="0" fontId="1" fillId="0" borderId="32" xfId="4" applyBorder="1"/>
    <xf numFmtId="0" fontId="1" fillId="0" borderId="33" xfId="4" applyBorder="1"/>
    <xf numFmtId="0" fontId="1" fillId="0" borderId="34" xfId="4" applyBorder="1"/>
    <xf numFmtId="0" fontId="1" fillId="0" borderId="35" xfId="4" applyBorder="1"/>
    <xf numFmtId="15" fontId="5" fillId="0" borderId="1" xfId="0" applyNumberFormat="1" applyFont="1" applyBorder="1"/>
    <xf numFmtId="177" fontId="5" fillId="0" borderId="1" xfId="0" applyNumberFormat="1" applyFont="1" applyBorder="1"/>
    <xf numFmtId="10" fontId="12" fillId="0" borderId="0" xfId="0" applyNumberFormat="1" applyFont="1"/>
    <xf numFmtId="0" fontId="0" fillId="0" borderId="1" xfId="0" applyBorder="1"/>
    <xf numFmtId="168" fontId="5" fillId="0" borderId="0" xfId="0" applyNumberFormat="1" applyFont="1"/>
    <xf numFmtId="168" fontId="8" fillId="3" borderId="0" xfId="0" applyNumberFormat="1" applyFont="1" applyFill="1"/>
    <xf numFmtId="178" fontId="0" fillId="0" borderId="0" xfId="0" applyNumberFormat="1"/>
    <xf numFmtId="179" fontId="0" fillId="0" borderId="0" xfId="0" applyNumberFormat="1"/>
    <xf numFmtId="177" fontId="0" fillId="0" borderId="0" xfId="0" applyNumberFormat="1"/>
    <xf numFmtId="174" fontId="0" fillId="0" borderId="0" xfId="0" applyNumberFormat="1"/>
    <xf numFmtId="0" fontId="3" fillId="0" borderId="0" xfId="0" applyFont="1" applyAlignment="1">
      <alignment vertical="top" wrapText="1"/>
    </xf>
    <xf numFmtId="17" fontId="5" fillId="0" borderId="0" xfId="0" applyNumberFormat="1" applyFont="1"/>
    <xf numFmtId="167" fontId="5" fillId="0" borderId="0" xfId="0" applyNumberFormat="1" applyFont="1"/>
    <xf numFmtId="180" fontId="5" fillId="0" borderId="0" xfId="0" applyNumberFormat="1" applyFont="1"/>
    <xf numFmtId="0" fontId="12" fillId="0" borderId="1" xfId="0" applyFont="1" applyBorder="1" applyAlignment="1">
      <alignment vertical="top" wrapText="1"/>
    </xf>
    <xf numFmtId="0" fontId="22" fillId="2" borderId="0" xfId="0" applyFont="1" applyFill="1" applyAlignment="1">
      <alignment horizontal="left" vertical="center"/>
    </xf>
  </cellXfs>
  <cellStyles count="7">
    <cellStyle name="Normal" xfId="0" builtinId="0"/>
    <cellStyle name="Pivot Table Category" xfId="1" xr:uid="{00000000-0005-0000-0000-000006000000}"/>
    <cellStyle name="Pivot Table Corner" xfId="2" xr:uid="{00000000-0005-0000-0000-000007000000}"/>
    <cellStyle name="Pivot Table Field" xfId="3" xr:uid="{00000000-0005-0000-0000-000008000000}"/>
    <cellStyle name="Pivot Table Result" xfId="4" xr:uid="{00000000-0005-0000-0000-000009000000}"/>
    <cellStyle name="Pivot Table Title" xfId="5" xr:uid="{00000000-0005-0000-0000-00000A000000}"/>
    <cellStyle name="Pivot Table Value" xfId="6" xr:uid="{00000000-0005-0000-0000-00000B000000}"/>
  </cellStyles>
  <dxfs count="20">
    <dxf>
      <fill>
        <patternFill>
          <bgColor rgb="FFFFE699"/>
        </patternFill>
      </fill>
    </dxf>
    <dxf>
      <fill>
        <patternFill>
          <bgColor rgb="FFF8CBAD"/>
        </patternFill>
      </fill>
    </dxf>
    <dxf>
      <font>
        <b/>
        <color rgb="FF9C0006"/>
      </font>
      <fill>
        <patternFill>
          <bgColor rgb="FFFFC7CE"/>
        </patternFill>
      </fill>
    </dxf>
    <dxf>
      <font>
        <b/>
        <color rgb="FF006100"/>
      </font>
      <fill>
        <patternFill>
          <bgColor rgb="FFC6EFCE"/>
        </patternFill>
      </fill>
    </dxf>
    <dxf>
      <fill>
        <patternFill>
          <bgColor rgb="FFFFE699"/>
        </patternFill>
      </fill>
    </dxf>
    <dxf>
      <font>
        <b/>
        <color rgb="FFC00000"/>
      </font>
    </dxf>
    <dxf>
      <font>
        <b/>
        <color rgb="FF006100"/>
      </font>
      <fill>
        <patternFill>
          <bgColor rgb="FFC6EFCE"/>
        </patternFill>
      </fill>
    </dxf>
    <dxf>
      <font>
        <b/>
        <color rgb="FF9C5700"/>
      </font>
      <fill>
        <patternFill>
          <bgColor rgb="FFFFEB9C"/>
        </patternFill>
      </fill>
    </dxf>
    <dxf>
      <font>
        <b/>
        <color rgb="FF9C0006"/>
      </font>
      <fill>
        <patternFill>
          <bgColor rgb="FFFFC7CE"/>
        </patternFill>
      </fill>
    </dxf>
    <dxf>
      <font>
        <color rgb="FFC00000"/>
      </font>
    </dxf>
    <dxf>
      <font>
        <b/>
        <color rgb="FF006100"/>
      </font>
      <fill>
        <patternFill>
          <bgColor rgb="FFC6EFCE"/>
        </patternFill>
      </fill>
    </dxf>
    <dxf>
      <font>
        <b/>
        <color rgb="FF9C5700"/>
      </font>
      <fill>
        <patternFill>
          <bgColor rgb="FFFFEB9C"/>
        </patternFill>
      </fill>
    </dxf>
    <dxf>
      <font>
        <b/>
        <color rgb="FF9C0006"/>
      </font>
      <fill>
        <patternFill>
          <bgColor rgb="FFFFC7CE"/>
        </patternFill>
      </fill>
    </dxf>
    <dxf>
      <font>
        <color rgb="FFC00000"/>
      </font>
    </dxf>
    <dxf>
      <fill>
        <patternFill>
          <bgColor rgb="FFFFF2CC"/>
        </patternFill>
      </fill>
    </dxf>
    <dxf>
      <font>
        <b/>
        <color rgb="FFC00000"/>
      </font>
    </dxf>
    <dxf>
      <font>
        <b/>
        <sz val="20"/>
        <color rgb="FFC65911"/>
        <name val="Calibri"/>
        <charset val="1"/>
      </font>
    </dxf>
    <dxf>
      <font>
        <b/>
        <sz val="20"/>
        <color rgb="FF00B050"/>
        <name val="Calibri"/>
        <charset val="1"/>
      </font>
    </dxf>
    <dxf>
      <font>
        <b/>
        <sz val="20"/>
        <color rgb="FFC00000"/>
        <name val="Calibri"/>
        <charset val="1"/>
      </font>
    </dxf>
    <dxf>
      <font>
        <b/>
        <sz val="20"/>
        <color rgb="FFC00000"/>
        <name val="Calibri"/>
        <charset val="1"/>
      </font>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5B9BD5"/>
      <rgbColor rgb="FFC65911"/>
      <rgbColor rgb="FFFFF2CC"/>
      <rgbColor rgb="FFDDEBF7"/>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FFE699"/>
      <rgbColor rgb="FFC6EFCE"/>
      <rgbColor rgb="FFFFEB9C"/>
      <rgbColor rgb="FFB3B3B3"/>
      <rgbColor rgb="FFFFC7CE"/>
      <rgbColor rgb="FFCC99FF"/>
      <rgbColor rgb="FFF8CBAD"/>
      <rgbColor rgb="FF4472C4"/>
      <rgbColor rgb="FF33CCCC"/>
      <rgbColor rgb="FF70AD47"/>
      <rgbColor rgb="FFFFC000"/>
      <rgbColor rgb="FFFF9900"/>
      <rgbColor rgb="FFED7D31"/>
      <rgbColor rgb="FF595959"/>
      <rgbColor rgb="FFA5A5A5"/>
      <rgbColor rgb="FF003366"/>
      <rgbColor rgb="FF00B050"/>
      <rgbColor rgb="FF006100"/>
      <rgbColor rgb="FF333300"/>
      <rgbColor rgb="FF9C57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GB" sz="1800" b="1" strike="noStrike" spc="-1">
                <a:solidFill>
                  <a:srgbClr val="000000"/>
                </a:solidFill>
                <a:latin typeface="Calibri"/>
              </a:rPr>
              <a:t>Revenue, Opex &amp; EBITDA by month</a:t>
            </a:r>
          </a:p>
        </c:rich>
      </c:tx>
      <c:overlay val="0"/>
      <c:spPr>
        <a:noFill/>
        <a:ln w="0">
          <a:noFill/>
        </a:ln>
      </c:spPr>
    </c:title>
    <c:autoTitleDeleted val="0"/>
    <c:plotArea>
      <c:layout/>
      <c:lineChart>
        <c:grouping val="standard"/>
        <c:varyColors val="0"/>
        <c:ser>
          <c:idx val="0"/>
          <c:order val="0"/>
          <c:tx>
            <c:strRef>
              <c:f>Dash_Calc!$L$4</c:f>
              <c:strCache>
                <c:ptCount val="1"/>
                <c:pt idx="0">
                  <c:v>Revenue</c:v>
                </c:pt>
              </c:strCache>
            </c:strRef>
          </c:tx>
          <c:spPr>
            <a:ln w="28080">
              <a:solidFill>
                <a:srgbClr val="1F4E78"/>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Dash_Calc!$J$5:$J$16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Dash_Calc!$L$5:$L$16</c:f>
              <c:numCache>
                <c:formatCode>\£#,##0;"(£"#,##0\);\-</c:formatCode>
                <c:ptCount val="12"/>
                <c:pt idx="0">
                  <c:v>6859245.2300000004</c:v>
                </c:pt>
                <c:pt idx="1">
                  <c:v>7476589.7599999988</c:v>
                </c:pt>
                <c:pt idx="2">
                  <c:v>7345583.3199999994</c:v>
                </c:pt>
                <c:pt idx="3">
                  <c:v>7658852.209999999</c:v>
                </c:pt>
                <c:pt idx="4">
                  <c:v>6576496.4300000006</c:v>
                </c:pt>
                <c:pt idx="5">
                  <c:v>7065637.8299999991</c:v>
                </c:pt>
                <c:pt idx="6">
                  <c:v>6953277</c:v>
                </c:pt>
                <c:pt idx="7">
                  <c:v>7044378.1900000004</c:v>
                </c:pt>
                <c:pt idx="8">
                  <c:v>6899634.6500000013</c:v>
                </c:pt>
                <c:pt idx="9">
                  <c:v>8051254.2699999996</c:v>
                </c:pt>
                <c:pt idx="10">
                  <c:v>6479152.0099999998</c:v>
                </c:pt>
                <c:pt idx="11">
                  <c:v>8066416.3500000024</c:v>
                </c:pt>
              </c:numCache>
            </c:numRef>
          </c:val>
          <c:smooth val="0"/>
          <c:extLst>
            <c:ext xmlns:c16="http://schemas.microsoft.com/office/drawing/2014/chart" uri="{C3380CC4-5D6E-409C-BE32-E72D297353CC}">
              <c16:uniqueId val="{00000000-4ECB-4580-96A1-F13F51B6D647}"/>
            </c:ext>
          </c:extLst>
        </c:ser>
        <c:ser>
          <c:idx val="1"/>
          <c:order val="1"/>
          <c:tx>
            <c:strRef>
              <c:f>Dash_Calc!$M$4</c:f>
              <c:strCache>
                <c:ptCount val="1"/>
                <c:pt idx="0">
                  <c:v>Opex</c:v>
                </c:pt>
              </c:strCache>
            </c:strRef>
          </c:tx>
          <c:spPr>
            <a:ln w="28080">
              <a:solidFill>
                <a:srgbClr val="ED7D31"/>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Dash_Calc!$J$5:$J$16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Dash_Calc!$M$5:$M$16</c:f>
              <c:numCache>
                <c:formatCode>\£#,##0;"(£"#,##0\);\-</c:formatCode>
                <c:ptCount val="12"/>
                <c:pt idx="0">
                  <c:v>4833404.3066666666</c:v>
                </c:pt>
                <c:pt idx="1">
                  <c:v>5235379.786666669</c:v>
                </c:pt>
                <c:pt idx="2">
                  <c:v>5087641.6866666656</c:v>
                </c:pt>
                <c:pt idx="3">
                  <c:v>5279230.3566666674</c:v>
                </c:pt>
                <c:pt idx="4">
                  <c:v>4543655.4333333336</c:v>
                </c:pt>
                <c:pt idx="5">
                  <c:v>4919918.3033333346</c:v>
                </c:pt>
                <c:pt idx="6">
                  <c:v>4875601.0599999996</c:v>
                </c:pt>
                <c:pt idx="7">
                  <c:v>4979875.7133333338</c:v>
                </c:pt>
                <c:pt idx="8">
                  <c:v>4818773.5466666678</c:v>
                </c:pt>
                <c:pt idx="9">
                  <c:v>5558744.2566666678</c:v>
                </c:pt>
                <c:pt idx="10">
                  <c:v>4606613.6766666677</c:v>
                </c:pt>
                <c:pt idx="11">
                  <c:v>5614126.6166666644</c:v>
                </c:pt>
              </c:numCache>
            </c:numRef>
          </c:val>
          <c:smooth val="0"/>
          <c:extLst>
            <c:ext xmlns:c16="http://schemas.microsoft.com/office/drawing/2014/chart" uri="{C3380CC4-5D6E-409C-BE32-E72D297353CC}">
              <c16:uniqueId val="{00000001-4ECB-4580-96A1-F13F51B6D647}"/>
            </c:ext>
          </c:extLst>
        </c:ser>
        <c:ser>
          <c:idx val="2"/>
          <c:order val="2"/>
          <c:tx>
            <c:strRef>
              <c:f>Dash_Calc!$N$4</c:f>
              <c:strCache>
                <c:ptCount val="1"/>
                <c:pt idx="0">
                  <c:v>EBITDA</c:v>
                </c:pt>
              </c:strCache>
            </c:strRef>
          </c:tx>
          <c:spPr>
            <a:ln w="28080">
              <a:solidFill>
                <a:srgbClr val="70AD47"/>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Dash_Calc!$J$5:$J$16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Dash_Calc!$N$5:$N$16</c:f>
              <c:numCache>
                <c:formatCode>\£#,##0;"(£"#,##0\);\-</c:formatCode>
                <c:ptCount val="12"/>
                <c:pt idx="0">
                  <c:v>2025840.9233333338</c:v>
                </c:pt>
                <c:pt idx="1">
                  <c:v>2241209.9733333299</c:v>
                </c:pt>
                <c:pt idx="2">
                  <c:v>2257941.6333333338</c:v>
                </c:pt>
                <c:pt idx="3">
                  <c:v>2379621.8533333316</c:v>
                </c:pt>
                <c:pt idx="4">
                  <c:v>2032840.9966666671</c:v>
                </c:pt>
                <c:pt idx="5">
                  <c:v>2145719.5266666645</c:v>
                </c:pt>
                <c:pt idx="6">
                  <c:v>2077675.9400000004</c:v>
                </c:pt>
                <c:pt idx="7">
                  <c:v>2064502.4766666666</c:v>
                </c:pt>
                <c:pt idx="8">
                  <c:v>2080861.1033333335</c:v>
                </c:pt>
                <c:pt idx="9">
                  <c:v>2492510.0133333318</c:v>
                </c:pt>
                <c:pt idx="10">
                  <c:v>1872538.3333333321</c:v>
                </c:pt>
                <c:pt idx="11">
                  <c:v>2452289.7333333381</c:v>
                </c:pt>
              </c:numCache>
            </c:numRef>
          </c:val>
          <c:smooth val="0"/>
          <c:extLst>
            <c:ext xmlns:c16="http://schemas.microsoft.com/office/drawing/2014/chart" uri="{C3380CC4-5D6E-409C-BE32-E72D297353CC}">
              <c16:uniqueId val="{00000002-4ECB-4580-96A1-F13F51B6D647}"/>
            </c:ext>
          </c:extLst>
        </c:ser>
        <c:dLbls>
          <c:showLegendKey val="0"/>
          <c:showVal val="0"/>
          <c:showCatName val="0"/>
          <c:showSerName val="0"/>
          <c:showPercent val="0"/>
          <c:showBubbleSize val="0"/>
        </c:dLbls>
        <c:hiLowLines>
          <c:spPr>
            <a:ln w="0">
              <a:noFill/>
            </a:ln>
          </c:spPr>
        </c:hiLowLines>
        <c:smooth val="0"/>
        <c:axId val="38811456"/>
        <c:axId val="84032851"/>
      </c:lineChart>
      <c:catAx>
        <c:axId val="38811456"/>
        <c:scaling>
          <c:orientation val="minMax"/>
        </c:scaling>
        <c:delete val="0"/>
        <c:axPos val="b"/>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84032851"/>
        <c:crosses val="autoZero"/>
        <c:auto val="1"/>
        <c:lblAlgn val="ctr"/>
        <c:lblOffset val="100"/>
        <c:noMultiLvlLbl val="0"/>
      </c:catAx>
      <c:valAx>
        <c:axId val="84032851"/>
        <c:scaling>
          <c:orientation val="minMax"/>
        </c:scaling>
        <c:delete val="0"/>
        <c:axPos val="l"/>
        <c:numFmt formatCode="\£#,##0.0,,\m"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38811456"/>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GB" sz="1800" b="1" strike="noStrike" spc="-1">
                <a:solidFill>
                  <a:srgbClr val="000000"/>
                </a:solidFill>
                <a:latin typeface="Calibri"/>
              </a:rPr>
              <a:t>Spend by category (selected = orange)</a:t>
            </a:r>
          </a:p>
        </c:rich>
      </c:tx>
      <c:overlay val="0"/>
      <c:spPr>
        <a:noFill/>
        <a:ln w="0">
          <a:noFill/>
        </a:ln>
      </c:spPr>
    </c:title>
    <c:autoTitleDeleted val="0"/>
    <c:plotArea>
      <c:layout/>
      <c:barChart>
        <c:barDir val="bar"/>
        <c:grouping val="stacked"/>
        <c:varyColors val="0"/>
        <c:ser>
          <c:idx val="0"/>
          <c:order val="0"/>
          <c:tx>
            <c:strRef>
              <c:f>Dash_Calc!$S$4</c:f>
              <c:strCache>
                <c:ptCount val="1"/>
                <c:pt idx="0">
                  <c:v>Other</c:v>
                </c:pt>
              </c:strCache>
            </c:strRef>
          </c:tx>
          <c:spPr>
            <a:solidFill>
              <a:srgbClr val="4472C4"/>
            </a:solidFill>
            <a:ln w="0">
              <a:solidFill>
                <a:srgbClr val="4472C4"/>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Dash_Calc!$R$5:$R$12</c:f>
              <c:strCache>
                <c:ptCount val="8"/>
                <c:pt idx="0">
                  <c:v>Medical Supplies</c:v>
                </c:pt>
                <c:pt idx="1">
                  <c:v>Food &amp; Catering</c:v>
                </c:pt>
                <c:pt idx="2">
                  <c:v>Facilities</c:v>
                </c:pt>
                <c:pt idx="3">
                  <c:v>Utilities</c:v>
                </c:pt>
                <c:pt idx="4">
                  <c:v>IT &amp; Telecoms</c:v>
                </c:pt>
                <c:pt idx="5">
                  <c:v>Vehicle &amp; Fuel</c:v>
                </c:pt>
                <c:pt idx="6">
                  <c:v>Agency Labour</c:v>
                </c:pt>
                <c:pt idx="7">
                  <c:v>Office &amp; Training</c:v>
                </c:pt>
              </c:strCache>
            </c:strRef>
          </c:cat>
          <c:val>
            <c:numRef>
              <c:f>Dash_Calc!$S$5:$S$12</c:f>
              <c:numCache>
                <c:formatCode>\£#,##0;"(£"#,##0\);\-</c:formatCode>
                <c:ptCount val="8"/>
                <c:pt idx="0">
                  <c:v>1097153.0099999998</c:v>
                </c:pt>
                <c:pt idx="1">
                  <c:v>837713.63000000024</c:v>
                </c:pt>
                <c:pt idx="2">
                  <c:v>2128780.9299999983</c:v>
                </c:pt>
                <c:pt idx="3">
                  <c:v>2401261.600000001</c:v>
                </c:pt>
                <c:pt idx="4">
                  <c:v>2505155.1799999997</c:v>
                </c:pt>
                <c:pt idx="5">
                  <c:v>1030620.2999999997</c:v>
                </c:pt>
                <c:pt idx="6">
                  <c:v>3193367.1400000006</c:v>
                </c:pt>
                <c:pt idx="7">
                  <c:v>728629.96</c:v>
                </c:pt>
              </c:numCache>
            </c:numRef>
          </c:val>
          <c:extLst>
            <c:ext xmlns:c16="http://schemas.microsoft.com/office/drawing/2014/chart" uri="{C3380CC4-5D6E-409C-BE32-E72D297353CC}">
              <c16:uniqueId val="{00000000-2E49-4F50-8F0F-EA69404F64F1}"/>
            </c:ext>
          </c:extLst>
        </c:ser>
        <c:ser>
          <c:idx val="1"/>
          <c:order val="1"/>
          <c:tx>
            <c:strRef>
              <c:f>Dash_Calc!$T$4</c:f>
              <c:strCache>
                <c:ptCount val="1"/>
                <c:pt idx="0">
                  <c:v>Selected</c:v>
                </c:pt>
              </c:strCache>
            </c:strRef>
          </c:tx>
          <c:spPr>
            <a:solidFill>
              <a:srgbClr val="ED7D31"/>
            </a:solidFill>
            <a:ln w="0">
              <a:solidFill>
                <a:srgbClr val="ED7D31"/>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Dash_Calc!$R$5:$R$12</c:f>
              <c:strCache>
                <c:ptCount val="8"/>
                <c:pt idx="0">
                  <c:v>Medical Supplies</c:v>
                </c:pt>
                <c:pt idx="1">
                  <c:v>Food &amp; Catering</c:v>
                </c:pt>
                <c:pt idx="2">
                  <c:v>Facilities</c:v>
                </c:pt>
                <c:pt idx="3">
                  <c:v>Utilities</c:v>
                </c:pt>
                <c:pt idx="4">
                  <c:v>IT &amp; Telecoms</c:v>
                </c:pt>
                <c:pt idx="5">
                  <c:v>Vehicle &amp; Fuel</c:v>
                </c:pt>
                <c:pt idx="6">
                  <c:v>Agency Labour</c:v>
                </c:pt>
                <c:pt idx="7">
                  <c:v>Office &amp; Training</c:v>
                </c:pt>
              </c:strCache>
            </c:strRef>
          </c:cat>
          <c:val>
            <c:numRef>
              <c:f>Dash_Calc!$T$5:$T$12</c:f>
              <c:numCache>
                <c:formatCode>\£#,##0;"(£"#,##0\);\-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2E49-4F50-8F0F-EA69404F64F1}"/>
            </c:ext>
          </c:extLst>
        </c:ser>
        <c:dLbls>
          <c:showLegendKey val="0"/>
          <c:showVal val="0"/>
          <c:showCatName val="0"/>
          <c:showSerName val="0"/>
          <c:showPercent val="0"/>
          <c:showBubbleSize val="0"/>
        </c:dLbls>
        <c:gapWidth val="150"/>
        <c:overlap val="100"/>
        <c:axId val="78687262"/>
        <c:axId val="56563194"/>
      </c:barChart>
      <c:catAx>
        <c:axId val="78687262"/>
        <c:scaling>
          <c:orientation val="maxMin"/>
        </c:scaling>
        <c:delete val="0"/>
        <c:axPos val="l"/>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56563194"/>
        <c:crosses val="autoZero"/>
        <c:auto val="1"/>
        <c:lblAlgn val="ctr"/>
        <c:lblOffset val="100"/>
        <c:noMultiLvlLbl val="0"/>
      </c:catAx>
      <c:valAx>
        <c:axId val="56563194"/>
        <c:scaling>
          <c:orientation val="minMax"/>
        </c:scaling>
        <c:delete val="0"/>
        <c:axPos val="t"/>
        <c:majorGridlines>
          <c:spPr>
            <a:ln w="0">
              <a:solidFill>
                <a:srgbClr val="B3B3B3"/>
              </a:solidFill>
            </a:ln>
          </c:spPr>
        </c:majorGridlines>
        <c:numFmt formatCode="\£#,##0,\k"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78687262"/>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GB" sz="1800" b="1" strike="noStrike" spc="-1">
                <a:solidFill>
                  <a:srgbClr val="000000"/>
                </a:solidFill>
                <a:latin typeface="Calibri"/>
              </a:rPr>
              <a:t>Top 10 suppliers (all filters)</a:t>
            </a:r>
          </a:p>
        </c:rich>
      </c:tx>
      <c:overlay val="0"/>
      <c:spPr>
        <a:noFill/>
        <a:ln w="0">
          <a:noFill/>
        </a:ln>
      </c:spPr>
    </c:title>
    <c:autoTitleDeleted val="0"/>
    <c:plotArea>
      <c:layout/>
      <c:barChart>
        <c:barDir val="bar"/>
        <c:grouping val="clustered"/>
        <c:varyColors val="0"/>
        <c:ser>
          <c:idx val="0"/>
          <c:order val="0"/>
          <c:tx>
            <c:strRef>
              <c:f>Dash_Calc!$AC$4</c:f>
              <c:strCache>
                <c:ptCount val="1"/>
                <c:pt idx="0">
                  <c:v>Spend</c:v>
                </c:pt>
              </c:strCache>
            </c:strRef>
          </c:tx>
          <c:spPr>
            <a:solidFill>
              <a:srgbClr val="1F4E78"/>
            </a:solidFill>
            <a:ln w="0">
              <a:solidFill>
                <a:srgbClr val="1F4E78"/>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Dash_Calc!$AB$5:$AB$14</c:f>
              <c:strCache>
                <c:ptCount val="10"/>
                <c:pt idx="0">
                  <c:v>NurseLink</c:v>
                </c:pt>
                <c:pt idx="1">
                  <c:v>HealthStaffing</c:v>
                </c:pt>
                <c:pt idx="2">
                  <c:v>PowerDirect</c:v>
                </c:pt>
                <c:pt idx="3">
                  <c:v>CareTemps</c:v>
                </c:pt>
                <c:pt idx="4">
                  <c:v>SafeGuard FM</c:v>
                </c:pt>
                <c:pt idx="5">
                  <c:v>CloudLink</c:v>
                </c:pt>
                <c:pt idx="6">
                  <c:v>NetServe</c:v>
                </c:pt>
                <c:pt idx="7">
                  <c:v>UK Energy Partners</c:v>
                </c:pt>
                <c:pt idx="8">
                  <c:v>TeleCare IT</c:v>
                </c:pt>
                <c:pt idx="9">
                  <c:v>BuildCare</c:v>
                </c:pt>
              </c:strCache>
            </c:strRef>
          </c:cat>
          <c:val>
            <c:numRef>
              <c:f>Dash_Calc!$AC$5:$AC$14</c:f>
              <c:numCache>
                <c:formatCode>\£#,##0;"(£"#,##0\);\-</c:formatCode>
                <c:ptCount val="10"/>
                <c:pt idx="0">
                  <c:v>1161388.3999999999</c:v>
                </c:pt>
                <c:pt idx="1">
                  <c:v>1072844.7</c:v>
                </c:pt>
                <c:pt idx="2">
                  <c:v>1048249.1200000001</c:v>
                </c:pt>
                <c:pt idx="3">
                  <c:v>959134.04</c:v>
                </c:pt>
                <c:pt idx="4">
                  <c:v>890207.05999999994</c:v>
                </c:pt>
                <c:pt idx="5">
                  <c:v>881477.21000000008</c:v>
                </c:pt>
                <c:pt idx="6">
                  <c:v>851726.08</c:v>
                </c:pt>
                <c:pt idx="7">
                  <c:v>833961.10000000009</c:v>
                </c:pt>
                <c:pt idx="8">
                  <c:v>774305.94</c:v>
                </c:pt>
                <c:pt idx="9">
                  <c:v>647209.95000000019</c:v>
                </c:pt>
              </c:numCache>
            </c:numRef>
          </c:val>
          <c:extLst>
            <c:ext xmlns:c16="http://schemas.microsoft.com/office/drawing/2014/chart" uri="{C3380CC4-5D6E-409C-BE32-E72D297353CC}">
              <c16:uniqueId val="{00000000-F8E4-46D0-97A6-4D20D7C3D5E0}"/>
            </c:ext>
          </c:extLst>
        </c:ser>
        <c:dLbls>
          <c:showLegendKey val="0"/>
          <c:showVal val="0"/>
          <c:showCatName val="0"/>
          <c:showSerName val="0"/>
          <c:showPercent val="0"/>
          <c:showBubbleSize val="0"/>
        </c:dLbls>
        <c:gapWidth val="150"/>
        <c:axId val="18104671"/>
        <c:axId val="24791133"/>
      </c:barChart>
      <c:catAx>
        <c:axId val="18104671"/>
        <c:scaling>
          <c:orientation val="maxMin"/>
        </c:scaling>
        <c:delete val="0"/>
        <c:axPos val="l"/>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24791133"/>
        <c:crosses val="autoZero"/>
        <c:auto val="1"/>
        <c:lblAlgn val="ctr"/>
        <c:lblOffset val="100"/>
        <c:noMultiLvlLbl val="0"/>
      </c:catAx>
      <c:valAx>
        <c:axId val="24791133"/>
        <c:scaling>
          <c:orientation val="minMax"/>
        </c:scaling>
        <c:delete val="0"/>
        <c:axPos val="t"/>
        <c:majorGridlines>
          <c:spPr>
            <a:ln w="0">
              <a:solidFill>
                <a:srgbClr val="B3B3B3"/>
              </a:solidFill>
            </a:ln>
          </c:spPr>
        </c:majorGridlines>
        <c:numFmt formatCode="\£#,##0,\k"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18104671"/>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GB" sz="1800" b="1" strike="noStrike" spc="-1">
                <a:solidFill>
                  <a:srgbClr val="000000"/>
                </a:solidFill>
                <a:latin typeface="Calibri"/>
              </a:rPr>
              <a:t>Budget vs actual Opex by region</a:t>
            </a:r>
          </a:p>
        </c:rich>
      </c:tx>
      <c:overlay val="0"/>
      <c:spPr>
        <a:noFill/>
        <a:ln w="0">
          <a:noFill/>
        </a:ln>
      </c:spPr>
    </c:title>
    <c:autoTitleDeleted val="0"/>
    <c:plotArea>
      <c:layout/>
      <c:barChart>
        <c:barDir val="col"/>
        <c:grouping val="clustered"/>
        <c:varyColors val="0"/>
        <c:ser>
          <c:idx val="0"/>
          <c:order val="0"/>
          <c:tx>
            <c:strRef>
              <c:f>Dash_Calc!$AF$4</c:f>
              <c:strCache>
                <c:ptCount val="1"/>
                <c:pt idx="0">
                  <c:v>Budget Opex</c:v>
                </c:pt>
              </c:strCache>
            </c:strRef>
          </c:tx>
          <c:spPr>
            <a:solidFill>
              <a:srgbClr val="A5A5A5"/>
            </a:solidFill>
            <a:ln w="0">
              <a:solidFill>
                <a:srgbClr val="A5A5A5"/>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Dash_Calc!$AE$5:$AE$8</c:f>
              <c:strCache>
                <c:ptCount val="4"/>
                <c:pt idx="0">
                  <c:v>North</c:v>
                </c:pt>
                <c:pt idx="1">
                  <c:v>Midlands</c:v>
                </c:pt>
                <c:pt idx="2">
                  <c:v>South</c:v>
                </c:pt>
                <c:pt idx="3">
                  <c:v>Wales</c:v>
                </c:pt>
              </c:strCache>
            </c:strRef>
          </c:cat>
          <c:val>
            <c:numRef>
              <c:f>Dash_Calc!$AF$5:$AF$8</c:f>
              <c:numCache>
                <c:formatCode>\£#,##0;"(£"#,##0\);\-</c:formatCode>
                <c:ptCount val="4"/>
                <c:pt idx="0">
                  <c:v>15121341.529999999</c:v>
                </c:pt>
                <c:pt idx="1">
                  <c:v>15390372.579999994</c:v>
                </c:pt>
                <c:pt idx="2">
                  <c:v>14775058.16</c:v>
                </c:pt>
                <c:pt idx="3">
                  <c:v>15115049.450000001</c:v>
                </c:pt>
              </c:numCache>
            </c:numRef>
          </c:val>
          <c:extLst>
            <c:ext xmlns:c16="http://schemas.microsoft.com/office/drawing/2014/chart" uri="{C3380CC4-5D6E-409C-BE32-E72D297353CC}">
              <c16:uniqueId val="{00000000-DED0-4485-9063-4481C8C41B9B}"/>
            </c:ext>
          </c:extLst>
        </c:ser>
        <c:ser>
          <c:idx val="1"/>
          <c:order val="1"/>
          <c:tx>
            <c:strRef>
              <c:f>Dash_Calc!$AG$4</c:f>
              <c:strCache>
                <c:ptCount val="1"/>
                <c:pt idx="0">
                  <c:v>Actual Opex</c:v>
                </c:pt>
              </c:strCache>
            </c:strRef>
          </c:tx>
          <c:spPr>
            <a:solidFill>
              <a:srgbClr val="1F4E78"/>
            </a:solidFill>
            <a:ln w="0">
              <a:solidFill>
                <a:srgbClr val="1F4E78"/>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Dash_Calc!$AE$5:$AE$8</c:f>
              <c:strCache>
                <c:ptCount val="4"/>
                <c:pt idx="0">
                  <c:v>North</c:v>
                </c:pt>
                <c:pt idx="1">
                  <c:v>Midlands</c:v>
                </c:pt>
                <c:pt idx="2">
                  <c:v>South</c:v>
                </c:pt>
                <c:pt idx="3">
                  <c:v>Wales</c:v>
                </c:pt>
              </c:strCache>
            </c:strRef>
          </c:cat>
          <c:val>
            <c:numRef>
              <c:f>Dash_Calc!$AG$5:$AG$8</c:f>
              <c:numCache>
                <c:formatCode>\£#,##0;"(£"#,##0\);\-</c:formatCode>
                <c:ptCount val="4"/>
                <c:pt idx="0">
                  <c:v>15147825.726666667</c:v>
                </c:pt>
                <c:pt idx="1">
                  <c:v>15403841.806666667</c:v>
                </c:pt>
                <c:pt idx="2">
                  <c:v>14726019.770000005</c:v>
                </c:pt>
                <c:pt idx="3">
                  <c:v>15075277.440000001</c:v>
                </c:pt>
              </c:numCache>
            </c:numRef>
          </c:val>
          <c:extLst>
            <c:ext xmlns:c16="http://schemas.microsoft.com/office/drawing/2014/chart" uri="{C3380CC4-5D6E-409C-BE32-E72D297353CC}">
              <c16:uniqueId val="{00000001-DED0-4485-9063-4481C8C41B9B}"/>
            </c:ext>
          </c:extLst>
        </c:ser>
        <c:dLbls>
          <c:showLegendKey val="0"/>
          <c:showVal val="0"/>
          <c:showCatName val="0"/>
          <c:showSerName val="0"/>
          <c:showPercent val="0"/>
          <c:showBubbleSize val="0"/>
        </c:dLbls>
        <c:gapWidth val="150"/>
        <c:axId val="77993019"/>
        <c:axId val="15520037"/>
      </c:barChart>
      <c:catAx>
        <c:axId val="77993019"/>
        <c:scaling>
          <c:orientation val="minMax"/>
        </c:scaling>
        <c:delete val="0"/>
        <c:axPos val="b"/>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15520037"/>
        <c:crosses val="autoZero"/>
        <c:auto val="1"/>
        <c:lblAlgn val="ctr"/>
        <c:lblOffset val="100"/>
        <c:noMultiLvlLbl val="0"/>
      </c:catAx>
      <c:valAx>
        <c:axId val="15520037"/>
        <c:scaling>
          <c:orientation val="minMax"/>
        </c:scaling>
        <c:delete val="0"/>
        <c:axPos val="l"/>
        <c:majorGridlines>
          <c:spPr>
            <a:ln w="0">
              <a:solidFill>
                <a:srgbClr val="B3B3B3"/>
              </a:solidFill>
            </a:ln>
          </c:spPr>
        </c:majorGridlines>
        <c:numFmt formatCode="\£#,##0.0,,\m"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77993019"/>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GB" sz="1800" b="1" strike="noStrike" spc="-1">
                <a:solidFill>
                  <a:srgbClr val="000000"/>
                </a:solidFill>
                <a:latin typeface="Calibri"/>
              </a:rPr>
              <a:t>2026 EBITDA by scenario (selected = orange)</a:t>
            </a:r>
          </a:p>
        </c:rich>
      </c:tx>
      <c:overlay val="0"/>
      <c:spPr>
        <a:noFill/>
        <a:ln w="0">
          <a:noFill/>
        </a:ln>
      </c:spPr>
    </c:title>
    <c:autoTitleDeleted val="0"/>
    <c:plotArea>
      <c:layout/>
      <c:barChart>
        <c:barDir val="col"/>
        <c:grouping val="stacked"/>
        <c:varyColors val="0"/>
        <c:ser>
          <c:idx val="0"/>
          <c:order val="0"/>
          <c:tx>
            <c:strRef>
              <c:f>Dash_Calc!$AK$4</c:f>
              <c:strCache>
                <c:ptCount val="1"/>
                <c:pt idx="0">
                  <c:v>Selected</c:v>
                </c:pt>
              </c:strCache>
            </c:strRef>
          </c:tx>
          <c:spPr>
            <a:solidFill>
              <a:srgbClr val="ED7D31"/>
            </a:solidFill>
            <a:ln w="0">
              <a:solidFill>
                <a:srgbClr val="ED7D31"/>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Dash_Calc!$AI$5:$AI$8</c:f>
              <c:strCache>
                <c:ptCount val="4"/>
                <c:pt idx="0">
                  <c:v>Conservative</c:v>
                </c:pt>
                <c:pt idx="1">
                  <c:v>Base</c:v>
                </c:pt>
                <c:pt idx="2">
                  <c:v>Aggressive</c:v>
                </c:pt>
                <c:pt idx="3">
                  <c:v>Custom</c:v>
                </c:pt>
              </c:strCache>
            </c:strRef>
          </c:cat>
          <c:val>
            <c:numRef>
              <c:f>Dash_Calc!$AK$5:$AK$8</c:f>
              <c:numCache>
                <c:formatCode>\£#,##0;"(£"#,##0\);\-</c:formatCode>
                <c:ptCount val="4"/>
                <c:pt idx="0">
                  <c:v>0</c:v>
                </c:pt>
                <c:pt idx="1">
                  <c:v>28098167.387883306</c:v>
                </c:pt>
                <c:pt idx="2">
                  <c:v>0</c:v>
                </c:pt>
                <c:pt idx="3">
                  <c:v>0</c:v>
                </c:pt>
              </c:numCache>
            </c:numRef>
          </c:val>
          <c:extLst>
            <c:ext xmlns:c16="http://schemas.microsoft.com/office/drawing/2014/chart" uri="{C3380CC4-5D6E-409C-BE32-E72D297353CC}">
              <c16:uniqueId val="{00000000-C90B-42FE-B7EC-7A85D290C133}"/>
            </c:ext>
          </c:extLst>
        </c:ser>
        <c:ser>
          <c:idx val="1"/>
          <c:order val="1"/>
          <c:tx>
            <c:strRef>
              <c:f>Dash_Calc!$AL$4</c:f>
              <c:strCache>
                <c:ptCount val="1"/>
                <c:pt idx="0">
                  <c:v>Other</c:v>
                </c:pt>
              </c:strCache>
            </c:strRef>
          </c:tx>
          <c:spPr>
            <a:solidFill>
              <a:srgbClr val="A5A5A5"/>
            </a:solidFill>
            <a:ln w="0">
              <a:solidFill>
                <a:srgbClr val="A5A5A5"/>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Dash_Calc!$AI$5:$AI$8</c:f>
              <c:strCache>
                <c:ptCount val="4"/>
                <c:pt idx="0">
                  <c:v>Conservative</c:v>
                </c:pt>
                <c:pt idx="1">
                  <c:v>Base</c:v>
                </c:pt>
                <c:pt idx="2">
                  <c:v>Aggressive</c:v>
                </c:pt>
                <c:pt idx="3">
                  <c:v>Custom</c:v>
                </c:pt>
              </c:strCache>
            </c:strRef>
          </c:cat>
          <c:val>
            <c:numRef>
              <c:f>Dash_Calc!$AL$5:$AL$8</c:f>
              <c:numCache>
                <c:formatCode>\£#,##0;"(£"#,##0\);\-</c:formatCode>
                <c:ptCount val="4"/>
                <c:pt idx="0">
                  <c:v>25617117.128449969</c:v>
                </c:pt>
                <c:pt idx="1">
                  <c:v>0</c:v>
                </c:pt>
                <c:pt idx="2">
                  <c:v>30541180.470099963</c:v>
                </c:pt>
                <c:pt idx="3">
                  <c:v>28098167.387883306</c:v>
                </c:pt>
              </c:numCache>
            </c:numRef>
          </c:val>
          <c:extLst>
            <c:ext xmlns:c16="http://schemas.microsoft.com/office/drawing/2014/chart" uri="{C3380CC4-5D6E-409C-BE32-E72D297353CC}">
              <c16:uniqueId val="{00000001-C90B-42FE-B7EC-7A85D290C133}"/>
            </c:ext>
          </c:extLst>
        </c:ser>
        <c:dLbls>
          <c:showLegendKey val="0"/>
          <c:showVal val="0"/>
          <c:showCatName val="0"/>
          <c:showSerName val="0"/>
          <c:showPercent val="0"/>
          <c:showBubbleSize val="0"/>
        </c:dLbls>
        <c:gapWidth val="150"/>
        <c:overlap val="100"/>
        <c:axId val="78730487"/>
        <c:axId val="30957938"/>
      </c:barChart>
      <c:catAx>
        <c:axId val="78730487"/>
        <c:scaling>
          <c:orientation val="minMax"/>
        </c:scaling>
        <c:delete val="0"/>
        <c:axPos val="b"/>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30957938"/>
        <c:crosses val="autoZero"/>
        <c:auto val="1"/>
        <c:lblAlgn val="ctr"/>
        <c:lblOffset val="100"/>
        <c:noMultiLvlLbl val="0"/>
      </c:catAx>
      <c:valAx>
        <c:axId val="30957938"/>
        <c:scaling>
          <c:orientation val="minMax"/>
          <c:min val="20000000"/>
        </c:scaling>
        <c:delete val="0"/>
        <c:axPos val="l"/>
        <c:majorGridlines>
          <c:spPr>
            <a:ln w="0">
              <a:solidFill>
                <a:srgbClr val="B3B3B3"/>
              </a:solidFill>
            </a:ln>
          </c:spPr>
        </c:majorGridlines>
        <c:numFmt formatCode="\£#,##0.0,,\m"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78730487"/>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GB" sz="1800" b="1" strike="noStrike" spc="-1">
                <a:solidFill>
                  <a:srgbClr val="000000"/>
                </a:solidFill>
                <a:latin typeface="Calibri"/>
              </a:rPr>
              <a:t>EBITDA bridge 2025 to 2026</a:t>
            </a:r>
          </a:p>
        </c:rich>
      </c:tx>
      <c:overlay val="0"/>
      <c:spPr>
        <a:noFill/>
        <a:ln w="0">
          <a:noFill/>
        </a:ln>
      </c:spPr>
    </c:title>
    <c:autoTitleDeleted val="0"/>
    <c:plotArea>
      <c:layout/>
      <c:barChart>
        <c:barDir val="col"/>
        <c:grouping val="stacked"/>
        <c:varyColors val="0"/>
        <c:ser>
          <c:idx val="0"/>
          <c:order val="0"/>
          <c:tx>
            <c:strRef>
              <c:f>Dash_Calc!$AO$4</c:f>
              <c:strCache>
                <c:ptCount val="1"/>
                <c:pt idx="0">
                  <c:v>Base</c:v>
                </c:pt>
              </c:strCache>
            </c:strRef>
          </c:tx>
          <c:spPr>
            <a:no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Dash_Calc!$AN$5:$AN$12</c:f>
              <c:strCache>
                <c:ptCount val="8"/>
                <c:pt idx="0">
                  <c:v>2025</c:v>
                </c:pt>
                <c:pt idx="1">
                  <c:v>Revenue</c:v>
                </c:pt>
                <c:pt idx="2">
                  <c:v>Procurement</c:v>
                </c:pt>
                <c:pt idx="3">
                  <c:v>Agency</c:v>
                </c:pt>
                <c:pt idx="4">
                  <c:v>Fleet</c:v>
                </c:pt>
                <c:pt idx="5">
                  <c:v>Payroll</c:v>
                </c:pt>
                <c:pt idx="6">
                  <c:v>Other</c:v>
                </c:pt>
                <c:pt idx="7">
                  <c:v>2026</c:v>
                </c:pt>
              </c:strCache>
            </c:strRef>
          </c:cat>
          <c:val>
            <c:numRef>
              <c:f>Dash_Calc!$AO$5:$AO$12</c:f>
              <c:numCache>
                <c:formatCode>\£#,##0;"(£"#,##0\);\-</c:formatCode>
                <c:ptCount val="8"/>
                <c:pt idx="0">
                  <c:v>0</c:v>
                </c:pt>
                <c:pt idx="1">
                  <c:v>26123552.506666631</c:v>
                </c:pt>
                <c:pt idx="2">
                  <c:v>28717848.024166629</c:v>
                </c:pt>
                <c:pt idx="3">
                  <c:v>29207474.497766629</c:v>
                </c:pt>
                <c:pt idx="4">
                  <c:v>29207474.497766629</c:v>
                </c:pt>
                <c:pt idx="5">
                  <c:v>28280843.565483298</c:v>
                </c:pt>
                <c:pt idx="6">
                  <c:v>28098167.387883298</c:v>
                </c:pt>
                <c:pt idx="7">
                  <c:v>0</c:v>
                </c:pt>
              </c:numCache>
            </c:numRef>
          </c:val>
          <c:extLst>
            <c:ext xmlns:c16="http://schemas.microsoft.com/office/drawing/2014/chart" uri="{C3380CC4-5D6E-409C-BE32-E72D297353CC}">
              <c16:uniqueId val="{00000000-A48B-4FF0-A348-085A1E8D0D33}"/>
            </c:ext>
          </c:extLst>
        </c:ser>
        <c:ser>
          <c:idx val="1"/>
          <c:order val="1"/>
          <c:tx>
            <c:strRef>
              <c:f>Dash_Calc!$AP$4</c:f>
              <c:strCache>
                <c:ptCount val="1"/>
                <c:pt idx="0">
                  <c:v>Increase</c:v>
                </c:pt>
              </c:strCache>
            </c:strRef>
          </c:tx>
          <c:spPr>
            <a:solidFill>
              <a:srgbClr val="70AD47"/>
            </a:solidFill>
            <a:ln w="0">
              <a:solidFill>
                <a:srgbClr val="70AD47"/>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Dash_Calc!$AN$5:$AN$12</c:f>
              <c:strCache>
                <c:ptCount val="8"/>
                <c:pt idx="0">
                  <c:v>2025</c:v>
                </c:pt>
                <c:pt idx="1">
                  <c:v>Revenue</c:v>
                </c:pt>
                <c:pt idx="2">
                  <c:v>Procurement</c:v>
                </c:pt>
                <c:pt idx="3">
                  <c:v>Agency</c:v>
                </c:pt>
                <c:pt idx="4">
                  <c:v>Fleet</c:v>
                </c:pt>
                <c:pt idx="5">
                  <c:v>Payroll</c:v>
                </c:pt>
                <c:pt idx="6">
                  <c:v>Other</c:v>
                </c:pt>
                <c:pt idx="7">
                  <c:v>2026</c:v>
                </c:pt>
              </c:strCache>
            </c:strRef>
          </c:cat>
          <c:val>
            <c:numRef>
              <c:f>Dash_Calc!$AP$5:$AP$12</c:f>
              <c:numCache>
                <c:formatCode>\£#,##0;"(£"#,##0\);\-</c:formatCode>
                <c:ptCount val="8"/>
                <c:pt idx="0">
                  <c:v>0</c:v>
                </c:pt>
                <c:pt idx="1">
                  <c:v>2594295.5174999982</c:v>
                </c:pt>
                <c:pt idx="2">
                  <c:v>556680.77360000089</c:v>
                </c:pt>
                <c:pt idx="3">
                  <c:v>0</c:v>
                </c:pt>
                <c:pt idx="4">
                  <c:v>26460.22080000001</c:v>
                </c:pt>
                <c:pt idx="5">
                  <c:v>0</c:v>
                </c:pt>
                <c:pt idx="6">
                  <c:v>0</c:v>
                </c:pt>
                <c:pt idx="7">
                  <c:v>0</c:v>
                </c:pt>
              </c:numCache>
            </c:numRef>
          </c:val>
          <c:extLst>
            <c:ext xmlns:c16="http://schemas.microsoft.com/office/drawing/2014/chart" uri="{C3380CC4-5D6E-409C-BE32-E72D297353CC}">
              <c16:uniqueId val="{00000001-A48B-4FF0-A348-085A1E8D0D33}"/>
            </c:ext>
          </c:extLst>
        </c:ser>
        <c:ser>
          <c:idx val="2"/>
          <c:order val="2"/>
          <c:tx>
            <c:strRef>
              <c:f>Dash_Calc!$AQ$4</c:f>
              <c:strCache>
                <c:ptCount val="1"/>
                <c:pt idx="0">
                  <c:v>Decrease</c:v>
                </c:pt>
              </c:strCache>
            </c:strRef>
          </c:tx>
          <c:spPr>
            <a:solidFill>
              <a:srgbClr val="C00000"/>
            </a:solidFill>
            <a:ln w="0">
              <a:solidFill>
                <a:srgbClr val="C00000"/>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Dash_Calc!$AN$5:$AN$12</c:f>
              <c:strCache>
                <c:ptCount val="8"/>
                <c:pt idx="0">
                  <c:v>2025</c:v>
                </c:pt>
                <c:pt idx="1">
                  <c:v>Revenue</c:v>
                </c:pt>
                <c:pt idx="2">
                  <c:v>Procurement</c:v>
                </c:pt>
                <c:pt idx="3">
                  <c:v>Agency</c:v>
                </c:pt>
                <c:pt idx="4">
                  <c:v>Fleet</c:v>
                </c:pt>
                <c:pt idx="5">
                  <c:v>Payroll</c:v>
                </c:pt>
                <c:pt idx="6">
                  <c:v>Other</c:v>
                </c:pt>
                <c:pt idx="7">
                  <c:v>2026</c:v>
                </c:pt>
              </c:strCache>
            </c:strRef>
          </c:cat>
          <c:val>
            <c:numRef>
              <c:f>Dash_Calc!$AQ$5:$AQ$12</c:f>
              <c:numCache>
                <c:formatCode>\£#,##0;"(£"#,##0\);\-</c:formatCode>
                <c:ptCount val="8"/>
                <c:pt idx="0">
                  <c:v>0</c:v>
                </c:pt>
                <c:pt idx="1">
                  <c:v>0</c:v>
                </c:pt>
                <c:pt idx="2">
                  <c:v>0</c:v>
                </c:pt>
                <c:pt idx="3">
                  <c:v>67054.300000000047</c:v>
                </c:pt>
                <c:pt idx="4">
                  <c:v>0</c:v>
                </c:pt>
                <c:pt idx="5">
                  <c:v>953091.15308333188</c:v>
                </c:pt>
                <c:pt idx="6">
                  <c:v>182676.17760000005</c:v>
                </c:pt>
                <c:pt idx="7">
                  <c:v>0</c:v>
                </c:pt>
              </c:numCache>
            </c:numRef>
          </c:val>
          <c:extLst>
            <c:ext xmlns:c16="http://schemas.microsoft.com/office/drawing/2014/chart" uri="{C3380CC4-5D6E-409C-BE32-E72D297353CC}">
              <c16:uniqueId val="{00000002-A48B-4FF0-A348-085A1E8D0D33}"/>
            </c:ext>
          </c:extLst>
        </c:ser>
        <c:ser>
          <c:idx val="3"/>
          <c:order val="3"/>
          <c:tx>
            <c:strRef>
              <c:f>Dash_Calc!$AR$4</c:f>
              <c:strCache>
                <c:ptCount val="1"/>
                <c:pt idx="0">
                  <c:v>Total</c:v>
                </c:pt>
              </c:strCache>
            </c:strRef>
          </c:tx>
          <c:spPr>
            <a:solidFill>
              <a:srgbClr val="1F4E78"/>
            </a:solidFill>
            <a:ln w="0">
              <a:solidFill>
                <a:srgbClr val="1F4E78"/>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Dash_Calc!$AN$5:$AN$12</c:f>
              <c:strCache>
                <c:ptCount val="8"/>
                <c:pt idx="0">
                  <c:v>2025</c:v>
                </c:pt>
                <c:pt idx="1">
                  <c:v>Revenue</c:v>
                </c:pt>
                <c:pt idx="2">
                  <c:v>Procurement</c:v>
                </c:pt>
                <c:pt idx="3">
                  <c:v>Agency</c:v>
                </c:pt>
                <c:pt idx="4">
                  <c:v>Fleet</c:v>
                </c:pt>
                <c:pt idx="5">
                  <c:v>Payroll</c:v>
                </c:pt>
                <c:pt idx="6">
                  <c:v>Other</c:v>
                </c:pt>
                <c:pt idx="7">
                  <c:v>2026</c:v>
                </c:pt>
              </c:strCache>
            </c:strRef>
          </c:cat>
          <c:val>
            <c:numRef>
              <c:f>Dash_Calc!$AR$5:$AR$12</c:f>
              <c:numCache>
                <c:formatCode>\£#,##0;"(£"#,##0\);\-</c:formatCode>
                <c:ptCount val="8"/>
                <c:pt idx="0">
                  <c:v>26123552.506666631</c:v>
                </c:pt>
                <c:pt idx="1">
                  <c:v>0</c:v>
                </c:pt>
                <c:pt idx="2">
                  <c:v>0</c:v>
                </c:pt>
                <c:pt idx="3">
                  <c:v>0</c:v>
                </c:pt>
                <c:pt idx="4">
                  <c:v>0</c:v>
                </c:pt>
                <c:pt idx="5">
                  <c:v>0</c:v>
                </c:pt>
                <c:pt idx="6">
                  <c:v>0</c:v>
                </c:pt>
                <c:pt idx="7">
                  <c:v>28098167.387883306</c:v>
                </c:pt>
              </c:numCache>
            </c:numRef>
          </c:val>
          <c:extLst>
            <c:ext xmlns:c16="http://schemas.microsoft.com/office/drawing/2014/chart" uri="{C3380CC4-5D6E-409C-BE32-E72D297353CC}">
              <c16:uniqueId val="{00000003-A48B-4FF0-A348-085A1E8D0D33}"/>
            </c:ext>
          </c:extLst>
        </c:ser>
        <c:dLbls>
          <c:showLegendKey val="0"/>
          <c:showVal val="0"/>
          <c:showCatName val="0"/>
          <c:showSerName val="0"/>
          <c:showPercent val="0"/>
          <c:showBubbleSize val="0"/>
        </c:dLbls>
        <c:gapWidth val="60"/>
        <c:overlap val="100"/>
        <c:axId val="47752738"/>
        <c:axId val="5316178"/>
      </c:barChart>
      <c:catAx>
        <c:axId val="47752738"/>
        <c:scaling>
          <c:orientation val="minMax"/>
        </c:scaling>
        <c:delete val="0"/>
        <c:axPos val="b"/>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5316178"/>
        <c:crosses val="autoZero"/>
        <c:auto val="1"/>
        <c:lblAlgn val="ctr"/>
        <c:lblOffset val="100"/>
        <c:noMultiLvlLbl val="0"/>
      </c:catAx>
      <c:valAx>
        <c:axId val="5316178"/>
        <c:scaling>
          <c:orientation val="minMax"/>
          <c:min val="20000000"/>
        </c:scaling>
        <c:delete val="0"/>
        <c:axPos val="l"/>
        <c:majorGridlines>
          <c:spPr>
            <a:ln w="0">
              <a:solidFill>
                <a:srgbClr val="B3B3B3"/>
              </a:solidFill>
            </a:ln>
          </c:spPr>
        </c:majorGridlines>
        <c:numFmt formatCode="\£#,##0.0,,\m"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47752738"/>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GB" sz="1800" b="1" strike="noStrike" spc="-1">
                <a:solidFill>
                  <a:srgbClr val="000000"/>
                </a:solidFill>
                <a:latin typeface="Calibri"/>
              </a:rPr>
              <a:t>Savings target vs full-year forecast</a:t>
            </a:r>
          </a:p>
        </c:rich>
      </c:tx>
      <c:overlay val="0"/>
      <c:spPr>
        <a:noFill/>
        <a:ln w="0">
          <a:noFill/>
        </a:ln>
      </c:spPr>
    </c:title>
    <c:autoTitleDeleted val="0"/>
    <c:plotArea>
      <c:layout/>
      <c:barChart>
        <c:barDir val="col"/>
        <c:grouping val="clustered"/>
        <c:varyColors val="0"/>
        <c:ser>
          <c:idx val="0"/>
          <c:order val="0"/>
          <c:tx>
            <c:strRef>
              <c:f>Dash_Calc!$AT$4</c:f>
              <c:strCache>
                <c:ptCount val="1"/>
                <c:pt idx="0">
                  <c:v>Target</c:v>
                </c:pt>
              </c:strCache>
            </c:strRef>
          </c:tx>
          <c:spPr>
            <a:solidFill>
              <a:srgbClr val="A5A5A5"/>
            </a:solidFill>
            <a:ln w="0">
              <a:solidFill>
                <a:srgbClr val="A5A5A5"/>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Dash_Calc!$AS$5:$AS$12</c:f>
              <c:strCache>
                <c:ptCount val="8"/>
                <c:pt idx="0">
                  <c:v>Medical Supplies</c:v>
                </c:pt>
                <c:pt idx="1">
                  <c:v>Food &amp; Catering</c:v>
                </c:pt>
                <c:pt idx="2">
                  <c:v>Facilities</c:v>
                </c:pt>
                <c:pt idx="3">
                  <c:v>Utilities</c:v>
                </c:pt>
                <c:pt idx="4">
                  <c:v>IT &amp; Telecoms</c:v>
                </c:pt>
                <c:pt idx="5">
                  <c:v>Vehicle &amp; Fuel</c:v>
                </c:pt>
                <c:pt idx="6">
                  <c:v>Agency Labour</c:v>
                </c:pt>
                <c:pt idx="7">
                  <c:v>Office &amp; Training</c:v>
                </c:pt>
              </c:strCache>
            </c:strRef>
          </c:cat>
          <c:val>
            <c:numRef>
              <c:f>Dash_Calc!$AT$5:$AT$12</c:f>
              <c:numCache>
                <c:formatCode>\£#,##0;"(£"#,##0\);\-</c:formatCode>
                <c:ptCount val="8"/>
                <c:pt idx="0">
                  <c:v>65829.180599999978</c:v>
                </c:pt>
                <c:pt idx="1">
                  <c:v>33508.545200000008</c:v>
                </c:pt>
                <c:pt idx="2">
                  <c:v>106439.04649999992</c:v>
                </c:pt>
                <c:pt idx="3">
                  <c:v>72037.848000000027</c:v>
                </c:pt>
                <c:pt idx="4">
                  <c:v>200412.41439999998</c:v>
                </c:pt>
                <c:pt idx="5">
                  <c:v>51531.014999999985</c:v>
                </c:pt>
                <c:pt idx="6">
                  <c:v>223535.69980000006</c:v>
                </c:pt>
                <c:pt idx="7">
                  <c:v>29145.198399999997</c:v>
                </c:pt>
              </c:numCache>
            </c:numRef>
          </c:val>
          <c:extLst>
            <c:ext xmlns:c16="http://schemas.microsoft.com/office/drawing/2014/chart" uri="{C3380CC4-5D6E-409C-BE32-E72D297353CC}">
              <c16:uniqueId val="{00000000-3074-43A6-A54B-B27BA63F277B}"/>
            </c:ext>
          </c:extLst>
        </c:ser>
        <c:ser>
          <c:idx val="1"/>
          <c:order val="1"/>
          <c:tx>
            <c:strRef>
              <c:f>Dash_Calc!$AU$4</c:f>
              <c:strCache>
                <c:ptCount val="1"/>
                <c:pt idx="0">
                  <c:v>FY forecast</c:v>
                </c:pt>
              </c:strCache>
            </c:strRef>
          </c:tx>
          <c:spPr>
            <a:solidFill>
              <a:srgbClr val="70AD47"/>
            </a:solidFill>
            <a:ln w="0">
              <a:solidFill>
                <a:srgbClr val="70AD47"/>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Dash_Calc!$AS$5:$AS$12</c:f>
              <c:strCache>
                <c:ptCount val="8"/>
                <c:pt idx="0">
                  <c:v>Medical Supplies</c:v>
                </c:pt>
                <c:pt idx="1">
                  <c:v>Food &amp; Catering</c:v>
                </c:pt>
                <c:pt idx="2">
                  <c:v>Facilities</c:v>
                </c:pt>
                <c:pt idx="3">
                  <c:v>Utilities</c:v>
                </c:pt>
                <c:pt idx="4">
                  <c:v>IT &amp; Telecoms</c:v>
                </c:pt>
                <c:pt idx="5">
                  <c:v>Vehicle &amp; Fuel</c:v>
                </c:pt>
                <c:pt idx="6">
                  <c:v>Agency Labour</c:v>
                </c:pt>
                <c:pt idx="7">
                  <c:v>Office &amp; Training</c:v>
                </c:pt>
              </c:strCache>
            </c:strRef>
          </c:cat>
          <c:val>
            <c:numRef>
              <c:f>Dash_Calc!$AU$5:$AU$12</c:f>
              <c:numCache>
                <c:formatCode>\£#,##0;"(£"#,##0\);\-</c:formatCode>
                <c:ptCount val="8"/>
                <c:pt idx="0">
                  <c:v>69150</c:v>
                </c:pt>
                <c:pt idx="1">
                  <c:v>30150</c:v>
                </c:pt>
                <c:pt idx="2">
                  <c:v>74550</c:v>
                </c:pt>
                <c:pt idx="3">
                  <c:v>79200</c:v>
                </c:pt>
                <c:pt idx="4">
                  <c:v>160350</c:v>
                </c:pt>
                <c:pt idx="5">
                  <c:v>48900</c:v>
                </c:pt>
                <c:pt idx="6">
                  <c:v>134100</c:v>
                </c:pt>
                <c:pt idx="7">
                  <c:v>34950</c:v>
                </c:pt>
              </c:numCache>
            </c:numRef>
          </c:val>
          <c:extLst>
            <c:ext xmlns:c16="http://schemas.microsoft.com/office/drawing/2014/chart" uri="{C3380CC4-5D6E-409C-BE32-E72D297353CC}">
              <c16:uniqueId val="{00000001-3074-43A6-A54B-B27BA63F277B}"/>
            </c:ext>
          </c:extLst>
        </c:ser>
        <c:dLbls>
          <c:showLegendKey val="0"/>
          <c:showVal val="0"/>
          <c:showCatName val="0"/>
          <c:showSerName val="0"/>
          <c:showPercent val="0"/>
          <c:showBubbleSize val="0"/>
        </c:dLbls>
        <c:gapWidth val="150"/>
        <c:axId val="6473140"/>
        <c:axId val="20749732"/>
      </c:barChart>
      <c:catAx>
        <c:axId val="6473140"/>
        <c:scaling>
          <c:orientation val="minMax"/>
        </c:scaling>
        <c:delete val="0"/>
        <c:axPos val="b"/>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20749732"/>
        <c:crosses val="autoZero"/>
        <c:auto val="1"/>
        <c:lblAlgn val="ctr"/>
        <c:lblOffset val="100"/>
        <c:noMultiLvlLbl val="0"/>
      </c:catAx>
      <c:valAx>
        <c:axId val="20749732"/>
        <c:scaling>
          <c:orientation val="minMax"/>
        </c:scaling>
        <c:delete val="0"/>
        <c:axPos val="l"/>
        <c:majorGridlines>
          <c:spPr>
            <a:ln w="0">
              <a:solidFill>
                <a:srgbClr val="B3B3B3"/>
              </a:solidFill>
            </a:ln>
          </c:spPr>
        </c:majorGridlines>
        <c:numFmt formatCode="\£#,##0,\k"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6473140"/>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GB" sz="1800" b="1" strike="noStrike" spc="-1">
                <a:solidFill>
                  <a:srgbClr val="000000"/>
                </a:solidFill>
                <a:latin typeface="Calibri"/>
              </a:rPr>
              <a:t>Agency spend &amp; overtime by month</a:t>
            </a:r>
          </a:p>
        </c:rich>
      </c:tx>
      <c:overlay val="0"/>
      <c:spPr>
        <a:noFill/>
        <a:ln w="0">
          <a:noFill/>
        </a:ln>
      </c:spPr>
    </c:title>
    <c:autoTitleDeleted val="0"/>
    <c:plotArea>
      <c:layout/>
      <c:lineChart>
        <c:grouping val="standard"/>
        <c:varyColors val="0"/>
        <c:ser>
          <c:idx val="0"/>
          <c:order val="0"/>
          <c:tx>
            <c:strRef>
              <c:f>Dash_Calc!$O$4</c:f>
              <c:strCache>
                <c:ptCount val="1"/>
                <c:pt idx="0">
                  <c:v>Agency</c:v>
                </c:pt>
              </c:strCache>
            </c:strRef>
          </c:tx>
          <c:spPr>
            <a:ln w="28080">
              <a:solidFill>
                <a:srgbClr val="C00000"/>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Dash_Calc!$J$5:$J$16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Dash_Calc!$O$5:$O$16</c:f>
              <c:numCache>
                <c:formatCode>\£#,##0;"(£"#,##0\);\-</c:formatCode>
                <c:ptCount val="12"/>
                <c:pt idx="0">
                  <c:v>107437</c:v>
                </c:pt>
                <c:pt idx="1">
                  <c:v>121421</c:v>
                </c:pt>
                <c:pt idx="2">
                  <c:v>103588</c:v>
                </c:pt>
                <c:pt idx="3">
                  <c:v>132145</c:v>
                </c:pt>
                <c:pt idx="4">
                  <c:v>99849</c:v>
                </c:pt>
                <c:pt idx="5">
                  <c:v>106117</c:v>
                </c:pt>
                <c:pt idx="6">
                  <c:v>118232</c:v>
                </c:pt>
                <c:pt idx="7">
                  <c:v>99862</c:v>
                </c:pt>
                <c:pt idx="8">
                  <c:v>120617</c:v>
                </c:pt>
                <c:pt idx="9">
                  <c:v>103394</c:v>
                </c:pt>
                <c:pt idx="10">
                  <c:v>109315</c:v>
                </c:pt>
                <c:pt idx="11">
                  <c:v>119109</c:v>
                </c:pt>
              </c:numCache>
            </c:numRef>
          </c:val>
          <c:smooth val="0"/>
          <c:extLst>
            <c:ext xmlns:c16="http://schemas.microsoft.com/office/drawing/2014/chart" uri="{C3380CC4-5D6E-409C-BE32-E72D297353CC}">
              <c16:uniqueId val="{00000000-2B8B-4545-8384-2917393EC420}"/>
            </c:ext>
          </c:extLst>
        </c:ser>
        <c:ser>
          <c:idx val="1"/>
          <c:order val="1"/>
          <c:tx>
            <c:strRef>
              <c:f>Dash_Calc!$P$4</c:f>
              <c:strCache>
                <c:ptCount val="1"/>
                <c:pt idx="0">
                  <c:v>Overtime</c:v>
                </c:pt>
              </c:strCache>
            </c:strRef>
          </c:tx>
          <c:spPr>
            <a:ln w="28080">
              <a:solidFill>
                <a:srgbClr val="FFC000"/>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Dash_Calc!$J$5:$J$16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Dash_Calc!$P$5:$P$16</c:f>
              <c:numCache>
                <c:formatCode>\£#,##0;"(£"#,##0\);\-</c:formatCode>
                <c:ptCount val="12"/>
                <c:pt idx="0">
                  <c:v>86782.569999999978</c:v>
                </c:pt>
                <c:pt idx="1">
                  <c:v>96726.689999999973</c:v>
                </c:pt>
                <c:pt idx="2">
                  <c:v>96705.130000000063</c:v>
                </c:pt>
                <c:pt idx="3">
                  <c:v>96930.420000000027</c:v>
                </c:pt>
                <c:pt idx="4">
                  <c:v>87244.729999999981</c:v>
                </c:pt>
                <c:pt idx="5">
                  <c:v>93237.380000000019</c:v>
                </c:pt>
                <c:pt idx="6">
                  <c:v>76968.2</c:v>
                </c:pt>
                <c:pt idx="7">
                  <c:v>99012.000000000015</c:v>
                </c:pt>
                <c:pt idx="8">
                  <c:v>87250.029999999955</c:v>
                </c:pt>
                <c:pt idx="9">
                  <c:v>108904.98000000001</c:v>
                </c:pt>
                <c:pt idx="10">
                  <c:v>91455.040000000023</c:v>
                </c:pt>
                <c:pt idx="11">
                  <c:v>95670.620000000054</c:v>
                </c:pt>
              </c:numCache>
            </c:numRef>
          </c:val>
          <c:smooth val="0"/>
          <c:extLst>
            <c:ext xmlns:c16="http://schemas.microsoft.com/office/drawing/2014/chart" uri="{C3380CC4-5D6E-409C-BE32-E72D297353CC}">
              <c16:uniqueId val="{00000001-2B8B-4545-8384-2917393EC420}"/>
            </c:ext>
          </c:extLst>
        </c:ser>
        <c:dLbls>
          <c:showLegendKey val="0"/>
          <c:showVal val="0"/>
          <c:showCatName val="0"/>
          <c:showSerName val="0"/>
          <c:showPercent val="0"/>
          <c:showBubbleSize val="0"/>
        </c:dLbls>
        <c:hiLowLines>
          <c:spPr>
            <a:ln w="0">
              <a:noFill/>
            </a:ln>
          </c:spPr>
        </c:hiLowLines>
        <c:smooth val="0"/>
        <c:axId val="87985893"/>
        <c:axId val="3385460"/>
      </c:lineChart>
      <c:catAx>
        <c:axId val="87985893"/>
        <c:scaling>
          <c:orientation val="minMax"/>
        </c:scaling>
        <c:delete val="0"/>
        <c:axPos val="b"/>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3385460"/>
        <c:crosses val="autoZero"/>
        <c:auto val="1"/>
        <c:lblAlgn val="ctr"/>
        <c:lblOffset val="100"/>
        <c:noMultiLvlLbl val="0"/>
      </c:catAx>
      <c:valAx>
        <c:axId val="3385460"/>
        <c:scaling>
          <c:orientation val="minMax"/>
        </c:scaling>
        <c:delete val="0"/>
        <c:axPos val="l"/>
        <c:majorGridlines>
          <c:spPr>
            <a:ln w="0">
              <a:solidFill>
                <a:srgbClr val="B3B3B3"/>
              </a:solidFill>
            </a:ln>
          </c:spPr>
        </c:majorGridlines>
        <c:numFmt formatCode="\£#,##0,\k"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87985893"/>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27</xdr:row>
      <xdr:rowOff>0</xdr:rowOff>
    </xdr:from>
    <xdr:to>
      <xdr:col>8</xdr:col>
      <xdr:colOff>623520</xdr:colOff>
      <xdr:row>42</xdr:row>
      <xdr:rowOff>94320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27</xdr:row>
      <xdr:rowOff>0</xdr:rowOff>
    </xdr:from>
    <xdr:to>
      <xdr:col>16</xdr:col>
      <xdr:colOff>623160</xdr:colOff>
      <xdr:row>42</xdr:row>
      <xdr:rowOff>94320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44</xdr:row>
      <xdr:rowOff>0</xdr:rowOff>
    </xdr:from>
    <xdr:to>
      <xdr:col>8</xdr:col>
      <xdr:colOff>623520</xdr:colOff>
      <xdr:row>59</xdr:row>
      <xdr:rowOff>93960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0</xdr:colOff>
      <xdr:row>44</xdr:row>
      <xdr:rowOff>0</xdr:rowOff>
    </xdr:from>
    <xdr:to>
      <xdr:col>16</xdr:col>
      <xdr:colOff>623160</xdr:colOff>
      <xdr:row>59</xdr:row>
      <xdr:rowOff>93960</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61</xdr:row>
      <xdr:rowOff>0</xdr:rowOff>
    </xdr:from>
    <xdr:to>
      <xdr:col>8</xdr:col>
      <xdr:colOff>623520</xdr:colOff>
      <xdr:row>76</xdr:row>
      <xdr:rowOff>93960</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0</xdr:colOff>
      <xdr:row>61</xdr:row>
      <xdr:rowOff>0</xdr:rowOff>
    </xdr:from>
    <xdr:to>
      <xdr:col>16</xdr:col>
      <xdr:colOff>623160</xdr:colOff>
      <xdr:row>76</xdr:row>
      <xdr:rowOff>93960</xdr:rowOff>
    </xdr:to>
    <xdr:graphicFrame macro="">
      <xdr:nvGraphicFramePr>
        <xdr:cNvPr id="7" name="Chart 6">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0</xdr:colOff>
      <xdr:row>78</xdr:row>
      <xdr:rowOff>0</xdr:rowOff>
    </xdr:from>
    <xdr:to>
      <xdr:col>8</xdr:col>
      <xdr:colOff>623520</xdr:colOff>
      <xdr:row>93</xdr:row>
      <xdr:rowOff>93960</xdr:rowOff>
    </xdr:to>
    <xdr:graphicFrame macro="">
      <xdr:nvGraphicFramePr>
        <xdr:cNvPr id="8" name="Chart 7">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9</xdr:col>
      <xdr:colOff>0</xdr:colOff>
      <xdr:row>78</xdr:row>
      <xdr:rowOff>0</xdr:rowOff>
    </xdr:from>
    <xdr:to>
      <xdr:col>16</xdr:col>
      <xdr:colOff>623160</xdr:colOff>
      <xdr:row>93</xdr:row>
      <xdr:rowOff>93960</xdr:rowOff>
    </xdr:to>
    <xdr:graphicFrame macro="">
      <xdr:nvGraphicFramePr>
        <xdr:cNvPr id="9" name="Chart 8">
          <a:extLst>
            <a:ext uri="{FF2B5EF4-FFF2-40B4-BE49-F238E27FC236}">
              <a16:creationId xmlns:a16="http://schemas.microsoft.com/office/drawing/2014/main" id="{00000000-0008-0000-01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blCleanProc" displayName="tblCleanProc" ref="A1:V1801" totalsRowShown="0">
  <autoFilter ref="A1:V1801" xr:uid="{00000000-0009-0000-0100-000002000000}"/>
  <tableColumns count="22">
    <tableColumn id="1" xr3:uid="{00000000-0010-0000-0000-000001000000}" name="InvoiceDate"/>
    <tableColumn id="2" xr3:uid="{00000000-0010-0000-0000-000002000000}" name="SiteID"/>
    <tableColumn id="3" xr3:uid="{00000000-0010-0000-0000-000003000000}" name="SiteName"/>
    <tableColumn id="4" xr3:uid="{00000000-0010-0000-0000-000004000000}" name="Region"/>
    <tableColumn id="5" xr3:uid="{00000000-0010-0000-0000-000005000000}" name="Supplier"/>
    <tableColumn id="6" xr3:uid="{00000000-0010-0000-0000-000006000000}" name="Category"/>
    <tableColumn id="7" xr3:uid="{00000000-0010-0000-0000-000007000000}" name="InvoiceID"/>
    <tableColumn id="8" xr3:uid="{00000000-0010-0000-0000-000008000000}" name="Quantity"/>
    <tableColumn id="9" xr3:uid="{00000000-0010-0000-0000-000009000000}" name="UnitCost"/>
    <tableColumn id="10" xr3:uid="{00000000-0010-0000-0000-00000A000000}" name="GrossSpend"/>
    <tableColumn id="11" xr3:uid="{00000000-0010-0000-0000-00000B000000}" name="PaymentTermsDays"/>
    <tableColumn id="12" xr3:uid="{00000000-0010-0000-0000-00000C000000}" name="SourceSystem"/>
    <tableColumn id="13" xr3:uid="{00000000-0010-0000-0000-00000D000000}" name="Contracted"/>
    <tableColumn id="14" xr3:uid="{00000000-0010-0000-0000-00000E000000}" name="DataQualityFlag"/>
    <tableColumn id="15" xr3:uid="{00000000-0010-0000-0000-00000F000000}" name="NetSpend_Clean"/>
    <tableColumn id="16" xr3:uid="{00000000-0010-0000-0000-000010000000}" name="Supplier_Category_Lookup"/>
    <tableColumn id="17" xr3:uid="{00000000-0010-0000-0000-000011000000}" name="Savings_Target"/>
    <tableColumn id="18" xr3:uid="{00000000-0010-0000-0000-000012000000}" name="Potential_Saving"/>
    <tableColumn id="19" xr3:uid="{00000000-0010-0000-0000-000013000000}" name="Month"/>
    <tableColumn id="20" xr3:uid="{00000000-0010-0000-0000-000014000000}" name="Town"/>
    <tableColumn id="21" xr3:uid="{00000000-0010-0000-0000-000015000000}" name="ExceptionNo"/>
    <tableColumn id="22" xr3:uid="{00000000-0010-0000-0000-000016000000}" name="StandardisedFlag"/>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1000000}" name="tblProcurement" displayName="tblProcurement" ref="A1:P1801" totalsRowShown="0">
  <autoFilter ref="A1:P1801" xr:uid="{00000000-0009-0000-0100-000005000000}"/>
  <tableColumns count="16">
    <tableColumn id="1" xr3:uid="{00000000-0010-0000-0100-000001000000}" name="InvoiceDate"/>
    <tableColumn id="2" xr3:uid="{00000000-0010-0000-0100-000002000000}" name="SiteID"/>
    <tableColumn id="3" xr3:uid="{00000000-0010-0000-0100-000003000000}" name="SiteName"/>
    <tableColumn id="4" xr3:uid="{00000000-0010-0000-0100-000004000000}" name="Region"/>
    <tableColumn id="5" xr3:uid="{00000000-0010-0000-0100-000005000000}" name="Supplier"/>
    <tableColumn id="6" xr3:uid="{00000000-0010-0000-0100-000006000000}" name="Category"/>
    <tableColumn id="7" xr3:uid="{00000000-0010-0000-0100-000007000000}" name="InvoiceID"/>
    <tableColumn id="8" xr3:uid="{00000000-0010-0000-0100-000008000000}" name="Quantity"/>
    <tableColumn id="9" xr3:uid="{00000000-0010-0000-0100-000009000000}" name="UnitCost"/>
    <tableColumn id="10" xr3:uid="{00000000-0010-0000-0100-00000A000000}" name="GrossSpend"/>
    <tableColumn id="11" xr3:uid="{00000000-0010-0000-0100-00000B000000}" name="PaymentTermsDays"/>
    <tableColumn id="12" xr3:uid="{00000000-0010-0000-0100-00000C000000}" name="SourceSystem"/>
    <tableColumn id="13" xr3:uid="{00000000-0010-0000-0100-00000D000000}" name="VAT"/>
    <tableColumn id="14" xr3:uid="{00000000-0010-0000-0100-00000E000000}" name="NetSpend"/>
    <tableColumn id="15" xr3:uid="{00000000-0010-0000-0100-00000F000000}" name="Contracted"/>
    <tableColumn id="16" xr3:uid="{00000000-0010-0000-0100-000010000000}" name="DataQualityFlag"/>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blFleet" displayName="tblFleet" ref="A1:L1160" totalsRowShown="0">
  <autoFilter ref="A1:L1160" xr:uid="{00000000-0009-0000-0100-000004000000}"/>
  <tableColumns count="12">
    <tableColumn id="1" xr3:uid="{00000000-0010-0000-0200-000001000000}" name="Month"/>
    <tableColumn id="2" xr3:uid="{00000000-0010-0000-0200-000002000000}" name="SiteID"/>
    <tableColumn id="3" xr3:uid="{00000000-0010-0000-0200-000003000000}" name="SiteName"/>
    <tableColumn id="4" xr3:uid="{00000000-0010-0000-0200-000004000000}" name="Region"/>
    <tableColumn id="5" xr3:uid="{00000000-0010-0000-0200-000005000000}" name="VehicleID"/>
    <tableColumn id="6" xr3:uid="{00000000-0010-0000-0200-000006000000}" name="VehicleType"/>
    <tableColumn id="7" xr3:uid="{00000000-0010-0000-0200-000007000000}" name="Miles"/>
    <tableColumn id="8" xr3:uid="{00000000-0010-0000-0200-000008000000}" name="FuelLitres"/>
    <tableColumn id="9" xr3:uid="{00000000-0010-0000-0200-000009000000}" name="FuelCost"/>
    <tableColumn id="10" xr3:uid="{00000000-0010-0000-0200-00000A000000}" name="MaintenanceCost"/>
    <tableColumn id="11" xr3:uid="{00000000-0010-0000-0200-00000B000000}" name="LeaseCost"/>
    <tableColumn id="12" xr3:uid="{00000000-0010-0000-0200-00000C000000}" name="TotalFleetCost"/>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3000000}" name="tblWorkforce" displayName="tblWorkforce" ref="A1:L1194" totalsRowShown="0">
  <autoFilter ref="A1:L1194" xr:uid="{00000000-0009-0000-0100-000009000000}"/>
  <tableColumns count="12">
    <tableColumn id="1" xr3:uid="{00000000-0010-0000-0300-000001000000}" name="Month"/>
    <tableColumn id="2" xr3:uid="{00000000-0010-0000-0300-000002000000}" name="SiteID"/>
    <tableColumn id="3" xr3:uid="{00000000-0010-0000-0300-000003000000}" name="SiteName"/>
    <tableColumn id="4" xr3:uid="{00000000-0010-0000-0300-000004000000}" name="Region"/>
    <tableColumn id="5" xr3:uid="{00000000-0010-0000-0300-000005000000}" name="Role"/>
    <tableColumn id="6" xr3:uid="{00000000-0010-0000-0300-000006000000}" name="FTE"/>
    <tableColumn id="7" xr3:uid="{00000000-0010-0000-0300-000007000000}" name="AnnualSalary"/>
    <tableColumn id="8" xr3:uid="{00000000-0010-0000-0300-000008000000}" name="OvertimeHours"/>
    <tableColumn id="9" xr3:uid="{00000000-0010-0000-0300-000009000000}" name="OvertimeCost"/>
    <tableColumn id="10" xr3:uid="{00000000-0010-0000-0300-00000A000000}" name="AbsenceDays"/>
    <tableColumn id="11" xr3:uid="{00000000-0010-0000-0300-00000B000000}" name="BasePayroll"/>
    <tableColumn id="12" xr3:uid="{00000000-0010-0000-0300-00000C000000}" name="TotalPayroll"/>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4000000}" name="tblAgency" displayName="tblAgency" ref="A1:I493" totalsRowShown="0">
  <autoFilter ref="A1:I493" xr:uid="{00000000-0009-0000-0100-000001000000}"/>
  <tableColumns count="9">
    <tableColumn id="1" xr3:uid="{00000000-0010-0000-0400-000001000000}" name="Month"/>
    <tableColumn id="2" xr3:uid="{00000000-0010-0000-0400-000002000000}" name="SiteID"/>
    <tableColumn id="3" xr3:uid="{00000000-0010-0000-0400-000003000000}" name="SiteName"/>
    <tableColumn id="4" xr3:uid="{00000000-0010-0000-0400-000004000000}" name="Region"/>
    <tableColumn id="5" xr3:uid="{00000000-0010-0000-0400-000005000000}" name="Agency"/>
    <tableColumn id="6" xr3:uid="{00000000-0010-0000-0400-000006000000}" name="Role"/>
    <tableColumn id="7" xr3:uid="{00000000-0010-0000-0400-000007000000}" name="Hours"/>
    <tableColumn id="8" xr3:uid="{00000000-0010-0000-0400-000008000000}" name="HourlyRate"/>
    <tableColumn id="9" xr3:uid="{00000000-0010-0000-0400-000009000000}" name="AgencySpend"/>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5000000}" name="tblFinance" displayName="tblFinance" ref="A1:N241" totalsRowShown="0">
  <autoFilter ref="A1:N241" xr:uid="{00000000-0009-0000-0100-000003000000}"/>
  <tableColumns count="14">
    <tableColumn id="1" xr3:uid="{00000000-0010-0000-0500-000001000000}" name="Month"/>
    <tableColumn id="2" xr3:uid="{00000000-0010-0000-0500-000002000000}" name="SiteID"/>
    <tableColumn id="3" xr3:uid="{00000000-0010-0000-0500-000003000000}" name="SiteName"/>
    <tableColumn id="4" xr3:uid="{00000000-0010-0000-0500-000004000000}" name="Region"/>
    <tableColumn id="5" xr3:uid="{00000000-0010-0000-0500-000005000000}" name="Revenue"/>
    <tableColumn id="6" xr3:uid="{00000000-0010-0000-0500-000006000000}" name="Payroll"/>
    <tableColumn id="7" xr3:uid="{00000000-0010-0000-0500-000007000000}" name="Procurement"/>
    <tableColumn id="8" xr3:uid="{00000000-0010-0000-0500-000008000000}" name="Fleet"/>
    <tableColumn id="9" xr3:uid="{00000000-0010-0000-0500-000009000000}" name="Agency"/>
    <tableColumn id="10" xr3:uid="{00000000-0010-0000-0500-00000A000000}" name="OtherOpex"/>
    <tableColumn id="11" xr3:uid="{00000000-0010-0000-0500-00000B000000}" name="BudgetOpex"/>
    <tableColumn id="12" xr3:uid="{00000000-0010-0000-0500-00000C000000}" name="ActualOpex"/>
    <tableColumn id="13" xr3:uid="{00000000-0010-0000-0500-00000D000000}" name="EBITDA"/>
    <tableColumn id="14" xr3:uid="{00000000-0010-0000-0500-00000E000000}" name="EBITDA_Margin"/>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6000000}" name="tblSites" displayName="tblSites" ref="A1:D21" totalsRowShown="0">
  <autoFilter ref="A1:D21" xr:uid="{00000000-0009-0000-0100-000006000000}"/>
  <tableColumns count="4">
    <tableColumn id="1" xr3:uid="{00000000-0010-0000-0600-000001000000}" name="SiteID"/>
    <tableColumn id="2" xr3:uid="{00000000-0010-0000-0600-000002000000}" name="SiteName"/>
    <tableColumn id="3" xr3:uid="{00000000-0010-0000-0600-000003000000}" name="Region"/>
    <tableColumn id="4" xr3:uid="{00000000-0010-0000-0600-000004000000}" name="Town"/>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blTargets" displayName="tblTargets" ref="A1:C9" totalsRowShown="0">
  <autoFilter ref="A1:C9" xr:uid="{00000000-0009-0000-0100-000008000000}"/>
  <tableColumns count="3">
    <tableColumn id="1" xr3:uid="{00000000-0010-0000-0700-000001000000}" name="Category"/>
    <tableColumn id="2" xr3:uid="{00000000-0010-0000-0700-000002000000}" name="TargetSavingsPct"/>
    <tableColumn id="3" xr3:uid="{00000000-0010-0000-0700-000003000000}" name="Owner"/>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8000000}" name="tblSuppliers" displayName="tblSuppliers" ref="A1:C25" totalsRowShown="0">
  <autoFilter ref="A1:C25" xr:uid="{00000000-0009-0000-0100-000007000000}"/>
  <tableColumns count="3">
    <tableColumn id="1" xr3:uid="{00000000-0010-0000-0800-000001000000}" name="Supplier"/>
    <tableColumn id="2" xr3:uid="{00000000-0010-0000-0800-000002000000}" name="Category"/>
    <tableColumn id="3" xr3:uid="{00000000-0010-0000-0800-000003000000}" name="Contracted"/>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CareTech_Commercial_Analytics_Capstone_v2.xlsx" TargetMode="External"/><Relationship Id="rId13" Type="http://schemas.openxmlformats.org/officeDocument/2006/relationships/hyperlink" Target="CareTech_Commercial_Analytics_Capstone_v2.xlsx" TargetMode="External"/><Relationship Id="rId3" Type="http://schemas.openxmlformats.org/officeDocument/2006/relationships/hyperlink" Target="CareTech_Commercial_Analytics_Capstone_v2.xlsx" TargetMode="External"/><Relationship Id="rId7" Type="http://schemas.openxmlformats.org/officeDocument/2006/relationships/hyperlink" Target="CareTech_Commercial_Analytics_Capstone_v2.xlsx" TargetMode="External"/><Relationship Id="rId12" Type="http://schemas.openxmlformats.org/officeDocument/2006/relationships/hyperlink" Target="CareTech_Commercial_Analytics_Capstone_v2.xlsx" TargetMode="External"/><Relationship Id="rId2" Type="http://schemas.openxmlformats.org/officeDocument/2006/relationships/hyperlink" Target="CareTech_Commercial_Analytics_Capstone_v2.xlsx" TargetMode="External"/><Relationship Id="rId1" Type="http://schemas.openxmlformats.org/officeDocument/2006/relationships/hyperlink" Target="CareTech_Commercial_Analytics_Capstone_v2.xlsx" TargetMode="External"/><Relationship Id="rId6" Type="http://schemas.openxmlformats.org/officeDocument/2006/relationships/hyperlink" Target="CareTech_Commercial_Analytics_Capstone_v2.xlsx" TargetMode="External"/><Relationship Id="rId11" Type="http://schemas.openxmlformats.org/officeDocument/2006/relationships/hyperlink" Target="CareTech_Commercial_Analytics_Capstone_v2.xlsx" TargetMode="External"/><Relationship Id="rId5" Type="http://schemas.openxmlformats.org/officeDocument/2006/relationships/hyperlink" Target="CareTech_Commercial_Analytics_Capstone_v2.xlsx" TargetMode="External"/><Relationship Id="rId15" Type="http://schemas.openxmlformats.org/officeDocument/2006/relationships/hyperlink" Target="CareTech_Commercial_Analytics_Capstone_v2.xlsx" TargetMode="External"/><Relationship Id="rId10" Type="http://schemas.openxmlformats.org/officeDocument/2006/relationships/hyperlink" Target="CareTech_Commercial_Analytics_Capstone_v2.xlsx" TargetMode="External"/><Relationship Id="rId4" Type="http://schemas.openxmlformats.org/officeDocument/2006/relationships/hyperlink" Target="CareTech_Commercial_Analytics_Capstone_v2.xlsx" TargetMode="External"/><Relationship Id="rId9" Type="http://schemas.openxmlformats.org/officeDocument/2006/relationships/hyperlink" Target="CareTech_Commercial_Analytics_Capstone_v2.xlsx" TargetMode="External"/><Relationship Id="rId14" Type="http://schemas.openxmlformats.org/officeDocument/2006/relationships/hyperlink" Target="CareTech_Commercial_Analytics_Capstone_v2.xlsx"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8"/>
  <sheetViews>
    <sheetView showGridLines="0" zoomScaleNormal="100" workbookViewId="0"/>
  </sheetViews>
  <sheetFormatPr defaultColWidth="8.7109375" defaultRowHeight="15" x14ac:dyDescent="0.25"/>
  <cols>
    <col min="1" max="1" width="34" customWidth="1"/>
    <col min="2" max="2" width="13" customWidth="1"/>
    <col min="3" max="3" width="70" customWidth="1"/>
    <col min="4" max="4" width="42" customWidth="1"/>
  </cols>
  <sheetData>
    <row r="1" spans="1:4" ht="21" x14ac:dyDescent="0.35">
      <c r="A1" s="15" t="s">
        <v>0</v>
      </c>
    </row>
    <row r="2" spans="1:4" x14ac:dyDescent="0.25">
      <c r="A2" s="16" t="s">
        <v>1</v>
      </c>
    </row>
    <row r="4" spans="1:4" ht="15.75" x14ac:dyDescent="0.25">
      <c r="A4" s="17" t="s">
        <v>2</v>
      </c>
    </row>
    <row r="5" spans="1:4" ht="60" customHeight="1" x14ac:dyDescent="0.25">
      <c r="A5" s="1" t="s">
        <v>3</v>
      </c>
      <c r="B5" s="1"/>
      <c r="C5" s="1"/>
      <c r="D5" s="1"/>
    </row>
    <row r="7" spans="1:4" ht="15.75" x14ac:dyDescent="0.25">
      <c r="A7" s="17" t="s">
        <v>4</v>
      </c>
    </row>
    <row r="8" spans="1:4" ht="31.5" customHeight="1" x14ac:dyDescent="0.25">
      <c r="A8" s="1" t="s">
        <v>5</v>
      </c>
      <c r="B8" s="1"/>
      <c r="C8" s="1"/>
      <c r="D8" s="1"/>
    </row>
    <row r="10" spans="1:4" ht="15.75" x14ac:dyDescent="0.25">
      <c r="A10" s="17" t="s">
        <v>6</v>
      </c>
    </row>
    <row r="11" spans="1:4" x14ac:dyDescent="0.25">
      <c r="A11" s="18" t="s">
        <v>7</v>
      </c>
      <c r="B11" s="18" t="s">
        <v>8</v>
      </c>
      <c r="C11" s="18" t="s">
        <v>9</v>
      </c>
      <c r="D11" s="18" t="s">
        <v>10</v>
      </c>
    </row>
    <row r="12" spans="1:4" ht="31.5" customHeight="1" x14ac:dyDescent="0.25">
      <c r="A12" s="19" t="s">
        <v>11</v>
      </c>
      <c r="B12" s="20" t="s">
        <v>12</v>
      </c>
      <c r="C12" s="21" t="s">
        <v>13</v>
      </c>
      <c r="D12" s="21" t="s">
        <v>14</v>
      </c>
    </row>
    <row r="13" spans="1:4" ht="31.5" customHeight="1" x14ac:dyDescent="0.25">
      <c r="A13" s="19" t="s">
        <v>15</v>
      </c>
      <c r="B13" s="20" t="s">
        <v>16</v>
      </c>
      <c r="C13" s="21" t="s">
        <v>17</v>
      </c>
      <c r="D13" s="21" t="s">
        <v>18</v>
      </c>
    </row>
    <row r="14" spans="1:4" ht="31.5" customHeight="1" x14ac:dyDescent="0.25">
      <c r="A14" s="19" t="s">
        <v>19</v>
      </c>
      <c r="B14" s="20" t="s">
        <v>16</v>
      </c>
      <c r="C14" s="21" t="s">
        <v>20</v>
      </c>
      <c r="D14" s="21" t="s">
        <v>21</v>
      </c>
    </row>
    <row r="15" spans="1:4" ht="31.5" customHeight="1" x14ac:dyDescent="0.25">
      <c r="A15" s="19" t="s">
        <v>22</v>
      </c>
      <c r="B15" s="20" t="s">
        <v>23</v>
      </c>
      <c r="C15" s="21" t="s">
        <v>24</v>
      </c>
      <c r="D15" s="21" t="s">
        <v>25</v>
      </c>
    </row>
    <row r="16" spans="1:4" ht="31.5" customHeight="1" x14ac:dyDescent="0.25">
      <c r="A16" s="19" t="s">
        <v>26</v>
      </c>
      <c r="B16" s="20" t="s">
        <v>23</v>
      </c>
      <c r="C16" s="21" t="s">
        <v>27</v>
      </c>
      <c r="D16" s="21" t="s">
        <v>28</v>
      </c>
    </row>
    <row r="17" spans="1:4" ht="31.5" customHeight="1" x14ac:dyDescent="0.25">
      <c r="A17" s="19" t="s">
        <v>29</v>
      </c>
      <c r="B17" s="20" t="s">
        <v>23</v>
      </c>
      <c r="C17" s="21" t="s">
        <v>30</v>
      </c>
      <c r="D17" s="21" t="s">
        <v>31</v>
      </c>
    </row>
    <row r="18" spans="1:4" ht="31.5" customHeight="1" x14ac:dyDescent="0.25">
      <c r="A18" s="19" t="s">
        <v>32</v>
      </c>
      <c r="B18" s="20" t="s">
        <v>23</v>
      </c>
      <c r="C18" s="21" t="s">
        <v>33</v>
      </c>
      <c r="D18" s="21" t="s">
        <v>34</v>
      </c>
    </row>
    <row r="19" spans="1:4" ht="31.5" customHeight="1" x14ac:dyDescent="0.25">
      <c r="A19" s="19" t="s">
        <v>35</v>
      </c>
      <c r="B19" s="20" t="s">
        <v>23</v>
      </c>
      <c r="C19" s="21" t="s">
        <v>36</v>
      </c>
      <c r="D19" s="21" t="s">
        <v>37</v>
      </c>
    </row>
    <row r="20" spans="1:4" ht="31.5" customHeight="1" x14ac:dyDescent="0.25">
      <c r="A20" s="19" t="s">
        <v>38</v>
      </c>
      <c r="B20" s="20" t="s">
        <v>39</v>
      </c>
      <c r="C20" s="21" t="s">
        <v>40</v>
      </c>
      <c r="D20" s="21" t="s">
        <v>41</v>
      </c>
    </row>
    <row r="21" spans="1:4" ht="31.5" customHeight="1" x14ac:dyDescent="0.25">
      <c r="A21" s="19" t="s">
        <v>42</v>
      </c>
      <c r="B21" s="20" t="s">
        <v>43</v>
      </c>
      <c r="C21" s="21" t="s">
        <v>44</v>
      </c>
      <c r="D21" s="21" t="s">
        <v>45</v>
      </c>
    </row>
    <row r="22" spans="1:4" ht="31.5" customHeight="1" x14ac:dyDescent="0.25">
      <c r="A22" s="19" t="s">
        <v>46</v>
      </c>
      <c r="B22" s="20" t="s">
        <v>47</v>
      </c>
      <c r="C22" s="21" t="s">
        <v>48</v>
      </c>
      <c r="D22" s="21" t="s">
        <v>49</v>
      </c>
    </row>
    <row r="23" spans="1:4" ht="31.5" customHeight="1" x14ac:dyDescent="0.25">
      <c r="A23" s="19" t="s">
        <v>50</v>
      </c>
      <c r="B23" s="20" t="s">
        <v>51</v>
      </c>
      <c r="C23" s="21" t="s">
        <v>52</v>
      </c>
      <c r="D23" s="21" t="s">
        <v>53</v>
      </c>
    </row>
    <row r="24" spans="1:4" ht="31.5" customHeight="1" x14ac:dyDescent="0.25">
      <c r="A24" s="19" t="s">
        <v>54</v>
      </c>
      <c r="B24" s="20" t="s">
        <v>55</v>
      </c>
      <c r="C24" s="21" t="s">
        <v>56</v>
      </c>
      <c r="D24" s="21" t="s">
        <v>57</v>
      </c>
    </row>
    <row r="25" spans="1:4" ht="31.5" customHeight="1" x14ac:dyDescent="0.25">
      <c r="A25" s="19" t="s">
        <v>58</v>
      </c>
      <c r="B25" s="20" t="s">
        <v>55</v>
      </c>
      <c r="C25" s="21" t="s">
        <v>59</v>
      </c>
      <c r="D25" s="21" t="s">
        <v>60</v>
      </c>
    </row>
    <row r="26" spans="1:4" ht="31.5" customHeight="1" x14ac:dyDescent="0.25">
      <c r="A26" s="19" t="s">
        <v>61</v>
      </c>
      <c r="B26" s="20" t="s">
        <v>55</v>
      </c>
      <c r="C26" s="21" t="s">
        <v>62</v>
      </c>
      <c r="D26" s="21" t="s">
        <v>63</v>
      </c>
    </row>
    <row r="28" spans="1:4" ht="15.75" x14ac:dyDescent="0.25">
      <c r="A28" s="17" t="s">
        <v>64</v>
      </c>
    </row>
    <row r="29" spans="1:4" x14ac:dyDescent="0.25">
      <c r="A29" s="22" t="s">
        <v>65</v>
      </c>
    </row>
    <row r="30" spans="1:4" x14ac:dyDescent="0.25">
      <c r="A30" s="23" t="s">
        <v>66</v>
      </c>
    </row>
    <row r="31" spans="1:4" x14ac:dyDescent="0.25">
      <c r="A31" s="24" t="s">
        <v>67</v>
      </c>
    </row>
    <row r="33" spans="1:1" ht="15.75" x14ac:dyDescent="0.25">
      <c r="A33" s="17" t="s">
        <v>68</v>
      </c>
    </row>
    <row r="34" spans="1:1" x14ac:dyDescent="0.25">
      <c r="A34" s="24" t="s">
        <v>69</v>
      </c>
    </row>
    <row r="35" spans="1:1" x14ac:dyDescent="0.25">
      <c r="A35" s="24" t="s">
        <v>70</v>
      </c>
    </row>
    <row r="36" spans="1:1" x14ac:dyDescent="0.25">
      <c r="A36" s="24" t="s">
        <v>71</v>
      </c>
    </row>
    <row r="37" spans="1:1" x14ac:dyDescent="0.25">
      <c r="A37" s="24" t="s">
        <v>72</v>
      </c>
    </row>
    <row r="38" spans="1:1" x14ac:dyDescent="0.25">
      <c r="A38" s="24" t="s">
        <v>73</v>
      </c>
    </row>
  </sheetData>
  <mergeCells count="2">
    <mergeCell ref="A5:D5"/>
    <mergeCell ref="A8:D8"/>
  </mergeCells>
  <hyperlinks>
    <hyperlink ref="A12" r:id="rId1" location="'Dashboard'!A1" xr:uid="{00000000-0004-0000-0000-000000000000}"/>
    <hyperlink ref="A13" r:id="rId2" location="'Financial_Model'!A1" xr:uid="{00000000-0004-0000-0000-000001000000}"/>
    <hyperlink ref="A14" r:id="rId3" location="'Savings_Tracker'!A1" xr:uid="{00000000-0004-0000-0000-000002000000}"/>
    <hyperlink ref="A15" r:id="rId4" location="'Site_Performance'!A1" xr:uid="{00000000-0004-0000-0000-000003000000}"/>
    <hyperlink ref="A16" r:id="rId5" location="'Ops_Analysis'!A1" xr:uid="{00000000-0004-0000-0000-000004000000}"/>
    <hyperlink ref="A17" r:id="rId6" location="'Supplier_Analysis'!A1" xr:uid="{00000000-0004-0000-0000-000005000000}"/>
    <hyperlink ref="A18" r:id="rId7" location="'Pivot_Analysis'!A1" xr:uid="{00000000-0004-0000-0000-000006000000}"/>
    <hyperlink ref="A19" r:id="rId8" location="'Actual_Pivot'!A1" xr:uid="{00000000-0004-0000-0000-000007000000}"/>
    <hyperlink ref="A20" r:id="rId9" location="'Data_Quality'!A1" xr:uid="{00000000-0004-0000-0000-000008000000}"/>
    <hyperlink ref="A21" r:id="rId10" location="'Cleaned_Procurement'!A1" xr:uid="{00000000-0004-0000-0000-000009000000}"/>
    <hyperlink ref="A22" r:id="rId11" location="'Dash_Calc'!A1" xr:uid="{00000000-0004-0000-0000-00000A000000}"/>
    <hyperlink ref="A23" r:id="rId12" location="'Procurement_Raw'!A1" xr:uid="{00000000-0004-0000-0000-00000B000000}"/>
    <hyperlink ref="A24" r:id="rId13" location="'Formula_Audit'!A1" xr:uid="{00000000-0004-0000-0000-00000C000000}"/>
    <hyperlink ref="A25" r:id="rId14" location="'VBA_Code'!A1" xr:uid="{00000000-0004-0000-0000-00000D000000}"/>
    <hyperlink ref="A26" r:id="rId15" location="'Methodology'!A1" xr:uid="{00000000-0004-0000-0000-00000E000000}"/>
  </hyperlink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8"/>
    <pageSetUpPr fitToPage="1"/>
  </sheetPr>
  <dimension ref="B2:P96"/>
  <sheetViews>
    <sheetView showGridLines="0" tabSelected="1" zoomScaleNormal="100" workbookViewId="0">
      <pane ySplit="7" topLeftCell="A8" activePane="bottomLeft" state="frozen"/>
      <selection pane="bottomLeft" activeCell="B2" sqref="B2:P2"/>
    </sheetView>
  </sheetViews>
  <sheetFormatPr defaultColWidth="8.7109375" defaultRowHeight="15" x14ac:dyDescent="0.25"/>
  <cols>
    <col min="1" max="1" width="2" customWidth="1"/>
    <col min="2" max="17" width="11.42578125" customWidth="1"/>
  </cols>
  <sheetData>
    <row r="2" spans="2:16" ht="33.75" customHeight="1" x14ac:dyDescent="0.25">
      <c r="B2" s="14" t="s">
        <v>2602</v>
      </c>
      <c r="C2" s="14"/>
      <c r="D2" s="14"/>
      <c r="E2" s="14"/>
      <c r="F2" s="14"/>
      <c r="G2" s="14"/>
      <c r="H2" s="14"/>
      <c r="I2" s="14"/>
      <c r="J2" s="14"/>
      <c r="K2" s="14"/>
      <c r="L2" s="14"/>
      <c r="M2" s="14"/>
      <c r="N2" s="14"/>
      <c r="O2" s="14"/>
      <c r="P2" s="14"/>
    </row>
    <row r="3" spans="2:16" x14ac:dyDescent="0.25">
      <c r="B3" s="13" t="str">
        <f>"2025 actuals  |  Region: "&amp;Dash_Calc!$H$47&amp;"  |  Category: "&amp;selCategory&amp;"  |  Period: "&amp;Dash_Calc!$H$48&amp;"  |  2026 scenario: "&amp;selScenario</f>
        <v>2025 actuals  |  Region: all regions  |  Category: All  |  Period: FY 2025  |  2026 scenario: Base</v>
      </c>
      <c r="C3" s="13"/>
      <c r="D3" s="13"/>
      <c r="E3" s="13"/>
      <c r="F3" s="13"/>
      <c r="G3" s="13"/>
      <c r="H3" s="13"/>
      <c r="I3" s="13"/>
      <c r="J3" s="13"/>
      <c r="K3" s="13"/>
      <c r="L3" s="13"/>
      <c r="M3" s="13"/>
      <c r="N3" s="13"/>
      <c r="O3" s="13"/>
      <c r="P3" s="13"/>
    </row>
    <row r="4" spans="2:16" x14ac:dyDescent="0.25">
      <c r="B4" s="12" t="s">
        <v>74</v>
      </c>
      <c r="C4" s="12"/>
      <c r="D4" s="12"/>
      <c r="E4" s="12"/>
      <c r="F4" s="12"/>
      <c r="G4" s="12"/>
      <c r="H4" s="12"/>
      <c r="I4" s="12"/>
      <c r="J4" s="12"/>
      <c r="K4" s="12"/>
      <c r="L4" s="12"/>
      <c r="M4" s="12"/>
      <c r="N4" s="12"/>
      <c r="O4" s="12"/>
      <c r="P4" s="12"/>
    </row>
    <row r="6" spans="2:16" ht="24" customHeight="1" x14ac:dyDescent="0.25">
      <c r="B6" s="25" t="s">
        <v>75</v>
      </c>
      <c r="C6" s="11" t="s">
        <v>76</v>
      </c>
      <c r="D6" s="11"/>
      <c r="F6" s="25" t="s">
        <v>77</v>
      </c>
      <c r="G6" s="11" t="s">
        <v>76</v>
      </c>
      <c r="H6" s="11"/>
      <c r="J6" s="25" t="s">
        <v>78</v>
      </c>
      <c r="K6" s="11" t="s">
        <v>76</v>
      </c>
      <c r="L6" s="11"/>
      <c r="N6" s="25" t="s">
        <v>79</v>
      </c>
      <c r="O6" s="11" t="s">
        <v>80</v>
      </c>
      <c r="P6" s="11"/>
    </row>
    <row r="7" spans="2:16" x14ac:dyDescent="0.25">
      <c r="B7" s="16" t="s">
        <v>81</v>
      </c>
    </row>
    <row r="9" spans="2:16" x14ac:dyDescent="0.25">
      <c r="B9" s="26" t="s">
        <v>82</v>
      </c>
    </row>
    <row r="10" spans="2:16" x14ac:dyDescent="0.25">
      <c r="B10" s="10" t="s">
        <v>83</v>
      </c>
      <c r="C10" s="10"/>
      <c r="D10" s="10"/>
      <c r="E10" s="10" t="s">
        <v>84</v>
      </c>
      <c r="F10" s="10"/>
      <c r="G10" s="10"/>
      <c r="H10" s="10" t="s">
        <v>85</v>
      </c>
      <c r="I10" s="10"/>
      <c r="J10" s="10"/>
      <c r="K10" s="10" t="s">
        <v>86</v>
      </c>
      <c r="L10" s="10"/>
      <c r="M10" s="10"/>
      <c r="N10" s="10" t="s">
        <v>87</v>
      </c>
      <c r="O10" s="10"/>
      <c r="P10" s="10"/>
    </row>
    <row r="11" spans="2:16" ht="30" customHeight="1" x14ac:dyDescent="0.25">
      <c r="B11" s="9">
        <f>Dash_Calc!$H$13</f>
        <v>86476517.24999997</v>
      </c>
      <c r="C11" s="9"/>
      <c r="D11" s="9"/>
      <c r="E11" s="9">
        <f>Dash_Calc!$H$14</f>
        <v>60352964.74333331</v>
      </c>
      <c r="F11" s="9"/>
      <c r="G11" s="9"/>
      <c r="H11" s="9">
        <f>Dash_Calc!$H$16</f>
        <v>26123552.50666666</v>
      </c>
      <c r="I11" s="9"/>
      <c r="J11" s="9"/>
      <c r="K11" s="8">
        <f>Dash_Calc!$H$17</f>
        <v>0.30208839737549292</v>
      </c>
      <c r="L11" s="8"/>
      <c r="M11" s="8"/>
      <c r="N11" s="7">
        <f>Dash_Calc!$H$18</f>
        <v>48856.976666681468</v>
      </c>
      <c r="O11" s="7"/>
      <c r="P11" s="7"/>
    </row>
    <row r="12" spans="2:16" x14ac:dyDescent="0.25">
      <c r="B12" s="6" t="str">
        <f>"Share of group: "&amp;TEXT(IFERROR(Dash_Calc!$H$13/Dash_Calc!$H$22,0),"0%")</f>
        <v>Share of group: 100%</v>
      </c>
      <c r="C12" s="6"/>
      <c r="D12" s="6"/>
      <c r="E12" s="6" t="str">
        <f>"Budget: "&amp;TEXT(Dash_Calc!$H$15/1000000,"£0.0")&amp;"m"</f>
        <v>Budget: £60.4m</v>
      </c>
      <c r="F12" s="6"/>
      <c r="G12" s="6"/>
      <c r="H12" s="6" t="str">
        <f>"Payroll = "&amp;TEXT(IFERROR(Dash_Calc!$H$20/Dash_Calc!$H$13,0),"0%")&amp;" of revenue"</f>
        <v>Payroll = 44% of revenue</v>
      </c>
      <c r="I12" s="6"/>
      <c r="J12" s="6"/>
      <c r="K12" s="6" t="str">
        <f>"Group 2025: "&amp;TEXT(Dash_Calc!$H$46,"0.0%")</f>
        <v>Group 2025: 30.2%</v>
      </c>
      <c r="L12" s="6"/>
      <c r="M12" s="6"/>
      <c r="N12" s="6" t="str">
        <f>IF(Dash_Calc!$H$18&gt;=0,"Favourable ","Adverse ")&amp;TEXT(Dash_Calc!$H$19,"+0.0%;-0.0%")</f>
        <v>Favourable +0.1%</v>
      </c>
      <c r="O12" s="6"/>
      <c r="P12" s="6"/>
    </row>
    <row r="13" spans="2:16" x14ac:dyDescent="0.25">
      <c r="B13" s="26" t="s">
        <v>88</v>
      </c>
    </row>
    <row r="14" spans="2:16" x14ac:dyDescent="0.25">
      <c r="B14" s="10" t="s">
        <v>89</v>
      </c>
      <c r="C14" s="10"/>
      <c r="D14" s="10"/>
      <c r="E14" s="10" t="s">
        <v>90</v>
      </c>
      <c r="F14" s="10"/>
      <c r="G14" s="10"/>
      <c r="H14" s="10" t="s">
        <v>91</v>
      </c>
      <c r="I14" s="10"/>
      <c r="J14" s="10"/>
      <c r="K14" s="10" t="s">
        <v>92</v>
      </c>
      <c r="L14" s="10"/>
      <c r="M14" s="10"/>
      <c r="N14" s="10" t="s">
        <v>93</v>
      </c>
      <c r="O14" s="10"/>
      <c r="P14" s="10"/>
    </row>
    <row r="15" spans="2:16" ht="30" customHeight="1" x14ac:dyDescent="0.25">
      <c r="B15" s="9">
        <f>Dash_Calc!$H$23</f>
        <v>13922681.749999974</v>
      </c>
      <c r="C15" s="9"/>
      <c r="D15" s="9"/>
      <c r="E15" s="7">
        <f>Dash_Calc!$H$24</f>
        <v>782438.94789999793</v>
      </c>
      <c r="F15" s="7"/>
      <c r="G15" s="7"/>
      <c r="H15" s="8">
        <f>Dash_Calc!$H$26</f>
        <v>0.82410798049018186</v>
      </c>
      <c r="I15" s="8"/>
      <c r="J15" s="8"/>
      <c r="K15" s="5">
        <f>Dash_Calc!$H$29</f>
        <v>7734.8231944444296</v>
      </c>
      <c r="L15" s="5"/>
      <c r="M15" s="5"/>
      <c r="N15" s="4">
        <f>Dash_Calc!$H$28</f>
        <v>6</v>
      </c>
      <c r="O15" s="4"/>
      <c r="P15" s="4"/>
    </row>
    <row r="16" spans="2:16" x14ac:dyDescent="0.25">
      <c r="B16" s="6" t="str">
        <f>TEXT(Dash_Calc!$H$27,"#,##0")&amp;" invoices"</f>
        <v>1,800 invoices</v>
      </c>
      <c r="C16" s="6"/>
      <c r="D16" s="6"/>
      <c r="E16" s="6" t="str">
        <f>TEXT(IFERROR(Dash_Calc!$H$24/Dash_Calc!$H$23,0),"0.0%")&amp;" of spend at target rates"</f>
        <v>5.6% of spend at target rates</v>
      </c>
      <c r="F16" s="6"/>
      <c r="G16" s="6"/>
      <c r="H16" s="6" t="str">
        <f>TEXT(Dash_Calc!$H$25/1000000,"£0.00")&amp;"m not under contract"</f>
        <v>£11.47m not under contract</v>
      </c>
      <c r="I16" s="6"/>
      <c r="J16" s="6"/>
      <c r="K16" s="6" t="str">
        <f>"Across "&amp;TEXT(Dash_Calc!$H$27,"#,##0")&amp;" invoices"</f>
        <v>Across 1,800 invoices</v>
      </c>
      <c r="L16" s="6"/>
      <c r="M16" s="6"/>
      <c r="N16" s="6" t="str">
        <f>"Logged on Data_Quality, none deleted"</f>
        <v>Logged on Data_Quality, none deleted</v>
      </c>
      <c r="O16" s="6"/>
      <c r="P16" s="6"/>
    </row>
    <row r="17" spans="2:16" x14ac:dyDescent="0.25">
      <c r="B17" s="26" t="s">
        <v>94</v>
      </c>
    </row>
    <row r="18" spans="2:16" x14ac:dyDescent="0.25">
      <c r="B18" s="10" t="s">
        <v>95</v>
      </c>
      <c r="C18" s="10"/>
      <c r="D18" s="10"/>
      <c r="E18" s="10" t="s">
        <v>96</v>
      </c>
      <c r="F18" s="10"/>
      <c r="G18" s="10"/>
      <c r="H18" s="10" t="s">
        <v>97</v>
      </c>
      <c r="I18" s="10"/>
      <c r="J18" s="10"/>
      <c r="K18" s="10" t="s">
        <v>98</v>
      </c>
      <c r="L18" s="10"/>
      <c r="M18" s="10"/>
      <c r="N18" s="10" t="s">
        <v>99</v>
      </c>
      <c r="O18" s="10"/>
      <c r="P18" s="10"/>
    </row>
    <row r="19" spans="2:16" ht="30" customHeight="1" x14ac:dyDescent="0.25">
      <c r="B19" s="3">
        <f>Dash_Calc!$H$33</f>
        <v>0.7274113526356889</v>
      </c>
      <c r="C19" s="3"/>
      <c r="D19" s="3"/>
      <c r="E19" s="8">
        <f>Dash_Calc!$H$38</f>
        <v>3.3981885289602401E-2</v>
      </c>
      <c r="F19" s="8"/>
      <c r="G19" s="8"/>
      <c r="H19" s="8">
        <f>Dash_Calc!$H$36</f>
        <v>2.929645780434462E-2</v>
      </c>
      <c r="I19" s="8"/>
      <c r="J19" s="8"/>
      <c r="K19" s="9">
        <f>Dash_Calc!$H$40</f>
        <v>28098167.387883306</v>
      </c>
      <c r="L19" s="9"/>
      <c r="M19" s="9"/>
      <c r="N19" s="8">
        <f>Dash_Calc!$H$41</f>
        <v>0.31545875146808727</v>
      </c>
      <c r="O19" s="8"/>
      <c r="P19" s="8"/>
    </row>
    <row r="20" spans="2:16" x14ac:dyDescent="0.25">
      <c r="B20" s="6" t="str">
        <f>TEXT(Dash_Calc!$H$31,"#,##0")&amp;" miles"</f>
        <v>1,212,529 miles</v>
      </c>
      <c r="C20" s="6"/>
      <c r="D20" s="6"/>
      <c r="E20" s="6" t="str">
        <f>TEXT(Dash_Calc!$H$37/1000,"£#,##0")&amp;"k agency spend"</f>
        <v>£1,341k agency spend</v>
      </c>
      <c r="F20" s="6"/>
      <c r="G20" s="6"/>
      <c r="H20" s="6" t="str">
        <f>TEXT(Dash_Calc!$H$35/1000,"£#,##0")&amp;"k overtime"</f>
        <v>£1,117k overtime</v>
      </c>
      <c r="I20" s="6"/>
      <c r="J20" s="6"/>
      <c r="K20" s="6" t="str">
        <f>IF(Dash_Calc!$H$43&gt;=0,"+","-")&amp;TEXT(ABS(Dash_Calc!$H$43)/1000000,"£0.0")&amp;"m vs 2025"</f>
        <v>+£2.0m vs 2025</v>
      </c>
      <c r="L20" s="6"/>
      <c r="M20" s="6"/>
      <c r="N20" s="6" t="str">
        <f>selScenario&amp;" scenario"</f>
        <v>Base scenario</v>
      </c>
      <c r="O20" s="6"/>
      <c r="P20" s="6"/>
    </row>
    <row r="22" spans="2:16" x14ac:dyDescent="0.25">
      <c r="B22" s="27" t="s">
        <v>100</v>
      </c>
    </row>
    <row r="23" spans="2:16" ht="30" customHeight="1" x14ac:dyDescent="0.25">
      <c r="B23" s="2" t="str">
        <f>Dash_Calc!$H$51</f>
        <v>Largest spend category in all regions, FY 2025: Agency Labour at £3,193,367 (23% of procurement spend).</v>
      </c>
      <c r="C23" s="2"/>
      <c r="D23" s="2"/>
      <c r="E23" s="2"/>
      <c r="F23" s="2"/>
      <c r="G23" s="2"/>
      <c r="H23" s="2"/>
      <c r="I23" s="2"/>
      <c r="J23" s="2"/>
      <c r="K23" s="2"/>
      <c r="L23" s="2"/>
      <c r="M23" s="2"/>
      <c r="N23" s="2"/>
      <c r="O23" s="2"/>
      <c r="P23" s="2"/>
    </row>
    <row r="24" spans="2:16" ht="30" customHeight="1" x14ac:dyDescent="0.25">
      <c r="B24" s="2" t="str">
        <f>Dash_Calc!$H$52</f>
        <v>Top supplier for this selection is NurseLink at £1,161,388; 82% of selected spend is off-contract (£11,473,793). Category targets applied to this spend are worth £782,439.</v>
      </c>
      <c r="C24" s="2"/>
      <c r="D24" s="2"/>
      <c r="E24" s="2"/>
      <c r="F24" s="2"/>
      <c r="G24" s="2"/>
      <c r="H24" s="2"/>
      <c r="I24" s="2"/>
      <c r="J24" s="2"/>
      <c r="K24" s="2"/>
      <c r="L24" s="2"/>
      <c r="M24" s="2"/>
      <c r="N24" s="2"/>
      <c r="O24" s="2"/>
      <c r="P24" s="2"/>
    </row>
    <row r="25" spans="2:16" ht="30" customHeight="1" x14ac:dyDescent="0.25">
      <c r="B25" s="2" t="str">
        <f>Dash_Calc!$H$53</f>
        <v>Opex for all regions, FY 2025 is £48,857 under budget (+0.1%); EBITDA margin 30.2% against a group 2025 margin of 30.2%.</v>
      </c>
      <c r="C25" s="2"/>
      <c r="D25" s="2"/>
      <c r="E25" s="2"/>
      <c r="F25" s="2"/>
      <c r="G25" s="2"/>
      <c r="H25" s="2"/>
      <c r="I25" s="2"/>
      <c r="J25" s="2"/>
      <c r="K25" s="2"/>
      <c r="L25" s="2"/>
      <c r="M25" s="2"/>
      <c r="N25" s="2"/>
      <c r="O25" s="2"/>
      <c r="P25" s="2"/>
    </row>
    <row r="26" spans="2:16" ht="30" customHeight="1" x14ac:dyDescent="0.25">
      <c r="B26" s="2" t="str">
        <f>Dash_Calc!$H$54</f>
        <v>2026 Base scenario: EBITDA £28.1m (31.5% margin), up £2.0m on 2025. The savings tracker forecasts 81% of the category target.</v>
      </c>
      <c r="C26" s="2"/>
      <c r="D26" s="2"/>
      <c r="E26" s="2"/>
      <c r="F26" s="2"/>
      <c r="G26" s="2"/>
      <c r="H26" s="2"/>
      <c r="I26" s="2"/>
      <c r="J26" s="2"/>
      <c r="K26" s="2"/>
      <c r="L26" s="2"/>
      <c r="M26" s="2"/>
      <c r="N26" s="2"/>
      <c r="O26" s="2"/>
      <c r="P26" s="2"/>
    </row>
    <row r="96" spans="2:2" x14ac:dyDescent="0.25">
      <c r="B96" s="16" t="s">
        <v>101</v>
      </c>
    </row>
  </sheetData>
  <mergeCells count="56">
    <mergeCell ref="B23:P23"/>
    <mergeCell ref="B24:P24"/>
    <mergeCell ref="B25:P25"/>
    <mergeCell ref="B26:P26"/>
    <mergeCell ref="B20:D20"/>
    <mergeCell ref="E20:G20"/>
    <mergeCell ref="H20:J20"/>
    <mergeCell ref="K20:M20"/>
    <mergeCell ref="N20:P20"/>
    <mergeCell ref="B19:D19"/>
    <mergeCell ref="E19:G19"/>
    <mergeCell ref="H19:J19"/>
    <mergeCell ref="K19:M19"/>
    <mergeCell ref="N19:P19"/>
    <mergeCell ref="B18:D18"/>
    <mergeCell ref="E18:G18"/>
    <mergeCell ref="H18:J18"/>
    <mergeCell ref="K18:M18"/>
    <mergeCell ref="N18:P18"/>
    <mergeCell ref="B16:D16"/>
    <mergeCell ref="E16:G16"/>
    <mergeCell ref="H16:J16"/>
    <mergeCell ref="K16:M16"/>
    <mergeCell ref="N16:P16"/>
    <mergeCell ref="B15:D15"/>
    <mergeCell ref="E15:G15"/>
    <mergeCell ref="H15:J15"/>
    <mergeCell ref="K15:M15"/>
    <mergeCell ref="N15:P15"/>
    <mergeCell ref="B14:D14"/>
    <mergeCell ref="E14:G14"/>
    <mergeCell ref="H14:J14"/>
    <mergeCell ref="K14:M14"/>
    <mergeCell ref="N14:P14"/>
    <mergeCell ref="B12:D12"/>
    <mergeCell ref="E12:G12"/>
    <mergeCell ref="H12:J12"/>
    <mergeCell ref="K12:M12"/>
    <mergeCell ref="N12:P12"/>
    <mergeCell ref="B11:D11"/>
    <mergeCell ref="E11:G11"/>
    <mergeCell ref="H11:J11"/>
    <mergeCell ref="K11:M11"/>
    <mergeCell ref="N11:P11"/>
    <mergeCell ref="B10:D10"/>
    <mergeCell ref="E10:G10"/>
    <mergeCell ref="H10:J10"/>
    <mergeCell ref="K10:M10"/>
    <mergeCell ref="N10:P10"/>
    <mergeCell ref="B2:P2"/>
    <mergeCell ref="B3:P3"/>
    <mergeCell ref="B4:P4"/>
    <mergeCell ref="C6:D6"/>
    <mergeCell ref="G6:H6"/>
    <mergeCell ref="K6:L6"/>
    <mergeCell ref="O6:P6"/>
  </mergeCells>
  <conditionalFormatting sqref="H15">
    <cfRule type="cellIs" dxfId="19" priority="4" operator="greaterThan">
      <formula>0.7</formula>
    </cfRule>
  </conditionalFormatting>
  <conditionalFormatting sqref="N11">
    <cfRule type="cellIs" dxfId="18" priority="2" operator="lessThan">
      <formula>0</formula>
    </cfRule>
    <cfRule type="cellIs" dxfId="17" priority="3" operator="greaterThanOrEqual">
      <formula>0</formula>
    </cfRule>
  </conditionalFormatting>
  <conditionalFormatting sqref="N15">
    <cfRule type="cellIs" dxfId="16" priority="5" operator="greaterThan">
      <formula>0</formula>
    </cfRule>
  </conditionalFormatting>
  <dataValidations count="4">
    <dataValidation type="list" showErrorMessage="1" errorTitle="Invalid selection" error="Choose a value from the drop-down list." sqref="C6" xr:uid="{00000000-0002-0000-0100-000000000000}">
      <formula1>lstRegion</formula1>
      <formula2>0</formula2>
    </dataValidation>
    <dataValidation type="list" showErrorMessage="1" errorTitle="Invalid selection" error="Choose a value from the drop-down list." sqref="G6" xr:uid="{00000000-0002-0000-0100-000001000000}">
      <formula1>lstCategory</formula1>
      <formula2>0</formula2>
    </dataValidation>
    <dataValidation type="list" showErrorMessage="1" errorTitle="Invalid selection" error="Choose a value from the drop-down list." sqref="K6" xr:uid="{00000000-0002-0000-0100-000002000000}">
      <formula1>lstMonth</formula1>
      <formula2>0</formula2>
    </dataValidation>
    <dataValidation type="list" showErrorMessage="1" errorTitle="Invalid selection" error="Choose a value from the drop-down list." sqref="O6" xr:uid="{00000000-0002-0000-0100-000003000000}">
      <formula1>lstScenario</formula1>
      <formula2>0</formula2>
    </dataValidation>
  </dataValidations>
  <pageMargins left="0.75" right="0.75" top="1" bottom="1" header="0.511811023622047" footer="0.511811023622047"/>
  <pageSetup fitToHeight="0" orientation="landscape" horizontalDpi="300" verticalDpi="300"/>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78"/>
  <sheetViews>
    <sheetView showGridLines="0" zoomScaleNormal="100" workbookViewId="0">
      <pane xSplit="1" ySplit="3" topLeftCell="B4" activePane="bottomRight" state="frozen"/>
      <selection pane="topRight" activeCell="B1" sqref="B1"/>
      <selection pane="bottomLeft" activeCell="A4" sqref="A4"/>
      <selection pane="bottomRight"/>
    </sheetView>
  </sheetViews>
  <sheetFormatPr defaultColWidth="8.7109375" defaultRowHeight="15" x14ac:dyDescent="0.25"/>
  <cols>
    <col min="1" max="1" width="34" customWidth="1"/>
    <col min="2" max="5" width="15" customWidth="1"/>
    <col min="6" max="6" width="22" customWidth="1"/>
    <col min="7" max="7" width="16" customWidth="1"/>
    <col min="8" max="8" width="44" customWidth="1"/>
    <col min="9" max="9" width="15" customWidth="1"/>
    <col min="10" max="13" width="12" customWidth="1"/>
  </cols>
  <sheetData>
    <row r="1" spans="1:9" ht="21" x14ac:dyDescent="0.35">
      <c r="A1" s="15" t="s">
        <v>102</v>
      </c>
    </row>
    <row r="2" spans="1:9" x14ac:dyDescent="0.25">
      <c r="A2" s="16" t="s">
        <v>103</v>
      </c>
    </row>
    <row r="3" spans="1:9" x14ac:dyDescent="0.25">
      <c r="A3" s="28" t="s">
        <v>104</v>
      </c>
      <c r="B3" s="29" t="str">
        <f>selScenario</f>
        <v>Base</v>
      </c>
    </row>
    <row r="5" spans="1:9" ht="15.75" x14ac:dyDescent="0.25">
      <c r="A5" s="18" t="s">
        <v>105</v>
      </c>
      <c r="B5" s="18" t="s">
        <v>106</v>
      </c>
      <c r="C5" s="18" t="s">
        <v>80</v>
      </c>
      <c r="D5" s="18" t="s">
        <v>107</v>
      </c>
      <c r="E5" s="18" t="s">
        <v>108</v>
      </c>
      <c r="F5" s="18" t="s">
        <v>109</v>
      </c>
      <c r="H5" s="17" t="s">
        <v>110</v>
      </c>
    </row>
    <row r="6" spans="1:9" x14ac:dyDescent="0.25">
      <c r="A6" s="20" t="s">
        <v>111</v>
      </c>
      <c r="B6" s="30">
        <v>0.01</v>
      </c>
      <c r="C6" s="30">
        <v>0.03</v>
      </c>
      <c r="D6" s="30">
        <v>0.05</v>
      </c>
      <c r="E6" s="31">
        <v>0.03</v>
      </c>
      <c r="F6" s="32">
        <f t="shared" ref="F6:F11" si="0">CHOOSE(MATCH($B$3,$B$5:$E$5,0),B6,C6,D6,E6)</f>
        <v>0.03</v>
      </c>
      <c r="H6" s="20" t="s">
        <v>112</v>
      </c>
      <c r="I6" s="33">
        <f>-D17</f>
        <v>556680.77360000089</v>
      </c>
    </row>
    <row r="7" spans="1:9" x14ac:dyDescent="0.25">
      <c r="A7" s="20" t="s">
        <v>113</v>
      </c>
      <c r="B7" s="30">
        <v>0.02</v>
      </c>
      <c r="C7" s="30">
        <v>0.04</v>
      </c>
      <c r="D7" s="30">
        <v>7.0000000000000007E-2</v>
      </c>
      <c r="E7" s="31">
        <v>0.04</v>
      </c>
      <c r="F7" s="32">
        <f t="shared" si="0"/>
        <v>0.04</v>
      </c>
      <c r="H7" s="20" t="s">
        <v>114</v>
      </c>
      <c r="I7" s="34">
        <f>Savings_Tracker!E15</f>
        <v>782438.94790000003</v>
      </c>
    </row>
    <row r="8" spans="1:9" x14ac:dyDescent="0.25">
      <c r="A8" s="20" t="s">
        <v>115</v>
      </c>
      <c r="B8" s="30">
        <v>0.06</v>
      </c>
      <c r="C8" s="30">
        <v>0.05</v>
      </c>
      <c r="D8" s="30">
        <v>0.03</v>
      </c>
      <c r="E8" s="31">
        <v>0.05</v>
      </c>
      <c r="F8" s="32">
        <f t="shared" si="0"/>
        <v>0.05</v>
      </c>
      <c r="H8" s="20" t="s">
        <v>116</v>
      </c>
      <c r="I8" s="34">
        <f>Savings_Tracker!G15</f>
        <v>631350</v>
      </c>
    </row>
    <row r="9" spans="1:9" x14ac:dyDescent="0.25">
      <c r="A9" s="20" t="s">
        <v>117</v>
      </c>
      <c r="B9" s="30">
        <v>0.01</v>
      </c>
      <c r="C9" s="30">
        <v>0.03</v>
      </c>
      <c r="D9" s="30">
        <v>0.05</v>
      </c>
      <c r="E9" s="31">
        <v>0.03</v>
      </c>
      <c r="F9" s="32">
        <f t="shared" si="0"/>
        <v>0.03</v>
      </c>
      <c r="H9" s="20" t="s">
        <v>118</v>
      </c>
      <c r="I9" s="33">
        <f>I8-I6</f>
        <v>74669.226399999112</v>
      </c>
    </row>
    <row r="10" spans="1:9" x14ac:dyDescent="0.25">
      <c r="A10" s="20" t="s">
        <v>119</v>
      </c>
      <c r="B10" s="30">
        <v>3.5000000000000003E-2</v>
      </c>
      <c r="C10" s="30">
        <v>2.5000000000000001E-2</v>
      </c>
      <c r="D10" s="30">
        <v>0.02</v>
      </c>
      <c r="E10" s="31">
        <v>2.5000000000000001E-2</v>
      </c>
      <c r="F10" s="32">
        <f t="shared" si="0"/>
        <v>2.5000000000000001E-2</v>
      </c>
      <c r="H10" s="28" t="str">
        <f>IF(I9&gt;=0,"Savings delivery supports the "&amp;$B$3&amp;" assumption.","Model assumes "&amp;TEXT(-I9,"£#,##0")&amp;" more procurement saving than the tracker is forecasting: treat "&amp;$B$3&amp;" as a stretch.")</f>
        <v>Savings delivery supports the Base assumption.</v>
      </c>
    </row>
    <row r="11" spans="1:9" x14ac:dyDescent="0.25">
      <c r="A11" s="20" t="s">
        <v>120</v>
      </c>
      <c r="B11" s="30">
        <v>0.04</v>
      </c>
      <c r="C11" s="30">
        <v>0.03</v>
      </c>
      <c r="D11" s="30">
        <v>0.02</v>
      </c>
      <c r="E11" s="31">
        <v>0.03</v>
      </c>
      <c r="F11" s="32">
        <f t="shared" si="0"/>
        <v>0.03</v>
      </c>
    </row>
    <row r="13" spans="1:9" x14ac:dyDescent="0.25">
      <c r="A13" s="24" t="s">
        <v>121</v>
      </c>
      <c r="B13" s="35">
        <v>0.03</v>
      </c>
    </row>
    <row r="15" spans="1:9" x14ac:dyDescent="0.25">
      <c r="A15" s="18" t="s">
        <v>122</v>
      </c>
      <c r="B15" s="18" t="s">
        <v>123</v>
      </c>
      <c r="C15" s="18" t="s">
        <v>124</v>
      </c>
      <c r="D15" s="18" t="s">
        <v>125</v>
      </c>
      <c r="E15" s="18" t="s">
        <v>126</v>
      </c>
      <c r="F15" s="18" t="s">
        <v>127</v>
      </c>
    </row>
    <row r="16" spans="1:9" x14ac:dyDescent="0.25">
      <c r="A16" s="20" t="s">
        <v>83</v>
      </c>
      <c r="B16" s="34">
        <f>SUM(Finance_Raw!E:E)</f>
        <v>86476517.24999997</v>
      </c>
      <c r="C16" s="33">
        <f>B16*(1+$F$6)</f>
        <v>89070812.767499968</v>
      </c>
      <c r="D16" s="33">
        <f t="shared" ref="D16:D25" si="1">C16-B16</f>
        <v>2594295.5174999982</v>
      </c>
      <c r="E16" s="36">
        <f t="shared" ref="E16:E23" si="2">IFERROR(D16/B16,0)</f>
        <v>2.9999999999999988E-2</v>
      </c>
      <c r="F16" s="37" t="s">
        <v>128</v>
      </c>
    </row>
    <row r="17" spans="1:6" x14ac:dyDescent="0.25">
      <c r="A17" s="20" t="s">
        <v>129</v>
      </c>
      <c r="B17" s="34">
        <f>SUM(Finance_Raw!G:G)</f>
        <v>13917019.339999994</v>
      </c>
      <c r="C17" s="33">
        <f>B17*(1-$F$7)</f>
        <v>13360338.566399993</v>
      </c>
      <c r="D17" s="33">
        <f t="shared" si="1"/>
        <v>-556680.77360000089</v>
      </c>
      <c r="E17" s="36">
        <f t="shared" si="2"/>
        <v>-4.0000000000000077E-2</v>
      </c>
      <c r="F17" s="37" t="s">
        <v>130</v>
      </c>
    </row>
    <row r="18" spans="1:6" x14ac:dyDescent="0.25">
      <c r="A18" s="20" t="s">
        <v>131</v>
      </c>
      <c r="B18" s="34">
        <f>SUM(Finance_Raw!I:I)</f>
        <v>1341086</v>
      </c>
      <c r="C18" s="33">
        <f>B18*(1+$F$8)</f>
        <v>1408140.3</v>
      </c>
      <c r="D18" s="33">
        <f t="shared" si="1"/>
        <v>67054.300000000047</v>
      </c>
      <c r="E18" s="36">
        <f t="shared" si="2"/>
        <v>5.0000000000000037E-2</v>
      </c>
      <c r="F18" s="37" t="s">
        <v>132</v>
      </c>
    </row>
    <row r="19" spans="1:6" x14ac:dyDescent="0.25">
      <c r="A19" s="20" t="s">
        <v>133</v>
      </c>
      <c r="B19" s="34">
        <f>SUM(Finance_Raw!H:H)</f>
        <v>882007.35999999975</v>
      </c>
      <c r="C19" s="33">
        <f>B19*(1-$F$9)</f>
        <v>855547.13919999974</v>
      </c>
      <c r="D19" s="33">
        <f t="shared" si="1"/>
        <v>-26460.22080000001</v>
      </c>
      <c r="E19" s="36">
        <f t="shared" si="2"/>
        <v>-3.000000000000002E-2</v>
      </c>
      <c r="F19" s="37" t="s">
        <v>134</v>
      </c>
    </row>
    <row r="20" spans="1:6" x14ac:dyDescent="0.25">
      <c r="A20" s="20" t="s">
        <v>135</v>
      </c>
      <c r="B20" s="34">
        <f>SUM(Finance_Raw!F:F)</f>
        <v>38123646.123333342</v>
      </c>
      <c r="C20" s="33">
        <f>B20*(1+$F$10)</f>
        <v>39076737.276416674</v>
      </c>
      <c r="D20" s="33">
        <f t="shared" si="1"/>
        <v>953091.15308333188</v>
      </c>
      <c r="E20" s="36">
        <f t="shared" si="2"/>
        <v>2.4999999999999956E-2</v>
      </c>
      <c r="F20" s="37" t="s">
        <v>136</v>
      </c>
    </row>
    <row r="21" spans="1:6" x14ac:dyDescent="0.25">
      <c r="A21" s="20" t="s">
        <v>137</v>
      </c>
      <c r="B21" s="34">
        <f>SUM(Finance_Raw!J:J)</f>
        <v>6089205.919999999</v>
      </c>
      <c r="C21" s="33">
        <f>B21*(1+$F$11)</f>
        <v>6271882.097599999</v>
      </c>
      <c r="D21" s="33">
        <f t="shared" si="1"/>
        <v>182676.17760000005</v>
      </c>
      <c r="E21" s="36">
        <f t="shared" si="2"/>
        <v>3.0000000000000013E-2</v>
      </c>
      <c r="F21" s="37" t="s">
        <v>138</v>
      </c>
    </row>
    <row r="22" spans="1:6" x14ac:dyDescent="0.25">
      <c r="A22" s="38" t="s">
        <v>139</v>
      </c>
      <c r="B22" s="39">
        <f>SUM(B17:B21)</f>
        <v>60352964.74333334</v>
      </c>
      <c r="C22" s="39">
        <f>SUM(C17:C21)</f>
        <v>60972645.379616663</v>
      </c>
      <c r="D22" s="39">
        <f t="shared" si="1"/>
        <v>619680.63628332317</v>
      </c>
      <c r="E22" s="40">
        <f t="shared" si="2"/>
        <v>1.026760887254961E-2</v>
      </c>
    </row>
    <row r="23" spans="1:6" x14ac:dyDescent="0.25">
      <c r="A23" s="38" t="s">
        <v>85</v>
      </c>
      <c r="B23" s="39">
        <f>B16-B22</f>
        <v>26123552.506666631</v>
      </c>
      <c r="C23" s="39">
        <f>C16-C22</f>
        <v>28098167.387883306</v>
      </c>
      <c r="D23" s="39">
        <f t="shared" si="1"/>
        <v>1974614.881216675</v>
      </c>
      <c r="E23" s="40">
        <f t="shared" si="2"/>
        <v>7.558753277192147E-2</v>
      </c>
      <c r="F23" s="28" t="str">
        <f>IF(ROUND(C23-INDEX($B$36:$E$36,MATCH($B$3,$B$28:$E$28,0)),0)=0,"Check: PASS","Check: FAIL")</f>
        <v>Check: PASS</v>
      </c>
    </row>
    <row r="24" spans="1:6" x14ac:dyDescent="0.25">
      <c r="A24" s="41" t="s">
        <v>86</v>
      </c>
      <c r="B24" s="42">
        <f>IFERROR(B23/B16,0)</f>
        <v>0.30208839737549259</v>
      </c>
      <c r="C24" s="42">
        <f>IFERROR(C23/C16,0)</f>
        <v>0.31545875146808727</v>
      </c>
      <c r="D24" s="43">
        <f t="shared" si="1"/>
        <v>1.3370354092594683E-2</v>
      </c>
    </row>
    <row r="25" spans="1:6" x14ac:dyDescent="0.25">
      <c r="A25" s="20" t="s">
        <v>140</v>
      </c>
      <c r="B25" s="34">
        <f>SUM(Finance_Raw!K:K)</f>
        <v>60401821.719999991</v>
      </c>
      <c r="C25" s="33">
        <f>B25*(1+$B$13)</f>
        <v>62213876.371599995</v>
      </c>
      <c r="D25" s="33">
        <f t="shared" si="1"/>
        <v>1812054.6516000032</v>
      </c>
    </row>
    <row r="26" spans="1:6" x14ac:dyDescent="0.25">
      <c r="A26" s="20" t="s">
        <v>141</v>
      </c>
      <c r="B26" s="33">
        <f>B25-B22</f>
        <v>48856.976666651666</v>
      </c>
      <c r="C26" s="33">
        <f>C25-C22</f>
        <v>1241230.9919833317</v>
      </c>
    </row>
    <row r="28" spans="1:6" x14ac:dyDescent="0.25">
      <c r="A28" s="18" t="s">
        <v>142</v>
      </c>
      <c r="B28" s="18" t="s">
        <v>106</v>
      </c>
      <c r="C28" s="18" t="s">
        <v>80</v>
      </c>
      <c r="D28" s="18" t="s">
        <v>107</v>
      </c>
      <c r="E28" s="18" t="s">
        <v>108</v>
      </c>
    </row>
    <row r="29" spans="1:6" x14ac:dyDescent="0.25">
      <c r="A29" s="20" t="s">
        <v>83</v>
      </c>
      <c r="B29" s="33">
        <f>$B$16*(1+B$6)</f>
        <v>87341282.42249997</v>
      </c>
      <c r="C29" s="33">
        <f>$B$16*(1+C$6)</f>
        <v>89070812.767499968</v>
      </c>
      <c r="D29" s="33">
        <f>$B$16*(1+D$6)</f>
        <v>90800343.112499967</v>
      </c>
      <c r="E29" s="33">
        <f>$B$16*(1+E$6)</f>
        <v>89070812.767499968</v>
      </c>
    </row>
    <row r="30" spans="1:6" x14ac:dyDescent="0.25">
      <c r="A30" s="20" t="s">
        <v>129</v>
      </c>
      <c r="B30" s="33">
        <f>$B$17*(1-B$7)</f>
        <v>13638678.953199994</v>
      </c>
      <c r="C30" s="33">
        <f>$B$17*(1-C$7)</f>
        <v>13360338.566399993</v>
      </c>
      <c r="D30" s="33">
        <f>$B$17*(1-D$7)</f>
        <v>12942827.986199994</v>
      </c>
      <c r="E30" s="33">
        <f>$B$17*(1-E$7)</f>
        <v>13360338.566399993</v>
      </c>
    </row>
    <row r="31" spans="1:6" x14ac:dyDescent="0.25">
      <c r="A31" s="20" t="s">
        <v>131</v>
      </c>
      <c r="B31" s="33">
        <f>$B$18*(1+B$8)</f>
        <v>1421551.1600000001</v>
      </c>
      <c r="C31" s="33">
        <f>$B$18*(1+C$8)</f>
        <v>1408140.3</v>
      </c>
      <c r="D31" s="33">
        <f>$B$18*(1+D$8)</f>
        <v>1381318.58</v>
      </c>
      <c r="E31" s="33">
        <f>$B$18*(1+E$8)</f>
        <v>1408140.3</v>
      </c>
    </row>
    <row r="32" spans="1:6" x14ac:dyDescent="0.25">
      <c r="A32" s="20" t="s">
        <v>133</v>
      </c>
      <c r="B32" s="33">
        <f>$B$19*(1-B$9)</f>
        <v>873187.28639999975</v>
      </c>
      <c r="C32" s="33">
        <f>$B$19*(1-C$9)</f>
        <v>855547.13919999974</v>
      </c>
      <c r="D32" s="33">
        <f>$B$19*(1-D$9)</f>
        <v>837906.99199999974</v>
      </c>
      <c r="E32" s="33">
        <f>$B$19*(1-E$9)</f>
        <v>855547.13919999974</v>
      </c>
    </row>
    <row r="33" spans="1:8" x14ac:dyDescent="0.25">
      <c r="A33" s="20" t="s">
        <v>135</v>
      </c>
      <c r="B33" s="33">
        <f>$B$20*(1+B$10)</f>
        <v>39457973.737650007</v>
      </c>
      <c r="C33" s="33">
        <f>$B$20*(1+C$10)</f>
        <v>39076737.276416674</v>
      </c>
      <c r="D33" s="33">
        <f>$B$20*(1+D$10)</f>
        <v>38886119.045800008</v>
      </c>
      <c r="E33" s="33">
        <f>$B$20*(1+E$10)</f>
        <v>39076737.276416674</v>
      </c>
    </row>
    <row r="34" spans="1:8" x14ac:dyDescent="0.25">
      <c r="A34" s="20" t="s">
        <v>137</v>
      </c>
      <c r="B34" s="33">
        <f>$B$21*(1+B$11)</f>
        <v>6332774.1567999991</v>
      </c>
      <c r="C34" s="33">
        <f>$B$21*(1+C$11)</f>
        <v>6271882.097599999</v>
      </c>
      <c r="D34" s="33">
        <f>$B$21*(1+D$11)</f>
        <v>6210990.038399999</v>
      </c>
      <c r="E34" s="33">
        <f>$B$21*(1+E$11)</f>
        <v>6271882.097599999</v>
      </c>
    </row>
    <row r="35" spans="1:8" x14ac:dyDescent="0.25">
      <c r="A35" s="20" t="s">
        <v>139</v>
      </c>
      <c r="B35" s="33">
        <f>SUM(B30:B34)</f>
        <v>61724165.294050001</v>
      </c>
      <c r="C35" s="33">
        <f>SUM(C30:C34)</f>
        <v>60972645.379616663</v>
      </c>
      <c r="D35" s="33">
        <f>SUM(D30:D34)</f>
        <v>60259162.642400004</v>
      </c>
      <c r="E35" s="33">
        <f>SUM(E30:E34)</f>
        <v>60972645.379616663</v>
      </c>
    </row>
    <row r="36" spans="1:8" x14ac:dyDescent="0.25">
      <c r="A36" s="41" t="s">
        <v>85</v>
      </c>
      <c r="B36" s="44">
        <f>B29-B35</f>
        <v>25617117.128449969</v>
      </c>
      <c r="C36" s="44">
        <f>C29-C35</f>
        <v>28098167.387883306</v>
      </c>
      <c r="D36" s="44">
        <f>D29-D35</f>
        <v>30541180.470099963</v>
      </c>
      <c r="E36" s="44">
        <f>E29-E35</f>
        <v>28098167.387883306</v>
      </c>
    </row>
    <row r="37" spans="1:8" x14ac:dyDescent="0.25">
      <c r="A37" s="41" t="s">
        <v>86</v>
      </c>
      <c r="B37" s="42">
        <f>IFERROR(B36/B29,0)</f>
        <v>0.29329907253400656</v>
      </c>
      <c r="C37" s="42">
        <f>IFERROR(C36/C29,0)</f>
        <v>0.31545875146808727</v>
      </c>
      <c r="D37" s="42">
        <f>IFERROR(D36/D29,0)</f>
        <v>0.33635534209667023</v>
      </c>
      <c r="E37" s="42">
        <f>IFERROR(E36/E29,0)</f>
        <v>0.31545875146808727</v>
      </c>
    </row>
    <row r="38" spans="1:8" x14ac:dyDescent="0.25">
      <c r="A38" s="20" t="s">
        <v>143</v>
      </c>
      <c r="B38" s="33">
        <f>B36-$B$23</f>
        <v>-506435.37821666151</v>
      </c>
      <c r="C38" s="33">
        <f>C36-$B$23</f>
        <v>1974614.881216675</v>
      </c>
      <c r="D38" s="33">
        <f>D36-$B$23</f>
        <v>4417627.9634333327</v>
      </c>
      <c r="E38" s="33">
        <f>E36-$B$23</f>
        <v>1974614.881216675</v>
      </c>
    </row>
    <row r="41" spans="1:8" x14ac:dyDescent="0.25">
      <c r="A41" s="18" t="s">
        <v>144</v>
      </c>
      <c r="B41" s="18" t="s">
        <v>145</v>
      </c>
      <c r="C41" s="18" t="s">
        <v>80</v>
      </c>
      <c r="D41" s="18" t="s">
        <v>146</v>
      </c>
      <c r="E41" s="18" t="s">
        <v>147</v>
      </c>
      <c r="F41" s="18" t="s">
        <v>148</v>
      </c>
      <c r="G41" s="18" t="s">
        <v>149</v>
      </c>
    </row>
    <row r="42" spans="1:8" x14ac:dyDescent="0.25">
      <c r="A42" s="20" t="s">
        <v>150</v>
      </c>
      <c r="B42" s="33">
        <f>B23</f>
        <v>26123552.506666631</v>
      </c>
      <c r="C42" s="33">
        <f>0</f>
        <v>0</v>
      </c>
      <c r="D42" s="33">
        <f>0</f>
        <v>0</v>
      </c>
      <c r="E42" s="33">
        <f>0</f>
        <v>0</v>
      </c>
      <c r="F42" s="33">
        <f>B42</f>
        <v>26123552.506666631</v>
      </c>
      <c r="G42" s="33">
        <f>B42</f>
        <v>26123552.506666631</v>
      </c>
      <c r="H42" s="16" t="s">
        <v>151</v>
      </c>
    </row>
    <row r="43" spans="1:8" x14ac:dyDescent="0.25">
      <c r="A43" s="20" t="s">
        <v>111</v>
      </c>
      <c r="B43" s="33">
        <f>D16</f>
        <v>2594295.5174999982</v>
      </c>
      <c r="C43" s="33">
        <f t="shared" ref="C43:C48" si="3">MIN(G42,G43)</f>
        <v>26123552.506666631</v>
      </c>
      <c r="D43" s="33">
        <f t="shared" ref="D43:D48" si="4">MAX(B43,0)</f>
        <v>2594295.5174999982</v>
      </c>
      <c r="E43" s="33">
        <f t="shared" ref="E43:E48" si="5">MAX(-B43,0)</f>
        <v>0</v>
      </c>
      <c r="F43" s="33">
        <f>0</f>
        <v>0</v>
      </c>
      <c r="G43" s="33">
        <f t="shared" ref="G43:G48" si="6">G42+B43</f>
        <v>28717848.024166629</v>
      </c>
    </row>
    <row r="44" spans="1:8" x14ac:dyDescent="0.25">
      <c r="A44" s="20" t="s">
        <v>113</v>
      </c>
      <c r="B44" s="33">
        <f>-D17</f>
        <v>556680.77360000089</v>
      </c>
      <c r="C44" s="33">
        <f t="shared" si="3"/>
        <v>28717848.024166629</v>
      </c>
      <c r="D44" s="33">
        <f t="shared" si="4"/>
        <v>556680.77360000089</v>
      </c>
      <c r="E44" s="33">
        <f t="shared" si="5"/>
        <v>0</v>
      </c>
      <c r="F44" s="33">
        <f>0</f>
        <v>0</v>
      </c>
      <c r="G44" s="33">
        <f t="shared" si="6"/>
        <v>29274528.79776663</v>
      </c>
    </row>
    <row r="45" spans="1:8" x14ac:dyDescent="0.25">
      <c r="A45" s="20" t="s">
        <v>115</v>
      </c>
      <c r="B45" s="33">
        <f>-D18</f>
        <v>-67054.300000000047</v>
      </c>
      <c r="C45" s="33">
        <f t="shared" si="3"/>
        <v>29207474.497766629</v>
      </c>
      <c r="D45" s="33">
        <f t="shared" si="4"/>
        <v>0</v>
      </c>
      <c r="E45" s="33">
        <f t="shared" si="5"/>
        <v>67054.300000000047</v>
      </c>
      <c r="F45" s="33">
        <f>0</f>
        <v>0</v>
      </c>
      <c r="G45" s="33">
        <f t="shared" si="6"/>
        <v>29207474.497766629</v>
      </c>
    </row>
    <row r="46" spans="1:8" x14ac:dyDescent="0.25">
      <c r="A46" s="20" t="s">
        <v>117</v>
      </c>
      <c r="B46" s="33">
        <f>-D19</f>
        <v>26460.22080000001</v>
      </c>
      <c r="C46" s="33">
        <f t="shared" si="3"/>
        <v>29207474.497766629</v>
      </c>
      <c r="D46" s="33">
        <f t="shared" si="4"/>
        <v>26460.22080000001</v>
      </c>
      <c r="E46" s="33">
        <f t="shared" si="5"/>
        <v>0</v>
      </c>
      <c r="F46" s="33">
        <f>0</f>
        <v>0</v>
      </c>
      <c r="G46" s="33">
        <f t="shared" si="6"/>
        <v>29233934.71856663</v>
      </c>
    </row>
    <row r="47" spans="1:8" x14ac:dyDescent="0.25">
      <c r="A47" s="20" t="s">
        <v>119</v>
      </c>
      <c r="B47" s="33">
        <f>-D20</f>
        <v>-953091.15308333188</v>
      </c>
      <c r="C47" s="33">
        <f t="shared" si="3"/>
        <v>28280843.565483298</v>
      </c>
      <c r="D47" s="33">
        <f t="shared" si="4"/>
        <v>0</v>
      </c>
      <c r="E47" s="33">
        <f t="shared" si="5"/>
        <v>953091.15308333188</v>
      </c>
      <c r="F47" s="33">
        <f>0</f>
        <v>0</v>
      </c>
      <c r="G47" s="33">
        <f t="shared" si="6"/>
        <v>28280843.565483298</v>
      </c>
    </row>
    <row r="48" spans="1:8" x14ac:dyDescent="0.25">
      <c r="A48" s="20" t="s">
        <v>120</v>
      </c>
      <c r="B48" s="33">
        <f>-D21</f>
        <v>-182676.17760000005</v>
      </c>
      <c r="C48" s="33">
        <f t="shared" si="3"/>
        <v>28098167.387883298</v>
      </c>
      <c r="D48" s="33">
        <f t="shared" si="4"/>
        <v>0</v>
      </c>
      <c r="E48" s="33">
        <f t="shared" si="5"/>
        <v>182676.17760000005</v>
      </c>
      <c r="F48" s="33">
        <f>0</f>
        <v>0</v>
      </c>
      <c r="G48" s="33">
        <f t="shared" si="6"/>
        <v>28098167.387883298</v>
      </c>
    </row>
    <row r="49" spans="1:8" x14ac:dyDescent="0.25">
      <c r="A49" s="20" t="s">
        <v>98</v>
      </c>
      <c r="B49" s="33">
        <f>C23</f>
        <v>28098167.387883306</v>
      </c>
      <c r="C49" s="33">
        <f>0</f>
        <v>0</v>
      </c>
      <c r="D49" s="33">
        <f>0</f>
        <v>0</v>
      </c>
      <c r="E49" s="33">
        <f>0</f>
        <v>0</v>
      </c>
      <c r="F49" s="33">
        <f>B49</f>
        <v>28098167.387883306</v>
      </c>
      <c r="G49" s="33">
        <f>G48</f>
        <v>28098167.387883298</v>
      </c>
      <c r="H49" s="28" t="str">
        <f>IF(ROUND(G48-B49,0)=0,"Bridge ties: PASS","Bridge FAIL")</f>
        <v>Bridge ties: PASS</v>
      </c>
    </row>
    <row r="52" spans="1:8" ht="30" x14ac:dyDescent="0.25">
      <c r="A52" s="18" t="s">
        <v>152</v>
      </c>
      <c r="B52" s="18" t="s">
        <v>153</v>
      </c>
      <c r="C52" s="18" t="s">
        <v>154</v>
      </c>
      <c r="D52" s="18" t="s">
        <v>155</v>
      </c>
      <c r="E52" s="18" t="s">
        <v>98</v>
      </c>
      <c r="F52" s="18" t="s">
        <v>156</v>
      </c>
      <c r="G52" s="18" t="s">
        <v>157</v>
      </c>
      <c r="H52" s="18" t="s">
        <v>158</v>
      </c>
    </row>
    <row r="53" spans="1:8" x14ac:dyDescent="0.25">
      <c r="A53" s="45">
        <v>46023</v>
      </c>
      <c r="B53" s="33">
        <f>SUMIFS(Finance_Raw!$E:$E,Finance_Raw!$A:$A,DATE(YEAR($A53)-1,MONTH($A53),1))</f>
        <v>6859245.2300000004</v>
      </c>
      <c r="C53" s="33">
        <f t="shared" ref="C53:C64" si="7">B53*(1+$F$6)</f>
        <v>7065022.5869000005</v>
      </c>
      <c r="D53" s="33">
        <f>SUMIFS(Finance_Raw!$G:$G,Finance_Raw!$A:$A,DATE(YEAR($A53)-1,MONTH($A53),1))*(1-$F$7)+SUMIFS(Finance_Raw!$I:$I,Finance_Raw!$A:$A,DATE(YEAR($A53)-1,MONTH($A53),1))*(1+$F$8)+SUMIFS(Finance_Raw!$H:$H,Finance_Raw!$A:$A,DATE(YEAR($A53)-1,MONTH($A53),1))*(1-$F$9)+SUMIFS(Finance_Raw!$F:$F,Finance_Raw!$A:$A,DATE(YEAR($A53)-1,MONTH($A53),1))*(1+$F$10)+SUMIFS(Finance_Raw!$J:$J,Finance_Raw!$A:$A,DATE(YEAR($A53)-1,MONTH($A53),1))*(1+$F$11)</f>
        <v>4882180.2957833344</v>
      </c>
      <c r="E53" s="33">
        <f t="shared" ref="E53:E64" si="8">C53-D53</f>
        <v>2182842.291116666</v>
      </c>
      <c r="F53" s="36">
        <f t="shared" ref="F53:F65" si="9">IFERROR(E53/C53,0)</f>
        <v>0.3089646585368464</v>
      </c>
      <c r="G53" s="33">
        <f>SUMIFS(Finance_Raw!$K:$K,Finance_Raw!$A:$A,DATE(YEAR($A53)-1,MONTH($A53),1))*(1+$B$13)</f>
        <v>4981171.4227999998</v>
      </c>
      <c r="H53" s="33">
        <f t="shared" ref="H53:H64" si="10">G53-D53</f>
        <v>98991.127016665414</v>
      </c>
    </row>
    <row r="54" spans="1:8" x14ac:dyDescent="0.25">
      <c r="A54" s="45">
        <v>46054</v>
      </c>
      <c r="B54" s="33">
        <f>SUMIFS(Finance_Raw!$E:$E,Finance_Raw!$A:$A,DATE(YEAR($A54)-1,MONTH($A54),1))</f>
        <v>7476589.7599999988</v>
      </c>
      <c r="C54" s="33">
        <f t="shared" si="7"/>
        <v>7700887.4527999992</v>
      </c>
      <c r="D54" s="33">
        <f>SUMIFS(Finance_Raw!$G:$G,Finance_Raw!$A:$A,DATE(YEAR($A54)-1,MONTH($A54),1))*(1-$F$7)+SUMIFS(Finance_Raw!$I:$I,Finance_Raw!$A:$A,DATE(YEAR($A54)-1,MONTH($A54),1))*(1+$F$8)+SUMIFS(Finance_Raw!$H:$H,Finance_Raw!$A:$A,DATE(YEAR($A54)-1,MONTH($A54),1))*(1-$F$9)+SUMIFS(Finance_Raw!$F:$F,Finance_Raw!$A:$A,DATE(YEAR($A54)-1,MONTH($A54),1))*(1+$F$10)+SUMIFS(Finance_Raw!$J:$J,Finance_Raw!$A:$A,DATE(YEAR($A54)-1,MONTH($A54),1))*(1+$F$11)</f>
        <v>5298655.8845833354</v>
      </c>
      <c r="E54" s="33">
        <f t="shared" si="8"/>
        <v>2402231.5682166638</v>
      </c>
      <c r="F54" s="36">
        <f t="shared" si="9"/>
        <v>0.31194217328072049</v>
      </c>
      <c r="G54" s="33">
        <f>SUMIFS(Finance_Raw!$K:$K,Finance_Raw!$A:$A,DATE(YEAR($A54)-1,MONTH($A54),1))*(1+$B$13)</f>
        <v>5425050.9013</v>
      </c>
      <c r="H54" s="33">
        <f t="shared" si="10"/>
        <v>126395.01671666466</v>
      </c>
    </row>
    <row r="55" spans="1:8" x14ac:dyDescent="0.25">
      <c r="A55" s="45">
        <v>46082</v>
      </c>
      <c r="B55" s="33">
        <f>SUMIFS(Finance_Raw!$E:$E,Finance_Raw!$A:$A,DATE(YEAR($A55)-1,MONTH($A55),1))</f>
        <v>7345583.3199999994</v>
      </c>
      <c r="C55" s="33">
        <f t="shared" si="7"/>
        <v>7565950.8195999991</v>
      </c>
      <c r="D55" s="33">
        <f>SUMIFS(Finance_Raw!$G:$G,Finance_Raw!$A:$A,DATE(YEAR($A55)-1,MONTH($A55),1))*(1-$F$7)+SUMIFS(Finance_Raw!$I:$I,Finance_Raw!$A:$A,DATE(YEAR($A55)-1,MONTH($A55),1))*(1+$F$8)+SUMIFS(Finance_Raw!$H:$H,Finance_Raw!$A:$A,DATE(YEAR($A55)-1,MONTH($A55),1))*(1-$F$9)+SUMIFS(Finance_Raw!$F:$F,Finance_Raw!$A:$A,DATE(YEAR($A55)-1,MONTH($A55),1))*(1+$F$10)+SUMIFS(Finance_Raw!$J:$J,Finance_Raw!$A:$A,DATE(YEAR($A55)-1,MONTH($A55),1))*(1+$F$11)</f>
        <v>5132220.5579833314</v>
      </c>
      <c r="E55" s="33">
        <f t="shared" si="8"/>
        <v>2433730.2616166677</v>
      </c>
      <c r="F55" s="36">
        <f t="shared" si="9"/>
        <v>0.32166879215127325</v>
      </c>
      <c r="G55" s="33">
        <f>SUMIFS(Finance_Raw!$K:$K,Finance_Raw!$A:$A,DATE(YEAR($A55)-1,MONTH($A55),1))*(1+$B$13)</f>
        <v>5248672.2901999997</v>
      </c>
      <c r="H55" s="33">
        <f t="shared" si="10"/>
        <v>116451.73221666832</v>
      </c>
    </row>
    <row r="56" spans="1:8" x14ac:dyDescent="0.25">
      <c r="A56" s="45">
        <v>46113</v>
      </c>
      <c r="B56" s="33">
        <f>SUMIFS(Finance_Raw!$E:$E,Finance_Raw!$A:$A,DATE(YEAR($A56)-1,MONTH($A56),1))</f>
        <v>7658852.209999999</v>
      </c>
      <c r="C56" s="33">
        <f t="shared" si="7"/>
        <v>7888617.7762999991</v>
      </c>
      <c r="D56" s="33">
        <f>SUMIFS(Finance_Raw!$G:$G,Finance_Raw!$A:$A,DATE(YEAR($A56)-1,MONTH($A56),1))*(1-$F$7)+SUMIFS(Finance_Raw!$I:$I,Finance_Raw!$A:$A,DATE(YEAR($A56)-1,MONTH($A56),1))*(1+$F$8)+SUMIFS(Finance_Raw!$H:$H,Finance_Raw!$A:$A,DATE(YEAR($A56)-1,MONTH($A56),1))*(1-$F$9)+SUMIFS(Finance_Raw!$F:$F,Finance_Raw!$A:$A,DATE(YEAR($A56)-1,MONTH($A56),1))*(1+$F$10)+SUMIFS(Finance_Raw!$J:$J,Finance_Raw!$A:$A,DATE(YEAR($A56)-1,MONTH($A56),1))*(1+$F$11)</f>
        <v>5332055.3104333347</v>
      </c>
      <c r="E56" s="33">
        <f t="shared" si="8"/>
        <v>2556562.4658666644</v>
      </c>
      <c r="F56" s="36">
        <f t="shared" si="9"/>
        <v>0.32408243603174924</v>
      </c>
      <c r="G56" s="33">
        <f>SUMIFS(Finance_Raw!$K:$K,Finance_Raw!$A:$A,DATE(YEAR($A56)-1,MONTH($A56),1))*(1+$B$13)</f>
        <v>5393766.6083000004</v>
      </c>
      <c r="H56" s="33">
        <f t="shared" si="10"/>
        <v>61711.297866665758</v>
      </c>
    </row>
    <row r="57" spans="1:8" x14ac:dyDescent="0.25">
      <c r="A57" s="45">
        <v>46143</v>
      </c>
      <c r="B57" s="33">
        <f>SUMIFS(Finance_Raw!$E:$E,Finance_Raw!$A:$A,DATE(YEAR($A57)-1,MONTH($A57),1))</f>
        <v>6576496.4300000006</v>
      </c>
      <c r="C57" s="33">
        <f t="shared" si="7"/>
        <v>6773791.322900001</v>
      </c>
      <c r="D57" s="33">
        <f>SUMIFS(Finance_Raw!$G:$G,Finance_Raw!$A:$A,DATE(YEAR($A57)-1,MONTH($A57),1))*(1-$F$7)+SUMIFS(Finance_Raw!$I:$I,Finance_Raw!$A:$A,DATE(YEAR($A57)-1,MONTH($A57),1))*(1+$F$8)+SUMIFS(Finance_Raw!$H:$H,Finance_Raw!$A:$A,DATE(YEAR($A57)-1,MONTH($A57),1))*(1-$F$9)+SUMIFS(Finance_Raw!$F:$F,Finance_Raw!$A:$A,DATE(YEAR($A57)-1,MONTH($A57),1))*(1+$F$10)+SUMIFS(Finance_Raw!$J:$J,Finance_Raw!$A:$A,DATE(YEAR($A57)-1,MONTH($A57),1))*(1+$F$11)</f>
        <v>4597062.1490166672</v>
      </c>
      <c r="E57" s="33">
        <f t="shared" si="8"/>
        <v>2176729.1738833338</v>
      </c>
      <c r="F57" s="36">
        <f t="shared" si="9"/>
        <v>0.32134576784562513</v>
      </c>
      <c r="G57" s="33">
        <f>SUMIFS(Finance_Raw!$K:$K,Finance_Raw!$A:$A,DATE(YEAR($A57)-1,MONTH($A57),1))*(1+$B$13)</f>
        <v>4699500.9999000002</v>
      </c>
      <c r="H57" s="33">
        <f t="shared" si="10"/>
        <v>102438.85088333301</v>
      </c>
    </row>
    <row r="58" spans="1:8" x14ac:dyDescent="0.25">
      <c r="A58" s="45">
        <v>46174</v>
      </c>
      <c r="B58" s="33">
        <f>SUMIFS(Finance_Raw!$E:$E,Finance_Raw!$A:$A,DATE(YEAR($A58)-1,MONTH($A58),1))</f>
        <v>7065637.8299999991</v>
      </c>
      <c r="C58" s="33">
        <f t="shared" si="7"/>
        <v>7277606.9648999991</v>
      </c>
      <c r="D58" s="33">
        <f>SUMIFS(Finance_Raw!$G:$G,Finance_Raw!$A:$A,DATE(YEAR($A58)-1,MONTH($A58),1))*(1-$F$7)+SUMIFS(Finance_Raw!$I:$I,Finance_Raw!$A:$A,DATE(YEAR($A58)-1,MONTH($A58),1))*(1+$F$8)+SUMIFS(Finance_Raw!$H:$H,Finance_Raw!$A:$A,DATE(YEAR($A58)-1,MONTH($A58),1))*(1-$F$9)+SUMIFS(Finance_Raw!$F:$F,Finance_Raw!$A:$A,DATE(YEAR($A58)-1,MONTH($A58),1))*(1+$F$10)+SUMIFS(Finance_Raw!$J:$J,Finance_Raw!$A:$A,DATE(YEAR($A58)-1,MONTH($A58),1))*(1+$F$11)</f>
        <v>4973152.4023666671</v>
      </c>
      <c r="E58" s="33">
        <f t="shared" si="8"/>
        <v>2304454.562533332</v>
      </c>
      <c r="F58" s="36">
        <f t="shared" si="9"/>
        <v>0.31665004357170551</v>
      </c>
      <c r="G58" s="33">
        <f>SUMIFS(Finance_Raw!$K:$K,Finance_Raw!$A:$A,DATE(YEAR($A58)-1,MONTH($A58),1))*(1+$B$13)</f>
        <v>5054557.9340000013</v>
      </c>
      <c r="H58" s="33">
        <f t="shared" si="10"/>
        <v>81405.531633334234</v>
      </c>
    </row>
    <row r="59" spans="1:8" x14ac:dyDescent="0.25">
      <c r="A59" s="45">
        <v>46204</v>
      </c>
      <c r="B59" s="33">
        <f>SUMIFS(Finance_Raw!$E:$E,Finance_Raw!$A:$A,DATE(YEAR($A59)-1,MONTH($A59),1))</f>
        <v>6953277</v>
      </c>
      <c r="C59" s="33">
        <f t="shared" si="7"/>
        <v>7161875.3100000005</v>
      </c>
      <c r="D59" s="33">
        <f>SUMIFS(Finance_Raw!$G:$G,Finance_Raw!$A:$A,DATE(YEAR($A59)-1,MONTH($A59),1))*(1-$F$7)+SUMIFS(Finance_Raw!$I:$I,Finance_Raw!$A:$A,DATE(YEAR($A59)-1,MONTH($A59),1))*(1+$F$8)+SUMIFS(Finance_Raw!$H:$H,Finance_Raw!$A:$A,DATE(YEAR($A59)-1,MONTH($A59),1))*(1-$F$9)+SUMIFS(Finance_Raw!$F:$F,Finance_Raw!$A:$A,DATE(YEAR($A59)-1,MONTH($A59),1))*(1+$F$10)+SUMIFS(Finance_Raw!$J:$J,Finance_Raw!$A:$A,DATE(YEAR($A59)-1,MONTH($A59),1))*(1+$F$11)</f>
        <v>4916046.2087999992</v>
      </c>
      <c r="E59" s="33">
        <f t="shared" si="8"/>
        <v>2245829.1012000013</v>
      </c>
      <c r="F59" s="36">
        <f t="shared" si="9"/>
        <v>0.31358115074472043</v>
      </c>
      <c r="G59" s="33">
        <f>SUMIFS(Finance_Raw!$K:$K,Finance_Raw!$A:$A,DATE(YEAR($A59)-1,MONTH($A59),1))*(1+$B$13)</f>
        <v>5045172.9757000003</v>
      </c>
      <c r="H59" s="33">
        <f t="shared" si="10"/>
        <v>129126.76690000109</v>
      </c>
    </row>
    <row r="60" spans="1:8" x14ac:dyDescent="0.25">
      <c r="A60" s="45">
        <v>46235</v>
      </c>
      <c r="B60" s="33">
        <f>SUMIFS(Finance_Raw!$E:$E,Finance_Raw!$A:$A,DATE(YEAR($A60)-1,MONTH($A60),1))</f>
        <v>7044378.1900000004</v>
      </c>
      <c r="C60" s="33">
        <f t="shared" si="7"/>
        <v>7255709.5357000008</v>
      </c>
      <c r="D60" s="33">
        <f>SUMIFS(Finance_Raw!$G:$G,Finance_Raw!$A:$A,DATE(YEAR($A60)-1,MONTH($A60),1))*(1-$F$7)+SUMIFS(Finance_Raw!$I:$I,Finance_Raw!$A:$A,DATE(YEAR($A60)-1,MONTH($A60),1))*(1+$F$8)+SUMIFS(Finance_Raw!$H:$H,Finance_Raw!$A:$A,DATE(YEAR($A60)-1,MONTH($A60),1))*(1-$F$9)+SUMIFS(Finance_Raw!$F:$F,Finance_Raw!$A:$A,DATE(YEAR($A60)-1,MONTH($A60),1))*(1+$F$10)+SUMIFS(Finance_Raw!$J:$J,Finance_Raw!$A:$A,DATE(YEAR($A60)-1,MONTH($A60),1))*(1+$F$11)</f>
        <v>5041592.1198666673</v>
      </c>
      <c r="E60" s="33">
        <f t="shared" si="8"/>
        <v>2214117.4158333335</v>
      </c>
      <c r="F60" s="36">
        <f t="shared" si="9"/>
        <v>0.30515518915680029</v>
      </c>
      <c r="G60" s="33">
        <f>SUMIFS(Finance_Raw!$K:$K,Finance_Raw!$A:$A,DATE(YEAR($A60)-1,MONTH($A60),1))*(1+$B$13)</f>
        <v>5143658.5063000014</v>
      </c>
      <c r="H60" s="33">
        <f t="shared" si="10"/>
        <v>102066.38643333409</v>
      </c>
    </row>
    <row r="61" spans="1:8" x14ac:dyDescent="0.25">
      <c r="A61" s="45">
        <v>46266</v>
      </c>
      <c r="B61" s="33">
        <f>SUMIFS(Finance_Raw!$E:$E,Finance_Raw!$A:$A,DATE(YEAR($A61)-1,MONTH($A61),1))</f>
        <v>6899634.6500000013</v>
      </c>
      <c r="C61" s="33">
        <f t="shared" si="7"/>
        <v>7106623.6895000013</v>
      </c>
      <c r="D61" s="33">
        <f>SUMIFS(Finance_Raw!$G:$G,Finance_Raw!$A:$A,DATE(YEAR($A61)-1,MONTH($A61),1))*(1-$F$7)+SUMIFS(Finance_Raw!$I:$I,Finance_Raw!$A:$A,DATE(YEAR($A61)-1,MONTH($A61),1))*(1+$F$8)+SUMIFS(Finance_Raw!$H:$H,Finance_Raw!$A:$A,DATE(YEAR($A61)-1,MONTH($A61),1))*(1-$F$9)+SUMIFS(Finance_Raw!$F:$F,Finance_Raw!$A:$A,DATE(YEAR($A61)-1,MONTH($A61),1))*(1+$F$10)+SUMIFS(Finance_Raw!$J:$J,Finance_Raw!$A:$A,DATE(YEAR($A61)-1,MONTH($A61),1))*(1+$F$11)</f>
        <v>4877532.0297833327</v>
      </c>
      <c r="E61" s="33">
        <f t="shared" si="8"/>
        <v>2229091.6597166685</v>
      </c>
      <c r="F61" s="36">
        <f t="shared" si="9"/>
        <v>0.31366395029613564</v>
      </c>
      <c r="G61" s="33">
        <f>SUMIFS(Finance_Raw!$K:$K,Finance_Raw!$A:$A,DATE(YEAR($A61)-1,MONTH($A61),1))*(1+$B$13)</f>
        <v>4996522.985700001</v>
      </c>
      <c r="H61" s="33">
        <f t="shared" si="10"/>
        <v>118990.95591666829</v>
      </c>
    </row>
    <row r="62" spans="1:8" x14ac:dyDescent="0.25">
      <c r="A62" s="45">
        <v>46296</v>
      </c>
      <c r="B62" s="33">
        <f>SUMIFS(Finance_Raw!$E:$E,Finance_Raw!$A:$A,DATE(YEAR($A62)-1,MONTH($A62),1))</f>
        <v>8051254.2699999996</v>
      </c>
      <c r="C62" s="33">
        <f t="shared" si="7"/>
        <v>8292791.8980999999</v>
      </c>
      <c r="D62" s="33">
        <f>SUMIFS(Finance_Raw!$G:$G,Finance_Raw!$A:$A,DATE(YEAR($A62)-1,MONTH($A62),1))*(1-$F$7)+SUMIFS(Finance_Raw!$I:$I,Finance_Raw!$A:$A,DATE(YEAR($A62)-1,MONTH($A62),1))*(1+$F$8)+SUMIFS(Finance_Raw!$H:$H,Finance_Raw!$A:$A,DATE(YEAR($A62)-1,MONTH($A62),1))*(1-$F$9)+SUMIFS(Finance_Raw!$F:$F,Finance_Raw!$A:$A,DATE(YEAR($A62)-1,MONTH($A62),1))*(1+$F$10)+SUMIFS(Finance_Raw!$J:$J,Finance_Raw!$A:$A,DATE(YEAR($A62)-1,MONTH($A62),1))*(1+$F$11)</f>
        <v>5602224.8247333346</v>
      </c>
      <c r="E62" s="33">
        <f t="shared" si="8"/>
        <v>2690567.0733666653</v>
      </c>
      <c r="F62" s="36">
        <f t="shared" si="9"/>
        <v>0.32444647187916453</v>
      </c>
      <c r="G62" s="33">
        <f>SUMIFS(Finance_Raw!$K:$K,Finance_Raw!$A:$A,DATE(YEAR($A62)-1,MONTH($A62),1))*(1+$B$13)</f>
        <v>5759438.9078000011</v>
      </c>
      <c r="H62" s="33">
        <f t="shared" si="10"/>
        <v>157214.0830666665</v>
      </c>
    </row>
    <row r="63" spans="1:8" x14ac:dyDescent="0.25">
      <c r="A63" s="45">
        <v>46327</v>
      </c>
      <c r="B63" s="33">
        <f>SUMIFS(Finance_Raw!$E:$E,Finance_Raw!$A:$A,DATE(YEAR($A63)-1,MONTH($A63),1))</f>
        <v>6479152.0099999998</v>
      </c>
      <c r="C63" s="33">
        <f t="shared" si="7"/>
        <v>6673526.5702999998</v>
      </c>
      <c r="D63" s="33">
        <f>SUMIFS(Finance_Raw!$G:$G,Finance_Raw!$A:$A,DATE(YEAR($A63)-1,MONTH($A63),1))*(1-$F$7)+SUMIFS(Finance_Raw!$I:$I,Finance_Raw!$A:$A,DATE(YEAR($A63)-1,MONTH($A63),1))*(1+$F$8)+SUMIFS(Finance_Raw!$H:$H,Finance_Raw!$A:$A,DATE(YEAR($A63)-1,MONTH($A63),1))*(1-$F$9)+SUMIFS(Finance_Raw!$F:$F,Finance_Raw!$A:$A,DATE(YEAR($A63)-1,MONTH($A63),1))*(1+$F$10)+SUMIFS(Finance_Raw!$J:$J,Finance_Raw!$A:$A,DATE(YEAR($A63)-1,MONTH($A63),1))*(1+$F$11)</f>
        <v>4661944.2525333334</v>
      </c>
      <c r="E63" s="33">
        <f t="shared" si="8"/>
        <v>2011582.3177666664</v>
      </c>
      <c r="F63" s="36">
        <f t="shared" si="9"/>
        <v>0.30142718345035951</v>
      </c>
      <c r="G63" s="33">
        <f>SUMIFS(Finance_Raw!$K:$K,Finance_Raw!$A:$A,DATE(YEAR($A63)-1,MONTH($A63),1))*(1+$B$13)</f>
        <v>4723560.0798000004</v>
      </c>
      <c r="H63" s="33">
        <f t="shared" si="10"/>
        <v>61615.827266667038</v>
      </c>
    </row>
    <row r="64" spans="1:8" x14ac:dyDescent="0.25">
      <c r="A64" s="45">
        <v>46357</v>
      </c>
      <c r="B64" s="33">
        <f>SUMIFS(Finance_Raw!$E:$E,Finance_Raw!$A:$A,DATE(YEAR($A64)-1,MONTH($A64),1))</f>
        <v>8066416.3500000024</v>
      </c>
      <c r="C64" s="33">
        <f t="shared" si="7"/>
        <v>8308408.8405000027</v>
      </c>
      <c r="D64" s="33">
        <f>SUMIFS(Finance_Raw!$G:$G,Finance_Raw!$A:$A,DATE(YEAR($A64)-1,MONTH($A64),1))*(1-$F$7)+SUMIFS(Finance_Raw!$I:$I,Finance_Raw!$A:$A,DATE(YEAR($A64)-1,MONTH($A64),1))*(1+$F$8)+SUMIFS(Finance_Raw!$H:$H,Finance_Raw!$A:$A,DATE(YEAR($A64)-1,MONTH($A64),1))*(1-$F$9)+SUMIFS(Finance_Raw!$F:$F,Finance_Raw!$A:$A,DATE(YEAR($A64)-1,MONTH($A64),1))*(1+$F$10)+SUMIFS(Finance_Raw!$J:$J,Finance_Raw!$A:$A,DATE(YEAR($A64)-1,MONTH($A64),1))*(1+$F$11)</f>
        <v>5657979.3437333331</v>
      </c>
      <c r="E64" s="33">
        <f t="shared" si="8"/>
        <v>2650429.4967666697</v>
      </c>
      <c r="F64" s="36">
        <f t="shared" si="9"/>
        <v>0.3190056661447544</v>
      </c>
      <c r="G64" s="33">
        <f>SUMIFS(Finance_Raw!$K:$K,Finance_Raw!$A:$A,DATE(YEAR($A64)-1,MONTH($A64),1))*(1+$B$13)</f>
        <v>5742802.7598000001</v>
      </c>
      <c r="H64" s="33">
        <f t="shared" si="10"/>
        <v>84823.416066667065</v>
      </c>
    </row>
    <row r="65" spans="1:13" x14ac:dyDescent="0.25">
      <c r="A65" s="41" t="s">
        <v>159</v>
      </c>
      <c r="B65" s="44">
        <f>SUM(B53:B64)</f>
        <v>86476517.25</v>
      </c>
      <c r="C65" s="44">
        <f>SUM(C53:C64)</f>
        <v>89070812.767499998</v>
      </c>
      <c r="D65" s="44">
        <f>SUM(D53:D64)</f>
        <v>60972645.379616663</v>
      </c>
      <c r="E65" s="44">
        <f>SUM(E53:E64)</f>
        <v>28098167.387883328</v>
      </c>
      <c r="F65" s="42">
        <f t="shared" si="9"/>
        <v>0.31545875146808738</v>
      </c>
      <c r="G65" s="44">
        <f>SUM(G53:G64)</f>
        <v>62213876.37160001</v>
      </c>
      <c r="H65" s="44">
        <f>SUM(H53:H64)</f>
        <v>1241230.9919833355</v>
      </c>
      <c r="I65" s="28" t="str">
        <f>IF(AND(ROUND(C65-C16,0)=0,ROUND(D65-C22,0)=0),"Ties to annual: PASS","Ties to annual: FAIL")</f>
        <v>Ties to annual: PASS</v>
      </c>
    </row>
    <row r="68" spans="1:13" ht="15.75" x14ac:dyDescent="0.25">
      <c r="A68" s="17" t="s">
        <v>160</v>
      </c>
      <c r="H68" s="17" t="s">
        <v>161</v>
      </c>
    </row>
    <row r="69" spans="1:13" x14ac:dyDescent="0.25">
      <c r="A69" s="18" t="s">
        <v>162</v>
      </c>
      <c r="B69" s="46">
        <v>0</v>
      </c>
      <c r="C69" s="46">
        <v>0.02</v>
      </c>
      <c r="D69" s="46">
        <v>0.04</v>
      </c>
      <c r="E69" s="46">
        <v>0.06</v>
      </c>
      <c r="F69" s="46">
        <v>0.08</v>
      </c>
      <c r="H69" s="18" t="s">
        <v>163</v>
      </c>
      <c r="I69" s="47">
        <v>0</v>
      </c>
      <c r="J69" s="47">
        <v>2.5000000000000001E-2</v>
      </c>
      <c r="K69" s="47">
        <v>0.05</v>
      </c>
      <c r="L69" s="47">
        <v>7.4999999999999997E-2</v>
      </c>
      <c r="M69" s="47">
        <v>0.1</v>
      </c>
    </row>
    <row r="70" spans="1:13" x14ac:dyDescent="0.25">
      <c r="A70" s="46">
        <v>0</v>
      </c>
      <c r="B70" s="48">
        <f t="shared" ref="B70:F76" si="11">$B$16*(1+$A70)-($B$17*(1-B$69)+$C$18+$C$19+$C$20+$C$21)</f>
        <v>24947191.096783303</v>
      </c>
      <c r="C70" s="48">
        <f t="shared" si="11"/>
        <v>25225531.483583301</v>
      </c>
      <c r="D70" s="48">
        <f t="shared" si="11"/>
        <v>25503871.870383307</v>
      </c>
      <c r="E70" s="48">
        <f t="shared" si="11"/>
        <v>25782212.257183298</v>
      </c>
      <c r="F70" s="48">
        <f t="shared" si="11"/>
        <v>26060552.643983305</v>
      </c>
      <c r="H70" s="47">
        <v>0.01</v>
      </c>
      <c r="I70" s="48">
        <f t="shared" ref="I70:M76" si="12">$C$16-($C$17+$B$18*(1+I$69)+$C$19+$B$20*(1+$H70)+$C$21)</f>
        <v>28737076.379733302</v>
      </c>
      <c r="J70" s="48">
        <f t="shared" si="12"/>
        <v>28703549.229733303</v>
      </c>
      <c r="K70" s="48">
        <f t="shared" si="12"/>
        <v>28670022.079733297</v>
      </c>
      <c r="L70" s="48">
        <f t="shared" si="12"/>
        <v>28636494.929733306</v>
      </c>
      <c r="M70" s="48">
        <f t="shared" si="12"/>
        <v>28602967.7797333</v>
      </c>
    </row>
    <row r="71" spans="1:13" x14ac:dyDescent="0.25">
      <c r="A71" s="46">
        <v>0.01</v>
      </c>
      <c r="B71" s="48">
        <f t="shared" si="11"/>
        <v>25811956.269283302</v>
      </c>
      <c r="C71" s="48">
        <f t="shared" si="11"/>
        <v>26090296.656083301</v>
      </c>
      <c r="D71" s="48">
        <f t="shared" si="11"/>
        <v>26368637.042883307</v>
      </c>
      <c r="E71" s="48">
        <f t="shared" si="11"/>
        <v>26646977.429683298</v>
      </c>
      <c r="F71" s="48">
        <f t="shared" si="11"/>
        <v>26925317.816483304</v>
      </c>
      <c r="H71" s="47">
        <v>1.4999999999999999E-2</v>
      </c>
      <c r="I71" s="48">
        <f t="shared" si="12"/>
        <v>28546458.149116635</v>
      </c>
      <c r="J71" s="48">
        <f t="shared" si="12"/>
        <v>28512930.999116637</v>
      </c>
      <c r="K71" s="48">
        <f t="shared" si="12"/>
        <v>28479403.849116638</v>
      </c>
      <c r="L71" s="48">
        <f t="shared" si="12"/>
        <v>28445876.699116632</v>
      </c>
      <c r="M71" s="48">
        <f t="shared" si="12"/>
        <v>28412349.549116634</v>
      </c>
    </row>
    <row r="72" spans="1:13" x14ac:dyDescent="0.25">
      <c r="A72" s="46">
        <v>0.02</v>
      </c>
      <c r="B72" s="48">
        <f t="shared" si="11"/>
        <v>26676721.441783302</v>
      </c>
      <c r="C72" s="48">
        <f t="shared" si="11"/>
        <v>26955061.8285833</v>
      </c>
      <c r="D72" s="48">
        <f t="shared" si="11"/>
        <v>27233402.215383306</v>
      </c>
      <c r="E72" s="48">
        <f t="shared" si="11"/>
        <v>27511742.602183297</v>
      </c>
      <c r="F72" s="48">
        <f t="shared" si="11"/>
        <v>27790082.988983303</v>
      </c>
      <c r="H72" s="47">
        <v>0.02</v>
      </c>
      <c r="I72" s="48">
        <f t="shared" si="12"/>
        <v>28355839.918499969</v>
      </c>
      <c r="J72" s="48">
        <f t="shared" si="12"/>
        <v>28322312.76849997</v>
      </c>
      <c r="K72" s="48">
        <f t="shared" si="12"/>
        <v>28288785.618499964</v>
      </c>
      <c r="L72" s="48">
        <f t="shared" si="12"/>
        <v>28255258.468499973</v>
      </c>
      <c r="M72" s="48">
        <f t="shared" si="12"/>
        <v>28221731.318499967</v>
      </c>
    </row>
    <row r="73" spans="1:13" x14ac:dyDescent="0.25">
      <c r="A73" s="46">
        <v>0.03</v>
      </c>
      <c r="B73" s="48">
        <f t="shared" si="11"/>
        <v>27541486.614283301</v>
      </c>
      <c r="C73" s="48">
        <f t="shared" si="11"/>
        <v>27819827.0010833</v>
      </c>
      <c r="D73" s="48">
        <f t="shared" si="11"/>
        <v>28098167.387883306</v>
      </c>
      <c r="E73" s="48">
        <f t="shared" si="11"/>
        <v>28376507.774683297</v>
      </c>
      <c r="F73" s="48">
        <f t="shared" si="11"/>
        <v>28654848.161483303</v>
      </c>
      <c r="H73" s="47">
        <v>2.5000000000000001E-2</v>
      </c>
      <c r="I73" s="48">
        <f t="shared" si="12"/>
        <v>28165221.687883303</v>
      </c>
      <c r="J73" s="48">
        <f t="shared" si="12"/>
        <v>28131694.537883304</v>
      </c>
      <c r="K73" s="48">
        <f t="shared" si="12"/>
        <v>28098167.387883306</v>
      </c>
      <c r="L73" s="48">
        <f t="shared" si="12"/>
        <v>28064640.2378833</v>
      </c>
      <c r="M73" s="48">
        <f t="shared" si="12"/>
        <v>28031113.087883301</v>
      </c>
    </row>
    <row r="74" spans="1:13" x14ac:dyDescent="0.25">
      <c r="A74" s="46">
        <v>0.04</v>
      </c>
      <c r="B74" s="48">
        <f t="shared" si="11"/>
        <v>28406251.7867833</v>
      </c>
      <c r="C74" s="48">
        <f t="shared" si="11"/>
        <v>28684592.173583299</v>
      </c>
      <c r="D74" s="48">
        <f t="shared" si="11"/>
        <v>28962932.560383305</v>
      </c>
      <c r="E74" s="48">
        <f t="shared" si="11"/>
        <v>29241272.947183296</v>
      </c>
      <c r="F74" s="48">
        <f t="shared" si="11"/>
        <v>29519613.333983302</v>
      </c>
      <c r="H74" s="47">
        <v>0.03</v>
      </c>
      <c r="I74" s="48">
        <f t="shared" si="12"/>
        <v>27974603.457266636</v>
      </c>
      <c r="J74" s="48">
        <f t="shared" si="12"/>
        <v>27941076.307266638</v>
      </c>
      <c r="K74" s="48">
        <f t="shared" si="12"/>
        <v>27907549.157266632</v>
      </c>
      <c r="L74" s="48">
        <f t="shared" si="12"/>
        <v>27874022.007266641</v>
      </c>
      <c r="M74" s="48">
        <f t="shared" si="12"/>
        <v>27840494.857266635</v>
      </c>
    </row>
    <row r="75" spans="1:13" x14ac:dyDescent="0.25">
      <c r="A75" s="46">
        <v>0.05</v>
      </c>
      <c r="B75" s="48">
        <f t="shared" si="11"/>
        <v>29271016.9592833</v>
      </c>
      <c r="C75" s="48">
        <f t="shared" si="11"/>
        <v>29549357.346083298</v>
      </c>
      <c r="D75" s="48">
        <f t="shared" si="11"/>
        <v>29827697.732883304</v>
      </c>
      <c r="E75" s="48">
        <f t="shared" si="11"/>
        <v>30106038.119683295</v>
      </c>
      <c r="F75" s="48">
        <f t="shared" si="11"/>
        <v>30384378.506483302</v>
      </c>
      <c r="H75" s="47">
        <v>3.5000000000000003E-2</v>
      </c>
      <c r="I75" s="48">
        <f t="shared" si="12"/>
        <v>27783985.22664997</v>
      </c>
      <c r="J75" s="48">
        <f t="shared" si="12"/>
        <v>27750458.076649971</v>
      </c>
      <c r="K75" s="48">
        <f t="shared" si="12"/>
        <v>27716930.926649973</v>
      </c>
      <c r="L75" s="48">
        <f t="shared" si="12"/>
        <v>27683403.776649967</v>
      </c>
      <c r="M75" s="48">
        <f t="shared" si="12"/>
        <v>27649876.626649968</v>
      </c>
    </row>
    <row r="76" spans="1:13" x14ac:dyDescent="0.25">
      <c r="A76" s="46">
        <v>0.06</v>
      </c>
      <c r="B76" s="48">
        <f t="shared" si="11"/>
        <v>30135782.131783299</v>
      </c>
      <c r="C76" s="48">
        <f t="shared" si="11"/>
        <v>30414122.518583298</v>
      </c>
      <c r="D76" s="48">
        <f t="shared" si="11"/>
        <v>30692462.905383304</v>
      </c>
      <c r="E76" s="48">
        <f t="shared" si="11"/>
        <v>30970803.292183295</v>
      </c>
      <c r="F76" s="48">
        <f t="shared" si="11"/>
        <v>31249143.678983301</v>
      </c>
      <c r="H76" s="47">
        <v>0.04</v>
      </c>
      <c r="I76" s="48">
        <f t="shared" si="12"/>
        <v>27593366.996033296</v>
      </c>
      <c r="J76" s="48">
        <f t="shared" si="12"/>
        <v>27559839.846033297</v>
      </c>
      <c r="K76" s="48">
        <f t="shared" si="12"/>
        <v>27526312.696033299</v>
      </c>
      <c r="L76" s="48">
        <f t="shared" si="12"/>
        <v>27492785.546033293</v>
      </c>
      <c r="M76" s="48">
        <f t="shared" si="12"/>
        <v>27459258.396033294</v>
      </c>
    </row>
    <row r="78" spans="1:13" x14ac:dyDescent="0.25">
      <c r="A78" s="28" t="str">
        <f>"Each 1pt of payroll inflation moves EBITDA by "&amp;TEXT($B$20*0.01,"£#,##0")&amp;", each 1pt of procurement saving is worth "&amp;TEXT($B$17*0.01,"£#,##0")&amp;" and each 1pt of agency rate inflation "&amp;TEXT($B$18*0.01,"£#,##0")&amp;". The payroll base is "&amp;TEXT($B$20/$B$17,"0.0")&amp;"x the procurement base, so pay settlements move EBITDA more than any sourcing deal."</f>
        <v>Each 1pt of payroll inflation moves EBITDA by £381,236, each 1pt of procurement saving is worth £139,170 and each 1pt of agency rate inflation £13,411. The payroll base is 2.7x the procurement base, so pay settlements move EBITDA more than any sourcing deal.</v>
      </c>
    </row>
  </sheetData>
  <conditionalFormatting sqref="B26:C26">
    <cfRule type="cellIs" dxfId="15" priority="2" operator="lessThan">
      <formula>0</formula>
    </cfRule>
  </conditionalFormatting>
  <conditionalFormatting sqref="B28:E38">
    <cfRule type="expression" dxfId="14" priority="3">
      <formula>B$28=$B$3</formula>
    </cfRule>
  </conditionalFormatting>
  <conditionalFormatting sqref="B70:F76">
    <cfRule type="colorScale" priority="5">
      <colorScale>
        <cfvo type="min"/>
        <cfvo type="percentile" val="50"/>
        <cfvo type="max"/>
        <color rgb="FFF8696B"/>
        <color rgb="FFFFEB84"/>
        <color rgb="FF63BE7B"/>
      </colorScale>
    </cfRule>
  </conditionalFormatting>
  <conditionalFormatting sqref="H53:H64">
    <cfRule type="cellIs" dxfId="13" priority="4" operator="lessThan">
      <formula>0</formula>
    </cfRule>
  </conditionalFormatting>
  <conditionalFormatting sqref="I70:M76">
    <cfRule type="colorScale" priority="6">
      <colorScale>
        <cfvo type="min"/>
        <cfvo type="percentile" val="50"/>
        <cfvo type="max"/>
        <color rgb="FFF8696B"/>
        <color rgb="FFFFEB84"/>
        <color rgb="FF63BE7B"/>
      </colorScale>
    </cfRule>
  </conditionalFormatting>
  <pageMargins left="0.75" right="0.75" top="1" bottom="1" header="0.511811023622047" footer="0.511811023622047"/>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2"/>
  <sheetViews>
    <sheetView showGridLines="0" zoomScaleNormal="100" workbookViewId="0"/>
  </sheetViews>
  <sheetFormatPr defaultColWidth="8.7109375" defaultRowHeight="15" x14ac:dyDescent="0.25"/>
  <cols>
    <col min="1" max="1" width="20" customWidth="1"/>
    <col min="2" max="2" width="13" customWidth="1"/>
    <col min="3" max="3" width="14" customWidth="1"/>
    <col min="4" max="4" width="10" customWidth="1"/>
    <col min="5" max="7" width="14" customWidth="1"/>
    <col min="8" max="9" width="12" customWidth="1"/>
    <col min="10" max="10" width="14" customWidth="1"/>
  </cols>
  <sheetData>
    <row r="1" spans="1:10" ht="21" x14ac:dyDescent="0.35">
      <c r="A1" s="15" t="s">
        <v>164</v>
      </c>
    </row>
    <row r="2" spans="1:10" x14ac:dyDescent="0.25">
      <c r="A2" s="16" t="s">
        <v>165</v>
      </c>
    </row>
    <row r="4" spans="1:10" x14ac:dyDescent="0.25">
      <c r="A4" s="24" t="s">
        <v>166</v>
      </c>
      <c r="C4" s="49">
        <v>8</v>
      </c>
    </row>
    <row r="5" spans="1:10" x14ac:dyDescent="0.25">
      <c r="A5" s="24" t="s">
        <v>167</v>
      </c>
      <c r="C5" s="50">
        <v>0.75</v>
      </c>
    </row>
    <row r="6" spans="1:10" x14ac:dyDescent="0.25">
      <c r="A6" s="18" t="s">
        <v>77</v>
      </c>
      <c r="B6" s="18" t="s">
        <v>168</v>
      </c>
      <c r="C6" s="18" t="s">
        <v>169</v>
      </c>
      <c r="D6" s="18" t="s">
        <v>170</v>
      </c>
      <c r="E6" s="18" t="s">
        <v>171</v>
      </c>
      <c r="F6" s="18" t="s">
        <v>172</v>
      </c>
      <c r="G6" s="18" t="s">
        <v>173</v>
      </c>
      <c r="H6" s="18" t="s">
        <v>174</v>
      </c>
      <c r="I6" s="18" t="s">
        <v>175</v>
      </c>
      <c r="J6" s="18" t="s">
        <v>176</v>
      </c>
    </row>
    <row r="7" spans="1:10" x14ac:dyDescent="0.25">
      <c r="A7" s="20" t="s">
        <v>177</v>
      </c>
      <c r="B7" s="20" t="str">
        <f>IFERROR(INDEX(Category_Targets!$C$2:$C$9,MATCH(A7,Category_Targets!$A$2:$A$9,0)),"")</f>
        <v>Procurement</v>
      </c>
      <c r="C7" s="33">
        <f>SUMIFS(Cleaned_Procurement!$O$2:$O$1801,Cleaned_Procurement!$F$2:$F$1801,A7)</f>
        <v>1097153.0099999998</v>
      </c>
      <c r="D7" s="36">
        <f>IFERROR(INDEX(Category_Targets!$B$2:$B$9,MATCH(A7,Category_Targets!$A$2:$A$9,0)),0)</f>
        <v>0.06</v>
      </c>
      <c r="E7" s="33">
        <f t="shared" ref="E7:E14" si="0">C7*D7</f>
        <v>65829.180599999978</v>
      </c>
      <c r="F7" s="51">
        <v>46100</v>
      </c>
      <c r="G7" s="33">
        <f t="shared" ref="G7:G14" si="1">IFERROR(F7/$C$4*12,0)</f>
        <v>69150</v>
      </c>
      <c r="H7" s="36">
        <f t="shared" ref="H7:H15" si="2">IFERROR(G7/E7,0)</f>
        <v>1.0504460084377842</v>
      </c>
      <c r="I7" s="52" t="str">
        <f t="shared" ref="I7:I15" si="3">IF(H7&gt;=1,"On Target",IF(H7&gt;=$C$5,"Watch","Off Track"))</f>
        <v>On Target</v>
      </c>
      <c r="J7" s="33">
        <f t="shared" ref="J7:J14" si="4">E7-G7</f>
        <v>-3320.8194000000221</v>
      </c>
    </row>
    <row r="8" spans="1:10" x14ac:dyDescent="0.25">
      <c r="A8" s="20" t="s">
        <v>178</v>
      </c>
      <c r="B8" s="20" t="str">
        <f>IFERROR(INDEX(Category_Targets!$C$2:$C$9,MATCH(A8,Category_Targets!$A$2:$A$9,0)),"")</f>
        <v>Procurement</v>
      </c>
      <c r="C8" s="33">
        <f>SUMIFS(Cleaned_Procurement!$O$2:$O$1801,Cleaned_Procurement!$F$2:$F$1801,A8)</f>
        <v>837713.63000000024</v>
      </c>
      <c r="D8" s="36">
        <f>IFERROR(INDEX(Category_Targets!$B$2:$B$9,MATCH(A8,Category_Targets!$A$2:$A$9,0)),0)</f>
        <v>0.04</v>
      </c>
      <c r="E8" s="33">
        <f t="shared" si="0"/>
        <v>33508.545200000008</v>
      </c>
      <c r="F8" s="51">
        <v>20100</v>
      </c>
      <c r="G8" s="33">
        <f t="shared" si="1"/>
        <v>30150</v>
      </c>
      <c r="H8" s="36">
        <f t="shared" si="2"/>
        <v>0.89977048600725262</v>
      </c>
      <c r="I8" s="52" t="str">
        <f t="shared" si="3"/>
        <v>Watch</v>
      </c>
      <c r="J8" s="33">
        <f t="shared" si="4"/>
        <v>3358.5452000000078</v>
      </c>
    </row>
    <row r="9" spans="1:10" x14ac:dyDescent="0.25">
      <c r="A9" s="20" t="s">
        <v>179</v>
      </c>
      <c r="B9" s="20" t="str">
        <f>IFERROR(INDEX(Category_Targets!$C$2:$C$9,MATCH(A9,Category_Targets!$A$2:$A$9,0)),"")</f>
        <v>Facilities</v>
      </c>
      <c r="C9" s="33">
        <f>SUMIFS(Cleaned_Procurement!$O$2:$O$1801,Cleaned_Procurement!$F$2:$F$1801,A9)</f>
        <v>2128780.9299999983</v>
      </c>
      <c r="D9" s="36">
        <f>IFERROR(INDEX(Category_Targets!$B$2:$B$9,MATCH(A9,Category_Targets!$A$2:$A$9,0)),0)</f>
        <v>0.05</v>
      </c>
      <c r="E9" s="33">
        <f t="shared" si="0"/>
        <v>106439.04649999992</v>
      </c>
      <c r="F9" s="51">
        <v>49700</v>
      </c>
      <c r="G9" s="33">
        <f t="shared" si="1"/>
        <v>74550</v>
      </c>
      <c r="H9" s="36">
        <f t="shared" si="2"/>
        <v>0.70040086276045377</v>
      </c>
      <c r="I9" s="52" t="str">
        <f t="shared" si="3"/>
        <v>Off Track</v>
      </c>
      <c r="J9" s="33">
        <f t="shared" si="4"/>
        <v>31889.046499999924</v>
      </c>
    </row>
    <row r="10" spans="1:10" x14ac:dyDescent="0.25">
      <c r="A10" s="20" t="s">
        <v>180</v>
      </c>
      <c r="B10" s="20" t="str">
        <f>IFERROR(INDEX(Category_Targets!$C$2:$C$9,MATCH(A10,Category_Targets!$A$2:$A$9,0)),"")</f>
        <v>Procurement</v>
      </c>
      <c r="C10" s="33">
        <f>SUMIFS(Cleaned_Procurement!$O$2:$O$1801,Cleaned_Procurement!$F$2:$F$1801,A10)</f>
        <v>2401261.600000001</v>
      </c>
      <c r="D10" s="36">
        <f>IFERROR(INDEX(Category_Targets!$B$2:$B$9,MATCH(A10,Category_Targets!$A$2:$A$9,0)),0)</f>
        <v>0.03</v>
      </c>
      <c r="E10" s="33">
        <f t="shared" si="0"/>
        <v>72037.848000000027</v>
      </c>
      <c r="F10" s="51">
        <v>52800</v>
      </c>
      <c r="G10" s="33">
        <f t="shared" si="1"/>
        <v>79200</v>
      </c>
      <c r="H10" s="36">
        <f t="shared" si="2"/>
        <v>1.0994220704649584</v>
      </c>
      <c r="I10" s="52" t="str">
        <f t="shared" si="3"/>
        <v>On Target</v>
      </c>
      <c r="J10" s="33">
        <f t="shared" si="4"/>
        <v>-7162.1519999999728</v>
      </c>
    </row>
    <row r="11" spans="1:10" x14ac:dyDescent="0.25">
      <c r="A11" s="20" t="s">
        <v>181</v>
      </c>
      <c r="B11" s="20" t="str">
        <f>IFERROR(INDEX(Category_Targets!$C$2:$C$9,MATCH(A11,Category_Targets!$A$2:$A$9,0)),"")</f>
        <v>IT</v>
      </c>
      <c r="C11" s="33">
        <f>SUMIFS(Cleaned_Procurement!$O$2:$O$1801,Cleaned_Procurement!$F$2:$F$1801,A11)</f>
        <v>2505155.1799999997</v>
      </c>
      <c r="D11" s="36">
        <f>IFERROR(INDEX(Category_Targets!$B$2:$B$9,MATCH(A11,Category_Targets!$A$2:$A$9,0)),0)</f>
        <v>0.08</v>
      </c>
      <c r="E11" s="33">
        <f t="shared" si="0"/>
        <v>200412.41439999998</v>
      </c>
      <c r="F11" s="51">
        <v>106900</v>
      </c>
      <c r="G11" s="33">
        <f t="shared" si="1"/>
        <v>160350</v>
      </c>
      <c r="H11" s="36">
        <f t="shared" si="2"/>
        <v>0.80010013591253859</v>
      </c>
      <c r="I11" s="52" t="str">
        <f t="shared" si="3"/>
        <v>Watch</v>
      </c>
      <c r="J11" s="33">
        <f t="shared" si="4"/>
        <v>40062.41439999998</v>
      </c>
    </row>
    <row r="12" spans="1:10" x14ac:dyDescent="0.25">
      <c r="A12" s="20" t="s">
        <v>182</v>
      </c>
      <c r="B12" s="20" t="str">
        <f>IFERROR(INDEX(Category_Targets!$C$2:$C$9,MATCH(A12,Category_Targets!$A$2:$A$9,0)),"")</f>
        <v>Fleet</v>
      </c>
      <c r="C12" s="33">
        <f>SUMIFS(Cleaned_Procurement!$O$2:$O$1801,Cleaned_Procurement!$F$2:$F$1801,A12)</f>
        <v>1030620.2999999997</v>
      </c>
      <c r="D12" s="36">
        <f>IFERROR(INDEX(Category_Targets!$B$2:$B$9,MATCH(A12,Category_Targets!$A$2:$A$9,0)),0)</f>
        <v>0.05</v>
      </c>
      <c r="E12" s="33">
        <f t="shared" si="0"/>
        <v>51531.014999999985</v>
      </c>
      <c r="F12" s="51">
        <v>32600</v>
      </c>
      <c r="G12" s="33">
        <f t="shared" si="1"/>
        <v>48900</v>
      </c>
      <c r="H12" s="36">
        <f t="shared" si="2"/>
        <v>0.94894307826073321</v>
      </c>
      <c r="I12" s="52" t="str">
        <f t="shared" si="3"/>
        <v>Watch</v>
      </c>
      <c r="J12" s="33">
        <f t="shared" si="4"/>
        <v>2631.0149999999849</v>
      </c>
    </row>
    <row r="13" spans="1:10" x14ac:dyDescent="0.25">
      <c r="A13" s="20" t="s">
        <v>183</v>
      </c>
      <c r="B13" s="20" t="str">
        <f>IFERROR(INDEX(Category_Targets!$C$2:$C$9,MATCH(A13,Category_Targets!$A$2:$A$9,0)),"")</f>
        <v>Workforce</v>
      </c>
      <c r="C13" s="33">
        <f>SUMIFS(Cleaned_Procurement!$O$2:$O$1801,Cleaned_Procurement!$F$2:$F$1801,A13)</f>
        <v>3193367.1400000006</v>
      </c>
      <c r="D13" s="36">
        <f>IFERROR(INDEX(Category_Targets!$B$2:$B$9,MATCH(A13,Category_Targets!$A$2:$A$9,0)),0)</f>
        <v>7.0000000000000007E-2</v>
      </c>
      <c r="E13" s="33">
        <f t="shared" si="0"/>
        <v>223535.69980000006</v>
      </c>
      <c r="F13" s="51">
        <v>89400</v>
      </c>
      <c r="G13" s="33">
        <f t="shared" si="1"/>
        <v>134100</v>
      </c>
      <c r="H13" s="36">
        <f t="shared" si="2"/>
        <v>0.59990417691662135</v>
      </c>
      <c r="I13" s="52" t="str">
        <f t="shared" si="3"/>
        <v>Off Track</v>
      </c>
      <c r="J13" s="33">
        <f t="shared" si="4"/>
        <v>89435.69980000006</v>
      </c>
    </row>
    <row r="14" spans="1:10" x14ac:dyDescent="0.25">
      <c r="A14" s="20" t="s">
        <v>184</v>
      </c>
      <c r="B14" s="20" t="str">
        <f>IFERROR(INDEX(Category_Targets!$C$2:$C$9,MATCH(A14,Category_Targets!$A$2:$A$9,0)),"")</f>
        <v>Commercial</v>
      </c>
      <c r="C14" s="33">
        <f>SUMIFS(Cleaned_Procurement!$O$2:$O$1801,Cleaned_Procurement!$F$2:$F$1801,A14)</f>
        <v>728629.96</v>
      </c>
      <c r="D14" s="36">
        <f>IFERROR(INDEX(Category_Targets!$B$2:$B$9,MATCH(A14,Category_Targets!$A$2:$A$9,0)),0)</f>
        <v>0.04</v>
      </c>
      <c r="E14" s="33">
        <f t="shared" si="0"/>
        <v>29145.198399999997</v>
      </c>
      <c r="F14" s="51">
        <v>23300</v>
      </c>
      <c r="G14" s="33">
        <f t="shared" si="1"/>
        <v>34950</v>
      </c>
      <c r="H14" s="36">
        <f t="shared" si="2"/>
        <v>1.1991683679875036</v>
      </c>
      <c r="I14" s="52" t="str">
        <f t="shared" si="3"/>
        <v>On Target</v>
      </c>
      <c r="J14" s="33">
        <f t="shared" si="4"/>
        <v>-5804.8016000000025</v>
      </c>
    </row>
    <row r="15" spans="1:10" x14ac:dyDescent="0.25">
      <c r="A15" s="41" t="s">
        <v>148</v>
      </c>
      <c r="C15" s="44">
        <f>SUM(C7:C14)</f>
        <v>13922681.75</v>
      </c>
      <c r="D15" s="42">
        <f>IFERROR(E15/C15,0)</f>
        <v>5.6198867570897398E-2</v>
      </c>
      <c r="E15" s="44">
        <f>SUM(E7:E14)</f>
        <v>782438.94790000003</v>
      </c>
      <c r="F15" s="44">
        <f>SUM(F7:F14)</f>
        <v>420900</v>
      </c>
      <c r="G15" s="44">
        <f>SUM(G7:G14)</f>
        <v>631350</v>
      </c>
      <c r="H15" s="42">
        <f t="shared" si="2"/>
        <v>0.80690001653737975</v>
      </c>
      <c r="I15" s="53" t="str">
        <f t="shared" si="3"/>
        <v>Watch</v>
      </c>
      <c r="J15" s="44">
        <f>SUM(J7:J14)</f>
        <v>151088.94789999997</v>
      </c>
    </row>
    <row r="17" spans="1:2" ht="15.75" x14ac:dyDescent="0.25">
      <c r="A17" s="17" t="s">
        <v>185</v>
      </c>
    </row>
    <row r="18" spans="1:2" x14ac:dyDescent="0.25">
      <c r="A18" s="20" t="s">
        <v>186</v>
      </c>
      <c r="B18" s="54">
        <f>COUNTIF($I$7:$I$14,A18)</f>
        <v>3</v>
      </c>
    </row>
    <row r="19" spans="1:2" x14ac:dyDescent="0.25">
      <c r="A19" s="20" t="s">
        <v>187</v>
      </c>
      <c r="B19" s="54">
        <f>COUNTIF($I$7:$I$14,A19)</f>
        <v>3</v>
      </c>
    </row>
    <row r="20" spans="1:2" x14ac:dyDescent="0.25">
      <c r="A20" s="20" t="s">
        <v>188</v>
      </c>
      <c r="B20" s="54">
        <f>COUNTIF($I$7:$I$14,A20)</f>
        <v>2</v>
      </c>
    </row>
    <row r="22" spans="1:2" x14ac:dyDescent="0.25">
      <c r="A22" s="28" t="str">
        <f>"Biggest gap: "&amp;INDEX(A7:A14,MATCH(MAX(J7:J14),J7:J14,0))&amp;" is forecast "&amp;TEXT(MAX(J7:J14),"£#,##0")&amp;" short of target. Plan delivers "&amp;TEXT(H15,"0%")&amp;" of the "&amp;TEXT(E15,"£#,##0")&amp;" target."</f>
        <v>Biggest gap: Agency Labour is forecast £89,436 short of target. Plan delivers 81% of the £782,439 target.</v>
      </c>
    </row>
  </sheetData>
  <conditionalFormatting sqref="H7:H14">
    <cfRule type="dataBar" priority="5">
      <dataBar>
        <cfvo type="num" val="0"/>
        <cfvo type="num" val="1.5"/>
        <color rgb="FF70AD47"/>
      </dataBar>
      <extLst>
        <ext xmlns:x14="http://schemas.microsoft.com/office/spreadsheetml/2009/9/main" uri="{B025F937-C7B1-47D3-B67F-A62EFF666E3E}">
          <x14:id>{30A37610-4EEA-4436-99F3-395FAB40BEDE}</x14:id>
        </ext>
      </extLst>
    </cfRule>
  </conditionalFormatting>
  <conditionalFormatting sqref="I7:I15">
    <cfRule type="cellIs" dxfId="12" priority="2" operator="equal">
      <formula>"Off Track"</formula>
    </cfRule>
    <cfRule type="cellIs" dxfId="11" priority="3" operator="equal">
      <formula>"Watch"</formula>
    </cfRule>
    <cfRule type="cellIs" dxfId="10" priority="4" operator="equal">
      <formula>"On Target"</formula>
    </cfRule>
  </conditionalFormatting>
  <pageMargins left="0.75" right="0.75" top="1" bottom="1" header="0.511811023622047" footer="0.511811023622047"/>
  <pageSetup paperSize="9" orientation="portrait" horizontalDpi="300" verticalDpi="300"/>
  <legacyDrawing r:id="rId1"/>
  <extLst>
    <ext xmlns:x14="http://schemas.microsoft.com/office/spreadsheetml/2009/9/main" uri="{78C0D931-6437-407d-A8EE-F0AAD7539E65}">
      <x14:conditionalFormattings>
        <x14:conditionalFormatting xmlns:xm="http://schemas.microsoft.com/office/excel/2006/main">
          <x14:cfRule type="dataBar" id="{30A37610-4EEA-4436-99F3-395FAB40BEDE}">
            <x14:dataBar axisPosition="none">
              <x14:cfvo type="num">
                <xm:f>0</xm:f>
              </x14:cfvo>
              <x14:cfvo type="num">
                <xm:f>1.5</xm:f>
              </x14:cfvo>
              <x14:negativeFillColor rgb="FF70AD47"/>
            </x14:dataBar>
          </x14:cfRule>
          <xm:sqref>H7:H14</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27"/>
  <sheetViews>
    <sheetView showGridLines="0"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8" customWidth="1"/>
    <col min="2" max="2" width="36" customWidth="1"/>
    <col min="3" max="3" width="10" customWidth="1"/>
    <col min="4" max="6" width="14" customWidth="1"/>
    <col min="7" max="7" width="12" customWidth="1"/>
    <col min="8" max="8" width="9" customWidth="1"/>
    <col min="9" max="9" width="12" customWidth="1"/>
    <col min="10" max="11" width="10" customWidth="1"/>
    <col min="12" max="12" width="26" customWidth="1"/>
    <col min="13" max="13" width="4" customWidth="1"/>
    <col min="14" max="14" width="9" customWidth="1"/>
  </cols>
  <sheetData>
    <row r="1" spans="1:14" ht="21" x14ac:dyDescent="0.35">
      <c r="A1" s="15" t="s">
        <v>189</v>
      </c>
    </row>
    <row r="2" spans="1:14" x14ac:dyDescent="0.25">
      <c r="A2" s="16" t="s">
        <v>190</v>
      </c>
    </row>
    <row r="4" spans="1:14" ht="30" x14ac:dyDescent="0.25">
      <c r="A4" s="18" t="s">
        <v>191</v>
      </c>
      <c r="B4" s="18" t="s">
        <v>192</v>
      </c>
      <c r="C4" s="18" t="s">
        <v>75</v>
      </c>
      <c r="D4" s="18" t="s">
        <v>83</v>
      </c>
      <c r="E4" s="18" t="s">
        <v>84</v>
      </c>
      <c r="F4" s="18" t="s">
        <v>140</v>
      </c>
      <c r="G4" s="18" t="s">
        <v>193</v>
      </c>
      <c r="H4" s="18" t="s">
        <v>194</v>
      </c>
      <c r="I4" s="18" t="s">
        <v>86</v>
      </c>
      <c r="J4" s="18" t="s">
        <v>195</v>
      </c>
      <c r="K4" s="18" t="s">
        <v>175</v>
      </c>
      <c r="L4" s="17" t="s">
        <v>196</v>
      </c>
    </row>
    <row r="5" spans="1:14" x14ac:dyDescent="0.25">
      <c r="A5" s="55" t="str">
        <f>Sites!A2</f>
        <v>S001</v>
      </c>
      <c r="B5" s="55" t="str">
        <f>Sites!B2</f>
        <v>Preston Care &amp; Education Centre</v>
      </c>
      <c r="C5" s="55" t="str">
        <f>Sites!C2</f>
        <v>North</v>
      </c>
      <c r="D5" s="33">
        <f>SUMIFS(Finance_Raw!$E:$E,Finance_Raw!$B:$B,A5)</f>
        <v>4539947.55</v>
      </c>
      <c r="E5" s="33">
        <f>SUMIFS(Finance_Raw!$L:$L,Finance_Raw!$B:$B,A5)</f>
        <v>3138939.4033333329</v>
      </c>
      <c r="F5" s="33">
        <f>SUMIFS(Finance_Raw!$K:$K,Finance_Raw!$B:$B,A5)</f>
        <v>3118796.0699999994</v>
      </c>
      <c r="G5" s="33">
        <f t="shared" ref="G5:G24" si="0">F5-E5</f>
        <v>-20143.333333333489</v>
      </c>
      <c r="H5" s="36">
        <f t="shared" ref="H5:H25" si="1">IFERROR(G5/F5,0)</f>
        <v>-6.4586888277480391E-3</v>
      </c>
      <c r="I5" s="36">
        <f t="shared" ref="I5:I25" si="2">IFERROR((D5-E5)/D5,0)</f>
        <v>0.30859566795362359</v>
      </c>
      <c r="J5" s="56">
        <f t="shared" ref="J5:J24" si="3">RANK(I5,$I$5:$I$24,0)</f>
        <v>4</v>
      </c>
      <c r="K5" s="52" t="str">
        <f t="shared" ref="K5:K24" si="4">IF(H5&lt;$N$5,"Red",IF(H5&lt;$N$6,"Amber","Green"))</f>
        <v>Amber</v>
      </c>
      <c r="L5" s="24" t="s">
        <v>197</v>
      </c>
      <c r="N5" s="35">
        <v>-0.01</v>
      </c>
    </row>
    <row r="6" spans="1:14" x14ac:dyDescent="0.25">
      <c r="A6" s="55" t="str">
        <f>Sites!A3</f>
        <v>S002</v>
      </c>
      <c r="B6" s="55" t="str">
        <f>Sites!B3</f>
        <v>Manchester Care &amp; Education Centre</v>
      </c>
      <c r="C6" s="55" t="str">
        <f>Sites!C3</f>
        <v>North</v>
      </c>
      <c r="D6" s="33">
        <f>SUMIFS(Finance_Raw!$E:$E,Finance_Raw!$B:$B,A6)</f>
        <v>4350391.7000000011</v>
      </c>
      <c r="E6" s="33">
        <f>SUMIFS(Finance_Raw!$L:$L,Finance_Raw!$B:$B,A6)</f>
        <v>3074525.476666667</v>
      </c>
      <c r="F6" s="33">
        <f>SUMIFS(Finance_Raw!$K:$K,Finance_Raw!$B:$B,A6)</f>
        <v>3061502.16</v>
      </c>
      <c r="G6" s="33">
        <f t="shared" si="0"/>
        <v>-13023.316666666884</v>
      </c>
      <c r="H6" s="36">
        <f t="shared" si="1"/>
        <v>-4.2538975921110845E-3</v>
      </c>
      <c r="I6" s="36">
        <f t="shared" si="2"/>
        <v>0.29327617173721016</v>
      </c>
      <c r="J6" s="56">
        <f t="shared" si="3"/>
        <v>18</v>
      </c>
      <c r="K6" s="52" t="str">
        <f t="shared" si="4"/>
        <v>Amber</v>
      </c>
      <c r="L6" s="24" t="s">
        <v>198</v>
      </c>
      <c r="N6" s="35">
        <v>0</v>
      </c>
    </row>
    <row r="7" spans="1:14" x14ac:dyDescent="0.25">
      <c r="A7" s="55" t="str">
        <f>Sites!A4</f>
        <v>S003</v>
      </c>
      <c r="B7" s="55" t="str">
        <f>Sites!B4</f>
        <v>Leeds Care &amp; Education Centre</v>
      </c>
      <c r="C7" s="55" t="str">
        <f>Sites!C4</f>
        <v>North</v>
      </c>
      <c r="D7" s="33">
        <f>SUMIFS(Finance_Raw!$E:$E,Finance_Raw!$B:$B,A7)</f>
        <v>4134779.64</v>
      </c>
      <c r="E7" s="33">
        <f>SUMIFS(Finance_Raw!$L:$L,Finance_Raw!$B:$B,A7)</f>
        <v>2879265.306666668</v>
      </c>
      <c r="F7" s="33">
        <f>SUMIFS(Finance_Raw!$K:$K,Finance_Raw!$B:$B,A7)</f>
        <v>2864950.65</v>
      </c>
      <c r="G7" s="33">
        <f t="shared" si="0"/>
        <v>-14314.656666668132</v>
      </c>
      <c r="H7" s="36">
        <f t="shared" si="1"/>
        <v>-4.9964758264398491E-3</v>
      </c>
      <c r="I7" s="36">
        <f t="shared" si="2"/>
        <v>0.30364721766244646</v>
      </c>
      <c r="J7" s="56">
        <f t="shared" si="3"/>
        <v>10</v>
      </c>
      <c r="K7" s="52" t="str">
        <f t="shared" si="4"/>
        <v>Amber</v>
      </c>
    </row>
    <row r="8" spans="1:14" x14ac:dyDescent="0.25">
      <c r="A8" s="55" t="str">
        <f>Sites!A5</f>
        <v>S004</v>
      </c>
      <c r="B8" s="55" t="str">
        <f>Sites!B5</f>
        <v>Newcastle Care &amp; Education Centre</v>
      </c>
      <c r="C8" s="55" t="str">
        <f>Sites!C5</f>
        <v>North</v>
      </c>
      <c r="D8" s="33">
        <f>SUMIFS(Finance_Raw!$E:$E,Finance_Raw!$B:$B,A8)</f>
        <v>4200462.5599999996</v>
      </c>
      <c r="E8" s="33">
        <f>SUMIFS(Finance_Raw!$L:$L,Finance_Raw!$B:$B,A8)</f>
        <v>2957894.7666666661</v>
      </c>
      <c r="F8" s="33">
        <f>SUMIFS(Finance_Raw!$K:$K,Finance_Raw!$B:$B,A8)</f>
        <v>2968153.12</v>
      </c>
      <c r="G8" s="33">
        <f t="shared" si="0"/>
        <v>10258.353333333973</v>
      </c>
      <c r="H8" s="36">
        <f t="shared" si="1"/>
        <v>3.456140205237785E-3</v>
      </c>
      <c r="I8" s="36">
        <f t="shared" si="2"/>
        <v>0.29581689530243871</v>
      </c>
      <c r="J8" s="56">
        <f t="shared" si="3"/>
        <v>15</v>
      </c>
      <c r="K8" s="52" t="str">
        <f t="shared" si="4"/>
        <v>Green</v>
      </c>
    </row>
    <row r="9" spans="1:14" x14ac:dyDescent="0.25">
      <c r="A9" s="55" t="str">
        <f>Sites!A6</f>
        <v>S005</v>
      </c>
      <c r="B9" s="55" t="str">
        <f>Sites!B6</f>
        <v>Sheffield Care &amp; Education Centre</v>
      </c>
      <c r="C9" s="55" t="str">
        <f>Sites!C6</f>
        <v>North</v>
      </c>
      <c r="D9" s="33">
        <f>SUMIFS(Finance_Raw!$E:$E,Finance_Raw!$B:$B,A9)</f>
        <v>4381088.959999999</v>
      </c>
      <c r="E9" s="33">
        <f>SUMIFS(Finance_Raw!$L:$L,Finance_Raw!$B:$B,A9)</f>
        <v>3097200.773333333</v>
      </c>
      <c r="F9" s="33">
        <f>SUMIFS(Finance_Raw!$K:$K,Finance_Raw!$B:$B,A9)</f>
        <v>3107939.5300000003</v>
      </c>
      <c r="G9" s="33">
        <f t="shared" si="0"/>
        <v>10738.756666667294</v>
      </c>
      <c r="H9" s="36">
        <f t="shared" si="1"/>
        <v>3.4552656391829131E-3</v>
      </c>
      <c r="I9" s="36">
        <f t="shared" si="2"/>
        <v>0.29305229781653791</v>
      </c>
      <c r="J9" s="56">
        <f t="shared" si="3"/>
        <v>19</v>
      </c>
      <c r="K9" s="52" t="str">
        <f t="shared" si="4"/>
        <v>Green</v>
      </c>
    </row>
    <row r="10" spans="1:14" x14ac:dyDescent="0.25">
      <c r="A10" s="55" t="str">
        <f>Sites!A7</f>
        <v>S006</v>
      </c>
      <c r="B10" s="55" t="str">
        <f>Sites!B7</f>
        <v>Birmingham Care &amp; Education Centre</v>
      </c>
      <c r="C10" s="55" t="str">
        <f>Sites!C7</f>
        <v>Midlands</v>
      </c>
      <c r="D10" s="33">
        <f>SUMIFS(Finance_Raw!$E:$E,Finance_Raw!$B:$B,A10)</f>
        <v>4302157.34</v>
      </c>
      <c r="E10" s="33">
        <f>SUMIFS(Finance_Raw!$L:$L,Finance_Raw!$B:$B,A10)</f>
        <v>2999128.9366666665</v>
      </c>
      <c r="F10" s="33">
        <f>SUMIFS(Finance_Raw!$K:$K,Finance_Raw!$B:$B,A10)</f>
        <v>2991112.81</v>
      </c>
      <c r="G10" s="33">
        <f t="shared" si="0"/>
        <v>-8016.1266666664742</v>
      </c>
      <c r="H10" s="36">
        <f t="shared" si="1"/>
        <v>-2.679981390159094E-3</v>
      </c>
      <c r="I10" s="36">
        <f t="shared" si="2"/>
        <v>0.30287790528212838</v>
      </c>
      <c r="J10" s="56">
        <f t="shared" si="3"/>
        <v>11</v>
      </c>
      <c r="K10" s="52" t="str">
        <f t="shared" si="4"/>
        <v>Amber</v>
      </c>
    </row>
    <row r="11" spans="1:14" x14ac:dyDescent="0.25">
      <c r="A11" s="55" t="str">
        <f>Sites!A8</f>
        <v>S007</v>
      </c>
      <c r="B11" s="55" t="str">
        <f>Sites!B8</f>
        <v>Nottingham Care &amp; Education Centre</v>
      </c>
      <c r="C11" s="55" t="str">
        <f>Sites!C8</f>
        <v>Midlands</v>
      </c>
      <c r="D11" s="33">
        <f>SUMIFS(Finance_Raw!$E:$E,Finance_Raw!$B:$B,A11)</f>
        <v>4817411.18</v>
      </c>
      <c r="E11" s="33">
        <f>SUMIFS(Finance_Raw!$L:$L,Finance_Raw!$B:$B,A11)</f>
        <v>3311125.2299999995</v>
      </c>
      <c r="F11" s="33">
        <f>SUMIFS(Finance_Raw!$K:$K,Finance_Raw!$B:$B,A11)</f>
        <v>3322611.69</v>
      </c>
      <c r="G11" s="33">
        <f t="shared" si="0"/>
        <v>11486.460000000428</v>
      </c>
      <c r="H11" s="36">
        <f t="shared" si="1"/>
        <v>3.457057601576195E-3</v>
      </c>
      <c r="I11" s="36">
        <f t="shared" si="2"/>
        <v>0.31267539633185315</v>
      </c>
      <c r="J11" s="56">
        <f t="shared" si="3"/>
        <v>1</v>
      </c>
      <c r="K11" s="52" t="str">
        <f t="shared" si="4"/>
        <v>Green</v>
      </c>
    </row>
    <row r="12" spans="1:14" x14ac:dyDescent="0.25">
      <c r="A12" s="55" t="str">
        <f>Sites!A9</f>
        <v>S008</v>
      </c>
      <c r="B12" s="55" t="str">
        <f>Sites!B9</f>
        <v>Leicester Care &amp; Education Centre</v>
      </c>
      <c r="C12" s="55" t="str">
        <f>Sites!C9</f>
        <v>Midlands</v>
      </c>
      <c r="D12" s="33">
        <f>SUMIFS(Finance_Raw!$E:$E,Finance_Raw!$B:$B,A12)</f>
        <v>4703410.4800000004</v>
      </c>
      <c r="E12" s="33">
        <f>SUMIFS(Finance_Raw!$L:$L,Finance_Raw!$B:$B,A12)</f>
        <v>3272108.7699999991</v>
      </c>
      <c r="F12" s="33">
        <f>SUMIFS(Finance_Raw!$K:$K,Finance_Raw!$B:$B,A12)</f>
        <v>3251343.4399999995</v>
      </c>
      <c r="G12" s="33">
        <f t="shared" si="0"/>
        <v>-20765.329999999609</v>
      </c>
      <c r="H12" s="36">
        <f t="shared" si="1"/>
        <v>-6.3866922652746931E-3</v>
      </c>
      <c r="I12" s="36">
        <f t="shared" si="2"/>
        <v>0.30431145996851228</v>
      </c>
      <c r="J12" s="56">
        <f t="shared" si="3"/>
        <v>9</v>
      </c>
      <c r="K12" s="52" t="str">
        <f t="shared" si="4"/>
        <v>Amber</v>
      </c>
    </row>
    <row r="13" spans="1:14" x14ac:dyDescent="0.25">
      <c r="A13" s="55" t="str">
        <f>Sites!A10</f>
        <v>S009</v>
      </c>
      <c r="B13" s="55" t="str">
        <f>Sites!B10</f>
        <v>Derby Care &amp; Education Centre</v>
      </c>
      <c r="C13" s="55" t="str">
        <f>Sites!C10</f>
        <v>Midlands</v>
      </c>
      <c r="D13" s="33">
        <f>SUMIFS(Finance_Raw!$E:$E,Finance_Raw!$B:$B,A13)</f>
        <v>4279128.6900000004</v>
      </c>
      <c r="E13" s="33">
        <f>SUMIFS(Finance_Raw!$L:$L,Finance_Raw!$B:$B,A13)</f>
        <v>3005077.5566666652</v>
      </c>
      <c r="F13" s="33">
        <f>SUMIFS(Finance_Raw!$K:$K,Finance_Raw!$B:$B,A13)</f>
        <v>2989752.68</v>
      </c>
      <c r="G13" s="33">
        <f t="shared" si="0"/>
        <v>-15324.876666665077</v>
      </c>
      <c r="H13" s="36">
        <f t="shared" si="1"/>
        <v>-5.1258007958922798E-3</v>
      </c>
      <c r="I13" s="36">
        <f t="shared" si="2"/>
        <v>0.29773611069718381</v>
      </c>
      <c r="J13" s="56">
        <f t="shared" si="3"/>
        <v>14</v>
      </c>
      <c r="K13" s="52" t="str">
        <f t="shared" si="4"/>
        <v>Amber</v>
      </c>
    </row>
    <row r="14" spans="1:14" x14ac:dyDescent="0.25">
      <c r="A14" s="55" t="str">
        <f>Sites!A11</f>
        <v>S010</v>
      </c>
      <c r="B14" s="55" t="str">
        <f>Sites!B11</f>
        <v>Coventry Care &amp; Education Centre</v>
      </c>
      <c r="C14" s="55" t="str">
        <f>Sites!C11</f>
        <v>Midlands</v>
      </c>
      <c r="D14" s="33">
        <f>SUMIFS(Finance_Raw!$E:$E,Finance_Raw!$B:$B,A14)</f>
        <v>4038599.58</v>
      </c>
      <c r="E14" s="33">
        <f>SUMIFS(Finance_Raw!$L:$L,Finance_Raw!$B:$B,A14)</f>
        <v>2816401.3133333325</v>
      </c>
      <c r="F14" s="33">
        <f>SUMIFS(Finance_Raw!$K:$K,Finance_Raw!$B:$B,A14)</f>
        <v>2835551.96</v>
      </c>
      <c r="G14" s="33">
        <f t="shared" si="0"/>
        <v>19150.646666667424</v>
      </c>
      <c r="H14" s="36">
        <f t="shared" si="1"/>
        <v>6.7537632661358194E-3</v>
      </c>
      <c r="I14" s="36">
        <f t="shared" si="2"/>
        <v>0.30262922640789941</v>
      </c>
      <c r="J14" s="56">
        <f t="shared" si="3"/>
        <v>12</v>
      </c>
      <c r="K14" s="52" t="str">
        <f t="shared" si="4"/>
        <v>Green</v>
      </c>
    </row>
    <row r="15" spans="1:14" x14ac:dyDescent="0.25">
      <c r="A15" s="55" t="str">
        <f>Sites!A12</f>
        <v>S011</v>
      </c>
      <c r="B15" s="55" t="str">
        <f>Sites!B12</f>
        <v>London Care &amp; Education Centre</v>
      </c>
      <c r="C15" s="55" t="str">
        <f>Sites!C12</f>
        <v>South</v>
      </c>
      <c r="D15" s="33">
        <f>SUMIFS(Finance_Raw!$E:$E,Finance_Raw!$B:$B,A15)</f>
        <v>4422526.7</v>
      </c>
      <c r="E15" s="33">
        <f>SUMIFS(Finance_Raw!$L:$L,Finance_Raw!$B:$B,A15)</f>
        <v>3059307.4033333352</v>
      </c>
      <c r="F15" s="33">
        <f>SUMIFS(Finance_Raw!$K:$K,Finance_Raw!$B:$B,A15)</f>
        <v>3064550.7399999998</v>
      </c>
      <c r="G15" s="33">
        <f t="shared" si="0"/>
        <v>5243.3366666645743</v>
      </c>
      <c r="H15" s="36">
        <f t="shared" si="1"/>
        <v>1.7109642200489638E-3</v>
      </c>
      <c r="I15" s="36">
        <f t="shared" si="2"/>
        <v>0.30824444692819264</v>
      </c>
      <c r="J15" s="56">
        <f t="shared" si="3"/>
        <v>5</v>
      </c>
      <c r="K15" s="52" t="str">
        <f t="shared" si="4"/>
        <v>Green</v>
      </c>
    </row>
    <row r="16" spans="1:14" x14ac:dyDescent="0.25">
      <c r="A16" s="55" t="str">
        <f>Sites!A13</f>
        <v>S012</v>
      </c>
      <c r="B16" s="55" t="str">
        <f>Sites!B13</f>
        <v>Bristol Care &amp; Education Centre</v>
      </c>
      <c r="C16" s="55" t="str">
        <f>Sites!C13</f>
        <v>South</v>
      </c>
      <c r="D16" s="33">
        <f>SUMIFS(Finance_Raw!$E:$E,Finance_Raw!$B:$B,A16)</f>
        <v>4289982.2299999995</v>
      </c>
      <c r="E16" s="33">
        <f>SUMIFS(Finance_Raw!$L:$L,Finance_Raw!$B:$B,A16)</f>
        <v>2963438.7733333348</v>
      </c>
      <c r="F16" s="33">
        <f>SUMIFS(Finance_Raw!$K:$K,Finance_Raw!$B:$B,A16)</f>
        <v>2994092.39</v>
      </c>
      <c r="G16" s="33">
        <f t="shared" si="0"/>
        <v>30653.616666665301</v>
      </c>
      <c r="H16" s="36">
        <f t="shared" si="1"/>
        <v>1.0238032990914251E-2</v>
      </c>
      <c r="I16" s="36">
        <f t="shared" si="2"/>
        <v>0.30921886981025204</v>
      </c>
      <c r="J16" s="56">
        <f t="shared" si="3"/>
        <v>3</v>
      </c>
      <c r="K16" s="52" t="str">
        <f t="shared" si="4"/>
        <v>Green</v>
      </c>
    </row>
    <row r="17" spans="1:11" x14ac:dyDescent="0.25">
      <c r="A17" s="55" t="str">
        <f>Sites!A14</f>
        <v>S013</v>
      </c>
      <c r="B17" s="55" t="str">
        <f>Sites!B14</f>
        <v>Reading Care &amp; Education Centre</v>
      </c>
      <c r="C17" s="55" t="str">
        <f>Sites!C14</f>
        <v>South</v>
      </c>
      <c r="D17" s="33">
        <f>SUMIFS(Finance_Raw!$E:$E,Finance_Raw!$B:$B,A17)</f>
        <v>4471092.68</v>
      </c>
      <c r="E17" s="33">
        <f>SUMIFS(Finance_Raw!$L:$L,Finance_Raw!$B:$B,A17)</f>
        <v>3097431.933333334</v>
      </c>
      <c r="F17" s="33">
        <f>SUMIFS(Finance_Raw!$K:$K,Finance_Raw!$B:$B,A17)</f>
        <v>3101674.37</v>
      </c>
      <c r="G17" s="33">
        <f t="shared" si="0"/>
        <v>4242.4366666660644</v>
      </c>
      <c r="H17" s="36">
        <f t="shared" si="1"/>
        <v>1.3677891875755043E-3</v>
      </c>
      <c r="I17" s="36">
        <f t="shared" si="2"/>
        <v>0.30723155277261344</v>
      </c>
      <c r="J17" s="56">
        <f t="shared" si="3"/>
        <v>6</v>
      </c>
      <c r="K17" s="52" t="str">
        <f t="shared" si="4"/>
        <v>Green</v>
      </c>
    </row>
    <row r="18" spans="1:11" x14ac:dyDescent="0.25">
      <c r="A18" s="55" t="str">
        <f>Sites!A15</f>
        <v>S014</v>
      </c>
      <c r="B18" s="55" t="str">
        <f>Sites!B15</f>
        <v>Southampton Care &amp; Education Centre</v>
      </c>
      <c r="C18" s="55" t="str">
        <f>Sites!C15</f>
        <v>South</v>
      </c>
      <c r="D18" s="33">
        <f>SUMIFS(Finance_Raw!$E:$E,Finance_Raw!$B:$B,A18)</f>
        <v>4273113.38</v>
      </c>
      <c r="E18" s="33">
        <f>SUMIFS(Finance_Raw!$L:$L,Finance_Raw!$B:$B,A18)</f>
        <v>2968785.6300000013</v>
      </c>
      <c r="F18" s="33">
        <f>SUMIFS(Finance_Raw!$K:$K,Finance_Raw!$B:$B,A18)</f>
        <v>2974769.95</v>
      </c>
      <c r="G18" s="33">
        <f t="shared" si="0"/>
        <v>5984.319999998901</v>
      </c>
      <c r="H18" s="36">
        <f t="shared" si="1"/>
        <v>2.011691694007767E-3</v>
      </c>
      <c r="I18" s="36">
        <f t="shared" si="2"/>
        <v>0.30524061357810228</v>
      </c>
      <c r="J18" s="56">
        <f t="shared" si="3"/>
        <v>8</v>
      </c>
      <c r="K18" s="52" t="str">
        <f t="shared" si="4"/>
        <v>Green</v>
      </c>
    </row>
    <row r="19" spans="1:11" x14ac:dyDescent="0.25">
      <c r="A19" s="55" t="str">
        <f>Sites!A16</f>
        <v>S015</v>
      </c>
      <c r="B19" s="55" t="str">
        <f>Sites!B16</f>
        <v>Brighton Care &amp; Education Centre</v>
      </c>
      <c r="C19" s="55" t="str">
        <f>Sites!C16</f>
        <v>South</v>
      </c>
      <c r="D19" s="33">
        <f>SUMIFS(Finance_Raw!$E:$E,Finance_Raw!$B:$B,A19)</f>
        <v>3710010.5500000003</v>
      </c>
      <c r="E19" s="33">
        <f>SUMIFS(Finance_Raw!$L:$L,Finance_Raw!$B:$B,A19)</f>
        <v>2637056.0299999998</v>
      </c>
      <c r="F19" s="33">
        <f>SUMIFS(Finance_Raw!$K:$K,Finance_Raw!$B:$B,A19)</f>
        <v>2639970.71</v>
      </c>
      <c r="G19" s="33">
        <f t="shared" si="0"/>
        <v>2914.6800000001676</v>
      </c>
      <c r="H19" s="36">
        <f t="shared" si="1"/>
        <v>1.104057703731178E-3</v>
      </c>
      <c r="I19" s="36">
        <f t="shared" si="2"/>
        <v>0.28920524767779981</v>
      </c>
      <c r="J19" s="56">
        <f t="shared" si="3"/>
        <v>20</v>
      </c>
      <c r="K19" s="52" t="str">
        <f t="shared" si="4"/>
        <v>Green</v>
      </c>
    </row>
    <row r="20" spans="1:11" x14ac:dyDescent="0.25">
      <c r="A20" s="55" t="str">
        <f>Sites!A17</f>
        <v>S016</v>
      </c>
      <c r="B20" s="55" t="str">
        <f>Sites!B17</f>
        <v>Cardiff Care &amp; Education Centre</v>
      </c>
      <c r="C20" s="55" t="str">
        <f>Sites!C17</f>
        <v>Wales</v>
      </c>
      <c r="D20" s="33">
        <f>SUMIFS(Finance_Raw!$E:$E,Finance_Raw!$B:$B,A20)</f>
        <v>3983357.1799999997</v>
      </c>
      <c r="E20" s="33">
        <f>SUMIFS(Finance_Raw!$L:$L,Finance_Raw!$B:$B,A20)</f>
        <v>2766673.3033333351</v>
      </c>
      <c r="F20" s="33">
        <f>SUMIFS(Finance_Raw!$K:$K,Finance_Raw!$B:$B,A20)</f>
        <v>2770904.14</v>
      </c>
      <c r="G20" s="33">
        <f t="shared" si="0"/>
        <v>4230.83666666504</v>
      </c>
      <c r="H20" s="36">
        <f t="shared" si="1"/>
        <v>1.5268794779255842E-3</v>
      </c>
      <c r="I20" s="36">
        <f t="shared" si="2"/>
        <v>0.30544182248468732</v>
      </c>
      <c r="J20" s="56">
        <f t="shared" si="3"/>
        <v>7</v>
      </c>
      <c r="K20" s="52" t="str">
        <f t="shared" si="4"/>
        <v>Green</v>
      </c>
    </row>
    <row r="21" spans="1:11" x14ac:dyDescent="0.25">
      <c r="A21" s="55" t="str">
        <f>Sites!A18</f>
        <v>S017</v>
      </c>
      <c r="B21" s="55" t="str">
        <f>Sites!B18</f>
        <v>Swansea Care &amp; Education Centre</v>
      </c>
      <c r="C21" s="55" t="str">
        <f>Sites!C18</f>
        <v>Wales</v>
      </c>
      <c r="D21" s="33">
        <f>SUMIFS(Finance_Raw!$E:$E,Finance_Raw!$B:$B,A21)</f>
        <v>4030070.41</v>
      </c>
      <c r="E21" s="33">
        <f>SUMIFS(Finance_Raw!$L:$L,Finance_Raw!$B:$B,A21)</f>
        <v>2821339.879999999</v>
      </c>
      <c r="F21" s="33">
        <f>SUMIFS(Finance_Raw!$K:$K,Finance_Raw!$B:$B,A21)</f>
        <v>2805198.4399999995</v>
      </c>
      <c r="G21" s="33">
        <f t="shared" si="0"/>
        <v>-16141.439999999478</v>
      </c>
      <c r="H21" s="36">
        <f t="shared" si="1"/>
        <v>-5.7541169886004507E-3</v>
      </c>
      <c r="I21" s="36">
        <f t="shared" si="2"/>
        <v>0.29992789381563217</v>
      </c>
      <c r="J21" s="56">
        <f t="shared" si="3"/>
        <v>13</v>
      </c>
      <c r="K21" s="52" t="str">
        <f t="shared" si="4"/>
        <v>Amber</v>
      </c>
    </row>
    <row r="22" spans="1:11" x14ac:dyDescent="0.25">
      <c r="A22" s="55" t="str">
        <f>Sites!A19</f>
        <v>S018</v>
      </c>
      <c r="B22" s="55" t="str">
        <f>Sites!B19</f>
        <v>Newport Care &amp; Education Centre</v>
      </c>
      <c r="C22" s="55" t="str">
        <f>Sites!C19</f>
        <v>Wales</v>
      </c>
      <c r="D22" s="33">
        <f>SUMIFS(Finance_Raw!$E:$E,Finance_Raw!$B:$B,A22)</f>
        <v>4315403.6099999994</v>
      </c>
      <c r="E22" s="33">
        <f>SUMIFS(Finance_Raw!$L:$L,Finance_Raw!$B:$B,A22)</f>
        <v>3044657.3599999989</v>
      </c>
      <c r="F22" s="33">
        <f>SUMIFS(Finance_Raw!$K:$K,Finance_Raw!$B:$B,A22)</f>
        <v>3072059.44</v>
      </c>
      <c r="G22" s="33">
        <f t="shared" si="0"/>
        <v>27402.080000001006</v>
      </c>
      <c r="H22" s="36">
        <f t="shared" si="1"/>
        <v>8.9197753283058248E-3</v>
      </c>
      <c r="I22" s="36">
        <f t="shared" si="2"/>
        <v>0.2944675318561919</v>
      </c>
      <c r="J22" s="56">
        <f t="shared" si="3"/>
        <v>17</v>
      </c>
      <c r="K22" s="52" t="str">
        <f t="shared" si="4"/>
        <v>Green</v>
      </c>
    </row>
    <row r="23" spans="1:11" x14ac:dyDescent="0.25">
      <c r="A23" s="55" t="str">
        <f>Sites!A20</f>
        <v>S019</v>
      </c>
      <c r="B23" s="55" t="str">
        <f>Sites!B20</f>
        <v>Wrexham Care &amp; Education Centre</v>
      </c>
      <c r="C23" s="55" t="str">
        <f>Sites!C20</f>
        <v>Wales</v>
      </c>
      <c r="D23" s="33">
        <f>SUMIFS(Finance_Raw!$E:$E,Finance_Raw!$B:$B,A23)</f>
        <v>4448240.92</v>
      </c>
      <c r="E23" s="33">
        <f>SUMIFS(Finance_Raw!$L:$L,Finance_Raw!$B:$B,A23)</f>
        <v>3137624.123333334</v>
      </c>
      <c r="F23" s="33">
        <f>SUMIFS(Finance_Raw!$K:$K,Finance_Raw!$B:$B,A23)</f>
        <v>3162683.1500000004</v>
      </c>
      <c r="G23" s="33">
        <f t="shared" si="0"/>
        <v>25059.026666666381</v>
      </c>
      <c r="H23" s="36">
        <f t="shared" si="1"/>
        <v>7.923344033583123E-3</v>
      </c>
      <c r="I23" s="36">
        <f t="shared" si="2"/>
        <v>0.29463709817827627</v>
      </c>
      <c r="J23" s="56">
        <f t="shared" si="3"/>
        <v>16</v>
      </c>
      <c r="K23" s="52" t="str">
        <f t="shared" si="4"/>
        <v>Green</v>
      </c>
    </row>
    <row r="24" spans="1:11" x14ac:dyDescent="0.25">
      <c r="A24" s="55" t="str">
        <f>Sites!A21</f>
        <v>S020</v>
      </c>
      <c r="B24" s="55" t="str">
        <f>Sites!B21</f>
        <v>Bangor Care &amp; Education Centre</v>
      </c>
      <c r="C24" s="55" t="str">
        <f>Sites!C21</f>
        <v>Wales</v>
      </c>
      <c r="D24" s="33">
        <f>SUMIFS(Finance_Raw!$E:$E,Finance_Raw!$B:$B,A24)</f>
        <v>4785341.91</v>
      </c>
      <c r="E24" s="33">
        <f>SUMIFS(Finance_Raw!$L:$L,Finance_Raw!$B:$B,A24)</f>
        <v>3304982.7733333344</v>
      </c>
      <c r="F24" s="33">
        <f>SUMIFS(Finance_Raw!$K:$K,Finance_Raw!$B:$B,A24)</f>
        <v>3304204.2800000003</v>
      </c>
      <c r="G24" s="33">
        <f t="shared" si="0"/>
        <v>-778.49333333410323</v>
      </c>
      <c r="H24" s="36">
        <f t="shared" si="1"/>
        <v>-2.3560690180272486E-4</v>
      </c>
      <c r="I24" s="36">
        <f t="shared" si="2"/>
        <v>0.30935284552460868</v>
      </c>
      <c r="J24" s="56">
        <f t="shared" si="3"/>
        <v>2</v>
      </c>
      <c r="K24" s="52" t="str">
        <f t="shared" si="4"/>
        <v>Amber</v>
      </c>
    </row>
    <row r="25" spans="1:11" x14ac:dyDescent="0.25">
      <c r="A25" s="28" t="s">
        <v>148</v>
      </c>
      <c r="D25" s="57">
        <f>SUM(D5:D24)</f>
        <v>86476517.249999985</v>
      </c>
      <c r="E25" s="57">
        <f>SUM(E5:E24)</f>
        <v>60352964.743333347</v>
      </c>
      <c r="F25" s="57">
        <f>SUM(F5:F24)</f>
        <v>60401821.719999999</v>
      </c>
      <c r="G25" s="57">
        <f>SUM(G5:G24)</f>
        <v>48856.976666663308</v>
      </c>
      <c r="H25" s="58">
        <f t="shared" si="1"/>
        <v>8.0886594601642598E-4</v>
      </c>
      <c r="I25" s="58">
        <f t="shared" si="2"/>
        <v>0.30208839737549265</v>
      </c>
    </row>
    <row r="27" spans="1:11" x14ac:dyDescent="0.25">
      <c r="A27" s="28" t="str">
        <f>"Sites over budget: "&amp;COUNTIF(K5:K24,"Red")&amp;" red, "&amp;COUNTIF(K5:K24,"Amber")&amp;" amber. Weakest margin: "&amp;INDEX(B5:B24,MATCH(20,J5:J24,0))&amp;" ("&amp;TEXT(MIN(I5:I24),"0.0%")&amp;"); strongest: "&amp;INDEX(B5:B24,MATCH(1,J5:J24,0))&amp;" ("&amp;TEXT(MAX(I5:I24),"0.0%")&amp;")."</f>
        <v>Sites over budget: 0 red, 8 amber. Weakest margin: Brighton Care &amp; Education Centre (28.9%); strongest: Nottingham Care &amp; Education Centre (31.3%).</v>
      </c>
    </row>
  </sheetData>
  <conditionalFormatting sqref="G5:G24">
    <cfRule type="cellIs" dxfId="9" priority="6" operator="lessThan">
      <formula>0</formula>
    </cfRule>
  </conditionalFormatting>
  <conditionalFormatting sqref="I5:I24">
    <cfRule type="colorScale" priority="5">
      <colorScale>
        <cfvo type="min"/>
        <cfvo type="percentile" val="50"/>
        <cfvo type="max"/>
        <color rgb="FFF8696B"/>
        <color rgb="FFFFEB84"/>
        <color rgb="FF63BE7B"/>
      </colorScale>
    </cfRule>
  </conditionalFormatting>
  <conditionalFormatting sqref="K5:K24">
    <cfRule type="cellIs" dxfId="8" priority="2" operator="equal">
      <formula>"Red"</formula>
    </cfRule>
    <cfRule type="cellIs" dxfId="7" priority="3" operator="equal">
      <formula>"Amber"</formula>
    </cfRule>
    <cfRule type="cellIs" dxfId="6" priority="4" operator="equal">
      <formula>"Green"</formula>
    </cfRule>
  </conditionalFormatting>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34"/>
  <sheetViews>
    <sheetView showGridLines="0" zoomScaleNormal="100" workbookViewId="0">
      <pane xSplit="1" ySplit="4" topLeftCell="B5" activePane="bottomRight" state="frozen"/>
      <selection pane="topRight" activeCell="B1" sqref="B1"/>
      <selection pane="bottomLeft" activeCell="A5" sqref="A5"/>
      <selection pane="bottomRight"/>
    </sheetView>
  </sheetViews>
  <sheetFormatPr defaultColWidth="8.7109375" defaultRowHeight="15" x14ac:dyDescent="0.25"/>
  <cols>
    <col min="1" max="1" width="16" customWidth="1"/>
    <col min="2" max="3" width="13" customWidth="1"/>
    <col min="4" max="4" width="14" customWidth="1"/>
    <col min="5" max="6" width="13" customWidth="1"/>
    <col min="7" max="7" width="14" customWidth="1"/>
    <col min="8" max="8" width="13" customWidth="1"/>
    <col min="9" max="9" width="12" customWidth="1"/>
    <col min="10" max="10" width="13" customWidth="1"/>
    <col min="11" max="11" width="12" customWidth="1"/>
    <col min="12" max="14" width="13" customWidth="1"/>
    <col min="15" max="15" width="14" customWidth="1"/>
  </cols>
  <sheetData>
    <row r="1" spans="1:15" ht="21" x14ac:dyDescent="0.35">
      <c r="A1" s="15" t="s">
        <v>199</v>
      </c>
    </row>
    <row r="2" spans="1:15" x14ac:dyDescent="0.25">
      <c r="A2" s="16" t="s">
        <v>200</v>
      </c>
    </row>
    <row r="4" spans="1:15" ht="30" x14ac:dyDescent="0.25">
      <c r="A4" s="18" t="s">
        <v>78</v>
      </c>
      <c r="B4" s="18" t="s">
        <v>201</v>
      </c>
      <c r="C4" s="18" t="s">
        <v>202</v>
      </c>
      <c r="D4" s="18" t="s">
        <v>203</v>
      </c>
      <c r="E4" s="18" t="s">
        <v>204</v>
      </c>
      <c r="F4" s="18" t="s">
        <v>205</v>
      </c>
      <c r="G4" s="18" t="s">
        <v>206</v>
      </c>
      <c r="H4" s="18" t="s">
        <v>207</v>
      </c>
      <c r="I4" s="18" t="s">
        <v>208</v>
      </c>
      <c r="J4" s="18" t="s">
        <v>209</v>
      </c>
      <c r="K4" s="18" t="s">
        <v>210</v>
      </c>
      <c r="L4" s="18" t="s">
        <v>211</v>
      </c>
      <c r="M4" s="18" t="s">
        <v>212</v>
      </c>
      <c r="N4" s="18" t="s">
        <v>213</v>
      </c>
      <c r="O4" s="18" t="s">
        <v>214</v>
      </c>
    </row>
    <row r="5" spans="1:15" x14ac:dyDescent="0.25">
      <c r="A5" s="45">
        <v>45658</v>
      </c>
      <c r="B5" s="59">
        <f>SUMIFS(Fleet_Raw!$G:$G,Fleet_Raw!$A:$A,$A5)</f>
        <v>97426</v>
      </c>
      <c r="C5" s="33">
        <f>SUMIFS(Fleet_Raw!$I:$I,Fleet_Raw!$A:$A,$A5)</f>
        <v>15380.859999999999</v>
      </c>
      <c r="D5" s="33">
        <f>SUMIFS(Fleet_Raw!$L:$L,Fleet_Raw!$A:$A,$A5)</f>
        <v>70737.900000000023</v>
      </c>
      <c r="E5" s="60">
        <f t="shared" ref="E5:E17" si="0">IFERROR(D5/B5,0)</f>
        <v>0.72606799006425415</v>
      </c>
      <c r="F5" s="61">
        <f>SUMIFS(Workforce_Raw!$F:$F,Workforce_Raw!$A:$A,$A5)</f>
        <v>1059.6999999999996</v>
      </c>
      <c r="G5" s="33">
        <f>SUMIFS(Workforce_Raw!$L:$L,Workforce_Raw!$A:$A,$A5)</f>
        <v>3034099.2366666668</v>
      </c>
      <c r="H5" s="33">
        <f>SUMIFS(Workforce_Raw!$I:$I,Workforce_Raw!$A:$A,$A5)</f>
        <v>86782.569999999978</v>
      </c>
      <c r="I5" s="62">
        <f t="shared" ref="I5:I17" si="1">IFERROR(H5/G5,0)</f>
        <v>2.860241647710289E-2</v>
      </c>
      <c r="J5" s="59">
        <f>SUMIFS(Workforce_Raw!$J:$J,Workforce_Raw!$A:$A,$A5)</f>
        <v>512.70000000000005</v>
      </c>
      <c r="K5" s="63">
        <f t="shared" ref="K5:K17" si="2">IFERROR(J5/F5,0)</f>
        <v>0.48381617438897823</v>
      </c>
      <c r="L5" s="59">
        <f>SUMIFS(Agency_Raw!$G:$G,Agency_Raw!$A:$A,$A5)</f>
        <v>3650</v>
      </c>
      <c r="M5" s="33">
        <f>SUMIFS(Agency_Raw!$I:$I,Agency_Raw!$A:$A,$A5)</f>
        <v>107437</v>
      </c>
      <c r="N5" s="60">
        <f t="shared" ref="N5:N17" si="3">IFERROR(M5/L5,0)</f>
        <v>29.434794520547946</v>
      </c>
      <c r="O5" s="62">
        <f t="shared" ref="O5:O17" si="4">IFERROR(M5/(M5+G5),0)</f>
        <v>3.4198873387497906E-2</v>
      </c>
    </row>
    <row r="6" spans="1:15" x14ac:dyDescent="0.25">
      <c r="A6" s="45">
        <v>45689</v>
      </c>
      <c r="B6" s="59">
        <f>SUMIFS(Fleet_Raw!$G:$G,Fleet_Raw!$A:$A,$A6)</f>
        <v>100940</v>
      </c>
      <c r="C6" s="33">
        <f>SUMIFS(Fleet_Raw!$I:$I,Fleet_Raw!$A:$A,$A6)</f>
        <v>15703.059999999996</v>
      </c>
      <c r="D6" s="33">
        <f>SUMIFS(Fleet_Raw!$L:$L,Fleet_Raw!$A:$A,$A6)</f>
        <v>75544.399999999965</v>
      </c>
      <c r="E6" s="60">
        <f t="shared" si="0"/>
        <v>0.74840895581533551</v>
      </c>
      <c r="F6" s="61">
        <f>SUMIFS(Workforce_Raw!$F:$F,Workforce_Raw!$A:$A,$A6)</f>
        <v>1243.9000000000003</v>
      </c>
      <c r="G6" s="33">
        <f>SUMIFS(Workforce_Raw!$L:$L,Workforce_Raw!$A:$A,$A6)</f>
        <v>3447818.3566666674</v>
      </c>
      <c r="H6" s="33">
        <f>SUMIFS(Workforce_Raw!$I:$I,Workforce_Raw!$A:$A,$A6)</f>
        <v>96726.689999999973</v>
      </c>
      <c r="I6" s="62">
        <f t="shared" si="1"/>
        <v>2.8054462269733613E-2</v>
      </c>
      <c r="J6" s="59">
        <f>SUMIFS(Workforce_Raw!$J:$J,Workforce_Raw!$A:$A,$A6)</f>
        <v>621.49999999999977</v>
      </c>
      <c r="K6" s="63">
        <f t="shared" si="2"/>
        <v>0.49963823458477341</v>
      </c>
      <c r="L6" s="59">
        <f>SUMIFS(Agency_Raw!$G:$G,Agency_Raw!$A:$A,$A6)</f>
        <v>3915</v>
      </c>
      <c r="M6" s="33">
        <f>SUMIFS(Agency_Raw!$I:$I,Agency_Raw!$A:$A,$A6)</f>
        <v>121421</v>
      </c>
      <c r="N6" s="60">
        <f t="shared" si="3"/>
        <v>31.014303959131546</v>
      </c>
      <c r="O6" s="62">
        <f t="shared" si="4"/>
        <v>3.4018732807372089E-2</v>
      </c>
    </row>
    <row r="7" spans="1:15" x14ac:dyDescent="0.25">
      <c r="A7" s="45">
        <v>45717</v>
      </c>
      <c r="B7" s="59">
        <f>SUMIFS(Fleet_Raw!$G:$G,Fleet_Raw!$A:$A,$A7)</f>
        <v>101802</v>
      </c>
      <c r="C7" s="33">
        <f>SUMIFS(Fleet_Raw!$I:$I,Fleet_Raw!$A:$A,$A7)</f>
        <v>15989.059999999998</v>
      </c>
      <c r="D7" s="33">
        <f>SUMIFS(Fleet_Raw!$L:$L,Fleet_Raw!$A:$A,$A7)</f>
        <v>74481.709999999992</v>
      </c>
      <c r="E7" s="60">
        <f t="shared" si="0"/>
        <v>0.73163307204180661</v>
      </c>
      <c r="F7" s="61">
        <f>SUMIFS(Workforce_Raw!$F:$F,Workforce_Raw!$A:$A,$A7)</f>
        <v>1129.0000000000002</v>
      </c>
      <c r="G7" s="33">
        <f>SUMIFS(Workforce_Raw!$L:$L,Workforce_Raw!$A:$A,$A7)</f>
        <v>3105246.7966666687</v>
      </c>
      <c r="H7" s="33">
        <f>SUMIFS(Workforce_Raw!$I:$I,Workforce_Raw!$A:$A,$A7)</f>
        <v>96705.130000000063</v>
      </c>
      <c r="I7" s="62">
        <f t="shared" si="1"/>
        <v>3.1142494085754573E-2</v>
      </c>
      <c r="J7" s="59">
        <f>SUMIFS(Workforce_Raw!$J:$J,Workforce_Raw!$A:$A,$A7)</f>
        <v>567.50000000000023</v>
      </c>
      <c r="K7" s="63">
        <f t="shared" si="2"/>
        <v>0.50265721877767944</v>
      </c>
      <c r="L7" s="59">
        <f>SUMIFS(Agency_Raw!$G:$G,Agency_Raw!$A:$A,$A7)</f>
        <v>3446</v>
      </c>
      <c r="M7" s="33">
        <f>SUMIFS(Agency_Raw!$I:$I,Agency_Raw!$A:$A,$A7)</f>
        <v>103588</v>
      </c>
      <c r="N7" s="60">
        <f t="shared" si="3"/>
        <v>30.060359837492744</v>
      </c>
      <c r="O7" s="62">
        <f t="shared" si="4"/>
        <v>3.2282123126939101E-2</v>
      </c>
    </row>
    <row r="8" spans="1:15" x14ac:dyDescent="0.25">
      <c r="A8" s="45">
        <v>45748</v>
      </c>
      <c r="B8" s="59">
        <f>SUMIFS(Fleet_Raw!$G:$G,Fleet_Raw!$A:$A,$A8)</f>
        <v>108281</v>
      </c>
      <c r="C8" s="33">
        <f>SUMIFS(Fleet_Raw!$I:$I,Fleet_Raw!$A:$A,$A8)</f>
        <v>17231.370000000003</v>
      </c>
      <c r="D8" s="33">
        <f>SUMIFS(Fleet_Raw!$L:$L,Fleet_Raw!$A:$A,$A8)</f>
        <v>78410.890000000014</v>
      </c>
      <c r="E8" s="60">
        <f t="shared" si="0"/>
        <v>0.72414264737119172</v>
      </c>
      <c r="F8" s="61">
        <f>SUMIFS(Workforce_Raw!$F:$F,Workforce_Raw!$A:$A,$A8)</f>
        <v>1164.0000000000002</v>
      </c>
      <c r="G8" s="33">
        <f>SUMIFS(Workforce_Raw!$L:$L,Workforce_Raw!$A:$A,$A8)</f>
        <v>3307047.086666666</v>
      </c>
      <c r="H8" s="33">
        <f>SUMIFS(Workforce_Raw!$I:$I,Workforce_Raw!$A:$A,$A8)</f>
        <v>96930.420000000027</v>
      </c>
      <c r="I8" s="62">
        <f t="shared" si="1"/>
        <v>2.931026304125017E-2</v>
      </c>
      <c r="J8" s="59">
        <f>SUMIFS(Workforce_Raw!$J:$J,Workforce_Raw!$A:$A,$A8)</f>
        <v>575.00000000000023</v>
      </c>
      <c r="K8" s="63">
        <f t="shared" si="2"/>
        <v>0.49398625429553272</v>
      </c>
      <c r="L8" s="59">
        <f>SUMIFS(Agency_Raw!$G:$G,Agency_Raw!$A:$A,$A8)</f>
        <v>4275</v>
      </c>
      <c r="M8" s="33">
        <f>SUMIFS(Agency_Raw!$I:$I,Agency_Raw!$A:$A,$A8)</f>
        <v>132145</v>
      </c>
      <c r="N8" s="60">
        <f t="shared" si="3"/>
        <v>30.911111111111111</v>
      </c>
      <c r="O8" s="62">
        <f t="shared" si="4"/>
        <v>3.8423268218227842E-2</v>
      </c>
    </row>
    <row r="9" spans="1:15" x14ac:dyDescent="0.25">
      <c r="A9" s="45">
        <v>45778</v>
      </c>
      <c r="B9" s="59">
        <f>SUMIFS(Fleet_Raw!$G:$G,Fleet_Raw!$A:$A,$A9)</f>
        <v>107794</v>
      </c>
      <c r="C9" s="33">
        <f>SUMIFS(Fleet_Raw!$I:$I,Fleet_Raw!$A:$A,$A9)</f>
        <v>17162.949999999993</v>
      </c>
      <c r="D9" s="33">
        <f>SUMIFS(Fleet_Raw!$L:$L,Fleet_Raw!$A:$A,$A9)</f>
        <v>76044.299999999974</v>
      </c>
      <c r="E9" s="60">
        <f t="shared" si="0"/>
        <v>0.70545948754105026</v>
      </c>
      <c r="F9" s="61">
        <f>SUMIFS(Workforce_Raw!$F:$F,Workforce_Raw!$A:$A,$A9)</f>
        <v>1061.9999999999993</v>
      </c>
      <c r="G9" s="33">
        <f>SUMIFS(Workforce_Raw!$L:$L,Workforce_Raw!$A:$A,$A9)</f>
        <v>2990128.0633333325</v>
      </c>
      <c r="H9" s="33">
        <f>SUMIFS(Workforce_Raw!$I:$I,Workforce_Raw!$A:$A,$A9)</f>
        <v>87244.729999999981</v>
      </c>
      <c r="I9" s="62">
        <f t="shared" si="1"/>
        <v>2.9177589772774272E-2</v>
      </c>
      <c r="J9" s="59">
        <f>SUMIFS(Workforce_Raw!$J:$J,Workforce_Raw!$A:$A,$A9)</f>
        <v>541.70000000000016</v>
      </c>
      <c r="K9" s="63">
        <f t="shared" si="2"/>
        <v>0.51007532956685542</v>
      </c>
      <c r="L9" s="59">
        <f>SUMIFS(Agency_Raw!$G:$G,Agency_Raw!$A:$A,$A9)</f>
        <v>3122</v>
      </c>
      <c r="M9" s="33">
        <f>SUMIFS(Agency_Raw!$I:$I,Agency_Raw!$A:$A,$A9)</f>
        <v>99849</v>
      </c>
      <c r="N9" s="60">
        <f t="shared" si="3"/>
        <v>31.982383087764255</v>
      </c>
      <c r="O9" s="62">
        <f t="shared" si="4"/>
        <v>3.2313832094367473E-2</v>
      </c>
    </row>
    <row r="10" spans="1:15" x14ac:dyDescent="0.25">
      <c r="A10" s="45">
        <v>45809</v>
      </c>
      <c r="B10" s="59">
        <f>SUMIFS(Fleet_Raw!$G:$G,Fleet_Raw!$A:$A,$A10)</f>
        <v>98456</v>
      </c>
      <c r="C10" s="33">
        <f>SUMIFS(Fleet_Raw!$I:$I,Fleet_Raw!$A:$A,$A10)</f>
        <v>15588.25</v>
      </c>
      <c r="D10" s="33">
        <f>SUMIFS(Fleet_Raw!$L:$L,Fleet_Raw!$A:$A,$A10)</f>
        <v>71812.63</v>
      </c>
      <c r="E10" s="60">
        <f t="shared" si="0"/>
        <v>0.72938805151539776</v>
      </c>
      <c r="F10" s="61">
        <f>SUMIFS(Workforce_Raw!$F:$F,Workforce_Raw!$A:$A,$A10)</f>
        <v>1107.2</v>
      </c>
      <c r="G10" s="33">
        <f>SUMIFS(Workforce_Raw!$L:$L,Workforce_Raw!$A:$A,$A10)</f>
        <v>3139595.7133333324</v>
      </c>
      <c r="H10" s="33">
        <f>SUMIFS(Workforce_Raw!$I:$I,Workforce_Raw!$A:$A,$A10)</f>
        <v>93237.380000000019</v>
      </c>
      <c r="I10" s="62">
        <f t="shared" si="1"/>
        <v>2.9697256753166219E-2</v>
      </c>
      <c r="J10" s="59">
        <f>SUMIFS(Workforce_Raw!$J:$J,Workforce_Raw!$A:$A,$A10)</f>
        <v>555.5</v>
      </c>
      <c r="K10" s="63">
        <f t="shared" si="2"/>
        <v>0.50171604046242768</v>
      </c>
      <c r="L10" s="59">
        <f>SUMIFS(Agency_Raw!$G:$G,Agency_Raw!$A:$A,$A10)</f>
        <v>3325</v>
      </c>
      <c r="M10" s="33">
        <f>SUMIFS(Agency_Raw!$I:$I,Agency_Raw!$A:$A,$A10)</f>
        <v>106117</v>
      </c>
      <c r="N10" s="60">
        <f t="shared" si="3"/>
        <v>31.914887218045113</v>
      </c>
      <c r="O10" s="62">
        <f t="shared" si="4"/>
        <v>3.2694514078240249E-2</v>
      </c>
    </row>
    <row r="11" spans="1:15" x14ac:dyDescent="0.25">
      <c r="A11" s="45">
        <v>45839</v>
      </c>
      <c r="B11" s="59">
        <f>SUMIFS(Fleet_Raw!$G:$G,Fleet_Raw!$A:$A,$A11)</f>
        <v>89990</v>
      </c>
      <c r="C11" s="33">
        <f>SUMIFS(Fleet_Raw!$I:$I,Fleet_Raw!$A:$A,$A11)</f>
        <v>14538.669999999996</v>
      </c>
      <c r="D11" s="33">
        <f>SUMIFS(Fleet_Raw!$L:$L,Fleet_Raw!$A:$A,$A11)</f>
        <v>68464.210000000021</v>
      </c>
      <c r="E11" s="60">
        <f t="shared" si="0"/>
        <v>0.76079797755306167</v>
      </c>
      <c r="F11" s="61">
        <f>SUMIFS(Workforce_Raw!$F:$F,Workforce_Raw!$A:$A,$A11)</f>
        <v>1030.6000000000004</v>
      </c>
      <c r="G11" s="33">
        <f>SUMIFS(Workforce_Raw!$L:$L,Workforce_Raw!$A:$A,$A11)</f>
        <v>2935268.1999999993</v>
      </c>
      <c r="H11" s="33">
        <f>SUMIFS(Workforce_Raw!$I:$I,Workforce_Raw!$A:$A,$A11)</f>
        <v>76968.2</v>
      </c>
      <c r="I11" s="62">
        <f t="shared" si="1"/>
        <v>2.6221862792640216E-2</v>
      </c>
      <c r="J11" s="59">
        <f>SUMIFS(Workforce_Raw!$J:$J,Workforce_Raw!$A:$A,$A11)</f>
        <v>510.59999999999991</v>
      </c>
      <c r="K11" s="63">
        <f t="shared" si="2"/>
        <v>0.49543954977682875</v>
      </c>
      <c r="L11" s="59">
        <f>SUMIFS(Agency_Raw!$G:$G,Agency_Raw!$A:$A,$A11)</f>
        <v>3831</v>
      </c>
      <c r="M11" s="33">
        <f>SUMIFS(Agency_Raw!$I:$I,Agency_Raw!$A:$A,$A11)</f>
        <v>118232</v>
      </c>
      <c r="N11" s="60">
        <f t="shared" si="3"/>
        <v>30.861915948838423</v>
      </c>
      <c r="O11" s="62">
        <f t="shared" si="4"/>
        <v>3.8720154660543342E-2</v>
      </c>
    </row>
    <row r="12" spans="1:15" x14ac:dyDescent="0.25">
      <c r="A12" s="45">
        <v>45870</v>
      </c>
      <c r="B12" s="59">
        <f>SUMIFS(Fleet_Raw!$G:$G,Fleet_Raw!$A:$A,$A12)</f>
        <v>102951</v>
      </c>
      <c r="C12" s="33">
        <f>SUMIFS(Fleet_Raw!$I:$I,Fleet_Raw!$A:$A,$A12)</f>
        <v>16353.710000000003</v>
      </c>
      <c r="D12" s="33">
        <f>SUMIFS(Fleet_Raw!$L:$L,Fleet_Raw!$A:$A,$A12)</f>
        <v>76668.930000000008</v>
      </c>
      <c r="E12" s="60">
        <f t="shared" si="0"/>
        <v>0.74471282454760035</v>
      </c>
      <c r="F12" s="61">
        <f>SUMIFS(Workforce_Raw!$F:$F,Workforce_Raw!$A:$A,$A12)</f>
        <v>1169.8</v>
      </c>
      <c r="G12" s="33">
        <f>SUMIFS(Workforce_Raw!$L:$L,Workforce_Raw!$A:$A,$A12)</f>
        <v>3316445.333333334</v>
      </c>
      <c r="H12" s="33">
        <f>SUMIFS(Workforce_Raw!$I:$I,Workforce_Raw!$A:$A,$A12)</f>
        <v>99012.000000000015</v>
      </c>
      <c r="I12" s="62">
        <f t="shared" si="1"/>
        <v>2.9854856645709821E-2</v>
      </c>
      <c r="J12" s="59">
        <f>SUMIFS(Workforce_Raw!$J:$J,Workforce_Raw!$A:$A,$A12)</f>
        <v>581.00000000000011</v>
      </c>
      <c r="K12" s="63">
        <f t="shared" si="2"/>
        <v>0.49666609676867851</v>
      </c>
      <c r="L12" s="59">
        <f>SUMIFS(Agency_Raw!$G:$G,Agency_Raw!$A:$A,$A12)</f>
        <v>3215</v>
      </c>
      <c r="M12" s="33">
        <f>SUMIFS(Agency_Raw!$I:$I,Agency_Raw!$A:$A,$A12)</f>
        <v>99862</v>
      </c>
      <c r="N12" s="60">
        <f t="shared" si="3"/>
        <v>31.06127527216174</v>
      </c>
      <c r="O12" s="62">
        <f t="shared" si="4"/>
        <v>2.9230976682230576E-2</v>
      </c>
    </row>
    <row r="13" spans="1:15" x14ac:dyDescent="0.25">
      <c r="A13" s="45">
        <v>45901</v>
      </c>
      <c r="B13" s="59">
        <f>SUMIFS(Fleet_Raw!$G:$G,Fleet_Raw!$A:$A,$A13)</f>
        <v>96045</v>
      </c>
      <c r="C13" s="33">
        <f>SUMIFS(Fleet_Raw!$I:$I,Fleet_Raw!$A:$A,$A13)</f>
        <v>15328.049999999996</v>
      </c>
      <c r="D13" s="33">
        <f>SUMIFS(Fleet_Raw!$L:$L,Fleet_Raw!$A:$A,$A13)</f>
        <v>67510.39</v>
      </c>
      <c r="E13" s="60">
        <f t="shared" si="0"/>
        <v>0.702903743037118</v>
      </c>
      <c r="F13" s="61">
        <f>SUMIFS(Workforce_Raw!$F:$F,Workforce_Raw!$A:$A,$A13)</f>
        <v>1113.6999999999998</v>
      </c>
      <c r="G13" s="33">
        <f>SUMIFS(Workforce_Raw!$L:$L,Workforce_Raw!$A:$A,$A13)</f>
        <v>3167691.6966666668</v>
      </c>
      <c r="H13" s="33">
        <f>SUMIFS(Workforce_Raw!$I:$I,Workforce_Raw!$A:$A,$A13)</f>
        <v>87250.029999999955</v>
      </c>
      <c r="I13" s="62">
        <f t="shared" si="1"/>
        <v>2.7543725322704975E-2</v>
      </c>
      <c r="J13" s="59">
        <f>SUMIFS(Workforce_Raw!$J:$J,Workforce_Raw!$A:$A,$A13)</f>
        <v>533.30000000000041</v>
      </c>
      <c r="K13" s="63">
        <f t="shared" si="2"/>
        <v>0.47885426955194443</v>
      </c>
      <c r="L13" s="59">
        <f>SUMIFS(Agency_Raw!$G:$G,Agency_Raw!$A:$A,$A13)</f>
        <v>3980</v>
      </c>
      <c r="M13" s="33">
        <f>SUMIFS(Agency_Raw!$I:$I,Agency_Raw!$A:$A,$A13)</f>
        <v>120617</v>
      </c>
      <c r="N13" s="60">
        <f t="shared" si="3"/>
        <v>30.305778894472361</v>
      </c>
      <c r="O13" s="62">
        <f t="shared" si="4"/>
        <v>3.6680558647753637E-2</v>
      </c>
    </row>
    <row r="14" spans="1:15" x14ac:dyDescent="0.25">
      <c r="A14" s="45">
        <v>45931</v>
      </c>
      <c r="B14" s="59">
        <f>SUMIFS(Fleet_Raw!$G:$G,Fleet_Raw!$A:$A,$A14)</f>
        <v>104371</v>
      </c>
      <c r="C14" s="33">
        <f>SUMIFS(Fleet_Raw!$I:$I,Fleet_Raw!$A:$A,$A14)</f>
        <v>16513.499999999996</v>
      </c>
      <c r="D14" s="33">
        <f>SUMIFS(Fleet_Raw!$L:$L,Fleet_Raw!$A:$A,$A14)</f>
        <v>74269.95</v>
      </c>
      <c r="E14" s="60">
        <f t="shared" si="0"/>
        <v>0.71159565396518187</v>
      </c>
      <c r="F14" s="61">
        <f>SUMIFS(Workforce_Raw!$F:$F,Workforce_Raw!$A:$A,$A14)</f>
        <v>1177.8000000000002</v>
      </c>
      <c r="G14" s="33">
        <f>SUMIFS(Workforce_Raw!$L:$L,Workforce_Raw!$A:$A,$A14)</f>
        <v>3324296.646666667</v>
      </c>
      <c r="H14" s="33">
        <f>SUMIFS(Workforce_Raw!$I:$I,Workforce_Raw!$A:$A,$A14)</f>
        <v>108904.98000000001</v>
      </c>
      <c r="I14" s="62">
        <f t="shared" si="1"/>
        <v>3.2760307389895854E-2</v>
      </c>
      <c r="J14" s="59">
        <f>SUMIFS(Workforce_Raw!$J:$J,Workforce_Raw!$A:$A,$A14)</f>
        <v>587.30000000000007</v>
      </c>
      <c r="K14" s="63">
        <f t="shared" si="2"/>
        <v>0.49864153506537612</v>
      </c>
      <c r="L14" s="59">
        <f>SUMIFS(Agency_Raw!$G:$G,Agency_Raw!$A:$A,$A14)</f>
        <v>3462</v>
      </c>
      <c r="M14" s="33">
        <f>SUMIFS(Agency_Raw!$I:$I,Agency_Raw!$A:$A,$A14)</f>
        <v>103394</v>
      </c>
      <c r="N14" s="60">
        <f t="shared" si="3"/>
        <v>29.865395725014441</v>
      </c>
      <c r="O14" s="62">
        <f t="shared" si="4"/>
        <v>3.0164332391123969E-2</v>
      </c>
    </row>
    <row r="15" spans="1:15" x14ac:dyDescent="0.25">
      <c r="A15" s="45">
        <v>45962</v>
      </c>
      <c r="B15" s="59">
        <f>SUMIFS(Fleet_Raw!$G:$G,Fleet_Raw!$A:$A,$A15)</f>
        <v>99939</v>
      </c>
      <c r="C15" s="33">
        <f>SUMIFS(Fleet_Raw!$I:$I,Fleet_Raw!$A:$A,$A15)</f>
        <v>15667.099999999997</v>
      </c>
      <c r="D15" s="33">
        <f>SUMIFS(Fleet_Raw!$L:$L,Fleet_Raw!$A:$A,$A15)</f>
        <v>74181.370000000024</v>
      </c>
      <c r="E15" s="60">
        <f t="shared" si="0"/>
        <v>0.74226648255435845</v>
      </c>
      <c r="F15" s="61">
        <f>SUMIFS(Workforce_Raw!$F:$F,Workforce_Raw!$A:$A,$A15)</f>
        <v>1095.2000000000003</v>
      </c>
      <c r="G15" s="33">
        <f>SUMIFS(Workforce_Raw!$L:$L,Workforce_Raw!$A:$A,$A15)</f>
        <v>3031071.7066666661</v>
      </c>
      <c r="H15" s="33">
        <f>SUMIFS(Workforce_Raw!$I:$I,Workforce_Raw!$A:$A,$A15)</f>
        <v>91455.040000000023</v>
      </c>
      <c r="I15" s="62">
        <f t="shared" si="1"/>
        <v>3.017250954467688E-2</v>
      </c>
      <c r="J15" s="59">
        <f>SUMIFS(Workforce_Raw!$J:$J,Workforce_Raw!$A:$A,$A15)</f>
        <v>538.4</v>
      </c>
      <c r="K15" s="63">
        <f t="shared" si="2"/>
        <v>0.49159970781592388</v>
      </c>
      <c r="L15" s="59">
        <f>SUMIFS(Agency_Raw!$G:$G,Agency_Raw!$A:$A,$A15)</f>
        <v>3417</v>
      </c>
      <c r="M15" s="33">
        <f>SUMIFS(Agency_Raw!$I:$I,Agency_Raw!$A:$A,$A15)</f>
        <v>109315</v>
      </c>
      <c r="N15" s="60">
        <f t="shared" si="3"/>
        <v>31.991513023119694</v>
      </c>
      <c r="O15" s="62">
        <f t="shared" si="4"/>
        <v>3.4809407315327535E-2</v>
      </c>
    </row>
    <row r="16" spans="1:15" x14ac:dyDescent="0.25">
      <c r="A16" s="45">
        <v>45992</v>
      </c>
      <c r="B16" s="59">
        <f>SUMIFS(Fleet_Raw!$G:$G,Fleet_Raw!$A:$A,$A16)</f>
        <v>104534</v>
      </c>
      <c r="C16" s="33">
        <f>SUMIFS(Fleet_Raw!$I:$I,Fleet_Raw!$A:$A,$A16)</f>
        <v>16488.050000000003</v>
      </c>
      <c r="D16" s="33">
        <f>SUMIFS(Fleet_Raw!$L:$L,Fleet_Raw!$A:$A,$A16)</f>
        <v>73880.680000000008</v>
      </c>
      <c r="E16" s="60">
        <f t="shared" si="0"/>
        <v>0.70676220177167248</v>
      </c>
      <c r="F16" s="61">
        <f>SUMIFS(Workforce_Raw!$F:$F,Workforce_Raw!$A:$A,$A16)</f>
        <v>1206.5</v>
      </c>
      <c r="G16" s="33">
        <f>SUMIFS(Workforce_Raw!$L:$L,Workforce_Raw!$A:$A,$A16)</f>
        <v>3324937.2866666671</v>
      </c>
      <c r="H16" s="33">
        <f>SUMIFS(Workforce_Raw!$I:$I,Workforce_Raw!$A:$A,$A16)</f>
        <v>95670.620000000054</v>
      </c>
      <c r="I16" s="62">
        <f t="shared" si="1"/>
        <v>2.8773661501421053E-2</v>
      </c>
      <c r="J16" s="59">
        <f>SUMIFS(Workforce_Raw!$J:$J,Workforce_Raw!$A:$A,$A16)</f>
        <v>596.39999999999986</v>
      </c>
      <c r="K16" s="63">
        <f t="shared" si="2"/>
        <v>0.4943224202237877</v>
      </c>
      <c r="L16" s="59">
        <f>SUMIFS(Agency_Raw!$G:$G,Agency_Raw!$A:$A,$A16)</f>
        <v>3898</v>
      </c>
      <c r="M16" s="33">
        <f>SUMIFS(Agency_Raw!$I:$I,Agency_Raw!$A:$A,$A16)</f>
        <v>119109</v>
      </c>
      <c r="N16" s="60">
        <f t="shared" si="3"/>
        <v>30.556439199589533</v>
      </c>
      <c r="O16" s="62">
        <f t="shared" si="4"/>
        <v>3.4584029971118674E-2</v>
      </c>
    </row>
    <row r="17" spans="1:15" x14ac:dyDescent="0.25">
      <c r="A17" s="41" t="s">
        <v>215</v>
      </c>
      <c r="B17" s="64">
        <f>SUM(B5:B16)</f>
        <v>1212529</v>
      </c>
      <c r="C17" s="44">
        <f>SUM(C5:C16)</f>
        <v>191944.63</v>
      </c>
      <c r="D17" s="44">
        <f>SUM(D5:D16)</f>
        <v>882007.3600000001</v>
      </c>
      <c r="E17" s="65">
        <f t="shared" si="0"/>
        <v>0.72741135263568957</v>
      </c>
      <c r="F17" s="66">
        <f>AVERAGE(F5:F16)</f>
        <v>1129.9499999999998</v>
      </c>
      <c r="G17" s="44">
        <f>SUM(G5:G16)</f>
        <v>38123646.123333335</v>
      </c>
      <c r="H17" s="44">
        <f>SUM(H5:H16)</f>
        <v>1116887.79</v>
      </c>
      <c r="I17" s="67">
        <f t="shared" si="1"/>
        <v>2.9296457804344585E-2</v>
      </c>
      <c r="J17" s="64">
        <f>SUM(J5:J16)</f>
        <v>6720.9000000000005</v>
      </c>
      <c r="K17" s="68">
        <f t="shared" si="2"/>
        <v>5.9479622992167807</v>
      </c>
      <c r="L17" s="64">
        <f>SUM(L5:L16)</f>
        <v>43536</v>
      </c>
      <c r="M17" s="44">
        <f>SUM(M5:M16)</f>
        <v>1341086</v>
      </c>
      <c r="N17" s="65">
        <f t="shared" si="3"/>
        <v>30.804070194781332</v>
      </c>
      <c r="O17" s="67">
        <f t="shared" si="4"/>
        <v>3.3981885289602394E-2</v>
      </c>
    </row>
    <row r="20" spans="1:15" ht="15.75" x14ac:dyDescent="0.25">
      <c r="A20" s="17" t="s">
        <v>216</v>
      </c>
      <c r="J20" s="17" t="s">
        <v>217</v>
      </c>
    </row>
    <row r="21" spans="1:15" ht="30" x14ac:dyDescent="0.25">
      <c r="A21" s="18" t="s">
        <v>75</v>
      </c>
      <c r="B21" s="18" t="s">
        <v>218</v>
      </c>
      <c r="C21" s="18" t="s">
        <v>204</v>
      </c>
      <c r="D21" s="18" t="s">
        <v>135</v>
      </c>
      <c r="E21" s="18" t="s">
        <v>208</v>
      </c>
      <c r="F21" s="18" t="s">
        <v>212</v>
      </c>
      <c r="G21" s="18" t="s">
        <v>214</v>
      </c>
      <c r="H21" s="18" t="s">
        <v>210</v>
      </c>
      <c r="J21" s="18" t="s">
        <v>219</v>
      </c>
      <c r="K21" s="18" t="s">
        <v>201</v>
      </c>
      <c r="L21" s="18" t="s">
        <v>220</v>
      </c>
      <c r="M21" s="18" t="s">
        <v>204</v>
      </c>
    </row>
    <row r="22" spans="1:15" x14ac:dyDescent="0.25">
      <c r="A22" s="20" t="s">
        <v>221</v>
      </c>
      <c r="B22" s="33">
        <f>SUMIFS(Fleet_Raw!$L:$L,Fleet_Raw!$D:$D,A22)</f>
        <v>217356.61000000007</v>
      </c>
      <c r="C22" s="60">
        <f>IFERROR(B22/SUMIFS(Fleet_Raw!$G:$G,Fleet_Raw!$D:$D,A22),0)</f>
        <v>0.70925415554496885</v>
      </c>
      <c r="D22" s="33">
        <f>SUMIFS(Workforce_Raw!$L:$L,Workforce_Raw!$D:$D,A22)</f>
        <v>9715709.9766666703</v>
      </c>
      <c r="E22" s="62">
        <f>IFERROR(SUMIFS(Workforce_Raw!$I:$I,Workforce_Raw!$D:$D,A22)/D22,0)</f>
        <v>3.0082033191801107E-2</v>
      </c>
      <c r="F22" s="33">
        <f>SUMIFS(Agency_Raw!$I:$I,Agency_Raw!$D:$D,A22)</f>
        <v>344891</v>
      </c>
      <c r="G22" s="62">
        <f>IFERROR(F22/(F22+D22),0)</f>
        <v>3.428135166079025E-2</v>
      </c>
      <c r="H22" s="69">
        <f>IFERROR(SUMIFS(Workforce_Raw!$J:$J,Workforce_Raw!$D:$D,A22)/(SUMIFS(Workforce_Raw!$F:$F,Workforce_Raw!$D:$D,A22)/12),0)</f>
        <v>5.9661134764097623</v>
      </c>
      <c r="J22" s="20" t="s">
        <v>222</v>
      </c>
      <c r="K22" s="59">
        <f>SUMIFS(Fleet_Raw!$G:$G,Fleet_Raw!$F:$F,J22)</f>
        <v>280500</v>
      </c>
      <c r="L22" s="33">
        <f>SUMIFS(Fleet_Raw!$L:$L,Fleet_Raw!$F:$F,J22)</f>
        <v>192618.59000000005</v>
      </c>
      <c r="M22" s="60">
        <f>IFERROR(L22/K22,0)</f>
        <v>0.68669729055258488</v>
      </c>
    </row>
    <row r="23" spans="1:15" x14ac:dyDescent="0.25">
      <c r="A23" s="20" t="s">
        <v>223</v>
      </c>
      <c r="B23" s="33">
        <f>SUMIFS(Fleet_Raw!$L:$L,Fleet_Raw!$D:$D,A23)</f>
        <v>211540.15</v>
      </c>
      <c r="C23" s="60">
        <f>IFERROR(B23/SUMIFS(Fleet_Raw!$G:$G,Fleet_Raw!$D:$D,A23),0)</f>
        <v>0.7440449015338837</v>
      </c>
      <c r="D23" s="33">
        <f>SUMIFS(Workforce_Raw!$L:$L,Workforce_Raw!$D:$D,A23)</f>
        <v>9763624.4666666612</v>
      </c>
      <c r="E23" s="62">
        <f>IFERROR(SUMIFS(Workforce_Raw!$I:$I,Workforce_Raw!$D:$D,A23)/D23,0)</f>
        <v>2.9567175692343822E-2</v>
      </c>
      <c r="F23" s="33">
        <f>SUMIFS(Agency_Raw!$I:$I,Agency_Raw!$D:$D,A23)</f>
        <v>361621</v>
      </c>
      <c r="G23" s="62">
        <f>IFERROR(F23/(F23+D23),0)</f>
        <v>3.5714788465177776E-2</v>
      </c>
      <c r="H23" s="69">
        <f>IFERROR(SUMIFS(Workforce_Raw!$J:$J,Workforce_Raw!$D:$D,A23)/(SUMIFS(Workforce_Raw!$F:$F,Workforce_Raw!$D:$D,A23)/12),0)</f>
        <v>5.8570723922820243</v>
      </c>
      <c r="J23" s="20" t="s">
        <v>224</v>
      </c>
      <c r="K23" s="59">
        <f>SUMIFS(Fleet_Raw!$G:$G,Fleet_Raw!$F:$F,J23)</f>
        <v>323951</v>
      </c>
      <c r="L23" s="33">
        <f>SUMIFS(Fleet_Raw!$L:$L,Fleet_Raw!$F:$F,J23)</f>
        <v>234814.64999999997</v>
      </c>
      <c r="M23" s="60">
        <f>IFERROR(L23/K23,0)</f>
        <v>0.72484619587530197</v>
      </c>
    </row>
    <row r="24" spans="1:15" x14ac:dyDescent="0.25">
      <c r="A24" s="20" t="s">
        <v>225</v>
      </c>
      <c r="B24" s="33">
        <f>SUMIFS(Fleet_Raw!$L:$L,Fleet_Raw!$D:$D,A24)</f>
        <v>215339.99999999997</v>
      </c>
      <c r="C24" s="60">
        <f>IFERROR(B24/SUMIFS(Fleet_Raw!$G:$G,Fleet_Raw!$D:$D,A24),0)</f>
        <v>0.74304110638385956</v>
      </c>
      <c r="D24" s="33">
        <f>SUMIFS(Workforce_Raw!$L:$L,Workforce_Raw!$D:$D,A24)</f>
        <v>9333500.1000000015</v>
      </c>
      <c r="E24" s="62">
        <f>IFERROR(SUMIFS(Workforce_Raw!$I:$I,Workforce_Raw!$D:$D,A24)/D24,0)</f>
        <v>2.902181358523797E-2</v>
      </c>
      <c r="F24" s="33">
        <f>SUMIFS(Agency_Raw!$I:$I,Agency_Raw!$D:$D,A24)</f>
        <v>327359</v>
      </c>
      <c r="G24" s="62">
        <f>IFERROR(F24/(F24+D24),0)</f>
        <v>3.3885081710797328E-2</v>
      </c>
      <c r="H24" s="69">
        <f>IFERROR(SUMIFS(Workforce_Raw!$J:$J,Workforce_Raw!$D:$D,A24)/(SUMIFS(Workforce_Raw!$F:$F,Workforce_Raw!$D:$D,A24)/12),0)</f>
        <v>5.933522008791468</v>
      </c>
      <c r="J24" s="20" t="s">
        <v>226</v>
      </c>
      <c r="K24" s="59">
        <f>SUMIFS(Fleet_Raw!$G:$G,Fleet_Raw!$F:$F,J24)</f>
        <v>297722</v>
      </c>
      <c r="L24" s="33">
        <f>SUMIFS(Fleet_Raw!$L:$L,Fleet_Raw!$F:$F,J24)</f>
        <v>202570.99999999985</v>
      </c>
      <c r="M24" s="60">
        <f>IFERROR(L24/K24,0)</f>
        <v>0.68040319492681045</v>
      </c>
    </row>
    <row r="25" spans="1:15" x14ac:dyDescent="0.25">
      <c r="A25" s="20" t="s">
        <v>227</v>
      </c>
      <c r="B25" s="33">
        <f>SUMIFS(Fleet_Raw!$L:$L,Fleet_Raw!$D:$D,A25)</f>
        <v>237770.59999999992</v>
      </c>
      <c r="C25" s="60">
        <f>IFERROR(B25/SUMIFS(Fleet_Raw!$G:$G,Fleet_Raw!$D:$D,A25),0)</f>
        <v>0.71628222237619388</v>
      </c>
      <c r="D25" s="33">
        <f>SUMIFS(Workforce_Raw!$L:$L,Workforce_Raw!$D:$D,A25)</f>
        <v>9310811.5799999982</v>
      </c>
      <c r="E25" s="62">
        <f>IFERROR(SUMIFS(Workforce_Raw!$I:$I,Workforce_Raw!$D:$D,A25)/D25,0)</f>
        <v>2.8468149926840221E-2</v>
      </c>
      <c r="F25" s="33">
        <f>SUMIFS(Agency_Raw!$I:$I,Agency_Raw!$D:$D,A25)</f>
        <v>307215</v>
      </c>
      <c r="G25" s="62">
        <f>IFERROR(F25/(F25+D25),0)</f>
        <v>3.1941583592504486E-2</v>
      </c>
      <c r="H25" s="69">
        <f>IFERROR(SUMIFS(Workforce_Raw!$J:$J,Workforce_Raw!$D:$D,A25)/(SUMIFS(Workforce_Raw!$F:$F,Workforce_Raw!$D:$D,A25)/12),0)</f>
        <v>6.0373786989337361</v>
      </c>
      <c r="J25" s="20" t="s">
        <v>228</v>
      </c>
      <c r="K25" s="59">
        <f>SUMIFS(Fleet_Raw!$G:$G,Fleet_Raw!$F:$F,J25)</f>
        <v>310356</v>
      </c>
      <c r="L25" s="33">
        <f>SUMIFS(Fleet_Raw!$L:$L,Fleet_Raw!$F:$F,J25)</f>
        <v>252003.12000000002</v>
      </c>
      <c r="M25" s="60">
        <f>IFERROR(L25/K25,0)</f>
        <v>0.81198082202374056</v>
      </c>
    </row>
    <row r="28" spans="1:15" ht="15.75" x14ac:dyDescent="0.25">
      <c r="A28" s="17" t="s">
        <v>229</v>
      </c>
    </row>
    <row r="29" spans="1:15" ht="45" x14ac:dyDescent="0.25">
      <c r="A29" s="18" t="s">
        <v>131</v>
      </c>
      <c r="B29" s="18" t="s">
        <v>230</v>
      </c>
      <c r="C29" s="18" t="s">
        <v>231</v>
      </c>
      <c r="D29" s="18" t="s">
        <v>232</v>
      </c>
      <c r="E29" s="18" t="s">
        <v>233</v>
      </c>
    </row>
    <row r="30" spans="1:15" x14ac:dyDescent="0.25">
      <c r="A30" s="20" t="s">
        <v>234</v>
      </c>
      <c r="B30" s="60">
        <f>IFERROR(SUMIFS(Agency_Raw!$I:$I,Agency_Raw!$E:$E,$A30,Agency_Raw!$F:$F,B$29)/SUMIFS(Agency_Raw!$G:$G,Agency_Raw!$E:$E,$A30,Agency_Raw!$F:$F,B$29),0)</f>
        <v>42</v>
      </c>
      <c r="C30" s="60">
        <f>IFERROR(SUMIFS(Agency_Raw!$I:$I,Agency_Raw!$E:$E,$A30,Agency_Raw!$F:$F,C$29)/SUMIFS(Agency_Raw!$G:$G,Agency_Raw!$E:$E,$A30,Agency_Raw!$F:$F,C$29),0)</f>
        <v>28</v>
      </c>
      <c r="D30" s="60">
        <f>IFERROR(SUMIFS(Agency_Raw!$I:$I,Agency_Raw!$E:$E,$A30,Agency_Raw!$F:$F,D$29)/SUMIFS(Agency_Raw!$G:$G,Agency_Raw!$E:$E,$A30,Agency_Raw!$F:$F,D$29),0)</f>
        <v>23</v>
      </c>
      <c r="E30" s="33">
        <f>SUMIFS(Agency_Raw!$I:$I,Agency_Raw!$E:$E,$A30)</f>
        <v>347539</v>
      </c>
    </row>
    <row r="31" spans="1:15" x14ac:dyDescent="0.25">
      <c r="A31" s="20" t="s">
        <v>235</v>
      </c>
      <c r="B31" s="60">
        <f>IFERROR(SUMIFS(Agency_Raw!$I:$I,Agency_Raw!$E:$E,$A31,Agency_Raw!$F:$F,B$29)/SUMIFS(Agency_Raw!$G:$G,Agency_Raw!$E:$E,$A31,Agency_Raw!$F:$F,B$29),0)</f>
        <v>42</v>
      </c>
      <c r="C31" s="60">
        <f>IFERROR(SUMIFS(Agency_Raw!$I:$I,Agency_Raw!$E:$E,$A31,Agency_Raw!$F:$F,C$29)/SUMIFS(Agency_Raw!$G:$G,Agency_Raw!$E:$E,$A31,Agency_Raw!$F:$F,C$29),0)</f>
        <v>28</v>
      </c>
      <c r="D31" s="60">
        <f>IFERROR(SUMIFS(Agency_Raw!$I:$I,Agency_Raw!$E:$E,$A31,Agency_Raw!$F:$F,D$29)/SUMIFS(Agency_Raw!$G:$G,Agency_Raw!$E:$E,$A31,Agency_Raw!$F:$F,D$29),0)</f>
        <v>23</v>
      </c>
      <c r="E31" s="33">
        <f>SUMIFS(Agency_Raw!$I:$I,Agency_Raw!$E:$E,$A31)</f>
        <v>514753</v>
      </c>
    </row>
    <row r="32" spans="1:15" x14ac:dyDescent="0.25">
      <c r="A32" s="20" t="s">
        <v>236</v>
      </c>
      <c r="B32" s="60">
        <f>IFERROR(SUMIFS(Agency_Raw!$I:$I,Agency_Raw!$E:$E,$A32,Agency_Raw!$F:$F,B$29)/SUMIFS(Agency_Raw!$G:$G,Agency_Raw!$E:$E,$A32,Agency_Raw!$F:$F,B$29),0)</f>
        <v>42</v>
      </c>
      <c r="C32" s="60">
        <f>IFERROR(SUMIFS(Agency_Raw!$I:$I,Agency_Raw!$E:$E,$A32,Agency_Raw!$F:$F,C$29)/SUMIFS(Agency_Raw!$G:$G,Agency_Raw!$E:$E,$A32,Agency_Raw!$F:$F,C$29),0)</f>
        <v>28</v>
      </c>
      <c r="D32" s="60">
        <f>IFERROR(SUMIFS(Agency_Raw!$I:$I,Agency_Raw!$E:$E,$A32,Agency_Raw!$F:$F,D$29)/SUMIFS(Agency_Raw!$G:$G,Agency_Raw!$E:$E,$A32,Agency_Raw!$F:$F,D$29),0)</f>
        <v>23</v>
      </c>
      <c r="E32" s="33">
        <f>SUMIFS(Agency_Raw!$I:$I,Agency_Raw!$E:$E,$A32)</f>
        <v>478794</v>
      </c>
    </row>
    <row r="34" spans="1:1" x14ac:dyDescent="0.25">
      <c r="A34" s="28" t="str">
        <f>IF(AND(MAX(B30:B32)=MIN(B30:B32),MAX(C30:C32)=MIN(C30:C32),MAX(D30:D32)=MIN(D30:D32)),"All three agencies charge identical rates by role, so the lever is volume and grade mix rather than rate: registered nurses are "&amp;TEXT(SUMIFS(Agency_Raw!$I:$I,Agency_Raw!$F:$F,"Registered Nurse")/SUM(Agency_Raw!$I:$I),"0%")&amp;" of agency spend.","Nurse rates range from "&amp;TEXT(MIN(B30:B32),"£0.00")&amp;" to "&amp;TEXT(MAX(B30:B32),"£0.00")&amp;"/hr across agencies: a rate-card conversation worth having.")</f>
        <v>All three agencies charge identical rates by role, so the lever is volume and grade mix rather than rate: registered nurses are 44% of agency spend.</v>
      </c>
    </row>
  </sheetData>
  <conditionalFormatting sqref="B30:D32">
    <cfRule type="colorScale" priority="5">
      <colorScale>
        <cfvo type="min"/>
        <cfvo type="max"/>
        <color rgb="FFC6EFCE"/>
        <color rgb="FFF8696B"/>
      </colorScale>
    </cfRule>
  </conditionalFormatting>
  <conditionalFormatting sqref="E5:E16">
    <cfRule type="colorScale" priority="2">
      <colorScale>
        <cfvo type="min"/>
        <cfvo type="percentile" val="50"/>
        <cfvo type="max"/>
        <color rgb="FFC6EFCE"/>
        <color rgb="FFFFEB84"/>
        <color rgb="FFF8696B"/>
      </colorScale>
    </cfRule>
  </conditionalFormatting>
  <conditionalFormatting sqref="I5:I16">
    <cfRule type="colorScale" priority="3">
      <colorScale>
        <cfvo type="min"/>
        <cfvo type="percentile" val="50"/>
        <cfvo type="max"/>
        <color rgb="FFC6EFCE"/>
        <color rgb="FFFFEB84"/>
        <color rgb="FFF8696B"/>
      </colorScale>
    </cfRule>
  </conditionalFormatting>
  <conditionalFormatting sqref="O5:O16">
    <cfRule type="colorScale" priority="4">
      <colorScale>
        <cfvo type="min"/>
        <cfvo type="percentile" val="50"/>
        <cfvo type="max"/>
        <color rgb="FFC6EFCE"/>
        <color rgb="FFFFEB84"/>
        <color rgb="FFF8696B"/>
      </colorScale>
    </cfRule>
  </conditionalFormatting>
  <pageMargins left="0.75" right="0.75" top="1" bottom="1" header="0.511811023622047" footer="0.511811023622047"/>
  <pageSetup paperSize="9" orientation="portrait" horizontalDpi="300" verticalDpi="300"/>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0"/>
  <sheetViews>
    <sheetView showGridLines="0" zoomScaleNormal="100" workbookViewId="0">
      <pane ySplit="4" topLeftCell="A5" activePane="bottomLeft" state="frozen"/>
      <selection pane="bottomLeft"/>
    </sheetView>
  </sheetViews>
  <sheetFormatPr defaultColWidth="8.7109375" defaultRowHeight="15" x14ac:dyDescent="0.25"/>
  <cols>
    <col min="1" max="1" width="20" customWidth="1"/>
    <col min="2" max="2" width="18" customWidth="1"/>
    <col min="3" max="3" width="11" customWidth="1"/>
    <col min="4" max="4" width="14" customWidth="1"/>
    <col min="5" max="5" width="9" customWidth="1"/>
    <col min="6" max="6" width="12" customWidth="1"/>
    <col min="7" max="7" width="9" customWidth="1"/>
    <col min="8" max="8" width="7" customWidth="1"/>
    <col min="9" max="9" width="10" customWidth="1"/>
    <col min="10" max="10" width="3" customWidth="1"/>
    <col min="11" max="11" width="7" customWidth="1"/>
    <col min="12" max="12" width="20" customWidth="1"/>
    <col min="13" max="13" width="14" customWidth="1"/>
    <col min="14" max="14" width="9" customWidth="1"/>
    <col min="15" max="15" width="12" customWidth="1"/>
    <col min="16" max="16" width="11" customWidth="1"/>
  </cols>
  <sheetData>
    <row r="1" spans="1:16" ht="21" x14ac:dyDescent="0.35">
      <c r="A1" s="15" t="s">
        <v>237</v>
      </c>
    </row>
    <row r="2" spans="1:16" x14ac:dyDescent="0.25">
      <c r="A2" s="16" t="s">
        <v>238</v>
      </c>
    </row>
    <row r="4" spans="1:16" ht="30" x14ac:dyDescent="0.25">
      <c r="A4" s="18" t="s">
        <v>239</v>
      </c>
      <c r="B4" s="18" t="s">
        <v>77</v>
      </c>
      <c r="C4" s="18" t="s">
        <v>240</v>
      </c>
      <c r="D4" s="18" t="s">
        <v>241</v>
      </c>
      <c r="E4" s="18" t="s">
        <v>242</v>
      </c>
      <c r="F4" s="18" t="s">
        <v>243</v>
      </c>
      <c r="G4" s="18" t="s">
        <v>244</v>
      </c>
      <c r="H4" s="18" t="s">
        <v>245</v>
      </c>
      <c r="I4" s="18" t="s">
        <v>246</v>
      </c>
      <c r="K4" s="17" t="s">
        <v>247</v>
      </c>
    </row>
    <row r="5" spans="1:16" x14ac:dyDescent="0.25">
      <c r="A5" s="55" t="str">
        <f>Supplier_Lookup!A2</f>
        <v>AutoCare</v>
      </c>
      <c r="B5" s="55" t="str">
        <f>Supplier_Lookup!B2</f>
        <v>Vehicle &amp; Fuel</v>
      </c>
      <c r="C5" s="70" t="str">
        <f>Supplier_Lookup!C2</f>
        <v>N</v>
      </c>
      <c r="D5" s="33">
        <f>SUMIFS(Cleaned_Procurement!$O$2:$O$1801,Cleaned_Procurement!$E$2:$E$1801,A5)</f>
        <v>284264.57</v>
      </c>
      <c r="E5" s="59">
        <f>COUNTIFS(Cleaned_Procurement!$E$2:$E$1801,A5)</f>
        <v>57</v>
      </c>
      <c r="F5" s="33">
        <f t="shared" ref="F5:F28" si="0">IFERROR(D5/E5,0)</f>
        <v>4987.0977192982455</v>
      </c>
      <c r="G5" s="36">
        <f t="shared" ref="G5:G28" si="1">IFERROR(D5/$D$29,0)</f>
        <v>2.0418398246641593E-2</v>
      </c>
      <c r="H5" s="56">
        <f t="shared" ref="H5:H28" si="2">RANK(D5,$D$5:$D$28,0)</f>
        <v>20</v>
      </c>
      <c r="I5" s="56">
        <f>IFERROR(AVERAGEIFS(Cleaned_Procurement!$K$2:$K$1801,Cleaned_Procurement!$E$2:$E$1801,A5),0)</f>
        <v>49.210526315789473</v>
      </c>
      <c r="K5" s="18" t="s">
        <v>245</v>
      </c>
      <c r="L5" s="18" t="s">
        <v>239</v>
      </c>
      <c r="M5" s="18" t="s">
        <v>241</v>
      </c>
      <c r="N5" s="18" t="s">
        <v>244</v>
      </c>
      <c r="O5" s="18" t="s">
        <v>248</v>
      </c>
      <c r="P5" s="18" t="s">
        <v>240</v>
      </c>
    </row>
    <row r="6" spans="1:16" x14ac:dyDescent="0.25">
      <c r="A6" s="55" t="str">
        <f>Supplier_Lookup!A3</f>
        <v>BuildCare</v>
      </c>
      <c r="B6" s="55" t="str">
        <f>Supplier_Lookup!B3</f>
        <v>Facilities</v>
      </c>
      <c r="C6" s="70" t="str">
        <f>Supplier_Lookup!C3</f>
        <v>N</v>
      </c>
      <c r="D6" s="33">
        <f>SUMIFS(Cleaned_Procurement!$O$2:$O$1801,Cleaned_Procurement!$E$2:$E$1801,A6)</f>
        <v>647209.95000000019</v>
      </c>
      <c r="E6" s="59">
        <f>COUNTIFS(Cleaned_Procurement!$E$2:$E$1801,A6)</f>
        <v>68</v>
      </c>
      <c r="F6" s="33">
        <f t="shared" si="0"/>
        <v>9517.7933823529438</v>
      </c>
      <c r="G6" s="36">
        <f t="shared" si="1"/>
        <v>4.6488348893740067E-2</v>
      </c>
      <c r="H6" s="56">
        <f t="shared" si="2"/>
        <v>10</v>
      </c>
      <c r="I6" s="56">
        <f>IFERROR(AVERAGEIFS(Cleaned_Procurement!$K$2:$K$1801,Cleaned_Procurement!$E$2:$E$1801,A6),0)</f>
        <v>43.897058823529413</v>
      </c>
      <c r="K6" s="52">
        <v>1</v>
      </c>
      <c r="L6" s="20" t="str">
        <f t="shared" ref="L6:L15" si="3">INDEX($A$5:$A$28,MATCH(K6,$H$5:$H$28,0))</f>
        <v>NurseLink</v>
      </c>
      <c r="M6" s="33">
        <f t="shared" ref="M6:M15" si="4">INDEX($D$5:$D$28,MATCH(K6,$H$5:$H$28,0))</f>
        <v>1161388.3999999999</v>
      </c>
      <c r="N6" s="36">
        <f t="shared" ref="N6:N15" si="5">IFERROR(M6/$D$29,0)</f>
        <v>8.3421197619632598E-2</v>
      </c>
      <c r="O6" s="36">
        <f>SUM($N$6:N6)</f>
        <v>8.3421197619632598E-2</v>
      </c>
      <c r="P6" s="52" t="str">
        <f t="shared" ref="P6:P15" si="6">INDEX($C$5:$C$28,MATCH(K6,$H$5:$H$28,0))</f>
        <v>N</v>
      </c>
    </row>
    <row r="7" spans="1:16" x14ac:dyDescent="0.25">
      <c r="A7" s="55" t="str">
        <f>Supplier_Lookup!A4</f>
        <v>CareMed</v>
      </c>
      <c r="B7" s="55" t="str">
        <f>Supplier_Lookup!B4</f>
        <v>Medical Supplies</v>
      </c>
      <c r="C7" s="70" t="str">
        <f>Supplier_Lookup!C4</f>
        <v>N</v>
      </c>
      <c r="D7" s="33">
        <f>SUMIFS(Cleaned_Procurement!$O$2:$O$1801,Cleaned_Procurement!$E$2:$E$1801,A7)</f>
        <v>311670.18999999989</v>
      </c>
      <c r="E7" s="59">
        <f>COUNTIFS(Cleaned_Procurement!$E$2:$E$1801,A7)</f>
        <v>62</v>
      </c>
      <c r="F7" s="33">
        <f t="shared" si="0"/>
        <v>5026.9385483870947</v>
      </c>
      <c r="G7" s="36">
        <f t="shared" si="1"/>
        <v>2.2386912519651848E-2</v>
      </c>
      <c r="H7" s="56">
        <f t="shared" si="2"/>
        <v>18</v>
      </c>
      <c r="I7" s="56">
        <f>IFERROR(AVERAGEIFS(Cleaned_Procurement!$K$2:$K$1801,Cleaned_Procurement!$E$2:$E$1801,A7),0)</f>
        <v>47.41935483870968</v>
      </c>
      <c r="K7" s="52">
        <v>2</v>
      </c>
      <c r="L7" s="20" t="str">
        <f t="shared" si="3"/>
        <v>HealthStaffing</v>
      </c>
      <c r="M7" s="33">
        <f t="shared" si="4"/>
        <v>1072844.7</v>
      </c>
      <c r="N7" s="36">
        <f t="shared" si="5"/>
        <v>7.7061205135056834E-2</v>
      </c>
      <c r="O7" s="36">
        <f>SUM($N$6:N7)</f>
        <v>0.16048240275468945</v>
      </c>
      <c r="P7" s="52" t="str">
        <f t="shared" si="6"/>
        <v>N</v>
      </c>
    </row>
    <row r="8" spans="1:16" x14ac:dyDescent="0.25">
      <c r="A8" s="55" t="str">
        <f>Supplier_Lookup!A5</f>
        <v>CareTemps</v>
      </c>
      <c r="B8" s="55" t="str">
        <f>Supplier_Lookup!B5</f>
        <v>Agency Labour</v>
      </c>
      <c r="C8" s="70" t="str">
        <f>Supplier_Lookup!C5</f>
        <v>N</v>
      </c>
      <c r="D8" s="33">
        <f>SUMIFS(Cleaned_Procurement!$O$2:$O$1801,Cleaned_Procurement!$E$2:$E$1801,A8)</f>
        <v>959134.04</v>
      </c>
      <c r="E8" s="59">
        <f>COUNTIFS(Cleaned_Procurement!$E$2:$E$1801,A8)</f>
        <v>73</v>
      </c>
      <c r="F8" s="33">
        <f t="shared" si="0"/>
        <v>13138.822465753425</v>
      </c>
      <c r="G8" s="36">
        <f t="shared" si="1"/>
        <v>6.8893498759378516E-2</v>
      </c>
      <c r="H8" s="56">
        <f t="shared" si="2"/>
        <v>4</v>
      </c>
      <c r="I8" s="56">
        <f>IFERROR(AVERAGEIFS(Cleaned_Procurement!$K$2:$K$1801,Cleaned_Procurement!$E$2:$E$1801,A8),0)</f>
        <v>45.205479452054796</v>
      </c>
      <c r="K8" s="52">
        <v>3</v>
      </c>
      <c r="L8" s="20" t="str">
        <f t="shared" si="3"/>
        <v>PowerDirect</v>
      </c>
      <c r="M8" s="33">
        <f t="shared" si="4"/>
        <v>1048249.1200000001</v>
      </c>
      <c r="N8" s="36">
        <f t="shared" si="5"/>
        <v>7.529453281445378E-2</v>
      </c>
      <c r="O8" s="36">
        <f>SUM($N$6:N8)</f>
        <v>0.23577693556914323</v>
      </c>
      <c r="P8" s="52" t="str">
        <f t="shared" si="6"/>
        <v>N</v>
      </c>
    </row>
    <row r="9" spans="1:16" x14ac:dyDescent="0.25">
      <c r="A9" s="55" t="str">
        <f>Supplier_Lookup!A6</f>
        <v>CleanWorks</v>
      </c>
      <c r="B9" s="55" t="str">
        <f>Supplier_Lookup!B6</f>
        <v>Facilities</v>
      </c>
      <c r="C9" s="70" t="str">
        <f>Supplier_Lookup!C6</f>
        <v>Y</v>
      </c>
      <c r="D9" s="33">
        <f>SUMIFS(Cleaned_Procurement!$O$2:$O$1801,Cleaned_Procurement!$E$2:$E$1801,A9)</f>
        <v>591363.92000000016</v>
      </c>
      <c r="E9" s="59">
        <f>COUNTIFS(Cleaned_Procurement!$E$2:$E$1801,A9)</f>
        <v>73</v>
      </c>
      <c r="F9" s="33">
        <f t="shared" si="0"/>
        <v>8100.8756164383585</v>
      </c>
      <c r="G9" s="36">
        <f t="shared" si="1"/>
        <v>4.2476992568068195E-2</v>
      </c>
      <c r="H9" s="56">
        <f t="shared" si="2"/>
        <v>11</v>
      </c>
      <c r="I9" s="56">
        <f>IFERROR(AVERAGEIFS(Cleaned_Procurement!$K$2:$K$1801,Cleaned_Procurement!$E$2:$E$1801,A9),0)</f>
        <v>45.205479452054796</v>
      </c>
      <c r="K9" s="52">
        <v>4</v>
      </c>
      <c r="L9" s="20" t="str">
        <f t="shared" si="3"/>
        <v>CareTemps</v>
      </c>
      <c r="M9" s="33">
        <f t="shared" si="4"/>
        <v>959134.04</v>
      </c>
      <c r="N9" s="36">
        <f t="shared" si="5"/>
        <v>6.8893498759378516E-2</v>
      </c>
      <c r="O9" s="36">
        <f>SUM($N$6:N9)</f>
        <v>0.30467043432852176</v>
      </c>
      <c r="P9" s="52" t="str">
        <f t="shared" si="6"/>
        <v>N</v>
      </c>
    </row>
    <row r="10" spans="1:16" x14ac:dyDescent="0.25">
      <c r="A10" s="55" t="str">
        <f>Supplier_Lookup!A7</f>
        <v>ClinEquip</v>
      </c>
      <c r="B10" s="55" t="str">
        <f>Supplier_Lookup!B7</f>
        <v>Medical Supplies</v>
      </c>
      <c r="C10" s="70" t="str">
        <f>Supplier_Lookup!C7</f>
        <v>N</v>
      </c>
      <c r="D10" s="33">
        <f>SUMIFS(Cleaned_Procurement!$O$2:$O$1801,Cleaned_Procurement!$E$2:$E$1801,A10)</f>
        <v>359940.87999999995</v>
      </c>
      <c r="E10" s="59">
        <f>COUNTIFS(Cleaned_Procurement!$E$2:$E$1801,A10)</f>
        <v>67</v>
      </c>
      <c r="F10" s="33">
        <f t="shared" si="0"/>
        <v>5372.2519402985063</v>
      </c>
      <c r="G10" s="36">
        <f t="shared" si="1"/>
        <v>2.5854140855776118E-2</v>
      </c>
      <c r="H10" s="56">
        <f t="shared" si="2"/>
        <v>15</v>
      </c>
      <c r="I10" s="56">
        <f>IFERROR(AVERAGEIFS(Cleaned_Procurement!$K$2:$K$1801,Cleaned_Procurement!$E$2:$E$1801,A10),0)</f>
        <v>43.880597014925371</v>
      </c>
      <c r="K10" s="52">
        <v>5</v>
      </c>
      <c r="L10" s="20" t="str">
        <f t="shared" si="3"/>
        <v>SafeGuard FM</v>
      </c>
      <c r="M10" s="33">
        <f t="shared" si="4"/>
        <v>890207.05999999994</v>
      </c>
      <c r="N10" s="36">
        <f t="shared" si="5"/>
        <v>6.394255278824218E-2</v>
      </c>
      <c r="O10" s="36">
        <f>SUM($N$6:N10)</f>
        <v>0.36861298711676393</v>
      </c>
      <c r="P10" s="52" t="str">
        <f t="shared" si="6"/>
        <v>N</v>
      </c>
    </row>
    <row r="11" spans="1:16" x14ac:dyDescent="0.25">
      <c r="A11" s="55" t="str">
        <f>Supplier_Lookup!A8</f>
        <v>CloudLink</v>
      </c>
      <c r="B11" s="55" t="str">
        <f>Supplier_Lookup!B8</f>
        <v>IT &amp; Telecoms</v>
      </c>
      <c r="C11" s="70" t="str">
        <f>Supplier_Lookup!C8</f>
        <v>Y</v>
      </c>
      <c r="D11" s="33">
        <f>SUMIFS(Cleaned_Procurement!$O$2:$O$1801,Cleaned_Procurement!$E$2:$E$1801,A11)</f>
        <v>881477.21000000008</v>
      </c>
      <c r="E11" s="59">
        <f>COUNTIFS(Cleaned_Procurement!$E$2:$E$1801,A11)</f>
        <v>82</v>
      </c>
      <c r="F11" s="33">
        <f t="shared" si="0"/>
        <v>10749.722073170733</v>
      </c>
      <c r="G11" s="36">
        <f t="shared" si="1"/>
        <v>6.3315497668663123E-2</v>
      </c>
      <c r="H11" s="56">
        <f t="shared" si="2"/>
        <v>6</v>
      </c>
      <c r="I11" s="56">
        <f>IFERROR(AVERAGEIFS(Cleaned_Procurement!$K$2:$K$1801,Cleaned_Procurement!$E$2:$E$1801,A11),0)</f>
        <v>44.634146341463413</v>
      </c>
      <c r="K11" s="52">
        <v>6</v>
      </c>
      <c r="L11" s="20" t="str">
        <f t="shared" si="3"/>
        <v>CloudLink</v>
      </c>
      <c r="M11" s="33">
        <f t="shared" si="4"/>
        <v>881477.21000000008</v>
      </c>
      <c r="N11" s="36">
        <f t="shared" si="5"/>
        <v>6.3315497668663123E-2</v>
      </c>
      <c r="O11" s="36">
        <f>SUM($N$6:N11)</f>
        <v>0.43192848478542706</v>
      </c>
      <c r="P11" s="52" t="str">
        <f t="shared" si="6"/>
        <v>Y</v>
      </c>
    </row>
    <row r="12" spans="1:16" x14ac:dyDescent="0.25">
      <c r="A12" s="55" t="str">
        <f>Supplier_Lookup!A9</f>
        <v>FleetFuel</v>
      </c>
      <c r="B12" s="55" t="str">
        <f>Supplier_Lookup!B9</f>
        <v>Vehicle &amp; Fuel</v>
      </c>
      <c r="C12" s="70" t="str">
        <f>Supplier_Lookup!C9</f>
        <v>Y</v>
      </c>
      <c r="D12" s="33">
        <f>SUMIFS(Cleaned_Procurement!$O$2:$O$1801,Cleaned_Procurement!$E$2:$E$1801,A12)</f>
        <v>314243.92000000016</v>
      </c>
      <c r="E12" s="59">
        <f>COUNTIFS(Cleaned_Procurement!$E$2:$E$1801,A12)</f>
        <v>74</v>
      </c>
      <c r="F12" s="33">
        <f t="shared" si="0"/>
        <v>4246.5394594594618</v>
      </c>
      <c r="G12" s="36">
        <f t="shared" si="1"/>
        <v>2.2571780595611279E-2</v>
      </c>
      <c r="H12" s="56">
        <f t="shared" si="2"/>
        <v>17</v>
      </c>
      <c r="I12" s="56">
        <f>IFERROR(AVERAGEIFS(Cleaned_Procurement!$K$2:$K$1801,Cleaned_Procurement!$E$2:$E$1801,A12),0)</f>
        <v>44.797297297297298</v>
      </c>
      <c r="K12" s="52">
        <v>7</v>
      </c>
      <c r="L12" s="20" t="str">
        <f t="shared" si="3"/>
        <v>NetServe</v>
      </c>
      <c r="M12" s="33">
        <f t="shared" si="4"/>
        <v>851726.08</v>
      </c>
      <c r="N12" s="36">
        <f t="shared" si="5"/>
        <v>6.1178508100713763E-2</v>
      </c>
      <c r="O12" s="36">
        <f>SUM($N$6:N12)</f>
        <v>0.49310699288614079</v>
      </c>
      <c r="P12" s="52" t="str">
        <f t="shared" si="6"/>
        <v>N</v>
      </c>
    </row>
    <row r="13" spans="1:16" x14ac:dyDescent="0.25">
      <c r="A13" s="55" t="str">
        <f>Supplier_Lookup!A10</f>
        <v>FreshServe</v>
      </c>
      <c r="B13" s="55" t="str">
        <f>Supplier_Lookup!B10</f>
        <v>Food &amp; Catering</v>
      </c>
      <c r="C13" s="70" t="str">
        <f>Supplier_Lookup!C10</f>
        <v>Y</v>
      </c>
      <c r="D13" s="33">
        <f>SUMIFS(Cleaned_Procurement!$O$2:$O$1801,Cleaned_Procurement!$E$2:$E$1801,A13)</f>
        <v>238615.67000000007</v>
      </c>
      <c r="E13" s="59">
        <f>COUNTIFS(Cleaned_Procurement!$E$2:$E$1801,A13)</f>
        <v>74</v>
      </c>
      <c r="F13" s="33">
        <f t="shared" si="0"/>
        <v>3224.5360810810821</v>
      </c>
      <c r="G13" s="36">
        <f t="shared" si="1"/>
        <v>1.7139490081191651E-2</v>
      </c>
      <c r="H13" s="56">
        <f t="shared" si="2"/>
        <v>22</v>
      </c>
      <c r="I13" s="56">
        <f>IFERROR(AVERAGEIFS(Cleaned_Procurement!$K$2:$K$1801,Cleaned_Procurement!$E$2:$E$1801,A13),0)</f>
        <v>46.621621621621621</v>
      </c>
      <c r="K13" s="52">
        <v>8</v>
      </c>
      <c r="L13" s="20" t="str">
        <f t="shared" si="3"/>
        <v>UK Energy Partners</v>
      </c>
      <c r="M13" s="33">
        <f t="shared" si="4"/>
        <v>833961.10000000009</v>
      </c>
      <c r="N13" s="36">
        <f t="shared" si="5"/>
        <v>5.9902469949059407E-2</v>
      </c>
      <c r="O13" s="36">
        <f>SUM($N$6:N13)</f>
        <v>0.55300946283520025</v>
      </c>
      <c r="P13" s="52" t="str">
        <f t="shared" si="6"/>
        <v>N</v>
      </c>
    </row>
    <row r="14" spans="1:16" x14ac:dyDescent="0.25">
      <c r="A14" s="55" t="str">
        <f>Supplier_Lookup!A11</f>
        <v>HealthStaffing</v>
      </c>
      <c r="B14" s="55" t="str">
        <f>Supplier_Lookup!B11</f>
        <v>Agency Labour</v>
      </c>
      <c r="C14" s="70" t="str">
        <f>Supplier_Lookup!C11</f>
        <v>N</v>
      </c>
      <c r="D14" s="33">
        <f>SUMIFS(Cleaned_Procurement!$O$2:$O$1801,Cleaned_Procurement!$E$2:$E$1801,A14)</f>
        <v>1072844.7</v>
      </c>
      <c r="E14" s="59">
        <f>COUNTIFS(Cleaned_Procurement!$E$2:$E$1801,A14)</f>
        <v>85</v>
      </c>
      <c r="F14" s="33">
        <f t="shared" si="0"/>
        <v>12621.702352941176</v>
      </c>
      <c r="G14" s="36">
        <f t="shared" si="1"/>
        <v>7.7061205135056834E-2</v>
      </c>
      <c r="H14" s="56">
        <f t="shared" si="2"/>
        <v>2</v>
      </c>
      <c r="I14" s="56">
        <f>IFERROR(AVERAGEIFS(Cleaned_Procurement!$K$2:$K$1801,Cleaned_Procurement!$E$2:$E$1801,A14),0)</f>
        <v>46.411764705882355</v>
      </c>
      <c r="K14" s="52">
        <v>9</v>
      </c>
      <c r="L14" s="20" t="str">
        <f t="shared" si="3"/>
        <v>TeleCare IT</v>
      </c>
      <c r="M14" s="33">
        <f t="shared" si="4"/>
        <v>774305.94</v>
      </c>
      <c r="N14" s="36">
        <f t="shared" si="5"/>
        <v>5.5617508181410612E-2</v>
      </c>
      <c r="O14" s="36">
        <f>SUM($N$6:N14)</f>
        <v>0.6086269710166109</v>
      </c>
      <c r="P14" s="52" t="str">
        <f t="shared" si="6"/>
        <v>N</v>
      </c>
    </row>
    <row r="15" spans="1:16" x14ac:dyDescent="0.25">
      <c r="A15" s="55" t="str">
        <f>Supplier_Lookup!A12</f>
        <v>KitchenPro</v>
      </c>
      <c r="B15" s="55" t="str">
        <f>Supplier_Lookup!B12</f>
        <v>Food &amp; Catering</v>
      </c>
      <c r="C15" s="70" t="str">
        <f>Supplier_Lookup!C12</f>
        <v>N</v>
      </c>
      <c r="D15" s="33">
        <f>SUMIFS(Cleaned_Procurement!$O$2:$O$1801,Cleaned_Procurement!$E$2:$E$1801,A15)</f>
        <v>279264.56000000011</v>
      </c>
      <c r="E15" s="59">
        <f>COUNTIFS(Cleaned_Procurement!$E$2:$E$1801,A15)</f>
        <v>87</v>
      </c>
      <c r="F15" s="33">
        <f t="shared" si="0"/>
        <v>3209.9374712643689</v>
      </c>
      <c r="G15" s="36">
        <f t="shared" si="1"/>
        <v>2.005925325921953E-2</v>
      </c>
      <c r="H15" s="56">
        <f t="shared" si="2"/>
        <v>21</v>
      </c>
      <c r="I15" s="56">
        <f>IFERROR(AVERAGEIFS(Cleaned_Procurement!$K$2:$K$1801,Cleaned_Procurement!$E$2:$E$1801,A15),0)</f>
        <v>45.344827586206897</v>
      </c>
      <c r="K15" s="52">
        <v>10</v>
      </c>
      <c r="L15" s="20" t="str">
        <f t="shared" si="3"/>
        <v>BuildCare</v>
      </c>
      <c r="M15" s="33">
        <f t="shared" si="4"/>
        <v>647209.95000000019</v>
      </c>
      <c r="N15" s="36">
        <f t="shared" si="5"/>
        <v>4.6488348893740067E-2</v>
      </c>
      <c r="O15" s="36">
        <f>SUM($N$6:N15)</f>
        <v>0.65511531991035099</v>
      </c>
      <c r="P15" s="52" t="str">
        <f t="shared" si="6"/>
        <v>N</v>
      </c>
    </row>
    <row r="16" spans="1:16" x14ac:dyDescent="0.25">
      <c r="A16" s="55" t="str">
        <f>Supplier_Lookup!A13</f>
        <v>LearnWell</v>
      </c>
      <c r="B16" s="55" t="str">
        <f>Supplier_Lookup!B13</f>
        <v>Office &amp; Training</v>
      </c>
      <c r="C16" s="70" t="str">
        <f>Supplier_Lookup!C13</f>
        <v>N</v>
      </c>
      <c r="D16" s="33">
        <f>SUMIFS(Cleaned_Procurement!$O$2:$O$1801,Cleaned_Procurement!$E$2:$E$1801,A16)</f>
        <v>236027.70999999993</v>
      </c>
      <c r="E16" s="59">
        <f>COUNTIFS(Cleaned_Procurement!$E$2:$E$1801,A16)</f>
        <v>71</v>
      </c>
      <c r="F16" s="33">
        <f t="shared" si="0"/>
        <v>3324.3339436619708</v>
      </c>
      <c r="G16" s="36">
        <f t="shared" si="1"/>
        <v>1.6953599880642278E-2</v>
      </c>
      <c r="H16" s="56">
        <f t="shared" si="2"/>
        <v>23</v>
      </c>
      <c r="I16" s="56">
        <f>IFERROR(AVERAGEIFS(Cleaned_Procurement!$K$2:$K$1801,Cleaned_Procurement!$E$2:$E$1801,A16),0)</f>
        <v>45.633802816901408</v>
      </c>
    </row>
    <row r="17" spans="1:11" x14ac:dyDescent="0.25">
      <c r="A17" s="55" t="str">
        <f>Supplier_Lookup!A14</f>
        <v>MediSure</v>
      </c>
      <c r="B17" s="55" t="str">
        <f>Supplier_Lookup!B14</f>
        <v>Medical Supplies</v>
      </c>
      <c r="C17" s="70" t="str">
        <f>Supplier_Lookup!C14</f>
        <v>Y</v>
      </c>
      <c r="D17" s="33">
        <f>SUMIFS(Cleaned_Procurement!$O$2:$O$1801,Cleaned_Procurement!$E$2:$E$1801,A17)</f>
        <v>423187.89</v>
      </c>
      <c r="E17" s="59">
        <f>COUNTIFS(Cleaned_Procurement!$E$2:$E$1801,A17)</f>
        <v>75</v>
      </c>
      <c r="F17" s="33">
        <f t="shared" si="0"/>
        <v>5642.5052000000005</v>
      </c>
      <c r="G17" s="36">
        <f t="shared" si="1"/>
        <v>3.0397101092042373E-2</v>
      </c>
      <c r="H17" s="56">
        <f t="shared" si="2"/>
        <v>14</v>
      </c>
      <c r="I17" s="56">
        <f>IFERROR(AVERAGEIFS(Cleaned_Procurement!$K$2:$K$1801,Cleaned_Procurement!$E$2:$E$1801,A17),0)</f>
        <v>46.4</v>
      </c>
    </row>
    <row r="18" spans="1:11" ht="15.75" x14ac:dyDescent="0.25">
      <c r="A18" s="55" t="str">
        <f>Supplier_Lookup!A15</f>
        <v>NetServe</v>
      </c>
      <c r="B18" s="55" t="str">
        <f>Supplier_Lookup!B15</f>
        <v>IT &amp; Telecoms</v>
      </c>
      <c r="C18" s="70" t="str">
        <f>Supplier_Lookup!C15</f>
        <v>N</v>
      </c>
      <c r="D18" s="33">
        <f>SUMIFS(Cleaned_Procurement!$O$2:$O$1801,Cleaned_Procurement!$E$2:$E$1801,A18)</f>
        <v>851726.08</v>
      </c>
      <c r="E18" s="59">
        <f>COUNTIFS(Cleaned_Procurement!$E$2:$E$1801,A18)</f>
        <v>86</v>
      </c>
      <c r="F18" s="33">
        <f t="shared" si="0"/>
        <v>9903.7916279069759</v>
      </c>
      <c r="G18" s="36">
        <f t="shared" si="1"/>
        <v>6.1178508100713763E-2</v>
      </c>
      <c r="H18" s="56">
        <f t="shared" si="2"/>
        <v>7</v>
      </c>
      <c r="I18" s="56">
        <f>IFERROR(AVERAGEIFS(Cleaned_Procurement!$K$2:$K$1801,Cleaned_Procurement!$E$2:$E$1801,A18),0)</f>
        <v>47.790697674418603</v>
      </c>
      <c r="K18" s="17" t="s">
        <v>249</v>
      </c>
    </row>
    <row r="19" spans="1:11" x14ac:dyDescent="0.25">
      <c r="A19" s="55" t="str">
        <f>Supplier_Lookup!A16</f>
        <v>NourishCo</v>
      </c>
      <c r="B19" s="55" t="str">
        <f>Supplier_Lookup!B16</f>
        <v>Food &amp; Catering</v>
      </c>
      <c r="C19" s="70" t="str">
        <f>Supplier_Lookup!C16</f>
        <v>N</v>
      </c>
      <c r="D19" s="33">
        <f>SUMIFS(Cleaned_Procurement!$O$2:$O$1801,Cleaned_Procurement!$E$2:$E$1801,A19)</f>
        <v>319833.39999999991</v>
      </c>
      <c r="E19" s="59">
        <f>COUNTIFS(Cleaned_Procurement!$E$2:$E$1801,A19)</f>
        <v>87</v>
      </c>
      <c r="F19" s="33">
        <f t="shared" si="0"/>
        <v>3676.2459770114933</v>
      </c>
      <c r="G19" s="36">
        <f t="shared" si="1"/>
        <v>2.2973266537498559E-2</v>
      </c>
      <c r="H19" s="56">
        <f t="shared" si="2"/>
        <v>16</v>
      </c>
      <c r="I19" s="56">
        <f>IFERROR(AVERAGEIFS(Cleaned_Procurement!$K$2:$K$1801,Cleaned_Procurement!$E$2:$E$1801,A19),0)</f>
        <v>42.586206896551722</v>
      </c>
      <c r="K19" s="24" t="str">
        <f>"Top 5 suppliers account for "&amp;TEXT(O10,"0%")&amp;" of attributed spend; top 10 for "&amp;TEXT(O15,"0%")&amp;"."</f>
        <v>Top 5 suppliers account for 37% of attributed spend; top 10 for 66%.</v>
      </c>
    </row>
    <row r="20" spans="1:11" x14ac:dyDescent="0.25">
      <c r="A20" s="55" t="str">
        <f>Supplier_Lookup!A17</f>
        <v>NurseLink</v>
      </c>
      <c r="B20" s="55" t="str">
        <f>Supplier_Lookup!B17</f>
        <v>Agency Labour</v>
      </c>
      <c r="C20" s="70" t="str">
        <f>Supplier_Lookup!C17</f>
        <v>N</v>
      </c>
      <c r="D20" s="33">
        <f>SUMIFS(Cleaned_Procurement!$O$2:$O$1801,Cleaned_Procurement!$E$2:$E$1801,A20)</f>
        <v>1161388.3999999999</v>
      </c>
      <c r="E20" s="59">
        <f>COUNTIFS(Cleaned_Procurement!$E$2:$E$1801,A20)</f>
        <v>84</v>
      </c>
      <c r="F20" s="33">
        <f t="shared" si="0"/>
        <v>13826.05238095238</v>
      </c>
      <c r="G20" s="36">
        <f t="shared" si="1"/>
        <v>8.3421197619632598E-2</v>
      </c>
      <c r="H20" s="56">
        <f t="shared" si="2"/>
        <v>1</v>
      </c>
      <c r="I20" s="56">
        <f>IFERROR(AVERAGEIFS(Cleaned_Procurement!$K$2:$K$1801,Cleaned_Procurement!$E$2:$E$1801,A20),0)</f>
        <v>45.178571428571431</v>
      </c>
      <c r="K20" s="24" t="str">
        <f>"Off-contract spend: "&amp;TEXT(SUMIFS(Cleaned_Procurement!O2:O1801,Cleaned_Procurement!M2:M1801,"N"),"£#,##0")&amp;" ("&amp;TEXT(SUMIFS(Cleaned_Procurement!O2:O1801,Cleaned_Procurement!M2:M1801,"N")/SUM(Cleaned_Procurement!O2:O1801),"0%")&amp;" of total), the main lever for the savings plan."</f>
        <v>Off-contract spend: £11,473,793 (82% of total), the main lever for the savings plan.</v>
      </c>
    </row>
    <row r="21" spans="1:11" x14ac:dyDescent="0.25">
      <c r="A21" s="55" t="str">
        <f>Supplier_Lookup!A18</f>
        <v>OfficePlus</v>
      </c>
      <c r="B21" s="55" t="str">
        <f>Supplier_Lookup!B18</f>
        <v>Office &amp; Training</v>
      </c>
      <c r="C21" s="70" t="str">
        <f>Supplier_Lookup!C18</f>
        <v>N</v>
      </c>
      <c r="D21" s="33">
        <f>SUMIFS(Cleaned_Procurement!$O$2:$O$1801,Cleaned_Procurement!$E$2:$E$1801,A21)</f>
        <v>294325.77999999997</v>
      </c>
      <c r="E21" s="59">
        <f>COUNTIFS(Cleaned_Procurement!$E$2:$E$1801,A21)</f>
        <v>82</v>
      </c>
      <c r="F21" s="33">
        <f t="shared" si="0"/>
        <v>3589.3387804878043</v>
      </c>
      <c r="G21" s="36">
        <f t="shared" si="1"/>
        <v>2.114108342905139E-2</v>
      </c>
      <c r="H21" s="56">
        <f t="shared" si="2"/>
        <v>19</v>
      </c>
      <c r="I21" s="56">
        <f>IFERROR(AVERAGEIFS(Cleaned_Procurement!$K$2:$K$1801,Cleaned_Procurement!$E$2:$E$1801,A21),0)</f>
        <v>46.280487804878049</v>
      </c>
      <c r="K21" s="24" t="str">
        <f>"Largest single supplier: "&amp;L6&amp;" at "&amp;TEXT(M6,"£#,##0")&amp;IF(P6="N",", not under contract.",", under contract.")</f>
        <v>Largest single supplier: NurseLink at £1,161,388, not under contract.</v>
      </c>
    </row>
    <row r="22" spans="1:11" x14ac:dyDescent="0.25">
      <c r="A22" s="55" t="str">
        <f>Supplier_Lookup!A19</f>
        <v>PowerDirect</v>
      </c>
      <c r="B22" s="55" t="str">
        <f>Supplier_Lookup!B19</f>
        <v>Utilities</v>
      </c>
      <c r="C22" s="70" t="str">
        <f>Supplier_Lookup!C19</f>
        <v>N</v>
      </c>
      <c r="D22" s="33">
        <f>SUMIFS(Cleaned_Procurement!$O$2:$O$1801,Cleaned_Procurement!$E$2:$E$1801,A22)</f>
        <v>1048249.1200000001</v>
      </c>
      <c r="E22" s="59">
        <f>COUNTIFS(Cleaned_Procurement!$E$2:$E$1801,A22)</f>
        <v>87</v>
      </c>
      <c r="F22" s="33">
        <f t="shared" si="0"/>
        <v>12048.840459770116</v>
      </c>
      <c r="G22" s="36">
        <f t="shared" si="1"/>
        <v>7.529453281445378E-2</v>
      </c>
      <c r="H22" s="56">
        <f t="shared" si="2"/>
        <v>3</v>
      </c>
      <c r="I22" s="56">
        <f>IFERROR(AVERAGEIFS(Cleaned_Procurement!$K$2:$K$1801,Cleaned_Procurement!$E$2:$E$1801,A22),0)</f>
        <v>44.482758620689658</v>
      </c>
    </row>
    <row r="23" spans="1:11" x14ac:dyDescent="0.25">
      <c r="A23" s="55" t="str">
        <f>Supplier_Lookup!A20</f>
        <v>PrintCo</v>
      </c>
      <c r="B23" s="55" t="str">
        <f>Supplier_Lookup!B20</f>
        <v>Office &amp; Training</v>
      </c>
      <c r="C23" s="70" t="str">
        <f>Supplier_Lookup!C20</f>
        <v>N</v>
      </c>
      <c r="D23" s="33">
        <f>SUMIFS(Cleaned_Procurement!$O$2:$O$1801,Cleaned_Procurement!$E$2:$E$1801,A23)</f>
        <v>197576.57999999993</v>
      </c>
      <c r="E23" s="59">
        <f>COUNTIFS(Cleaned_Procurement!$E$2:$E$1801,A23)</f>
        <v>68</v>
      </c>
      <c r="F23" s="33">
        <f t="shared" si="0"/>
        <v>2905.5379411764698</v>
      </c>
      <c r="G23" s="36">
        <f t="shared" si="1"/>
        <v>1.4191699284400588E-2</v>
      </c>
      <c r="H23" s="56">
        <f t="shared" si="2"/>
        <v>24</v>
      </c>
      <c r="I23" s="56">
        <f>IFERROR(AVERAGEIFS(Cleaned_Procurement!$K$2:$K$1801,Cleaned_Procurement!$E$2:$E$1801,A23),0)</f>
        <v>44.117647058823529</v>
      </c>
    </row>
    <row r="24" spans="1:11" x14ac:dyDescent="0.25">
      <c r="A24" s="55" t="str">
        <f>Supplier_Lookup!A21</f>
        <v>RoadReady</v>
      </c>
      <c r="B24" s="55" t="str">
        <f>Supplier_Lookup!B21</f>
        <v>Vehicle &amp; Fuel</v>
      </c>
      <c r="C24" s="70" t="str">
        <f>Supplier_Lookup!C21</f>
        <v>N</v>
      </c>
      <c r="D24" s="33">
        <f>SUMIFS(Cleaned_Procurement!$O$2:$O$1801,Cleaned_Procurement!$E$2:$E$1801,A24)</f>
        <v>432111.80999999994</v>
      </c>
      <c r="E24" s="59">
        <f>COUNTIFS(Cleaned_Procurement!$E$2:$E$1801,A24)</f>
        <v>90</v>
      </c>
      <c r="F24" s="33">
        <f t="shared" si="0"/>
        <v>4801.2423333333327</v>
      </c>
      <c r="G24" s="36">
        <f t="shared" si="1"/>
        <v>3.1038096037283591E-2</v>
      </c>
      <c r="H24" s="56">
        <f t="shared" si="2"/>
        <v>13</v>
      </c>
      <c r="I24" s="56">
        <f>IFERROR(AVERAGEIFS(Cleaned_Procurement!$K$2:$K$1801,Cleaned_Procurement!$E$2:$E$1801,A24),0)</f>
        <v>44.5</v>
      </c>
    </row>
    <row r="25" spans="1:11" x14ac:dyDescent="0.25">
      <c r="A25" s="55" t="str">
        <f>Supplier_Lookup!A22</f>
        <v>SafeGuard FM</v>
      </c>
      <c r="B25" s="55" t="str">
        <f>Supplier_Lookup!B22</f>
        <v>Facilities</v>
      </c>
      <c r="C25" s="70" t="str">
        <f>Supplier_Lookup!C22</f>
        <v>N</v>
      </c>
      <c r="D25" s="33">
        <f>SUMIFS(Cleaned_Procurement!$O$2:$O$1801,Cleaned_Procurement!$E$2:$E$1801,A25)</f>
        <v>890207.05999999994</v>
      </c>
      <c r="E25" s="59">
        <f>COUNTIFS(Cleaned_Procurement!$E$2:$E$1801,A25)</f>
        <v>76</v>
      </c>
      <c r="F25" s="33">
        <f t="shared" si="0"/>
        <v>11713.250789473683</v>
      </c>
      <c r="G25" s="36">
        <f t="shared" si="1"/>
        <v>6.394255278824218E-2</v>
      </c>
      <c r="H25" s="56">
        <f t="shared" si="2"/>
        <v>5</v>
      </c>
      <c r="I25" s="56">
        <f>IFERROR(AVERAGEIFS(Cleaned_Procurement!$K$2:$K$1801,Cleaned_Procurement!$E$2:$E$1801,A25),0)</f>
        <v>44.80263157894737</v>
      </c>
    </row>
    <row r="26" spans="1:11" x14ac:dyDescent="0.25">
      <c r="A26" s="55" t="str">
        <f>Supplier_Lookup!A23</f>
        <v>TeleCare IT</v>
      </c>
      <c r="B26" s="55" t="str">
        <f>Supplier_Lookup!B23</f>
        <v>IT &amp; Telecoms</v>
      </c>
      <c r="C26" s="70" t="str">
        <f>Supplier_Lookup!C23</f>
        <v>N</v>
      </c>
      <c r="D26" s="33">
        <f>SUMIFS(Cleaned_Procurement!$O$2:$O$1801,Cleaned_Procurement!$E$2:$E$1801,A26)</f>
        <v>774305.94</v>
      </c>
      <c r="E26" s="59">
        <f>COUNTIFS(Cleaned_Procurement!$E$2:$E$1801,A26)</f>
        <v>72</v>
      </c>
      <c r="F26" s="33">
        <f t="shared" si="0"/>
        <v>10754.249166666666</v>
      </c>
      <c r="G26" s="36">
        <f t="shared" si="1"/>
        <v>5.5617508181410612E-2</v>
      </c>
      <c r="H26" s="56">
        <f t="shared" si="2"/>
        <v>9</v>
      </c>
      <c r="I26" s="56">
        <f>IFERROR(AVERAGEIFS(Cleaned_Procurement!$K$2:$K$1801,Cleaned_Procurement!$E$2:$E$1801,A26),0)</f>
        <v>44.375</v>
      </c>
    </row>
    <row r="27" spans="1:11" x14ac:dyDescent="0.25">
      <c r="A27" s="55" t="str">
        <f>Supplier_Lookup!A24</f>
        <v>UK Energy Partners</v>
      </c>
      <c r="B27" s="55" t="str">
        <f>Supplier_Lookup!B24</f>
        <v>Utilities</v>
      </c>
      <c r="C27" s="70" t="str">
        <f>Supplier_Lookup!C24</f>
        <v>N</v>
      </c>
      <c r="D27" s="33">
        <f>SUMIFS(Cleaned_Procurement!$O$2:$O$1801,Cleaned_Procurement!$E$2:$E$1801,A27)</f>
        <v>833961.10000000009</v>
      </c>
      <c r="E27" s="59">
        <f>COUNTIFS(Cleaned_Procurement!$E$2:$E$1801,A27)</f>
        <v>66</v>
      </c>
      <c r="F27" s="33">
        <f t="shared" si="0"/>
        <v>12635.774242424244</v>
      </c>
      <c r="G27" s="36">
        <f t="shared" si="1"/>
        <v>5.9902469949059407E-2</v>
      </c>
      <c r="H27" s="56">
        <f t="shared" si="2"/>
        <v>8</v>
      </c>
      <c r="I27" s="56">
        <f>IFERROR(AVERAGEIFS(Cleaned_Procurement!$K$2:$K$1801,Cleaned_Procurement!$E$2:$E$1801,A27),0)</f>
        <v>44.545454545454547</v>
      </c>
    </row>
    <row r="28" spans="1:11" x14ac:dyDescent="0.25">
      <c r="A28" s="55" t="str">
        <f>Supplier_Lookup!A25</f>
        <v>WaterGrid</v>
      </c>
      <c r="B28" s="55" t="str">
        <f>Supplier_Lookup!B25</f>
        <v>Utilities</v>
      </c>
      <c r="C28" s="70" t="str">
        <f>Supplier_Lookup!C25</f>
        <v>N</v>
      </c>
      <c r="D28" s="33">
        <f>SUMIFS(Cleaned_Procurement!$O$2:$O$1801,Cleaned_Procurement!$E$2:$E$1801,A28)</f>
        <v>519051.37999999983</v>
      </c>
      <c r="E28" s="59">
        <f>COUNTIFS(Cleaned_Procurement!$E$2:$E$1801,A28)</f>
        <v>53</v>
      </c>
      <c r="F28" s="33">
        <f t="shared" si="0"/>
        <v>9793.4222641509405</v>
      </c>
      <c r="G28" s="36">
        <f t="shared" si="1"/>
        <v>3.7282865702570306E-2</v>
      </c>
      <c r="H28" s="56">
        <f t="shared" si="2"/>
        <v>12</v>
      </c>
      <c r="I28" s="56">
        <f>IFERROR(AVERAGEIFS(Cleaned_Procurement!$K$2:$K$1801,Cleaned_Procurement!$E$2:$E$1801,A28),0)</f>
        <v>48.113207547169814</v>
      </c>
    </row>
    <row r="29" spans="1:11" x14ac:dyDescent="0.25">
      <c r="A29" s="28" t="s">
        <v>148</v>
      </c>
      <c r="D29" s="57">
        <f>SUM(D5:D28)</f>
        <v>13921981.859999998</v>
      </c>
      <c r="E29" s="71">
        <f>SUM(E5:E28)</f>
        <v>1799</v>
      </c>
    </row>
    <row r="30" spans="1:11" x14ac:dyDescent="0.25">
      <c r="A30" s="16" t="s">
        <v>250</v>
      </c>
      <c r="D30" s="72">
        <f>SUM(Cleaned_Procurement!O2:O1801)-D29</f>
        <v>699.88999997638166</v>
      </c>
    </row>
  </sheetData>
  <conditionalFormatting sqref="C5:C28">
    <cfRule type="cellIs" dxfId="5" priority="3" operator="equal">
      <formula>"N"</formula>
    </cfRule>
  </conditionalFormatting>
  <conditionalFormatting sqref="D5:D28">
    <cfRule type="dataBar" priority="2">
      <dataBar>
        <cfvo type="num" val="0"/>
        <cfvo type="max"/>
        <color rgb="FF5B9BD5"/>
      </dataBar>
      <extLst>
        <ext xmlns:x14="http://schemas.microsoft.com/office/spreadsheetml/2009/9/main" uri="{B025F937-C7B1-47D3-B67F-A62EFF666E3E}">
          <x14:id>{5B69001C-5359-462C-88A7-64C64647ED16}</x14:id>
        </ext>
      </extLst>
    </cfRule>
  </conditionalFormatting>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dataBar" id="{5B69001C-5359-462C-88A7-64C64647ED16}">
            <x14:dataBar axisPosition="none">
              <x14:cfvo type="num">
                <xm:f>0</xm:f>
              </x14:cfvo>
              <x14:cfvo type="max"/>
              <x14:negativeFillColor rgb="FF5B9BD5"/>
            </x14:dataBar>
          </x14:cfRule>
          <xm:sqref>D5:D28</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36"/>
  <sheetViews>
    <sheetView zoomScaleNormal="100" workbookViewId="0"/>
  </sheetViews>
  <sheetFormatPr defaultColWidth="8.7109375" defaultRowHeight="15" x14ac:dyDescent="0.25"/>
  <cols>
    <col min="1" max="1" width="24.7109375" customWidth="1"/>
    <col min="2" max="8" width="18.7109375" customWidth="1"/>
  </cols>
  <sheetData>
    <row r="1" spans="1:8" ht="24" customHeight="1" x14ac:dyDescent="0.25">
      <c r="A1" s="132" t="s">
        <v>251</v>
      </c>
      <c r="B1" s="132"/>
      <c r="C1" s="132"/>
      <c r="D1" s="132"/>
      <c r="E1" s="132"/>
      <c r="F1" s="132"/>
      <c r="G1" s="132"/>
      <c r="H1" s="132"/>
    </row>
    <row r="2" spans="1:8" x14ac:dyDescent="0.25">
      <c r="A2" s="16" t="s">
        <v>252</v>
      </c>
    </row>
    <row r="3" spans="1:8" ht="15" customHeight="1" x14ac:dyDescent="0.25">
      <c r="A3" s="73" t="s">
        <v>253</v>
      </c>
    </row>
    <row r="4" spans="1:8" ht="27.75" customHeight="1" x14ac:dyDescent="0.25">
      <c r="A4" s="74" t="s">
        <v>77</v>
      </c>
      <c r="B4" s="74" t="s">
        <v>241</v>
      </c>
      <c r="C4" s="74" t="s">
        <v>254</v>
      </c>
      <c r="D4" s="74" t="s">
        <v>255</v>
      </c>
      <c r="E4" s="74" t="s">
        <v>256</v>
      </c>
      <c r="F4" s="74" t="s">
        <v>257</v>
      </c>
      <c r="G4" s="74" t="s">
        <v>258</v>
      </c>
    </row>
    <row r="5" spans="1:8" ht="15" customHeight="1" x14ac:dyDescent="0.25">
      <c r="A5" t="s">
        <v>177</v>
      </c>
      <c r="B5" s="75">
        <f>SUMIFS(Cleaned_Procurement!$O:$O,Cleaned_Procurement!$F:$F,A5)</f>
        <v>1097153.0099999998</v>
      </c>
      <c r="C5" s="76">
        <f t="shared" ref="C5:C12" si="0">IFERROR(B5/SUM($B$5:$B$12),0)</f>
        <v>7.8803281558884997E-2</v>
      </c>
      <c r="D5" s="76">
        <f>IFERROR(INDEX(Category_Targets!$B$2:$B$9,MATCH(A5,Category_Targets!$A$2:$A$9,0)),0)</f>
        <v>0.06</v>
      </c>
      <c r="E5" s="75">
        <f t="shared" ref="E5:E12" si="1">B5*D5</f>
        <v>65829.180599999978</v>
      </c>
      <c r="F5" s="75">
        <f>SUMIFS(Cleaned_Procurement!$O:$O,Cleaned_Procurement!$F:$F,A5,Cleaned_Procurement!$M:$M,"Y")</f>
        <v>425541.94</v>
      </c>
      <c r="G5" s="75">
        <f t="shared" ref="G5:G12" si="2">B5-F5</f>
        <v>671611.06999999983</v>
      </c>
    </row>
    <row r="6" spans="1:8" ht="15" customHeight="1" x14ac:dyDescent="0.25">
      <c r="A6" t="s">
        <v>178</v>
      </c>
      <c r="B6" s="75">
        <f>SUMIFS(Cleaned_Procurement!$O:$O,Cleaned_Procurement!$F:$F,A6)</f>
        <v>837713.63000000024</v>
      </c>
      <c r="C6" s="76">
        <f t="shared" si="0"/>
        <v>6.0168985044853178E-2</v>
      </c>
      <c r="D6" s="76">
        <f>IFERROR(INDEX(Category_Targets!$B$2:$B$9,MATCH(A6,Category_Targets!$A$2:$A$9,0)),0)</f>
        <v>0.04</v>
      </c>
      <c r="E6" s="75">
        <f t="shared" si="1"/>
        <v>33508.545200000008</v>
      </c>
      <c r="F6" s="75">
        <f>SUMIFS(Cleaned_Procurement!$O:$O,Cleaned_Procurement!$F:$F,A6,Cleaned_Procurement!$M:$M,"Y")</f>
        <v>238615.67000000007</v>
      </c>
      <c r="G6" s="75">
        <f t="shared" si="2"/>
        <v>599097.9600000002</v>
      </c>
    </row>
    <row r="7" spans="1:8" ht="15" customHeight="1" x14ac:dyDescent="0.25">
      <c r="A7" t="s">
        <v>179</v>
      </c>
      <c r="B7" s="75">
        <f>SUMIFS(Cleaned_Procurement!$O:$O,Cleaned_Procurement!$F:$F,A7)</f>
        <v>2128780.9299999983</v>
      </c>
      <c r="C7" s="76">
        <f t="shared" si="0"/>
        <v>0.1529002076054779</v>
      </c>
      <c r="D7" s="76">
        <f>IFERROR(INDEX(Category_Targets!$B$2:$B$9,MATCH(A7,Category_Targets!$A$2:$A$9,0)),0)</f>
        <v>0.05</v>
      </c>
      <c r="E7" s="75">
        <f t="shared" si="1"/>
        <v>106439.04649999992</v>
      </c>
      <c r="F7" s="75">
        <f>SUMIFS(Cleaned_Procurement!$O:$O,Cleaned_Procurement!$F:$F,A7,Cleaned_Procurement!$M:$M,"Y")</f>
        <v>591363.92000000016</v>
      </c>
      <c r="G7" s="75">
        <f t="shared" si="2"/>
        <v>1537417.0099999981</v>
      </c>
    </row>
    <row r="8" spans="1:8" ht="15" customHeight="1" x14ac:dyDescent="0.25">
      <c r="A8" t="s">
        <v>180</v>
      </c>
      <c r="B8" s="75">
        <f>SUMIFS(Cleaned_Procurement!$O:$O,Cleaned_Procurement!$F:$F,A8)</f>
        <v>2401261.600000001</v>
      </c>
      <c r="C8" s="76">
        <f t="shared" si="0"/>
        <v>0.17247119794288202</v>
      </c>
      <c r="D8" s="76">
        <f>IFERROR(INDEX(Category_Targets!$B$2:$B$9,MATCH(A8,Category_Targets!$A$2:$A$9,0)),0)</f>
        <v>0.03</v>
      </c>
      <c r="E8" s="75">
        <f t="shared" si="1"/>
        <v>72037.848000000027</v>
      </c>
      <c r="F8" s="75">
        <f>SUMIFS(Cleaned_Procurement!$O:$O,Cleaned_Procurement!$F:$F,A8,Cleaned_Procurement!$M:$M,"Y")</f>
        <v>0</v>
      </c>
      <c r="G8" s="75">
        <f t="shared" si="2"/>
        <v>2401261.600000001</v>
      </c>
    </row>
    <row r="9" spans="1:8" ht="15" customHeight="1" x14ac:dyDescent="0.25">
      <c r="A9" t="s">
        <v>181</v>
      </c>
      <c r="B9" s="75">
        <f>SUMIFS(Cleaned_Procurement!$O:$O,Cleaned_Procurement!$F:$F,A9)</f>
        <v>2505155.1799999997</v>
      </c>
      <c r="C9" s="76">
        <f t="shared" si="0"/>
        <v>0.17993337957322766</v>
      </c>
      <c r="D9" s="76">
        <f>IFERROR(INDEX(Category_Targets!$B$2:$B$9,MATCH(A9,Category_Targets!$A$2:$A$9,0)),0)</f>
        <v>0.08</v>
      </c>
      <c r="E9" s="75">
        <f t="shared" si="1"/>
        <v>200412.41439999998</v>
      </c>
      <c r="F9" s="75">
        <f>SUMIFS(Cleaned_Procurement!$O:$O,Cleaned_Procurement!$F:$F,A9,Cleaned_Procurement!$M:$M,"Y")</f>
        <v>879123.16</v>
      </c>
      <c r="G9" s="75">
        <f t="shared" si="2"/>
        <v>1626032.0199999996</v>
      </c>
    </row>
    <row r="10" spans="1:8" ht="15" customHeight="1" x14ac:dyDescent="0.25">
      <c r="A10" t="s">
        <v>182</v>
      </c>
      <c r="B10" s="75">
        <f>SUMIFS(Cleaned_Procurement!$O:$O,Cleaned_Procurement!$F:$F,A10)</f>
        <v>1030620.2999999997</v>
      </c>
      <c r="C10" s="76">
        <f t="shared" si="0"/>
        <v>7.4024553495234471E-2</v>
      </c>
      <c r="D10" s="76">
        <f>IFERROR(INDEX(Category_Targets!$B$2:$B$9,MATCH(A10,Category_Targets!$A$2:$A$9,0)),0)</f>
        <v>0.05</v>
      </c>
      <c r="E10" s="75">
        <f t="shared" si="1"/>
        <v>51531.014999999985</v>
      </c>
      <c r="F10" s="75">
        <f>SUMIFS(Cleaned_Procurement!$O:$O,Cleaned_Procurement!$F:$F,A10,Cleaned_Procurement!$M:$M,"Y")</f>
        <v>314243.92000000016</v>
      </c>
      <c r="G10" s="75">
        <f t="shared" si="2"/>
        <v>716376.37999999954</v>
      </c>
    </row>
    <row r="11" spans="1:8" ht="15" customHeight="1" x14ac:dyDescent="0.25">
      <c r="A11" t="s">
        <v>183</v>
      </c>
      <c r="B11" s="75">
        <f>SUMIFS(Cleaned_Procurement!$O:$O,Cleaned_Procurement!$F:$F,A11)</f>
        <v>3193367.1400000006</v>
      </c>
      <c r="C11" s="76">
        <f t="shared" si="0"/>
        <v>0.22936437084040945</v>
      </c>
      <c r="D11" s="76">
        <f>IFERROR(INDEX(Category_Targets!$B$2:$B$9,MATCH(A11,Category_Targets!$A$2:$A$9,0)),0)</f>
        <v>7.0000000000000007E-2</v>
      </c>
      <c r="E11" s="75">
        <f t="shared" si="1"/>
        <v>223535.69980000006</v>
      </c>
      <c r="F11" s="75">
        <f>SUMIFS(Cleaned_Procurement!$O:$O,Cleaned_Procurement!$F:$F,A11,Cleaned_Procurement!$M:$M,"Y")</f>
        <v>0</v>
      </c>
      <c r="G11" s="75">
        <f t="shared" si="2"/>
        <v>3193367.1400000006</v>
      </c>
    </row>
    <row r="12" spans="1:8" ht="15" customHeight="1" x14ac:dyDescent="0.25">
      <c r="A12" t="s">
        <v>184</v>
      </c>
      <c r="B12" s="75">
        <f>SUMIFS(Cleaned_Procurement!$O:$O,Cleaned_Procurement!$F:$F,A12)</f>
        <v>728629.96</v>
      </c>
      <c r="C12" s="76">
        <f t="shared" si="0"/>
        <v>5.2334023939030277E-2</v>
      </c>
      <c r="D12" s="76">
        <f>IFERROR(INDEX(Category_Targets!$B$2:$B$9,MATCH(A12,Category_Targets!$A$2:$A$9,0)),0)</f>
        <v>0.04</v>
      </c>
      <c r="E12" s="75">
        <f t="shared" si="1"/>
        <v>29145.198399999997</v>
      </c>
      <c r="F12" s="75">
        <f>SUMIFS(Cleaned_Procurement!$O:$O,Cleaned_Procurement!$F:$F,A12,Cleaned_Procurement!$M:$M,"Y")</f>
        <v>0</v>
      </c>
      <c r="G12" s="75">
        <f t="shared" si="2"/>
        <v>728629.96</v>
      </c>
    </row>
    <row r="15" spans="1:8" ht="15" customHeight="1" x14ac:dyDescent="0.25">
      <c r="A15" s="73" t="s">
        <v>259</v>
      </c>
    </row>
    <row r="16" spans="1:8" ht="15" customHeight="1" x14ac:dyDescent="0.25">
      <c r="A16" s="74" t="s">
        <v>75</v>
      </c>
      <c r="B16" s="74" t="s">
        <v>241</v>
      </c>
      <c r="C16" s="74" t="s">
        <v>242</v>
      </c>
      <c r="D16" s="74" t="s">
        <v>260</v>
      </c>
      <c r="E16" s="74" t="s">
        <v>256</v>
      </c>
    </row>
    <row r="17" spans="1:7" ht="15" customHeight="1" x14ac:dyDescent="0.25">
      <c r="A17" t="s">
        <v>221</v>
      </c>
      <c r="B17" s="75">
        <f>SUMIFS(Cleaned_Procurement!$O:$O,Cleaned_Procurement!$D:$D,A17)</f>
        <v>3330923.88</v>
      </c>
      <c r="C17" s="77">
        <f>COUNTIFS(Cleaned_Procurement!$D:$D,A17)</f>
        <v>430</v>
      </c>
      <c r="D17" s="75">
        <f>IFERROR(B17/C17,0)</f>
        <v>7746.3346046511624</v>
      </c>
      <c r="E17" s="75">
        <f>SUMIFS(Cleaned_Procurement!$R:$R,Cleaned_Procurement!$D:$D,A17)</f>
        <v>187081.68519999992</v>
      </c>
    </row>
    <row r="18" spans="1:7" ht="15" customHeight="1" x14ac:dyDescent="0.25">
      <c r="A18" t="s">
        <v>223</v>
      </c>
      <c r="B18" s="75">
        <f>SUMIFS(Cleaned_Procurement!$O:$O,Cleaned_Procurement!$D:$D,A18)</f>
        <v>3517504.9200000032</v>
      </c>
      <c r="C18" s="77">
        <f>COUNTIFS(Cleaned_Procurement!$D:$D,A18)</f>
        <v>475</v>
      </c>
      <c r="D18" s="75">
        <f>IFERROR(B18/C18,0)</f>
        <v>7405.2735157894804</v>
      </c>
      <c r="E18" s="75">
        <f>SUMIFS(Cleaned_Procurement!$R:$R,Cleaned_Procurement!$D:$D,A18)</f>
        <v>197841.60710000005</v>
      </c>
    </row>
    <row r="19" spans="1:7" ht="15" customHeight="1" x14ac:dyDescent="0.25">
      <c r="A19" t="s">
        <v>225</v>
      </c>
      <c r="B19" s="75">
        <f>SUMIFS(Cleaned_Procurement!$O:$O,Cleaned_Procurement!$D:$D,A19)</f>
        <v>3350069.4800000014</v>
      </c>
      <c r="C19" s="77">
        <f>COUNTIFS(Cleaned_Procurement!$D:$D,A19)</f>
        <v>429</v>
      </c>
      <c r="D19" s="75">
        <f>IFERROR(B19/C19,0)</f>
        <v>7809.0197668997698</v>
      </c>
      <c r="E19" s="75">
        <f>SUMIFS(Cleaned_Procurement!$R:$R,Cleaned_Procurement!$D:$D,A19)</f>
        <v>188355.78980000017</v>
      </c>
    </row>
    <row r="20" spans="1:7" ht="15" customHeight="1" x14ac:dyDescent="0.25">
      <c r="A20" t="s">
        <v>227</v>
      </c>
      <c r="B20" s="75">
        <f>SUMIFS(Cleaned_Procurement!$O:$O,Cleaned_Procurement!$D:$D,A20)</f>
        <v>3724183.4700000039</v>
      </c>
      <c r="C20" s="77">
        <f>COUNTIFS(Cleaned_Procurement!$D:$D,A20)</f>
        <v>466</v>
      </c>
      <c r="D20" s="75">
        <f>IFERROR(B20/C20,0)</f>
        <v>7991.8100214592359</v>
      </c>
      <c r="E20" s="75">
        <f>SUMIFS(Cleaned_Procurement!$R:$R,Cleaned_Procurement!$D:$D,A20)</f>
        <v>209159.86579999985</v>
      </c>
    </row>
    <row r="23" spans="1:7" ht="15" customHeight="1" x14ac:dyDescent="0.25">
      <c r="A23" s="73" t="s">
        <v>261</v>
      </c>
    </row>
    <row r="24" spans="1:7" ht="15" customHeight="1" x14ac:dyDescent="0.25">
      <c r="A24" s="74" t="s">
        <v>78</v>
      </c>
      <c r="B24" s="74" t="s">
        <v>83</v>
      </c>
      <c r="C24" s="74" t="s">
        <v>84</v>
      </c>
      <c r="D24" s="74" t="s">
        <v>140</v>
      </c>
      <c r="E24" s="74" t="s">
        <v>193</v>
      </c>
      <c r="F24" s="74" t="s">
        <v>85</v>
      </c>
      <c r="G24" s="74" t="s">
        <v>156</v>
      </c>
    </row>
    <row r="25" spans="1:7" ht="15" customHeight="1" x14ac:dyDescent="0.25">
      <c r="A25" s="78">
        <v>45658</v>
      </c>
      <c r="B25" s="75">
        <f>SUMIFS(Finance_Raw!$E:$E,Finance_Raw!$A:$A,A25)</f>
        <v>6859245.2300000004</v>
      </c>
      <c r="C25" s="75">
        <f>SUMIFS(Finance_Raw!$L:$L,Finance_Raw!$A:$A,A25)</f>
        <v>4833404.3066666666</v>
      </c>
      <c r="D25" s="75">
        <f>SUMIFS(Finance_Raw!$K:$K,Finance_Raw!$A:$A,A25)</f>
        <v>4836088.76</v>
      </c>
      <c r="E25" s="75">
        <f t="shared" ref="E25:E36" si="3">D25-C25</f>
        <v>2684.4533333331347</v>
      </c>
      <c r="F25" s="75">
        <f t="shared" ref="F25:F36" si="4">B25-C25</f>
        <v>2025840.9233333338</v>
      </c>
      <c r="G25" s="76">
        <f t="shared" ref="G25:G36" si="5">IFERROR(F25/B25,0)</f>
        <v>0.29534458317264939</v>
      </c>
    </row>
    <row r="26" spans="1:7" ht="15" customHeight="1" x14ac:dyDescent="0.25">
      <c r="A26" s="78">
        <v>45689</v>
      </c>
      <c r="B26" s="75">
        <f>SUMIFS(Finance_Raw!$E:$E,Finance_Raw!$A:$A,A26)</f>
        <v>7476589.7599999988</v>
      </c>
      <c r="C26" s="75">
        <f>SUMIFS(Finance_Raw!$L:$L,Finance_Raw!$A:$A,A26)</f>
        <v>5235379.786666669</v>
      </c>
      <c r="D26" s="75">
        <f>SUMIFS(Finance_Raw!$K:$K,Finance_Raw!$A:$A,A26)</f>
        <v>5267039.71</v>
      </c>
      <c r="E26" s="75">
        <f t="shared" si="3"/>
        <v>31659.923333331011</v>
      </c>
      <c r="F26" s="75">
        <f t="shared" si="4"/>
        <v>2241209.9733333299</v>
      </c>
      <c r="G26" s="76">
        <f t="shared" si="5"/>
        <v>0.29976366836707785</v>
      </c>
    </row>
    <row r="27" spans="1:7" ht="15" customHeight="1" x14ac:dyDescent="0.25">
      <c r="A27" s="78">
        <v>45717</v>
      </c>
      <c r="B27" s="75">
        <f>SUMIFS(Finance_Raw!$E:$E,Finance_Raw!$A:$A,A27)</f>
        <v>7345583.3199999994</v>
      </c>
      <c r="C27" s="75">
        <f>SUMIFS(Finance_Raw!$L:$L,Finance_Raw!$A:$A,A27)</f>
        <v>5087641.6866666656</v>
      </c>
      <c r="D27" s="75">
        <f>SUMIFS(Finance_Raw!$K:$K,Finance_Raw!$A:$A,A27)</f>
        <v>5095798.34</v>
      </c>
      <c r="E27" s="75">
        <f t="shared" si="3"/>
        <v>8156.6533333342522</v>
      </c>
      <c r="F27" s="75">
        <f t="shared" si="4"/>
        <v>2257941.6333333338</v>
      </c>
      <c r="G27" s="76">
        <f t="shared" si="5"/>
        <v>0.30738765527110434</v>
      </c>
    </row>
    <row r="28" spans="1:7" ht="15" customHeight="1" x14ac:dyDescent="0.25">
      <c r="A28" s="78">
        <v>45748</v>
      </c>
      <c r="B28" s="75">
        <f>SUMIFS(Finance_Raw!$E:$E,Finance_Raw!$A:$A,A28)</f>
        <v>7658852.209999999</v>
      </c>
      <c r="C28" s="75">
        <f>SUMIFS(Finance_Raw!$L:$L,Finance_Raw!$A:$A,A28)</f>
        <v>5279230.3566666674</v>
      </c>
      <c r="D28" s="75">
        <f>SUMIFS(Finance_Raw!$K:$K,Finance_Raw!$A:$A,A28)</f>
        <v>5236666.6100000003</v>
      </c>
      <c r="E28" s="75">
        <f t="shared" si="3"/>
        <v>-42563.746666667052</v>
      </c>
      <c r="F28" s="75">
        <f t="shared" si="4"/>
        <v>2379621.8533333316</v>
      </c>
      <c r="G28" s="76">
        <f t="shared" si="5"/>
        <v>0.31070215067295731</v>
      </c>
    </row>
    <row r="29" spans="1:7" ht="15" customHeight="1" x14ac:dyDescent="0.25">
      <c r="A29" s="78">
        <v>45778</v>
      </c>
      <c r="B29" s="75">
        <f>SUMIFS(Finance_Raw!$E:$E,Finance_Raw!$A:$A,A29)</f>
        <v>6576496.4300000006</v>
      </c>
      <c r="C29" s="75">
        <f>SUMIFS(Finance_Raw!$L:$L,Finance_Raw!$A:$A,A29)</f>
        <v>4543655.4333333336</v>
      </c>
      <c r="D29" s="75">
        <f>SUMIFS(Finance_Raw!$K:$K,Finance_Raw!$A:$A,A29)</f>
        <v>4562622.33</v>
      </c>
      <c r="E29" s="75">
        <f t="shared" si="3"/>
        <v>18966.896666666493</v>
      </c>
      <c r="F29" s="75">
        <f t="shared" si="4"/>
        <v>2032840.9966666671</v>
      </c>
      <c r="G29" s="76">
        <f t="shared" si="5"/>
        <v>0.30910698702632261</v>
      </c>
    </row>
    <row r="30" spans="1:7" ht="15" customHeight="1" x14ac:dyDescent="0.25">
      <c r="A30" s="78">
        <v>45809</v>
      </c>
      <c r="B30" s="75">
        <f>SUMIFS(Finance_Raw!$E:$E,Finance_Raw!$A:$A,A30)</f>
        <v>7065637.8299999991</v>
      </c>
      <c r="C30" s="75">
        <f>SUMIFS(Finance_Raw!$L:$L,Finance_Raw!$A:$A,A30)</f>
        <v>4919918.3033333346</v>
      </c>
      <c r="D30" s="75">
        <f>SUMIFS(Finance_Raw!$K:$K,Finance_Raw!$A:$A,A30)</f>
        <v>4907337.8000000007</v>
      </c>
      <c r="E30" s="75">
        <f t="shared" si="3"/>
        <v>-12580.50333333388</v>
      </c>
      <c r="F30" s="75">
        <f t="shared" si="4"/>
        <v>2145719.5266666645</v>
      </c>
      <c r="G30" s="76">
        <f t="shared" si="5"/>
        <v>0.30368376900895649</v>
      </c>
    </row>
    <row r="31" spans="1:7" ht="15" customHeight="1" x14ac:dyDescent="0.25">
      <c r="A31" s="78">
        <v>45839</v>
      </c>
      <c r="B31" s="75">
        <f>SUMIFS(Finance_Raw!$E:$E,Finance_Raw!$A:$A,A31)</f>
        <v>6953277</v>
      </c>
      <c r="C31" s="75">
        <f>SUMIFS(Finance_Raw!$L:$L,Finance_Raw!$A:$A,A31)</f>
        <v>4875601.0599999996</v>
      </c>
      <c r="D31" s="75">
        <f>SUMIFS(Finance_Raw!$K:$K,Finance_Raw!$A:$A,A31)</f>
        <v>4898226.1900000004</v>
      </c>
      <c r="E31" s="75">
        <f t="shared" si="3"/>
        <v>22625.13000000082</v>
      </c>
      <c r="F31" s="75">
        <f t="shared" si="4"/>
        <v>2077675.9400000004</v>
      </c>
      <c r="G31" s="76">
        <f t="shared" si="5"/>
        <v>0.29880528849922139</v>
      </c>
    </row>
    <row r="32" spans="1:7" ht="15" customHeight="1" x14ac:dyDescent="0.25">
      <c r="A32" s="78">
        <v>45870</v>
      </c>
      <c r="B32" s="75">
        <f>SUMIFS(Finance_Raw!$E:$E,Finance_Raw!$A:$A,A32)</f>
        <v>7044378.1900000004</v>
      </c>
      <c r="C32" s="75">
        <f>SUMIFS(Finance_Raw!$L:$L,Finance_Raw!$A:$A,A32)</f>
        <v>4979875.7133333338</v>
      </c>
      <c r="D32" s="75">
        <f>SUMIFS(Finance_Raw!$K:$K,Finance_Raw!$A:$A,A32)</f>
        <v>4993843.2100000009</v>
      </c>
      <c r="E32" s="75">
        <f t="shared" si="3"/>
        <v>13967.496666667052</v>
      </c>
      <c r="F32" s="75">
        <f t="shared" si="4"/>
        <v>2064502.4766666666</v>
      </c>
      <c r="G32" s="76">
        <f t="shared" si="5"/>
        <v>0.293070931313338</v>
      </c>
    </row>
    <row r="33" spans="1:7" ht="15" customHeight="1" x14ac:dyDescent="0.25">
      <c r="A33" s="78">
        <v>45901</v>
      </c>
      <c r="B33" s="75">
        <f>SUMIFS(Finance_Raw!$E:$E,Finance_Raw!$A:$A,A33)</f>
        <v>6899634.6500000013</v>
      </c>
      <c r="C33" s="75">
        <f>SUMIFS(Finance_Raw!$L:$L,Finance_Raw!$A:$A,A33)</f>
        <v>4818773.5466666678</v>
      </c>
      <c r="D33" s="75">
        <f>SUMIFS(Finance_Raw!$K:$K,Finance_Raw!$A:$A,A33)</f>
        <v>4850993.1900000004</v>
      </c>
      <c r="E33" s="75">
        <f t="shared" si="3"/>
        <v>32219.643333332613</v>
      </c>
      <c r="F33" s="75">
        <f t="shared" si="4"/>
        <v>2080861.1033333335</v>
      </c>
      <c r="G33" s="76">
        <f t="shared" si="5"/>
        <v>0.30159004192103606</v>
      </c>
    </row>
    <row r="34" spans="1:7" ht="15" customHeight="1" x14ac:dyDescent="0.25">
      <c r="A34" s="78">
        <v>45931</v>
      </c>
      <c r="B34" s="75">
        <f>SUMIFS(Finance_Raw!$E:$E,Finance_Raw!$A:$A,A34)</f>
        <v>8051254.2699999996</v>
      </c>
      <c r="C34" s="75">
        <f>SUMIFS(Finance_Raw!$L:$L,Finance_Raw!$A:$A,A34)</f>
        <v>5558744.2566666678</v>
      </c>
      <c r="D34" s="75">
        <f>SUMIFS(Finance_Raw!$K:$K,Finance_Raw!$A:$A,A34)</f>
        <v>5591688.2600000007</v>
      </c>
      <c r="E34" s="75">
        <f t="shared" si="3"/>
        <v>32944.003333332948</v>
      </c>
      <c r="F34" s="75">
        <f t="shared" si="4"/>
        <v>2492510.0133333318</v>
      </c>
      <c r="G34" s="76">
        <f t="shared" si="5"/>
        <v>0.30958033739174556</v>
      </c>
    </row>
    <row r="35" spans="1:7" ht="15" customHeight="1" x14ac:dyDescent="0.25">
      <c r="A35" s="78">
        <v>45962</v>
      </c>
      <c r="B35" s="75">
        <f>SUMIFS(Finance_Raw!$E:$E,Finance_Raw!$A:$A,A35)</f>
        <v>6479152.0099999998</v>
      </c>
      <c r="C35" s="75">
        <f>SUMIFS(Finance_Raw!$L:$L,Finance_Raw!$A:$A,A35)</f>
        <v>4606613.6766666677</v>
      </c>
      <c r="D35" s="75">
        <f>SUMIFS(Finance_Raw!$K:$K,Finance_Raw!$A:$A,A35)</f>
        <v>4585980.66</v>
      </c>
      <c r="E35" s="75">
        <f t="shared" si="3"/>
        <v>-20633.016666667536</v>
      </c>
      <c r="F35" s="75">
        <f t="shared" si="4"/>
        <v>1872538.3333333321</v>
      </c>
      <c r="G35" s="76">
        <f t="shared" si="5"/>
        <v>0.28900978560824536</v>
      </c>
    </row>
    <row r="36" spans="1:7" ht="15" customHeight="1" x14ac:dyDescent="0.25">
      <c r="A36" s="78">
        <v>45992</v>
      </c>
      <c r="B36" s="75">
        <f>SUMIFS(Finance_Raw!$E:$E,Finance_Raw!$A:$A,A36)</f>
        <v>8066416.3500000024</v>
      </c>
      <c r="C36" s="75">
        <f>SUMIFS(Finance_Raw!$L:$L,Finance_Raw!$A:$A,A36)</f>
        <v>5614126.6166666644</v>
      </c>
      <c r="D36" s="75">
        <f>SUMIFS(Finance_Raw!$K:$K,Finance_Raw!$A:$A,A36)</f>
        <v>5575536.6600000001</v>
      </c>
      <c r="E36" s="75">
        <f t="shared" si="3"/>
        <v>-38589.95666666422</v>
      </c>
      <c r="F36" s="75">
        <f t="shared" si="4"/>
        <v>2452289.7333333381</v>
      </c>
      <c r="G36" s="76">
        <f t="shared" si="5"/>
        <v>0.30401229330709384</v>
      </c>
    </row>
  </sheetData>
  <mergeCells count="1">
    <mergeCell ref="A1:H1"/>
  </mergeCells>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H32"/>
  <sheetViews>
    <sheetView zoomScaleNormal="100" workbookViewId="0"/>
  </sheetViews>
  <sheetFormatPr defaultColWidth="11.5703125" defaultRowHeight="15" x14ac:dyDescent="0.25"/>
  <cols>
    <col min="1" max="1" width="5.140625" customWidth="1"/>
  </cols>
  <sheetData>
    <row r="2" spans="2:8" x14ac:dyDescent="0.25">
      <c r="B2" s="16" t="s">
        <v>262</v>
      </c>
    </row>
    <row r="3" spans="2:8" ht="12.75" customHeight="1" x14ac:dyDescent="0.25">
      <c r="B3" t="s">
        <v>263</v>
      </c>
    </row>
    <row r="5" spans="2:8" ht="12.75" customHeight="1" x14ac:dyDescent="0.25">
      <c r="B5" s="79"/>
      <c r="C5" s="80"/>
      <c r="D5" s="81" t="s">
        <v>75</v>
      </c>
      <c r="E5" s="82"/>
      <c r="F5" s="82"/>
      <c r="G5" s="82"/>
      <c r="H5" s="83"/>
    </row>
    <row r="6" spans="2:8" ht="12.75" customHeight="1" x14ac:dyDescent="0.25">
      <c r="B6" s="84" t="s">
        <v>77</v>
      </c>
      <c r="C6" s="85" t="s">
        <v>264</v>
      </c>
      <c r="D6" s="86" t="s">
        <v>223</v>
      </c>
      <c r="E6" s="87" t="s">
        <v>221</v>
      </c>
      <c r="F6" s="87" t="s">
        <v>225</v>
      </c>
      <c r="G6" s="87" t="s">
        <v>227</v>
      </c>
      <c r="H6" s="88" t="s">
        <v>265</v>
      </c>
    </row>
    <row r="7" spans="2:8" ht="12.75" customHeight="1" x14ac:dyDescent="0.25">
      <c r="B7" s="89" t="s">
        <v>183</v>
      </c>
      <c r="C7" s="90"/>
      <c r="D7" s="91"/>
      <c r="E7" s="92"/>
      <c r="F7" s="92"/>
      <c r="G7" s="93"/>
      <c r="H7" s="94"/>
    </row>
    <row r="8" spans="2:8" ht="12.75" customHeight="1" x14ac:dyDescent="0.25">
      <c r="B8" s="95"/>
      <c r="C8" s="96" t="s">
        <v>266</v>
      </c>
      <c r="D8" s="97">
        <v>908801.36</v>
      </c>
      <c r="E8" s="98">
        <v>909631.92</v>
      </c>
      <c r="F8" s="98">
        <v>573632.97</v>
      </c>
      <c r="G8" s="99">
        <v>801300.89</v>
      </c>
      <c r="H8" s="100">
        <v>3193367.14</v>
      </c>
    </row>
    <row r="9" spans="2:8" ht="12.75" customHeight="1" x14ac:dyDescent="0.25">
      <c r="B9" s="95"/>
      <c r="C9" s="96" t="s">
        <v>267</v>
      </c>
      <c r="D9" s="101">
        <v>71</v>
      </c>
      <c r="E9" s="102">
        <v>61</v>
      </c>
      <c r="F9" s="102">
        <v>47</v>
      </c>
      <c r="G9" s="103">
        <v>63</v>
      </c>
      <c r="H9" s="104">
        <v>242</v>
      </c>
    </row>
    <row r="10" spans="2:8" ht="12.75" customHeight="1" x14ac:dyDescent="0.25">
      <c r="B10" s="95" t="s">
        <v>179</v>
      </c>
      <c r="C10" s="96"/>
      <c r="D10" s="92"/>
      <c r="E10" s="92"/>
      <c r="F10" s="92"/>
      <c r="G10" s="92"/>
      <c r="H10" s="94"/>
    </row>
    <row r="11" spans="2:8" ht="12.75" customHeight="1" x14ac:dyDescent="0.25">
      <c r="B11" s="95"/>
      <c r="C11" s="96" t="s">
        <v>266</v>
      </c>
      <c r="D11" s="98">
        <v>507503.34</v>
      </c>
      <c r="E11" s="98">
        <v>527974.36</v>
      </c>
      <c r="F11" s="98">
        <v>535792.4</v>
      </c>
      <c r="G11" s="98">
        <v>557510.82999999996</v>
      </c>
      <c r="H11" s="100">
        <v>2128780.9300000002</v>
      </c>
    </row>
    <row r="12" spans="2:8" ht="12.75" customHeight="1" x14ac:dyDescent="0.25">
      <c r="B12" s="95"/>
      <c r="C12" s="96" t="s">
        <v>267</v>
      </c>
      <c r="D12" s="102">
        <v>61</v>
      </c>
      <c r="E12" s="102">
        <v>59</v>
      </c>
      <c r="F12" s="102">
        <v>47</v>
      </c>
      <c r="G12" s="102">
        <v>50</v>
      </c>
      <c r="H12" s="104">
        <v>217</v>
      </c>
    </row>
    <row r="13" spans="2:8" ht="12.75" customHeight="1" x14ac:dyDescent="0.25">
      <c r="B13" s="95" t="s">
        <v>178</v>
      </c>
      <c r="C13" s="96"/>
      <c r="D13" s="91"/>
      <c r="E13" s="92"/>
      <c r="F13" s="92"/>
      <c r="G13" s="93"/>
      <c r="H13" s="94"/>
    </row>
    <row r="14" spans="2:8" ht="12.75" customHeight="1" x14ac:dyDescent="0.25">
      <c r="B14" s="95"/>
      <c r="C14" s="96" t="s">
        <v>266</v>
      </c>
      <c r="D14" s="97">
        <v>235271.73</v>
      </c>
      <c r="E14" s="98">
        <v>229341.28</v>
      </c>
      <c r="F14" s="98">
        <v>184595.52</v>
      </c>
      <c r="G14" s="99">
        <v>188505.1</v>
      </c>
      <c r="H14" s="100">
        <v>837713.63</v>
      </c>
    </row>
    <row r="15" spans="2:8" ht="12.75" customHeight="1" x14ac:dyDescent="0.25">
      <c r="B15" s="95"/>
      <c r="C15" s="96" t="s">
        <v>267</v>
      </c>
      <c r="D15" s="101">
        <v>64</v>
      </c>
      <c r="E15" s="102">
        <v>59</v>
      </c>
      <c r="F15" s="102">
        <v>62</v>
      </c>
      <c r="G15" s="103">
        <v>63</v>
      </c>
      <c r="H15" s="104">
        <v>248</v>
      </c>
    </row>
    <row r="16" spans="2:8" ht="12.75" customHeight="1" x14ac:dyDescent="0.25">
      <c r="B16" s="95" t="s">
        <v>181</v>
      </c>
      <c r="C16" s="96"/>
      <c r="D16" s="92"/>
      <c r="E16" s="92"/>
      <c r="F16" s="92"/>
      <c r="G16" s="92"/>
      <c r="H16" s="94"/>
    </row>
    <row r="17" spans="2:8" ht="12.75" customHeight="1" x14ac:dyDescent="0.25">
      <c r="B17" s="95"/>
      <c r="C17" s="96" t="s">
        <v>266</v>
      </c>
      <c r="D17" s="98">
        <v>569180.43999999994</v>
      </c>
      <c r="E17" s="98">
        <v>467580.07</v>
      </c>
      <c r="F17" s="98">
        <v>747410.31</v>
      </c>
      <c r="G17" s="98">
        <v>720984.36</v>
      </c>
      <c r="H17" s="100">
        <v>2505155.1800000002</v>
      </c>
    </row>
    <row r="18" spans="2:8" ht="12.75" customHeight="1" x14ac:dyDescent="0.25">
      <c r="B18" s="95"/>
      <c r="C18" s="96" t="s">
        <v>267</v>
      </c>
      <c r="D18" s="102">
        <v>56</v>
      </c>
      <c r="E18" s="102">
        <v>51</v>
      </c>
      <c r="F18" s="102">
        <v>66</v>
      </c>
      <c r="G18" s="102">
        <v>66</v>
      </c>
      <c r="H18" s="104">
        <v>239</v>
      </c>
    </row>
    <row r="19" spans="2:8" ht="12.75" customHeight="1" x14ac:dyDescent="0.25">
      <c r="B19" s="95" t="s">
        <v>177</v>
      </c>
      <c r="C19" s="96"/>
      <c r="D19" s="91"/>
      <c r="E19" s="92"/>
      <c r="F19" s="92"/>
      <c r="G19" s="93"/>
      <c r="H19" s="94"/>
    </row>
    <row r="20" spans="2:8" ht="12.75" customHeight="1" x14ac:dyDescent="0.25">
      <c r="B20" s="95"/>
      <c r="C20" s="96" t="s">
        <v>266</v>
      </c>
      <c r="D20" s="97">
        <v>235168.46</v>
      </c>
      <c r="E20" s="98">
        <v>271997.11</v>
      </c>
      <c r="F20" s="98">
        <v>280015.5</v>
      </c>
      <c r="G20" s="99">
        <v>309971.94</v>
      </c>
      <c r="H20" s="100">
        <v>1097153.01</v>
      </c>
    </row>
    <row r="21" spans="2:8" ht="12.75" customHeight="1" x14ac:dyDescent="0.25">
      <c r="B21" s="95"/>
      <c r="C21" s="96" t="s">
        <v>267</v>
      </c>
      <c r="D21" s="101">
        <v>46</v>
      </c>
      <c r="E21" s="102">
        <v>49</v>
      </c>
      <c r="F21" s="102">
        <v>54</v>
      </c>
      <c r="G21" s="103">
        <v>56</v>
      </c>
      <c r="H21" s="104">
        <v>205</v>
      </c>
    </row>
    <row r="22" spans="2:8" ht="12.75" customHeight="1" x14ac:dyDescent="0.25">
      <c r="B22" s="95" t="s">
        <v>184</v>
      </c>
      <c r="C22" s="96"/>
      <c r="D22" s="92"/>
      <c r="E22" s="92"/>
      <c r="F22" s="92"/>
      <c r="G22" s="92"/>
      <c r="H22" s="94"/>
    </row>
    <row r="23" spans="2:8" ht="12.75" customHeight="1" x14ac:dyDescent="0.25">
      <c r="B23" s="95"/>
      <c r="C23" s="96" t="s">
        <v>266</v>
      </c>
      <c r="D23" s="98">
        <v>201318.8</v>
      </c>
      <c r="E23" s="98">
        <v>191459.22</v>
      </c>
      <c r="F23" s="98">
        <v>192086.25</v>
      </c>
      <c r="G23" s="98">
        <v>143765.69</v>
      </c>
      <c r="H23" s="100">
        <v>728629.96</v>
      </c>
    </row>
    <row r="24" spans="2:8" ht="12.75" customHeight="1" x14ac:dyDescent="0.25">
      <c r="B24" s="95"/>
      <c r="C24" s="96" t="s">
        <v>267</v>
      </c>
      <c r="D24" s="102">
        <v>62</v>
      </c>
      <c r="E24" s="102">
        <v>52</v>
      </c>
      <c r="F24" s="102">
        <v>55</v>
      </c>
      <c r="G24" s="102">
        <v>53</v>
      </c>
      <c r="H24" s="104">
        <v>222</v>
      </c>
    </row>
    <row r="25" spans="2:8" ht="12.75" customHeight="1" x14ac:dyDescent="0.25">
      <c r="B25" s="95" t="s">
        <v>180</v>
      </c>
      <c r="C25" s="96"/>
      <c r="D25" s="91"/>
      <c r="E25" s="92"/>
      <c r="F25" s="92"/>
      <c r="G25" s="93"/>
      <c r="H25" s="94"/>
    </row>
    <row r="26" spans="2:8" ht="12.75" customHeight="1" x14ac:dyDescent="0.25">
      <c r="B26" s="95"/>
      <c r="C26" s="96" t="s">
        <v>266</v>
      </c>
      <c r="D26" s="97">
        <v>563542.93000000005</v>
      </c>
      <c r="E26" s="98">
        <v>509825.77</v>
      </c>
      <c r="F26" s="98">
        <v>603799.51</v>
      </c>
      <c r="G26" s="99">
        <v>724093.39</v>
      </c>
      <c r="H26" s="100">
        <v>2401261.6</v>
      </c>
    </row>
    <row r="27" spans="2:8" ht="12.75" customHeight="1" x14ac:dyDescent="0.25">
      <c r="B27" s="95"/>
      <c r="C27" s="96" t="s">
        <v>267</v>
      </c>
      <c r="D27" s="101">
        <v>49</v>
      </c>
      <c r="E27" s="102">
        <v>49</v>
      </c>
      <c r="F27" s="102">
        <v>54</v>
      </c>
      <c r="G27" s="103">
        <v>54</v>
      </c>
      <c r="H27" s="104">
        <v>206</v>
      </c>
    </row>
    <row r="28" spans="2:8" ht="12.75" customHeight="1" x14ac:dyDescent="0.25">
      <c r="B28" s="95" t="s">
        <v>182</v>
      </c>
      <c r="C28" s="96"/>
      <c r="D28" s="92"/>
      <c r="E28" s="92"/>
      <c r="F28" s="92"/>
      <c r="G28" s="92"/>
      <c r="H28" s="94"/>
    </row>
    <row r="29" spans="2:8" ht="12.75" customHeight="1" x14ac:dyDescent="0.25">
      <c r="B29" s="95"/>
      <c r="C29" s="96" t="s">
        <v>266</v>
      </c>
      <c r="D29" s="98">
        <v>296717.86</v>
      </c>
      <c r="E29" s="98">
        <v>223114.15</v>
      </c>
      <c r="F29" s="98">
        <v>232737.02</v>
      </c>
      <c r="G29" s="98">
        <v>278051.27</v>
      </c>
      <c r="H29" s="100">
        <v>1030620.3</v>
      </c>
    </row>
    <row r="30" spans="2:8" ht="12.75" customHeight="1" x14ac:dyDescent="0.25">
      <c r="B30" s="95"/>
      <c r="C30" s="96" t="s">
        <v>267</v>
      </c>
      <c r="D30" s="102">
        <v>66</v>
      </c>
      <c r="E30" s="102">
        <v>50</v>
      </c>
      <c r="F30" s="102">
        <v>44</v>
      </c>
      <c r="G30" s="102">
        <v>61</v>
      </c>
      <c r="H30" s="104">
        <v>221</v>
      </c>
    </row>
    <row r="31" spans="2:8" ht="12.75" customHeight="1" x14ac:dyDescent="0.25">
      <c r="B31" s="105" t="s">
        <v>268</v>
      </c>
      <c r="C31" s="106"/>
      <c r="D31" s="107">
        <v>3517504.92</v>
      </c>
      <c r="E31" s="108">
        <v>3330923.88</v>
      </c>
      <c r="F31" s="108">
        <v>3350069.48</v>
      </c>
      <c r="G31" s="109">
        <v>3724183.47</v>
      </c>
      <c r="H31" s="110">
        <v>13922681.75</v>
      </c>
    </row>
    <row r="32" spans="2:8" ht="12.75" customHeight="1" x14ac:dyDescent="0.25">
      <c r="B32" s="111" t="s">
        <v>269</v>
      </c>
      <c r="C32" s="112"/>
      <c r="D32" s="113">
        <v>475</v>
      </c>
      <c r="E32" s="114">
        <v>430</v>
      </c>
      <c r="F32" s="114">
        <v>429</v>
      </c>
      <c r="G32" s="115">
        <v>466</v>
      </c>
      <c r="H32" s="116">
        <v>1800</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 &amp;Kffffff&amp;A</oddHeader>
    <oddFooter>&amp;C&amp;"Times New Roman,Regular"&amp;12 &amp;KffffffPage &amp;P</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41"/>
  <sheetViews>
    <sheetView showGridLines="0" zoomScaleNormal="100" workbookViewId="0"/>
  </sheetViews>
  <sheetFormatPr defaultColWidth="8.7109375" defaultRowHeight="15" x14ac:dyDescent="0.25"/>
  <cols>
    <col min="1" max="1" width="44" customWidth="1"/>
    <col min="2" max="3" width="16" customWidth="1"/>
    <col min="4" max="4" width="58" customWidth="1"/>
    <col min="5" max="5" width="3" customWidth="1"/>
    <col min="6" max="6" width="5" customWidth="1"/>
    <col min="7" max="7" width="16" customWidth="1"/>
    <col min="8" max="8" width="11" customWidth="1"/>
    <col min="9" max="9" width="16" customWidth="1"/>
    <col min="10" max="10" width="8" customWidth="1"/>
    <col min="11" max="11" width="17" customWidth="1"/>
    <col min="12" max="12" width="12" customWidth="1"/>
    <col min="13" max="13" width="22" customWidth="1"/>
  </cols>
  <sheetData>
    <row r="1" spans="1:13" ht="21" x14ac:dyDescent="0.35">
      <c r="A1" s="15" t="s">
        <v>270</v>
      </c>
    </row>
    <row r="2" spans="1:13" x14ac:dyDescent="0.25">
      <c r="A2" s="16" t="s">
        <v>271</v>
      </c>
    </row>
    <row r="4" spans="1:13" ht="15.75" x14ac:dyDescent="0.25">
      <c r="A4" s="17" t="s">
        <v>272</v>
      </c>
      <c r="F4" s="17" t="s">
        <v>273</v>
      </c>
    </row>
    <row r="5" spans="1:13" x14ac:dyDescent="0.25">
      <c r="A5" s="18" t="s">
        <v>274</v>
      </c>
      <c r="B5" s="18" t="s">
        <v>275</v>
      </c>
      <c r="C5" s="18" t="s">
        <v>276</v>
      </c>
      <c r="D5" s="18" t="s">
        <v>277</v>
      </c>
      <c r="F5" s="18" t="s">
        <v>278</v>
      </c>
      <c r="G5" s="18" t="s">
        <v>279</v>
      </c>
      <c r="H5" s="18" t="s">
        <v>280</v>
      </c>
      <c r="I5" s="18" t="s">
        <v>239</v>
      </c>
      <c r="J5" s="18" t="s">
        <v>191</v>
      </c>
      <c r="K5" s="18" t="s">
        <v>77</v>
      </c>
      <c r="L5" s="18" t="s">
        <v>281</v>
      </c>
      <c r="M5" s="18" t="s">
        <v>274</v>
      </c>
    </row>
    <row r="6" spans="1:13" ht="30" customHeight="1" x14ac:dyDescent="0.25">
      <c r="A6" s="20" t="s">
        <v>282</v>
      </c>
      <c r="B6" s="59">
        <f>COUNTIF(Cleaned_Procurement!$N$2:$N$1801,A6)</f>
        <v>1</v>
      </c>
      <c r="C6" s="33">
        <f>SUMIFS(Cleaned_Procurement!$J$2:$J$1801,Cleaned_Procurement!$N$2:$N$1801,A6)</f>
        <v>699.89</v>
      </c>
      <c r="D6" s="21" t="s">
        <v>283</v>
      </c>
      <c r="F6" s="52">
        <v>1</v>
      </c>
      <c r="G6" s="20" t="str">
        <f>IFERROR(INDEX(Cleaned_Procurement!$G$2:$G$1801,MATCH($F6,Cleaned_Procurement!$U$2:$U$1801,0)),"")</f>
        <v>INV-2025-00078</v>
      </c>
      <c r="H6" s="117">
        <f>IFERROR(INDEX(Cleaned_Procurement!$A$2:$A$1801,MATCH($F6,Cleaned_Procurement!$U$2:$U$1801,0)),"")</f>
        <v>45744</v>
      </c>
      <c r="I6" s="20" t="str">
        <f>IFERROR(INDEX(Cleaned_Procurement!$E$2:$E$1801,MATCH($F6,Cleaned_Procurement!$U$2:$U$1801,0)),"")</f>
        <v/>
      </c>
      <c r="J6" s="20" t="str">
        <f>IFERROR(INDEX(Cleaned_Procurement!$B$2:$B$1801,MATCH($F6,Cleaned_Procurement!$U$2:$U$1801,0)),"")</f>
        <v>S005</v>
      </c>
      <c r="K6" s="20" t="str">
        <f>IFERROR(INDEX(Cleaned_Procurement!$F$2:$F$1801,MATCH($F6,Cleaned_Procurement!$U$2:$U$1801,0)),"")</f>
        <v>Office &amp; Training</v>
      </c>
      <c r="L6" s="118">
        <f>IFERROR(INDEX(Cleaned_Procurement!$J$2:$J$1801,MATCH($F6,Cleaned_Procurement!$U$2:$U$1801,0)),"")</f>
        <v>699.89</v>
      </c>
      <c r="M6" s="20" t="str">
        <f>IFERROR(INDEX(Cleaned_Procurement!$N$2:$N$1801,MATCH($F6,Cleaned_Procurement!$U$2:$U$1801,0)),"")</f>
        <v>Missing supplier</v>
      </c>
    </row>
    <row r="7" spans="1:13" ht="30" customHeight="1" x14ac:dyDescent="0.25">
      <c r="A7" s="20" t="s">
        <v>284</v>
      </c>
      <c r="B7" s="59">
        <f>COUNTIF(Cleaned_Procurement!$N$2:$N$1801,A7)</f>
        <v>1</v>
      </c>
      <c r="C7" s="33">
        <f>SUMIFS(Cleaned_Procurement!$J$2:$J$1801,Cleaned_Procurement!$N$2:$N$1801,A7)</f>
        <v>5662.41</v>
      </c>
      <c r="D7" s="21" t="s">
        <v>285</v>
      </c>
      <c r="F7" s="52">
        <v>2</v>
      </c>
      <c r="G7" s="20" t="str">
        <f>IFERROR(INDEX(Cleaned_Procurement!$G$2:$G$1801,MATCH($F7,Cleaned_Procurement!$U$2:$U$1801,0)),"")</f>
        <v>INV-2025-00249</v>
      </c>
      <c r="H7" s="117">
        <f>IFERROR(INDEX(Cleaned_Procurement!$A$2:$A$1801,MATCH($F7,Cleaned_Procurement!$U$2:$U$1801,0)),"")</f>
        <v>45816</v>
      </c>
      <c r="I7" s="20" t="str">
        <f>IFERROR(INDEX(Cleaned_Procurement!$E$2:$E$1801,MATCH($F7,Cleaned_Procurement!$U$2:$U$1801,0)),"")</f>
        <v>SafeGuard FM</v>
      </c>
      <c r="J7" s="20" t="str">
        <f>IFERROR(INDEX(Cleaned_Procurement!$B$2:$B$1801,MATCH($F7,Cleaned_Procurement!$U$2:$U$1801,0)),"")</f>
        <v>S017</v>
      </c>
      <c r="K7" s="20" t="str">
        <f>IFERROR(INDEX(Cleaned_Procurement!$F$2:$F$1801,MATCH($F7,Cleaned_Procurement!$U$2:$U$1801,0)),"")</f>
        <v>Facilities</v>
      </c>
      <c r="L7" s="118">
        <f>IFERROR(INDEX(Cleaned_Procurement!$J$2:$J$1801,MATCH($F7,Cleaned_Procurement!$U$2:$U$1801,0)),"")</f>
        <v>24240.55</v>
      </c>
      <c r="M7" s="20" t="str">
        <f>IFERROR(INDEX(Cleaned_Procurement!$N$2:$N$1801,MATCH($F7,Cleaned_Procurement!$U$2:$U$1801,0)),"")</f>
        <v>Duplicate ID - review</v>
      </c>
    </row>
    <row r="8" spans="1:13" ht="30" customHeight="1" x14ac:dyDescent="0.25">
      <c r="A8" s="20" t="s">
        <v>286</v>
      </c>
      <c r="B8" s="59">
        <f>COUNTIF(Cleaned_Procurement!$N$2:$N$1801,A8)</f>
        <v>1</v>
      </c>
      <c r="C8" s="33">
        <f>SUMIFS(Cleaned_Procurement!$J$2:$J$1801,Cleaned_Procurement!$N$2:$N$1801,A8)</f>
        <v>0</v>
      </c>
      <c r="D8" s="21" t="s">
        <v>287</v>
      </c>
      <c r="F8" s="52">
        <v>3</v>
      </c>
      <c r="G8" s="20" t="str">
        <f>IFERROR(INDEX(Cleaned_Procurement!$G$2:$G$1801,MATCH($F8,Cleaned_Procurement!$U$2:$U$1801,0)),"")</f>
        <v>INV-2025-00249</v>
      </c>
      <c r="H8" s="117">
        <f>IFERROR(INDEX(Cleaned_Procurement!$A$2:$A$1801,MATCH($F8,Cleaned_Procurement!$U$2:$U$1801,0)),"")</f>
        <v>46001</v>
      </c>
      <c r="I8" s="20" t="str">
        <f>IFERROR(INDEX(Cleaned_Procurement!$E$2:$E$1801,MATCH($F8,Cleaned_Procurement!$U$2:$U$1801,0)),"")</f>
        <v>KitchenPro</v>
      </c>
      <c r="J8" s="20" t="str">
        <f>IFERROR(INDEX(Cleaned_Procurement!$B$2:$B$1801,MATCH($F8,Cleaned_Procurement!$U$2:$U$1801,0)),"")</f>
        <v>S020</v>
      </c>
      <c r="K8" s="20" t="str">
        <f>IFERROR(INDEX(Cleaned_Procurement!$F$2:$F$1801,MATCH($F8,Cleaned_Procurement!$U$2:$U$1801,0)),"")</f>
        <v>Food &amp; Catering</v>
      </c>
      <c r="L8" s="118">
        <f>IFERROR(INDEX(Cleaned_Procurement!$J$2:$J$1801,MATCH($F8,Cleaned_Procurement!$U$2:$U$1801,0)),"")</f>
        <v>1786.89</v>
      </c>
      <c r="M8" s="20" t="str">
        <f>IFERROR(INDEX(Cleaned_Procurement!$N$2:$N$1801,MATCH($F8,Cleaned_Procurement!$U$2:$U$1801,0)),"")</f>
        <v>Duplicate ID - review</v>
      </c>
    </row>
    <row r="9" spans="1:13" ht="30" customHeight="1" x14ac:dyDescent="0.25">
      <c r="A9" s="20" t="s">
        <v>288</v>
      </c>
      <c r="B9" s="59">
        <f>COUNTIF(Cleaned_Procurement!$N$2:$N$1801,A9)</f>
        <v>0</v>
      </c>
      <c r="C9" s="33">
        <f>SUMIFS(Cleaned_Procurement!$J$2:$J$1801,Cleaned_Procurement!$N$2:$N$1801,A9)</f>
        <v>0</v>
      </c>
      <c r="D9" s="21" t="s">
        <v>289</v>
      </c>
      <c r="F9" s="52">
        <v>4</v>
      </c>
      <c r="G9" s="20" t="str">
        <f>IFERROR(INDEX(Cleaned_Procurement!$G$2:$G$1801,MATCH($F9,Cleaned_Procurement!$U$2:$U$1801,0)),"")</f>
        <v>INV-2025-00512</v>
      </c>
      <c r="H9" s="117">
        <f>IFERROR(INDEX(Cleaned_Procurement!$A$2:$A$1801,MATCH($F9,Cleaned_Procurement!$U$2:$U$1801,0)),"")</f>
        <v>45816</v>
      </c>
      <c r="I9" s="20" t="str">
        <f>IFERROR(INDEX(Cleaned_Procurement!$E$2:$E$1801,MATCH($F9,Cleaned_Procurement!$U$2:$U$1801,0)),"")</f>
        <v>CloudLink</v>
      </c>
      <c r="J9" s="20" t="str">
        <f>IFERROR(INDEX(Cleaned_Procurement!$B$2:$B$1801,MATCH($F9,Cleaned_Procurement!$U$2:$U$1801,0)),"")</f>
        <v>S003</v>
      </c>
      <c r="K9" s="20" t="str">
        <f>IFERROR(INDEX(Cleaned_Procurement!$F$2:$F$1801,MATCH($F9,Cleaned_Procurement!$U$2:$U$1801,0)),"")</f>
        <v>Medical Supplies</v>
      </c>
      <c r="L9" s="118">
        <f>IFERROR(INDEX(Cleaned_Procurement!$J$2:$J$1801,MATCH($F9,Cleaned_Procurement!$U$2:$U$1801,0)),"")</f>
        <v>2354.0500000000002</v>
      </c>
      <c r="M9" s="20" t="str">
        <f>IFERROR(INDEX(Cleaned_Procurement!$N$2:$N$1801,MATCH($F9,Cleaned_Procurement!$U$2:$U$1801,0)),"")</f>
        <v>Category mismatch</v>
      </c>
    </row>
    <row r="10" spans="1:13" ht="30" customHeight="1" x14ac:dyDescent="0.25">
      <c r="A10" s="20" t="s">
        <v>290</v>
      </c>
      <c r="B10" s="59">
        <f>COUNTIF(Cleaned_Procurement!$N$2:$N$1801,A10)</f>
        <v>2</v>
      </c>
      <c r="C10" s="33">
        <f>SUMIFS(Cleaned_Procurement!$J$2:$J$1801,Cleaned_Procurement!$N$2:$N$1801,A10)</f>
        <v>26027.439999999999</v>
      </c>
      <c r="D10" s="21" t="s">
        <v>291</v>
      </c>
      <c r="F10" s="52">
        <v>5</v>
      </c>
      <c r="G10" s="20" t="str">
        <f>IFERROR(INDEX(Cleaned_Procurement!$G$2:$G$1801,MATCH($F10,Cleaned_Procurement!$U$2:$U$1801,0)),"")</f>
        <v>INV-2025-00902</v>
      </c>
      <c r="H10" s="117">
        <f>IFERROR(INDEX(Cleaned_Procurement!$A$2:$A$1801,MATCH($F10,Cleaned_Procurement!$U$2:$U$1801,0)),"")</f>
        <v>45901</v>
      </c>
      <c r="I10" s="20" t="str">
        <f>IFERROR(INDEX(Cleaned_Procurement!$E$2:$E$1801,MATCH($F10,Cleaned_Procurement!$U$2:$U$1801,0)),"")</f>
        <v>FleetFuel</v>
      </c>
      <c r="J10" s="20" t="str">
        <f>IFERROR(INDEX(Cleaned_Procurement!$B$2:$B$1801,MATCH($F10,Cleaned_Procurement!$U$2:$U$1801,0)),"")</f>
        <v/>
      </c>
      <c r="K10" s="20" t="str">
        <f>IFERROR(INDEX(Cleaned_Procurement!$F$2:$F$1801,MATCH($F10,Cleaned_Procurement!$U$2:$U$1801,0)),"")</f>
        <v>Vehicle &amp; Fuel</v>
      </c>
      <c r="L10" s="118">
        <f>IFERROR(INDEX(Cleaned_Procurement!$J$2:$J$1801,MATCH($F10,Cleaned_Procurement!$U$2:$U$1801,0)),"")</f>
        <v>5662.41</v>
      </c>
      <c r="M10" s="20" t="str">
        <f>IFERROR(INDEX(Cleaned_Procurement!$N$2:$N$1801,MATCH($F10,Cleaned_Procurement!$U$2:$U$1801,0)),"")</f>
        <v>Missing site</v>
      </c>
    </row>
    <row r="11" spans="1:13" ht="30" customHeight="1" x14ac:dyDescent="0.25">
      <c r="A11" s="20" t="s">
        <v>292</v>
      </c>
      <c r="B11" s="59">
        <f>COUNTIF(Cleaned_Procurement!$N$2:$N$1801,A11)</f>
        <v>1</v>
      </c>
      <c r="C11" s="33">
        <f>SUMIFS(Cleaned_Procurement!$J$2:$J$1801,Cleaned_Procurement!$N$2:$N$1801,A11)</f>
        <v>2354.0500000000002</v>
      </c>
      <c r="D11" s="21" t="s">
        <v>293</v>
      </c>
      <c r="F11" s="52">
        <v>6</v>
      </c>
      <c r="G11" s="20" t="str">
        <f>IFERROR(INDEX(Cleaned_Procurement!$G$2:$G$1801,MATCH($F11,Cleaned_Procurement!$U$2:$U$1801,0)),"")</f>
        <v>INV-2025-01101</v>
      </c>
      <c r="H11" s="117">
        <f>IFERROR(INDEX(Cleaned_Procurement!$A$2:$A$1801,MATCH($F11,Cleaned_Procurement!$U$2:$U$1801,0)),"")</f>
        <v>45761</v>
      </c>
      <c r="I11" s="20" t="str">
        <f>IFERROR(INDEX(Cleaned_Procurement!$E$2:$E$1801,MATCH($F11,Cleaned_Procurement!$U$2:$U$1801,0)),"")</f>
        <v>RoadReady</v>
      </c>
      <c r="J11" s="20" t="str">
        <f>IFERROR(INDEX(Cleaned_Procurement!$B$2:$B$1801,MATCH($F11,Cleaned_Procurement!$U$2:$U$1801,0)),"")</f>
        <v>S020</v>
      </c>
      <c r="K11" s="20" t="str">
        <f>IFERROR(INDEX(Cleaned_Procurement!$F$2:$F$1801,MATCH($F11,Cleaned_Procurement!$U$2:$U$1801,0)),"")</f>
        <v>Vehicle &amp; Fuel</v>
      </c>
      <c r="L11" s="118" t="str">
        <f>IFERROR(INDEX(Cleaned_Procurement!$J$2:$J$1801,MATCH($F11,Cleaned_Procurement!$U$2:$U$1801,0)),"")</f>
        <v/>
      </c>
      <c r="M11" s="20" t="str">
        <f>IFERROR(INDEX(Cleaned_Procurement!$N$2:$N$1801,MATCH($F11,Cleaned_Procurement!$U$2:$U$1801,0)),"")</f>
        <v>Missing spend</v>
      </c>
    </row>
    <row r="12" spans="1:13" ht="30" customHeight="1" x14ac:dyDescent="0.25">
      <c r="A12" s="20" t="s">
        <v>294</v>
      </c>
      <c r="B12" s="59">
        <f>COUNTIF(Cleaned_Procurement!$N$2:$N$1801,A12)</f>
        <v>1794</v>
      </c>
      <c r="C12" s="33">
        <f>SUMIFS(Cleaned_Procurement!$J$2:$J$1801,Cleaned_Procurement!$N$2:$N$1801,A12)</f>
        <v>13887937.959999971</v>
      </c>
      <c r="D12" s="21" t="s">
        <v>295</v>
      </c>
      <c r="F12" s="52">
        <v>7</v>
      </c>
      <c r="G12" s="20" t="str">
        <f>IFERROR(INDEX(Cleaned_Procurement!$G$2:$G$1801,MATCH($F12,Cleaned_Procurement!$U$2:$U$1801,0)),"")</f>
        <v/>
      </c>
      <c r="H12" s="117" t="str">
        <f>IFERROR(INDEX(Cleaned_Procurement!$A$2:$A$1801,MATCH($F12,Cleaned_Procurement!$U$2:$U$1801,0)),"")</f>
        <v/>
      </c>
      <c r="I12" s="20" t="str">
        <f>IFERROR(INDEX(Cleaned_Procurement!$E$2:$E$1801,MATCH($F12,Cleaned_Procurement!$U$2:$U$1801,0)),"")</f>
        <v/>
      </c>
      <c r="J12" s="20" t="str">
        <f>IFERROR(INDEX(Cleaned_Procurement!$B$2:$B$1801,MATCH($F12,Cleaned_Procurement!$U$2:$U$1801,0)),"")</f>
        <v/>
      </c>
      <c r="K12" s="20" t="str">
        <f>IFERROR(INDEX(Cleaned_Procurement!$F$2:$F$1801,MATCH($F12,Cleaned_Procurement!$U$2:$U$1801,0)),"")</f>
        <v/>
      </c>
      <c r="L12" s="118" t="str">
        <f>IFERROR(INDEX(Cleaned_Procurement!$J$2:$J$1801,MATCH($F12,Cleaned_Procurement!$U$2:$U$1801,0)),"")</f>
        <v/>
      </c>
      <c r="M12" s="20" t="str">
        <f>IFERROR(INDEX(Cleaned_Procurement!$N$2:$N$1801,MATCH($F12,Cleaned_Procurement!$U$2:$U$1801,0)),"")</f>
        <v/>
      </c>
    </row>
    <row r="13" spans="1:13" x14ac:dyDescent="0.25">
      <c r="A13" s="28" t="s">
        <v>296</v>
      </c>
      <c r="B13" s="71">
        <f>SUM(B6:B12)</f>
        <v>1800</v>
      </c>
      <c r="F13" s="52">
        <v>8</v>
      </c>
      <c r="G13" s="20" t="str">
        <f>IFERROR(INDEX(Cleaned_Procurement!$G$2:$G$1801,MATCH($F13,Cleaned_Procurement!$U$2:$U$1801,0)),"")</f>
        <v/>
      </c>
      <c r="H13" s="117" t="str">
        <f>IFERROR(INDEX(Cleaned_Procurement!$A$2:$A$1801,MATCH($F13,Cleaned_Procurement!$U$2:$U$1801,0)),"")</f>
        <v/>
      </c>
      <c r="I13" s="20" t="str">
        <f>IFERROR(INDEX(Cleaned_Procurement!$E$2:$E$1801,MATCH($F13,Cleaned_Procurement!$U$2:$U$1801,0)),"")</f>
        <v/>
      </c>
      <c r="J13" s="20" t="str">
        <f>IFERROR(INDEX(Cleaned_Procurement!$B$2:$B$1801,MATCH($F13,Cleaned_Procurement!$U$2:$U$1801,0)),"")</f>
        <v/>
      </c>
      <c r="K13" s="20" t="str">
        <f>IFERROR(INDEX(Cleaned_Procurement!$F$2:$F$1801,MATCH($F13,Cleaned_Procurement!$U$2:$U$1801,0)),"")</f>
        <v/>
      </c>
      <c r="L13" s="118" t="str">
        <f>IFERROR(INDEX(Cleaned_Procurement!$J$2:$J$1801,MATCH($F13,Cleaned_Procurement!$U$2:$U$1801,0)),"")</f>
        <v/>
      </c>
      <c r="M13" s="20" t="str">
        <f>IFERROR(INDEX(Cleaned_Procurement!$N$2:$N$1801,MATCH($F13,Cleaned_Procurement!$U$2:$U$1801,0)),"")</f>
        <v/>
      </c>
    </row>
    <row r="14" spans="1:13" x14ac:dyDescent="0.25">
      <c r="A14" s="28" t="s">
        <v>297</v>
      </c>
      <c r="B14" s="119">
        <f>IFERROR(1-B12/B13,0)</f>
        <v>3.3333333333332993E-3</v>
      </c>
      <c r="F14" s="52">
        <v>9</v>
      </c>
      <c r="G14" s="20" t="str">
        <f>IFERROR(INDEX(Cleaned_Procurement!$G$2:$G$1801,MATCH($F14,Cleaned_Procurement!$U$2:$U$1801,0)),"")</f>
        <v/>
      </c>
      <c r="H14" s="117" t="str">
        <f>IFERROR(INDEX(Cleaned_Procurement!$A$2:$A$1801,MATCH($F14,Cleaned_Procurement!$U$2:$U$1801,0)),"")</f>
        <v/>
      </c>
      <c r="I14" s="20" t="str">
        <f>IFERROR(INDEX(Cleaned_Procurement!$E$2:$E$1801,MATCH($F14,Cleaned_Procurement!$U$2:$U$1801,0)),"")</f>
        <v/>
      </c>
      <c r="J14" s="20" t="str">
        <f>IFERROR(INDEX(Cleaned_Procurement!$B$2:$B$1801,MATCH($F14,Cleaned_Procurement!$U$2:$U$1801,0)),"")</f>
        <v/>
      </c>
      <c r="K14" s="20" t="str">
        <f>IFERROR(INDEX(Cleaned_Procurement!$F$2:$F$1801,MATCH($F14,Cleaned_Procurement!$U$2:$U$1801,0)),"")</f>
        <v/>
      </c>
      <c r="L14" s="118" t="str">
        <f>IFERROR(INDEX(Cleaned_Procurement!$J$2:$J$1801,MATCH($F14,Cleaned_Procurement!$U$2:$U$1801,0)),"")</f>
        <v/>
      </c>
      <c r="M14" s="20" t="str">
        <f>IFERROR(INDEX(Cleaned_Procurement!$N$2:$N$1801,MATCH($F14,Cleaned_Procurement!$U$2:$U$1801,0)),"")</f>
        <v/>
      </c>
    </row>
    <row r="15" spans="1:13" x14ac:dyDescent="0.25">
      <c r="F15" s="52">
        <v>10</v>
      </c>
      <c r="G15" s="20" t="str">
        <f>IFERROR(INDEX(Cleaned_Procurement!$G$2:$G$1801,MATCH($F15,Cleaned_Procurement!$U$2:$U$1801,0)),"")</f>
        <v/>
      </c>
      <c r="H15" s="117" t="str">
        <f>IFERROR(INDEX(Cleaned_Procurement!$A$2:$A$1801,MATCH($F15,Cleaned_Procurement!$U$2:$U$1801,0)),"")</f>
        <v/>
      </c>
      <c r="I15" s="20" t="str">
        <f>IFERROR(INDEX(Cleaned_Procurement!$E$2:$E$1801,MATCH($F15,Cleaned_Procurement!$U$2:$U$1801,0)),"")</f>
        <v/>
      </c>
      <c r="J15" s="20" t="str">
        <f>IFERROR(INDEX(Cleaned_Procurement!$B$2:$B$1801,MATCH($F15,Cleaned_Procurement!$U$2:$U$1801,0)),"")</f>
        <v/>
      </c>
      <c r="K15" s="20" t="str">
        <f>IFERROR(INDEX(Cleaned_Procurement!$F$2:$F$1801,MATCH($F15,Cleaned_Procurement!$U$2:$U$1801,0)),"")</f>
        <v/>
      </c>
      <c r="L15" s="118" t="str">
        <f>IFERROR(INDEX(Cleaned_Procurement!$J$2:$J$1801,MATCH($F15,Cleaned_Procurement!$U$2:$U$1801,0)),"")</f>
        <v/>
      </c>
      <c r="M15" s="20" t="str">
        <f>IFERROR(INDEX(Cleaned_Procurement!$N$2:$N$1801,MATCH($F15,Cleaned_Procurement!$U$2:$U$1801,0)),"")</f>
        <v/>
      </c>
    </row>
    <row r="16" spans="1:13" ht="15.75" x14ac:dyDescent="0.25">
      <c r="A16" s="17" t="s">
        <v>298</v>
      </c>
      <c r="F16" s="52">
        <v>11</v>
      </c>
      <c r="G16" s="20" t="str">
        <f>IFERROR(INDEX(Cleaned_Procurement!$G$2:$G$1801,MATCH($F16,Cleaned_Procurement!$U$2:$U$1801,0)),"")</f>
        <v/>
      </c>
      <c r="H16" s="117" t="str">
        <f>IFERROR(INDEX(Cleaned_Procurement!$A$2:$A$1801,MATCH($F16,Cleaned_Procurement!$U$2:$U$1801,0)),"")</f>
        <v/>
      </c>
      <c r="I16" s="20" t="str">
        <f>IFERROR(INDEX(Cleaned_Procurement!$E$2:$E$1801,MATCH($F16,Cleaned_Procurement!$U$2:$U$1801,0)),"")</f>
        <v/>
      </c>
      <c r="J16" s="20" t="str">
        <f>IFERROR(INDEX(Cleaned_Procurement!$B$2:$B$1801,MATCH($F16,Cleaned_Procurement!$U$2:$U$1801,0)),"")</f>
        <v/>
      </c>
      <c r="K16" s="20" t="str">
        <f>IFERROR(INDEX(Cleaned_Procurement!$F$2:$F$1801,MATCH($F16,Cleaned_Procurement!$U$2:$U$1801,0)),"")</f>
        <v/>
      </c>
      <c r="L16" s="118" t="str">
        <f>IFERROR(INDEX(Cleaned_Procurement!$J$2:$J$1801,MATCH($F16,Cleaned_Procurement!$U$2:$U$1801,0)),"")</f>
        <v/>
      </c>
      <c r="M16" s="20" t="str">
        <f>IFERROR(INDEX(Cleaned_Procurement!$N$2:$N$1801,MATCH($F16,Cleaned_Procurement!$U$2:$U$1801,0)),"")</f>
        <v/>
      </c>
    </row>
    <row r="17" spans="1:13" x14ac:dyDescent="0.25">
      <c r="A17" s="18" t="s">
        <v>299</v>
      </c>
      <c r="B17" s="18" t="s">
        <v>145</v>
      </c>
      <c r="C17" s="18" t="s">
        <v>300</v>
      </c>
      <c r="D17" s="18" t="s">
        <v>175</v>
      </c>
      <c r="F17" s="52">
        <v>12</v>
      </c>
      <c r="G17" s="20" t="str">
        <f>IFERROR(INDEX(Cleaned_Procurement!$G$2:$G$1801,MATCH($F17,Cleaned_Procurement!$U$2:$U$1801,0)),"")</f>
        <v/>
      </c>
      <c r="H17" s="117" t="str">
        <f>IFERROR(INDEX(Cleaned_Procurement!$A$2:$A$1801,MATCH($F17,Cleaned_Procurement!$U$2:$U$1801,0)),"")</f>
        <v/>
      </c>
      <c r="I17" s="20" t="str">
        <f>IFERROR(INDEX(Cleaned_Procurement!$E$2:$E$1801,MATCH($F17,Cleaned_Procurement!$U$2:$U$1801,0)),"")</f>
        <v/>
      </c>
      <c r="J17" s="20" t="str">
        <f>IFERROR(INDEX(Cleaned_Procurement!$B$2:$B$1801,MATCH($F17,Cleaned_Procurement!$U$2:$U$1801,0)),"")</f>
        <v/>
      </c>
      <c r="K17" s="20" t="str">
        <f>IFERROR(INDEX(Cleaned_Procurement!$F$2:$F$1801,MATCH($F17,Cleaned_Procurement!$U$2:$U$1801,0)),"")</f>
        <v/>
      </c>
      <c r="L17" s="118" t="str">
        <f>IFERROR(INDEX(Cleaned_Procurement!$J$2:$J$1801,MATCH($F17,Cleaned_Procurement!$U$2:$U$1801,0)),"")</f>
        <v/>
      </c>
      <c r="M17" s="20" t="str">
        <f>IFERROR(INDEX(Cleaned_Procurement!$N$2:$N$1801,MATCH($F17,Cleaned_Procurement!$U$2:$U$1801,0)),"")</f>
        <v/>
      </c>
    </row>
    <row r="18" spans="1:13" x14ac:dyDescent="0.25">
      <c r="A18" s="20" t="s">
        <v>301</v>
      </c>
      <c r="B18" s="59">
        <f>COUNTA(Procurement_Raw!G2:G1801)</f>
        <v>1800</v>
      </c>
      <c r="C18" s="59">
        <f>COUNTA(Cleaned_Procurement!G2:G1801)</f>
        <v>1800</v>
      </c>
      <c r="D18" s="53" t="str">
        <f>IF(ROUND(B18-C18,2)=0,"PASS","FAIL")</f>
        <v>PASS</v>
      </c>
    </row>
    <row r="19" spans="1:13" x14ac:dyDescent="0.25">
      <c r="A19" s="20" t="s">
        <v>302</v>
      </c>
      <c r="B19" s="33">
        <f>SUM(Procurement_Raw!J2:J1801)</f>
        <v>13922681.749999974</v>
      </c>
      <c r="C19" s="120"/>
      <c r="D19" s="120"/>
    </row>
    <row r="20" spans="1:13" x14ac:dyDescent="0.25">
      <c r="A20" s="20" t="s">
        <v>303</v>
      </c>
      <c r="B20" s="33">
        <f>SUMIFS(Cleaned_Procurement!$J$2:$J$1801,Cleaned_Procurement!$N$2:$N$1801,"Duplicate invoice")</f>
        <v>0</v>
      </c>
      <c r="C20" s="120"/>
      <c r="D20" s="120"/>
    </row>
    <row r="21" spans="1:13" x14ac:dyDescent="0.25">
      <c r="A21" s="20" t="s">
        <v>304</v>
      </c>
      <c r="B21" s="33">
        <f>SUM(Cleaned_Procurement!O2:O1801)</f>
        <v>13922681.749999974</v>
      </c>
      <c r="C21" s="33">
        <f>B19-B20</f>
        <v>13922681.749999974</v>
      </c>
      <c r="D21" s="53" t="str">
        <f>IF(ROUND(B21-C21,2)=0,"PASS","FAIL")</f>
        <v>PASS</v>
      </c>
    </row>
    <row r="22" spans="1:13" x14ac:dyDescent="0.25">
      <c r="A22" s="20" t="s">
        <v>305</v>
      </c>
      <c r="B22" s="33">
        <f>SUM(Finance_Raw!G:G)</f>
        <v>13917019.339999994</v>
      </c>
      <c r="C22" s="33">
        <f>B21</f>
        <v>13922681.749999974</v>
      </c>
      <c r="D22" s="53" t="str">
        <f>IF(ABS(B22-C22)&lt;=ABS(C22)*$B$28,"PASS","FAIL - "&amp;TEXT(B22-C22,"£#,##0"))</f>
        <v>PASS</v>
      </c>
    </row>
    <row r="23" spans="1:13" x14ac:dyDescent="0.25">
      <c r="A23" s="20" t="s">
        <v>306</v>
      </c>
      <c r="B23" s="33">
        <f>SUM(Fleet_Raw!L:L)</f>
        <v>882007.35999999929</v>
      </c>
      <c r="C23" s="33">
        <f>SUM(Finance_Raw!H:H)</f>
        <v>882007.35999999975</v>
      </c>
      <c r="D23" s="53" t="str">
        <f>IF(ABS(B23-C23)&lt;=ABS(C23)*$B$28,"PASS","FAIL - "&amp;TEXT(B23-C23,"£#,##0"))</f>
        <v>PASS</v>
      </c>
    </row>
    <row r="24" spans="1:13" x14ac:dyDescent="0.25">
      <c r="A24" s="20" t="s">
        <v>307</v>
      </c>
      <c r="B24" s="33">
        <f>SUM(Agency_Raw!I:I)</f>
        <v>1341086</v>
      </c>
      <c r="C24" s="33">
        <f>SUM(Finance_Raw!I:I)</f>
        <v>1341086</v>
      </c>
      <c r="D24" s="53" t="str">
        <f>IF(ABS(B24-C24)&lt;=ABS(C24)*$B$28,"PASS","FAIL - "&amp;TEXT(B24-C24,"£#,##0"))</f>
        <v>PASS</v>
      </c>
    </row>
    <row r="25" spans="1:13" x14ac:dyDescent="0.25">
      <c r="A25" s="20" t="s">
        <v>308</v>
      </c>
      <c r="B25" s="33">
        <f>SUM(Workforce_Raw!L:L)</f>
        <v>38123646.123333327</v>
      </c>
      <c r="C25" s="33">
        <f>SUM(Finance_Raw!F:F)</f>
        <v>38123646.123333342</v>
      </c>
      <c r="D25" s="53" t="str">
        <f>IF(ABS(B25-C25)&lt;=ABS(C25)*$B$28,"PASS","FAIL - "&amp;TEXT(B25-C25,"£#,##0"))</f>
        <v>PASS</v>
      </c>
    </row>
    <row r="26" spans="1:13" x14ac:dyDescent="0.25">
      <c r="A26" s="20" t="s">
        <v>309</v>
      </c>
      <c r="B26" s="33">
        <f>SUM(Finance_Raw!F:J)</f>
        <v>60352964.743333369</v>
      </c>
      <c r="C26" s="33">
        <f>SUM(Finance_Raw!L:L)</f>
        <v>60352964.74333331</v>
      </c>
      <c r="D26" s="53" t="str">
        <f>IF(ABS(B26-C26)&lt;=ABS(C26)*$B$28,"PASS","FAIL - "&amp;TEXT(B26-C26,"£#,##0"))</f>
        <v>PASS</v>
      </c>
    </row>
    <row r="28" spans="1:13" x14ac:dyDescent="0.25">
      <c r="A28" s="24" t="s">
        <v>310</v>
      </c>
      <c r="B28" s="35">
        <v>1E-3</v>
      </c>
    </row>
    <row r="30" spans="1:13" ht="15.75" x14ac:dyDescent="0.25">
      <c r="A30" s="17" t="s">
        <v>311</v>
      </c>
    </row>
    <row r="31" spans="1:13" x14ac:dyDescent="0.25">
      <c r="A31" s="24" t="s">
        <v>312</v>
      </c>
      <c r="B31" s="121">
        <f>SUM(Cleaned_Procurement!V2:V1801)</f>
        <v>15</v>
      </c>
    </row>
    <row r="32" spans="1:13" x14ac:dyDescent="0.25">
      <c r="A32" s="24" t="s">
        <v>313</v>
      </c>
      <c r="B32" s="121">
        <f>COUNTIFS(Cleaned_Procurement!P2:P1801,"Unmapped",Cleaned_Procurement!E2:E1801,"&lt;&gt;")</f>
        <v>1</v>
      </c>
    </row>
    <row r="33" spans="1:3" x14ac:dyDescent="0.25">
      <c r="A33" s="24" t="s">
        <v>314</v>
      </c>
      <c r="B33" s="122">
        <v>14</v>
      </c>
    </row>
    <row r="35" spans="1:3" ht="15.75" x14ac:dyDescent="0.25">
      <c r="A35" s="17" t="s">
        <v>315</v>
      </c>
    </row>
    <row r="36" spans="1:3" x14ac:dyDescent="0.25">
      <c r="A36" s="18" t="s">
        <v>316</v>
      </c>
      <c r="B36" s="18" t="s">
        <v>317</v>
      </c>
      <c r="C36" s="18" t="s">
        <v>318</v>
      </c>
    </row>
    <row r="37" spans="1:3" x14ac:dyDescent="0.25">
      <c r="A37" s="20" t="s">
        <v>191</v>
      </c>
      <c r="B37" s="59">
        <f>COUNTBLANK(Procurement_Raw!B2:B1801)</f>
        <v>1</v>
      </c>
      <c r="C37" s="62">
        <f>1-B37/($B$13)</f>
        <v>0.99944444444444447</v>
      </c>
    </row>
    <row r="38" spans="1:3" x14ac:dyDescent="0.25">
      <c r="A38" s="20" t="s">
        <v>239</v>
      </c>
      <c r="B38" s="59">
        <f>COUNTBLANK(Procurement_Raw!E2:E1801)</f>
        <v>1</v>
      </c>
      <c r="C38" s="62">
        <f>1-B38/($B$13)</f>
        <v>0.99944444444444447</v>
      </c>
    </row>
    <row r="39" spans="1:3" x14ac:dyDescent="0.25">
      <c r="A39" s="20" t="s">
        <v>77</v>
      </c>
      <c r="B39" s="59">
        <f>COUNTBLANK(Procurement_Raw!F2:F1801)</f>
        <v>0</v>
      </c>
      <c r="C39" s="62">
        <f>1-B39/($B$13)</f>
        <v>1</v>
      </c>
    </row>
    <row r="40" spans="1:3" x14ac:dyDescent="0.25">
      <c r="A40" s="20" t="s">
        <v>279</v>
      </c>
      <c r="B40" s="59">
        <f>COUNTBLANK(Procurement_Raw!G2:G1801)</f>
        <v>0</v>
      </c>
      <c r="C40" s="62">
        <f>1-B40/($B$13)</f>
        <v>1</v>
      </c>
    </row>
    <row r="41" spans="1:3" x14ac:dyDescent="0.25">
      <c r="A41" s="20" t="s">
        <v>281</v>
      </c>
      <c r="B41" s="59">
        <f>COUNTBLANK(Procurement_Raw!J2:J1801)</f>
        <v>1</v>
      </c>
      <c r="C41" s="62">
        <f>1-B41/($B$13)</f>
        <v>0.99944444444444447</v>
      </c>
    </row>
  </sheetData>
  <conditionalFormatting sqref="B6:B11">
    <cfRule type="cellIs" dxfId="4" priority="2" operator="greaterThan">
      <formula>0</formula>
    </cfRule>
  </conditionalFormatting>
  <conditionalFormatting sqref="D18:D26">
    <cfRule type="expression" dxfId="3" priority="3">
      <formula>LEFT(D18,4)="PASS"</formula>
    </cfRule>
    <cfRule type="expression" dxfId="2" priority="4">
      <formula>LEFT(D18,4)="FAIL"</formula>
    </cfRule>
  </conditionalFormatting>
  <pageMargins left="0.75" right="0.75" top="1" bottom="1" header="0.511811023622047" footer="0.511811023622047"/>
  <pageSetup paperSize="9" orientation="portrait" horizontalDpi="300" verticalDpi="300"/>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V1801"/>
  <sheetViews>
    <sheetView zoomScaleNormal="100" workbookViewId="0">
      <pane ySplit="1" topLeftCell="A2" activePane="bottomLeft" state="frozen"/>
      <selection pane="bottomLeft"/>
    </sheetView>
  </sheetViews>
  <sheetFormatPr defaultColWidth="8.7109375" defaultRowHeight="15" x14ac:dyDescent="0.25"/>
  <cols>
    <col min="1" max="18" width="12" customWidth="1"/>
    <col min="19" max="19" width="9" customWidth="1"/>
    <col min="20" max="20" width="12" customWidth="1"/>
    <col min="21" max="22" width="10" customWidth="1"/>
  </cols>
  <sheetData>
    <row r="1" spans="1:22" ht="15" customHeight="1" x14ac:dyDescent="0.25">
      <c r="A1" t="s">
        <v>319</v>
      </c>
      <c r="B1" t="s">
        <v>191</v>
      </c>
      <c r="C1" t="s">
        <v>320</v>
      </c>
      <c r="D1" t="s">
        <v>75</v>
      </c>
      <c r="E1" t="s">
        <v>239</v>
      </c>
      <c r="F1" t="s">
        <v>77</v>
      </c>
      <c r="G1" t="s">
        <v>279</v>
      </c>
      <c r="H1" t="s">
        <v>321</v>
      </c>
      <c r="I1" t="s">
        <v>322</v>
      </c>
      <c r="J1" t="s">
        <v>281</v>
      </c>
      <c r="K1" t="s">
        <v>323</v>
      </c>
      <c r="L1" t="s">
        <v>324</v>
      </c>
      <c r="M1" t="s">
        <v>240</v>
      </c>
      <c r="N1" t="s">
        <v>325</v>
      </c>
      <c r="O1" t="s">
        <v>326</v>
      </c>
      <c r="P1" t="s">
        <v>327</v>
      </c>
      <c r="Q1" t="s">
        <v>328</v>
      </c>
      <c r="R1" t="s">
        <v>329</v>
      </c>
      <c r="S1" t="s">
        <v>78</v>
      </c>
      <c r="T1" t="s">
        <v>330</v>
      </c>
      <c r="U1" t="s">
        <v>331</v>
      </c>
      <c r="V1" t="s">
        <v>332</v>
      </c>
    </row>
    <row r="2" spans="1:22" ht="15" customHeight="1" x14ac:dyDescent="0.25">
      <c r="A2" s="123">
        <f>Procurement_Raw!A2</f>
        <v>45798</v>
      </c>
      <c r="B2" t="str">
        <f>TRIM(Procurement_Raw!B2)</f>
        <v>S006</v>
      </c>
      <c r="C2" t="str">
        <f>Procurement_Raw!C2</f>
        <v>Birmingham Care &amp; Education Centre</v>
      </c>
      <c r="D2" t="str">
        <f>Procurement_Raw!D2</f>
        <v>Midlands</v>
      </c>
      <c r="E2" t="str">
        <f>IF(TRIM(Procurement_Raw!E2)="","",IFERROR(INDEX(Supplier_Lookup!$A$2:$A$25,MATCH(TRIM(Procurement_Raw!E2),Supplier_Lookup!$A$2:$A$25,0)),TRIM(Procurement_Raw!E2)))</f>
        <v>FreshServe</v>
      </c>
      <c r="F2" t="str">
        <f>IFERROR(INDEX(Category_Targets!$A$2:$A$9,MATCH(TRIM(Procurement_Raw!F2),Category_Targets!$A$2:$A$9,0)),"Unmapped")</f>
        <v>Food &amp; Catering</v>
      </c>
      <c r="G2" t="str">
        <f>TRIM(Procurement_Raw!G2)</f>
        <v>INV-2025-00001</v>
      </c>
      <c r="H2" s="77">
        <f>Procurement_Raw!H2</f>
        <v>32</v>
      </c>
      <c r="I2" s="124">
        <f>Procurement_Raw!I2</f>
        <v>85.42</v>
      </c>
      <c r="J2" s="125">
        <f>IF(Procurement_Raw!J2="","",Procurement_Raw!J2)</f>
        <v>2733.44</v>
      </c>
      <c r="K2" s="77">
        <f>Procurement_Raw!K2</f>
        <v>30</v>
      </c>
      <c r="L2" t="str">
        <f>Procurement_Raw!L2</f>
        <v>ERP</v>
      </c>
      <c r="M2" t="str">
        <f>Procurement_Raw!O2</f>
        <v>Y</v>
      </c>
      <c r="N2" t="str">
        <f>IF(E2="","Missing supplier",IF(B2="","Missing site",IF(J2="","Missing spend",IF(COUNTIFS($G$2:G2,G2,$E$2:E2,E2,$J$2:J2,J2)&gt;1,"Duplicate invoice",IF(COUNTIF($G$2:$G$1801,G2)&gt;1,"Duplicate ID - review",IF(AND(P2&lt;&gt;"Unmapped",P2&lt;&gt;F2),"Category mismatch","OK"))))))</f>
        <v>OK</v>
      </c>
      <c r="O2" s="125">
        <f t="shared" ref="O2:O65" si="0">IF(OR(N2="Missing spend",N2="Duplicate invoice"),0,J2)</f>
        <v>2733.44</v>
      </c>
      <c r="P2" t="str">
        <f>IF(E2="","Unmapped",IFERROR(INDEX(Supplier_Lookup!$B$2:$B$25,MATCH(E2,Supplier_Lookup!$A$2:$A$25,0)),"Unmapped"))</f>
        <v>Food &amp; Catering</v>
      </c>
      <c r="Q2" s="76">
        <f>IFERROR(INDEX(Category_Targets!$B$2:$B$9,MATCH(F2,Category_Targets!$A$2:$A$9,0)),0)</f>
        <v>0.04</v>
      </c>
      <c r="R2" s="125">
        <f t="shared" ref="R2:R65" si="1">O2*Q2</f>
        <v>109.33760000000001</v>
      </c>
      <c r="S2" s="78">
        <f t="shared" ref="S2:S65" si="2">DATE(YEAR(A2),MONTH(A2),1)</f>
        <v>45778</v>
      </c>
      <c r="T2" t="str">
        <f>IFERROR(VLOOKUP(B2,Sites!$A$2:$D$21,4,FALSE()),"Unknown")</f>
        <v>Birmingham</v>
      </c>
      <c r="U2" t="str">
        <f>IF(N2="OK","",COUNTIF($N$2:N2,"&lt;&gt;OK"))</f>
        <v/>
      </c>
      <c r="V2">
        <f>IF(OR(NOT(EXACT(E2,TRIM(Procurement_Raw!E2))),NOT(EXACT(F2,TRIM(Procurement_Raw!F2)))),1,0)</f>
        <v>1</v>
      </c>
    </row>
    <row r="3" spans="1:22" ht="15" customHeight="1" x14ac:dyDescent="0.25">
      <c r="A3" s="123">
        <f>Procurement_Raw!A3</f>
        <v>45937</v>
      </c>
      <c r="B3" t="str">
        <f>TRIM(Procurement_Raw!B3)</f>
        <v>S008</v>
      </c>
      <c r="C3" t="str">
        <f>Procurement_Raw!C3</f>
        <v>Leicester Care &amp; Education Centre</v>
      </c>
      <c r="D3" t="str">
        <f>Procurement_Raw!D3</f>
        <v>Midlands</v>
      </c>
      <c r="E3" t="str">
        <f>IF(TRIM(Procurement_Raw!E3)="","",IFERROR(INDEX(Supplier_Lookup!$A$2:$A$25,MATCH(TRIM(Procurement_Raw!E3),Supplier_Lookup!$A$2:$A$25,0)),TRIM(Procurement_Raw!E3)))</f>
        <v>KitchenPro</v>
      </c>
      <c r="F3" t="str">
        <f>IFERROR(INDEX(Category_Targets!$A$2:$A$9,MATCH(TRIM(Procurement_Raw!F3),Category_Targets!$A$2:$A$9,0)),"Unmapped")</f>
        <v>Food &amp; Catering</v>
      </c>
      <c r="G3" t="str">
        <f>TRIM(Procurement_Raw!G3)</f>
        <v>INV-2025-00002</v>
      </c>
      <c r="H3" s="77">
        <f>Procurement_Raw!H3</f>
        <v>12</v>
      </c>
      <c r="I3" s="124">
        <f>Procurement_Raw!I3</f>
        <v>60.24</v>
      </c>
      <c r="J3" s="125">
        <f>IF(Procurement_Raw!J3="","",Procurement_Raw!J3)</f>
        <v>722.88</v>
      </c>
      <c r="K3" s="77">
        <f>Procurement_Raw!K3</f>
        <v>60</v>
      </c>
      <c r="L3" t="str">
        <f>Procurement_Raw!L3</f>
        <v>Procurement Portal</v>
      </c>
      <c r="M3" t="str">
        <f>Procurement_Raw!O3</f>
        <v>N</v>
      </c>
      <c r="N3" t="str">
        <f>IF(E3="","Missing supplier",IF(B3="","Missing site",IF(J3="","Missing spend",IF(COUNTIFS($G$2:G3,G3,$E$2:E3,E3,$J$2:J3,J3)&gt;1,"Duplicate invoice",IF(COUNTIF($G$2:$G$1801,G3)&gt;1,"Duplicate ID - review",IF(AND(P3&lt;&gt;"Unmapped",P3&lt;&gt;F3),"Category mismatch","OK"))))))</f>
        <v>OK</v>
      </c>
      <c r="O3" s="125">
        <f t="shared" si="0"/>
        <v>722.88</v>
      </c>
      <c r="P3" t="str">
        <f>IF(E3="","Unmapped",IFERROR(INDEX(Supplier_Lookup!$B$2:$B$25,MATCH(E3,Supplier_Lookup!$A$2:$A$25,0)),"Unmapped"))</f>
        <v>Food &amp; Catering</v>
      </c>
      <c r="Q3" s="76">
        <f>IFERROR(INDEX(Category_Targets!$B$2:$B$9,MATCH(F3,Category_Targets!$A$2:$A$9,0)),0)</f>
        <v>0.04</v>
      </c>
      <c r="R3" s="125">
        <f t="shared" si="1"/>
        <v>28.915199999999999</v>
      </c>
      <c r="S3" s="78">
        <f t="shared" si="2"/>
        <v>45931</v>
      </c>
      <c r="T3" t="str">
        <f>IFERROR(VLOOKUP(B3,Sites!$A$2:$D$21,4,FALSE()),"Unknown")</f>
        <v>Leicester</v>
      </c>
      <c r="U3" t="str">
        <f>IF(N3="OK","",COUNTIF($N$2:N3,"&lt;&gt;OK"))</f>
        <v/>
      </c>
      <c r="V3">
        <f>IF(OR(NOT(EXACT(E3,TRIM(Procurement_Raw!E3))),NOT(EXACT(F3,TRIM(Procurement_Raw!F3)))),1,0)</f>
        <v>0</v>
      </c>
    </row>
    <row r="4" spans="1:22" ht="15" customHeight="1" x14ac:dyDescent="0.25">
      <c r="A4" s="123">
        <f>Procurement_Raw!A4</f>
        <v>45769</v>
      </c>
      <c r="B4" t="str">
        <f>TRIM(Procurement_Raw!B4)</f>
        <v>S009</v>
      </c>
      <c r="C4" t="str">
        <f>Procurement_Raw!C4</f>
        <v>Derby Care &amp; Education Centre</v>
      </c>
      <c r="D4" t="str">
        <f>Procurement_Raw!D4</f>
        <v>Midlands</v>
      </c>
      <c r="E4" t="str">
        <f>IF(TRIM(Procurement_Raw!E4)="","",IFERROR(INDEX(Supplier_Lookup!$A$2:$A$25,MATCH(TRIM(Procurement_Raw!E4),Supplier_Lookup!$A$2:$A$25,0)),TRIM(Procurement_Raw!E4)))</f>
        <v>MediSure</v>
      </c>
      <c r="F4" t="str">
        <f>IFERROR(INDEX(Category_Targets!$A$2:$A$9,MATCH(TRIM(Procurement_Raw!F4),Category_Targets!$A$2:$A$9,0)),"Unmapped")</f>
        <v>Medical Supplies</v>
      </c>
      <c r="G4" t="str">
        <f>TRIM(Procurement_Raw!G4)</f>
        <v>INV-2025-00003</v>
      </c>
      <c r="H4" s="77">
        <f>Procurement_Raw!H4</f>
        <v>30</v>
      </c>
      <c r="I4" s="124">
        <f>Procurement_Raw!I4</f>
        <v>171.35</v>
      </c>
      <c r="J4" s="125">
        <f>IF(Procurement_Raw!J4="","",Procurement_Raw!J4)</f>
        <v>5140.5600000000004</v>
      </c>
      <c r="K4" s="77">
        <f>Procurement_Raw!K4</f>
        <v>60</v>
      </c>
      <c r="L4" t="str">
        <f>Procurement_Raw!L4</f>
        <v>Legacy Spend File</v>
      </c>
      <c r="M4" t="str">
        <f>Procurement_Raw!O4</f>
        <v>Y</v>
      </c>
      <c r="N4" t="str">
        <f>IF(E4="","Missing supplier",IF(B4="","Missing site",IF(J4="","Missing spend",IF(COUNTIFS($G$2:G4,G4,$E$2:E4,E4,$J$2:J4,J4)&gt;1,"Duplicate invoice",IF(COUNTIF($G$2:$G$1801,G4)&gt;1,"Duplicate ID - review",IF(AND(P4&lt;&gt;"Unmapped",P4&lt;&gt;F4),"Category mismatch","OK"))))))</f>
        <v>OK</v>
      </c>
      <c r="O4" s="125">
        <f t="shared" si="0"/>
        <v>5140.5600000000004</v>
      </c>
      <c r="P4" t="str">
        <f>IF(E4="","Unmapped",IFERROR(INDEX(Supplier_Lookup!$B$2:$B$25,MATCH(E4,Supplier_Lookup!$A$2:$A$25,0)),"Unmapped"))</f>
        <v>Medical Supplies</v>
      </c>
      <c r="Q4" s="76">
        <f>IFERROR(INDEX(Category_Targets!$B$2:$B$9,MATCH(F4,Category_Targets!$A$2:$A$9,0)),0)</f>
        <v>0.06</v>
      </c>
      <c r="R4" s="125">
        <f t="shared" si="1"/>
        <v>308.43360000000001</v>
      </c>
      <c r="S4" s="78">
        <f t="shared" si="2"/>
        <v>45748</v>
      </c>
      <c r="T4" t="str">
        <f>IFERROR(VLOOKUP(B4,Sites!$A$2:$D$21,4,FALSE()),"Unknown")</f>
        <v>Derby</v>
      </c>
      <c r="U4" t="str">
        <f>IF(N4="OK","",COUNTIF($N$2:N4,"&lt;&gt;OK"))</f>
        <v/>
      </c>
      <c r="V4">
        <f>IF(OR(NOT(EXACT(E4,TRIM(Procurement_Raw!E4))),NOT(EXACT(F4,TRIM(Procurement_Raw!F4)))),1,0)</f>
        <v>0</v>
      </c>
    </row>
    <row r="5" spans="1:22" ht="15" customHeight="1" x14ac:dyDescent="0.25">
      <c r="A5" s="123">
        <f>Procurement_Raw!A5</f>
        <v>45990</v>
      </c>
      <c r="B5" t="str">
        <f>TRIM(Procurement_Raw!B5)</f>
        <v>S006</v>
      </c>
      <c r="C5" t="str">
        <f>Procurement_Raw!C5</f>
        <v>Birmingham Care &amp; Education Centre</v>
      </c>
      <c r="D5" t="str">
        <f>Procurement_Raw!D5</f>
        <v>Midlands</v>
      </c>
      <c r="E5" t="str">
        <f>IF(TRIM(Procurement_Raw!E5)="","",IFERROR(INDEX(Supplier_Lookup!$A$2:$A$25,MATCH(TRIM(Procurement_Raw!E5),Supplier_Lookup!$A$2:$A$25,0)),TRIM(Procurement_Raw!E5)))</f>
        <v>PowerDirect</v>
      </c>
      <c r="F5" t="str">
        <f>IFERROR(INDEX(Category_Targets!$A$2:$A$9,MATCH(TRIM(Procurement_Raw!F5),Category_Targets!$A$2:$A$9,0)),"Unmapped")</f>
        <v>Utilities</v>
      </c>
      <c r="G5" t="str">
        <f>TRIM(Procurement_Raw!G5)</f>
        <v>INV-2025-00004</v>
      </c>
      <c r="H5" s="77">
        <f>Procurement_Raw!H5</f>
        <v>70</v>
      </c>
      <c r="I5" s="124">
        <f>Procurement_Raw!I5</f>
        <v>577.74</v>
      </c>
      <c r="J5" s="125">
        <f>IF(Procurement_Raw!J5="","",Procurement_Raw!J5)</f>
        <v>40441.94</v>
      </c>
      <c r="K5" s="77">
        <f>Procurement_Raw!K5</f>
        <v>45</v>
      </c>
      <c r="L5" t="str">
        <f>Procurement_Raw!L5</f>
        <v>ERP</v>
      </c>
      <c r="M5" t="str">
        <f>Procurement_Raw!O5</f>
        <v>N</v>
      </c>
      <c r="N5" t="str">
        <f>IF(E5="","Missing supplier",IF(B5="","Missing site",IF(J5="","Missing spend",IF(COUNTIFS($G$2:G5,G5,$E$2:E5,E5,$J$2:J5,J5)&gt;1,"Duplicate invoice",IF(COUNTIF($G$2:$G$1801,G5)&gt;1,"Duplicate ID - review",IF(AND(P5&lt;&gt;"Unmapped",P5&lt;&gt;F5),"Category mismatch","OK"))))))</f>
        <v>OK</v>
      </c>
      <c r="O5" s="125">
        <f t="shared" si="0"/>
        <v>40441.94</v>
      </c>
      <c r="P5" t="str">
        <f>IF(E5="","Unmapped",IFERROR(INDEX(Supplier_Lookup!$B$2:$B$25,MATCH(E5,Supplier_Lookup!$A$2:$A$25,0)),"Unmapped"))</f>
        <v>Utilities</v>
      </c>
      <c r="Q5" s="76">
        <f>IFERROR(INDEX(Category_Targets!$B$2:$B$9,MATCH(F5,Category_Targets!$A$2:$A$9,0)),0)</f>
        <v>0.03</v>
      </c>
      <c r="R5" s="125">
        <f t="shared" si="1"/>
        <v>1213.2582</v>
      </c>
      <c r="S5" s="78">
        <f t="shared" si="2"/>
        <v>45962</v>
      </c>
      <c r="T5" t="str">
        <f>IFERROR(VLOOKUP(B5,Sites!$A$2:$D$21,4,FALSE()),"Unknown")</f>
        <v>Birmingham</v>
      </c>
      <c r="U5" t="str">
        <f>IF(N5="OK","",COUNTIF($N$2:N5,"&lt;&gt;OK"))</f>
        <v/>
      </c>
      <c r="V5">
        <f>IF(OR(NOT(EXACT(E5,TRIM(Procurement_Raw!E5))),NOT(EXACT(F5,TRIM(Procurement_Raw!F5)))),1,0)</f>
        <v>0</v>
      </c>
    </row>
    <row r="6" spans="1:22" ht="15" customHeight="1" x14ac:dyDescent="0.25">
      <c r="A6" s="123">
        <f>Procurement_Raw!A6</f>
        <v>45739</v>
      </c>
      <c r="B6" t="str">
        <f>TRIM(Procurement_Raw!B6)</f>
        <v>S016</v>
      </c>
      <c r="C6" t="str">
        <f>Procurement_Raw!C6</f>
        <v>Cardiff Care &amp; Education Centre</v>
      </c>
      <c r="D6" t="str">
        <f>Procurement_Raw!D6</f>
        <v>Wales</v>
      </c>
      <c r="E6" t="str">
        <f>IF(TRIM(Procurement_Raw!E6)="","",IFERROR(INDEX(Supplier_Lookup!$A$2:$A$25,MATCH(TRIM(Procurement_Raw!E6),Supplier_Lookup!$A$2:$A$25,0)),TRIM(Procurement_Raw!E6)))</f>
        <v>CloudLink</v>
      </c>
      <c r="F6" t="str">
        <f>IFERROR(INDEX(Category_Targets!$A$2:$A$9,MATCH(TRIM(Procurement_Raw!F6),Category_Targets!$A$2:$A$9,0)),"Unmapped")</f>
        <v>IT &amp; Telecoms</v>
      </c>
      <c r="G6" t="str">
        <f>TRIM(Procurement_Raw!G6)</f>
        <v>INV-2025-00005</v>
      </c>
      <c r="H6" s="77">
        <f>Procurement_Raw!H6</f>
        <v>55</v>
      </c>
      <c r="I6" s="124">
        <f>Procurement_Raw!I6</f>
        <v>193.42</v>
      </c>
      <c r="J6" s="125">
        <f>IF(Procurement_Raw!J6="","",Procurement_Raw!J6)</f>
        <v>10637.88</v>
      </c>
      <c r="K6" s="77">
        <f>Procurement_Raw!K6</f>
        <v>45</v>
      </c>
      <c r="L6" t="str">
        <f>Procurement_Raw!L6</f>
        <v>Procurement Portal</v>
      </c>
      <c r="M6" t="str">
        <f>Procurement_Raw!O6</f>
        <v>Y</v>
      </c>
      <c r="N6" t="str">
        <f>IF(E6="","Missing supplier",IF(B6="","Missing site",IF(J6="","Missing spend",IF(COUNTIFS($G$2:G6,G6,$E$2:E6,E6,$J$2:J6,J6)&gt;1,"Duplicate invoice",IF(COUNTIF($G$2:$G$1801,G6)&gt;1,"Duplicate ID - review",IF(AND(P6&lt;&gt;"Unmapped",P6&lt;&gt;F6),"Category mismatch","OK"))))))</f>
        <v>OK</v>
      </c>
      <c r="O6" s="125">
        <f t="shared" si="0"/>
        <v>10637.88</v>
      </c>
      <c r="P6" t="str">
        <f>IF(E6="","Unmapped",IFERROR(INDEX(Supplier_Lookup!$B$2:$B$25,MATCH(E6,Supplier_Lookup!$A$2:$A$25,0)),"Unmapped"))</f>
        <v>IT &amp; Telecoms</v>
      </c>
      <c r="Q6" s="76">
        <f>IFERROR(INDEX(Category_Targets!$B$2:$B$9,MATCH(F6,Category_Targets!$A$2:$A$9,0)),0)</f>
        <v>0.08</v>
      </c>
      <c r="R6" s="125">
        <f t="shared" si="1"/>
        <v>851.03039999999999</v>
      </c>
      <c r="S6" s="78">
        <f t="shared" si="2"/>
        <v>45717</v>
      </c>
      <c r="T6" t="str">
        <f>IFERROR(VLOOKUP(B6,Sites!$A$2:$D$21,4,FALSE()),"Unknown")</f>
        <v>Cardiff</v>
      </c>
      <c r="U6" t="str">
        <f>IF(N6="OK","",COUNTIF($N$2:N6,"&lt;&gt;OK"))</f>
        <v/>
      </c>
      <c r="V6">
        <f>IF(OR(NOT(EXACT(E6,TRIM(Procurement_Raw!E6))),NOT(EXACT(F6,TRIM(Procurement_Raw!F6)))),1,0)</f>
        <v>0</v>
      </c>
    </row>
    <row r="7" spans="1:22" ht="15" customHeight="1" x14ac:dyDescent="0.25">
      <c r="A7" s="123">
        <f>Procurement_Raw!A7</f>
        <v>45710</v>
      </c>
      <c r="B7" t="str">
        <f>TRIM(Procurement_Raw!B7)</f>
        <v>S013</v>
      </c>
      <c r="C7" t="str">
        <f>Procurement_Raw!C7</f>
        <v>Reading Care &amp; Education Centre</v>
      </c>
      <c r="D7" t="str">
        <f>Procurement_Raw!D7</f>
        <v>South</v>
      </c>
      <c r="E7" t="str">
        <f>IF(TRIM(Procurement_Raw!E7)="","",IFERROR(INDEX(Supplier_Lookup!$A$2:$A$25,MATCH(TRIM(Procurement_Raw!E7),Supplier_Lookup!$A$2:$A$25,0)),TRIM(Procurement_Raw!E7)))</f>
        <v>WaterGrid</v>
      </c>
      <c r="F7" t="str">
        <f>IFERROR(INDEX(Category_Targets!$A$2:$A$9,MATCH(TRIM(Procurement_Raw!F7),Category_Targets!$A$2:$A$9,0)),"Unmapped")</f>
        <v>Utilities</v>
      </c>
      <c r="G7" t="str">
        <f>TRIM(Procurement_Raw!G7)</f>
        <v>INV-2025-00006</v>
      </c>
      <c r="H7" s="77">
        <f>Procurement_Raw!H7</f>
        <v>12</v>
      </c>
      <c r="I7" s="124">
        <f>Procurement_Raw!I7</f>
        <v>219.79</v>
      </c>
      <c r="J7" s="125">
        <f>IF(Procurement_Raw!J7="","",Procurement_Raw!J7)</f>
        <v>2637.51</v>
      </c>
      <c r="K7" s="77">
        <f>Procurement_Raw!K7</f>
        <v>45</v>
      </c>
      <c r="L7" t="str">
        <f>Procurement_Raw!L7</f>
        <v>ERP</v>
      </c>
      <c r="M7" t="str">
        <f>Procurement_Raw!O7</f>
        <v>N</v>
      </c>
      <c r="N7" t="str">
        <f>IF(E7="","Missing supplier",IF(B7="","Missing site",IF(J7="","Missing spend",IF(COUNTIFS($G$2:G7,G7,$E$2:E7,E7,$J$2:J7,J7)&gt;1,"Duplicate invoice",IF(COUNTIF($G$2:$G$1801,G7)&gt;1,"Duplicate ID - review",IF(AND(P7&lt;&gt;"Unmapped",P7&lt;&gt;F7),"Category mismatch","OK"))))))</f>
        <v>OK</v>
      </c>
      <c r="O7" s="125">
        <f t="shared" si="0"/>
        <v>2637.51</v>
      </c>
      <c r="P7" t="str">
        <f>IF(E7="","Unmapped",IFERROR(INDEX(Supplier_Lookup!$B$2:$B$25,MATCH(E7,Supplier_Lookup!$A$2:$A$25,0)),"Unmapped"))</f>
        <v>Utilities</v>
      </c>
      <c r="Q7" s="76">
        <f>IFERROR(INDEX(Category_Targets!$B$2:$B$9,MATCH(F7,Category_Targets!$A$2:$A$9,0)),0)</f>
        <v>0.03</v>
      </c>
      <c r="R7" s="125">
        <f t="shared" si="1"/>
        <v>79.12530000000001</v>
      </c>
      <c r="S7" s="78">
        <f t="shared" si="2"/>
        <v>45689</v>
      </c>
      <c r="T7" t="str">
        <f>IFERROR(VLOOKUP(B7,Sites!$A$2:$D$21,4,FALSE()),"Unknown")</f>
        <v>Reading</v>
      </c>
      <c r="U7" t="str">
        <f>IF(N7="OK","",COUNTIF($N$2:N7,"&lt;&gt;OK"))</f>
        <v/>
      </c>
      <c r="V7">
        <f>IF(OR(NOT(EXACT(E7,TRIM(Procurement_Raw!E7))),NOT(EXACT(F7,TRIM(Procurement_Raw!F7)))),1,0)</f>
        <v>0</v>
      </c>
    </row>
    <row r="8" spans="1:22" ht="15" customHeight="1" x14ac:dyDescent="0.25">
      <c r="A8" s="123">
        <f>Procurement_Raw!A8</f>
        <v>45793</v>
      </c>
      <c r="B8" t="str">
        <f>TRIM(Procurement_Raw!B8)</f>
        <v>S005</v>
      </c>
      <c r="C8" t="str">
        <f>Procurement_Raw!C8</f>
        <v>Sheffield Care &amp; Education Centre</v>
      </c>
      <c r="D8" t="str">
        <f>Procurement_Raw!D8</f>
        <v>North</v>
      </c>
      <c r="E8" t="str">
        <f>IF(TRIM(Procurement_Raw!E8)="","",IFERROR(INDEX(Supplier_Lookup!$A$2:$A$25,MATCH(TRIM(Procurement_Raw!E8),Supplier_Lookup!$A$2:$A$25,0)),TRIM(Procurement_Raw!E8)))</f>
        <v>AutoCare</v>
      </c>
      <c r="F8" t="str">
        <f>IFERROR(INDEX(Category_Targets!$A$2:$A$9,MATCH(TRIM(Procurement_Raw!F8),Category_Targets!$A$2:$A$9,0)),"Unmapped")</f>
        <v>Vehicle &amp; Fuel</v>
      </c>
      <c r="G8" t="str">
        <f>TRIM(Procurement_Raw!G8)</f>
        <v>INV-2025-00007</v>
      </c>
      <c r="H8" s="77">
        <f>Procurement_Raw!H8</f>
        <v>6</v>
      </c>
      <c r="I8" s="124">
        <f>Procurement_Raw!I8</f>
        <v>226.43</v>
      </c>
      <c r="J8" s="125">
        <f>IF(Procurement_Raw!J8="","",Procurement_Raw!J8)</f>
        <v>1358.59</v>
      </c>
      <c r="K8" s="77">
        <f>Procurement_Raw!K8</f>
        <v>60</v>
      </c>
      <c r="L8" t="str">
        <f>Procurement_Raw!L8</f>
        <v>Procurement Portal</v>
      </c>
      <c r="M8" t="str">
        <f>Procurement_Raw!O8</f>
        <v>N</v>
      </c>
      <c r="N8" t="str">
        <f>IF(E8="","Missing supplier",IF(B8="","Missing site",IF(J8="","Missing spend",IF(COUNTIFS($G$2:G8,G8,$E$2:E8,E8,$J$2:J8,J8)&gt;1,"Duplicate invoice",IF(COUNTIF($G$2:$G$1801,G8)&gt;1,"Duplicate ID - review",IF(AND(P8&lt;&gt;"Unmapped",P8&lt;&gt;F8),"Category mismatch","OK"))))))</f>
        <v>OK</v>
      </c>
      <c r="O8" s="125">
        <f t="shared" si="0"/>
        <v>1358.59</v>
      </c>
      <c r="P8" t="str">
        <f>IF(E8="","Unmapped",IFERROR(INDEX(Supplier_Lookup!$B$2:$B$25,MATCH(E8,Supplier_Lookup!$A$2:$A$25,0)),"Unmapped"))</f>
        <v>Vehicle &amp; Fuel</v>
      </c>
      <c r="Q8" s="76">
        <f>IFERROR(INDEX(Category_Targets!$B$2:$B$9,MATCH(F8,Category_Targets!$A$2:$A$9,0)),0)</f>
        <v>0.05</v>
      </c>
      <c r="R8" s="125">
        <f t="shared" si="1"/>
        <v>67.929500000000004</v>
      </c>
      <c r="S8" s="78">
        <f t="shared" si="2"/>
        <v>45778</v>
      </c>
      <c r="T8" t="str">
        <f>IFERROR(VLOOKUP(B8,Sites!$A$2:$D$21,4,FALSE()),"Unknown")</f>
        <v>Sheffield</v>
      </c>
      <c r="U8" t="str">
        <f>IF(N8="OK","",COUNTIF($N$2:N8,"&lt;&gt;OK"))</f>
        <v/>
      </c>
      <c r="V8">
        <f>IF(OR(NOT(EXACT(E8,TRIM(Procurement_Raw!E8))),NOT(EXACT(F8,TRIM(Procurement_Raw!F8)))),1,0)</f>
        <v>0</v>
      </c>
    </row>
    <row r="9" spans="1:22" ht="15" customHeight="1" x14ac:dyDescent="0.25">
      <c r="A9" s="123">
        <f>Procurement_Raw!A9</f>
        <v>45698</v>
      </c>
      <c r="B9" t="str">
        <f>TRIM(Procurement_Raw!B9)</f>
        <v>S004</v>
      </c>
      <c r="C9" t="str">
        <f>Procurement_Raw!C9</f>
        <v>Newcastle Care &amp; Education Centre</v>
      </c>
      <c r="D9" t="str">
        <f>Procurement_Raw!D9</f>
        <v>North</v>
      </c>
      <c r="E9" t="str">
        <f>IF(TRIM(Procurement_Raw!E9)="","",IFERROR(INDEX(Supplier_Lookup!$A$2:$A$25,MATCH(TRIM(Procurement_Raw!E9),Supplier_Lookup!$A$2:$A$25,0)),TRIM(Procurement_Raw!E9)))</f>
        <v>NourishCo</v>
      </c>
      <c r="F9" t="str">
        <f>IFERROR(INDEX(Category_Targets!$A$2:$A$9,MATCH(TRIM(Procurement_Raw!F9),Category_Targets!$A$2:$A$9,0)),"Unmapped")</f>
        <v>Food &amp; Catering</v>
      </c>
      <c r="G9" t="str">
        <f>TRIM(Procurement_Raw!G9)</f>
        <v>INV-2025-00008</v>
      </c>
      <c r="H9" s="77">
        <f>Procurement_Raw!H9</f>
        <v>71</v>
      </c>
      <c r="I9" s="124">
        <f>Procurement_Raw!I9</f>
        <v>99.13</v>
      </c>
      <c r="J9" s="125">
        <f>IF(Procurement_Raw!J9="","",Procurement_Raw!J9)</f>
        <v>7038.54</v>
      </c>
      <c r="K9" s="77">
        <f>Procurement_Raw!K9</f>
        <v>45</v>
      </c>
      <c r="L9" t="str">
        <f>Procurement_Raw!L9</f>
        <v>Legacy Spend File</v>
      </c>
      <c r="M9" t="str">
        <f>Procurement_Raw!O9</f>
        <v>N</v>
      </c>
      <c r="N9" t="str">
        <f>IF(E9="","Missing supplier",IF(B9="","Missing site",IF(J9="","Missing spend",IF(COUNTIFS($G$2:G9,G9,$E$2:E9,E9,$J$2:J9,J9)&gt;1,"Duplicate invoice",IF(COUNTIF($G$2:$G$1801,G9)&gt;1,"Duplicate ID - review",IF(AND(P9&lt;&gt;"Unmapped",P9&lt;&gt;F9),"Category mismatch","OK"))))))</f>
        <v>OK</v>
      </c>
      <c r="O9" s="125">
        <f t="shared" si="0"/>
        <v>7038.54</v>
      </c>
      <c r="P9" t="str">
        <f>IF(E9="","Unmapped",IFERROR(INDEX(Supplier_Lookup!$B$2:$B$25,MATCH(E9,Supplier_Lookup!$A$2:$A$25,0)),"Unmapped"))</f>
        <v>Food &amp; Catering</v>
      </c>
      <c r="Q9" s="76">
        <f>IFERROR(INDEX(Category_Targets!$B$2:$B$9,MATCH(F9,Category_Targets!$A$2:$A$9,0)),0)</f>
        <v>0.04</v>
      </c>
      <c r="R9" s="125">
        <f t="shared" si="1"/>
        <v>281.54160000000002</v>
      </c>
      <c r="S9" s="78">
        <f t="shared" si="2"/>
        <v>45689</v>
      </c>
      <c r="T9" t="str">
        <f>IFERROR(VLOOKUP(B9,Sites!$A$2:$D$21,4,FALSE()),"Unknown")</f>
        <v>Newcastle</v>
      </c>
      <c r="U9" t="str">
        <f>IF(N9="OK","",COUNTIF($N$2:N9,"&lt;&gt;OK"))</f>
        <v/>
      </c>
      <c r="V9">
        <f>IF(OR(NOT(EXACT(E9,TRIM(Procurement_Raw!E9))),NOT(EXACT(F9,TRIM(Procurement_Raw!F9)))),1,0)</f>
        <v>0</v>
      </c>
    </row>
    <row r="10" spans="1:22" ht="15" customHeight="1" x14ac:dyDescent="0.25">
      <c r="A10" s="123">
        <f>Procurement_Raw!A10</f>
        <v>45756</v>
      </c>
      <c r="B10" t="str">
        <f>TRIM(Procurement_Raw!B10)</f>
        <v>S017</v>
      </c>
      <c r="C10" t="str">
        <f>Procurement_Raw!C10</f>
        <v>Swansea Care &amp; Education Centre</v>
      </c>
      <c r="D10" t="str">
        <f>Procurement_Raw!D10</f>
        <v>Wales</v>
      </c>
      <c r="E10" t="str">
        <f>IF(TRIM(Procurement_Raw!E10)="","",IFERROR(INDEX(Supplier_Lookup!$A$2:$A$25,MATCH(TRIM(Procurement_Raw!E10),Supplier_Lookup!$A$2:$A$25,0)),TRIM(Procurement_Raw!E10)))</f>
        <v>AutoCare</v>
      </c>
      <c r="F10" t="str">
        <f>IFERROR(INDEX(Category_Targets!$A$2:$A$9,MATCH(TRIM(Procurement_Raw!F10),Category_Targets!$A$2:$A$9,0)),"Unmapped")</f>
        <v>Vehicle &amp; Fuel</v>
      </c>
      <c r="G10" t="str">
        <f>TRIM(Procurement_Raw!G10)</f>
        <v>INV-2025-00009</v>
      </c>
      <c r="H10" s="77">
        <f>Procurement_Raw!H10</f>
        <v>9</v>
      </c>
      <c r="I10" s="124">
        <f>Procurement_Raw!I10</f>
        <v>73.38</v>
      </c>
      <c r="J10" s="125">
        <f>IF(Procurement_Raw!J10="","",Procurement_Raw!J10)</f>
        <v>660.43</v>
      </c>
      <c r="K10" s="77">
        <f>Procurement_Raw!K10</f>
        <v>30</v>
      </c>
      <c r="L10" t="str">
        <f>Procurement_Raw!L10</f>
        <v>Legacy Spend File</v>
      </c>
      <c r="M10" t="str">
        <f>Procurement_Raw!O10</f>
        <v>N</v>
      </c>
      <c r="N10" t="str">
        <f>IF(E10="","Missing supplier",IF(B10="","Missing site",IF(J10="","Missing spend",IF(COUNTIFS($G$2:G10,G10,$E$2:E10,E10,$J$2:J10,J10)&gt;1,"Duplicate invoice",IF(COUNTIF($G$2:$G$1801,G10)&gt;1,"Duplicate ID - review",IF(AND(P10&lt;&gt;"Unmapped",P10&lt;&gt;F10),"Category mismatch","OK"))))))</f>
        <v>OK</v>
      </c>
      <c r="O10" s="125">
        <f t="shared" si="0"/>
        <v>660.43</v>
      </c>
      <c r="P10" t="str">
        <f>IF(E10="","Unmapped",IFERROR(INDEX(Supplier_Lookup!$B$2:$B$25,MATCH(E10,Supplier_Lookup!$A$2:$A$25,0)),"Unmapped"))</f>
        <v>Vehicle &amp; Fuel</v>
      </c>
      <c r="Q10" s="76">
        <f>IFERROR(INDEX(Category_Targets!$B$2:$B$9,MATCH(F10,Category_Targets!$A$2:$A$9,0)),0)</f>
        <v>0.05</v>
      </c>
      <c r="R10" s="125">
        <f t="shared" si="1"/>
        <v>33.021499999999996</v>
      </c>
      <c r="S10" s="78">
        <f t="shared" si="2"/>
        <v>45748</v>
      </c>
      <c r="T10" t="str">
        <f>IFERROR(VLOOKUP(B10,Sites!$A$2:$D$21,4,FALSE()),"Unknown")</f>
        <v>Swansea</v>
      </c>
      <c r="U10" t="str">
        <f>IF(N10="OK","",COUNTIF($N$2:N10,"&lt;&gt;OK"))</f>
        <v/>
      </c>
      <c r="V10">
        <f>IF(OR(NOT(EXACT(E10,TRIM(Procurement_Raw!E10))),NOT(EXACT(F10,TRIM(Procurement_Raw!F10)))),1,0)</f>
        <v>0</v>
      </c>
    </row>
    <row r="11" spans="1:22" ht="15" customHeight="1" x14ac:dyDescent="0.25">
      <c r="A11" s="123">
        <f>Procurement_Raw!A11</f>
        <v>45777</v>
      </c>
      <c r="B11" t="str">
        <f>TRIM(Procurement_Raw!B11)</f>
        <v>S015</v>
      </c>
      <c r="C11" t="str">
        <f>Procurement_Raw!C11</f>
        <v>Brighton Care &amp; Education Centre</v>
      </c>
      <c r="D11" t="str">
        <f>Procurement_Raw!D11</f>
        <v>South</v>
      </c>
      <c r="E11" t="str">
        <f>IF(TRIM(Procurement_Raw!E11)="","",IFERROR(INDEX(Supplier_Lookup!$A$2:$A$25,MATCH(TRIM(Procurement_Raw!E11),Supplier_Lookup!$A$2:$A$25,0)),TRIM(Procurement_Raw!E11)))</f>
        <v>CloudLink</v>
      </c>
      <c r="F11" t="str">
        <f>IFERROR(INDEX(Category_Targets!$A$2:$A$9,MATCH(TRIM(Procurement_Raw!F11),Category_Targets!$A$2:$A$9,0)),"Unmapped")</f>
        <v>IT &amp; Telecoms</v>
      </c>
      <c r="G11" t="str">
        <f>TRIM(Procurement_Raw!G11)</f>
        <v>INV-2025-00010</v>
      </c>
      <c r="H11" s="77">
        <f>Procurement_Raw!H11</f>
        <v>13</v>
      </c>
      <c r="I11" s="124">
        <f>Procurement_Raw!I11</f>
        <v>296.5</v>
      </c>
      <c r="J11" s="125">
        <f>IF(Procurement_Raw!J11="","",Procurement_Raw!J11)</f>
        <v>3854.46</v>
      </c>
      <c r="K11" s="77">
        <f>Procurement_Raw!K11</f>
        <v>45</v>
      </c>
      <c r="L11" t="str">
        <f>Procurement_Raw!L11</f>
        <v>Procurement Portal</v>
      </c>
      <c r="M11" t="str">
        <f>Procurement_Raw!O11</f>
        <v>Y</v>
      </c>
      <c r="N11" t="str">
        <f>IF(E11="","Missing supplier",IF(B11="","Missing site",IF(J11="","Missing spend",IF(COUNTIFS($G$2:G11,G11,$E$2:E11,E11,$J$2:J11,J11)&gt;1,"Duplicate invoice",IF(COUNTIF($G$2:$G$1801,G11)&gt;1,"Duplicate ID - review",IF(AND(P11&lt;&gt;"Unmapped",P11&lt;&gt;F11),"Category mismatch","OK"))))))</f>
        <v>OK</v>
      </c>
      <c r="O11" s="125">
        <f t="shared" si="0"/>
        <v>3854.46</v>
      </c>
      <c r="P11" t="str">
        <f>IF(E11="","Unmapped",IFERROR(INDEX(Supplier_Lookup!$B$2:$B$25,MATCH(E11,Supplier_Lookup!$A$2:$A$25,0)),"Unmapped"))</f>
        <v>IT &amp; Telecoms</v>
      </c>
      <c r="Q11" s="76">
        <f>IFERROR(INDEX(Category_Targets!$B$2:$B$9,MATCH(F11,Category_Targets!$A$2:$A$9,0)),0)</f>
        <v>0.08</v>
      </c>
      <c r="R11" s="125">
        <f t="shared" si="1"/>
        <v>308.35680000000002</v>
      </c>
      <c r="S11" s="78">
        <f t="shared" si="2"/>
        <v>45748</v>
      </c>
      <c r="T11" t="str">
        <f>IFERROR(VLOOKUP(B11,Sites!$A$2:$D$21,4,FALSE()),"Unknown")</f>
        <v>Brighton</v>
      </c>
      <c r="U11" t="str">
        <f>IF(N11="OK","",COUNTIF($N$2:N11,"&lt;&gt;OK"))</f>
        <v/>
      </c>
      <c r="V11">
        <f>IF(OR(NOT(EXACT(E11,TRIM(Procurement_Raw!E11))),NOT(EXACT(F11,TRIM(Procurement_Raw!F11)))),1,0)</f>
        <v>0</v>
      </c>
    </row>
    <row r="12" spans="1:22" ht="15" customHeight="1" x14ac:dyDescent="0.25">
      <c r="A12" s="123">
        <f>Procurement_Raw!A12</f>
        <v>45847</v>
      </c>
      <c r="B12" t="str">
        <f>TRIM(Procurement_Raw!B12)</f>
        <v>S016</v>
      </c>
      <c r="C12" t="str">
        <f>Procurement_Raw!C12</f>
        <v>Cardiff Care &amp; Education Centre</v>
      </c>
      <c r="D12" t="str">
        <f>Procurement_Raw!D12</f>
        <v>Wales</v>
      </c>
      <c r="E12" t="str">
        <f>IF(TRIM(Procurement_Raw!E12)="","",IFERROR(INDEX(Supplier_Lookup!$A$2:$A$25,MATCH(TRIM(Procurement_Raw!E12),Supplier_Lookup!$A$2:$A$25,0)),TRIM(Procurement_Raw!E12)))</f>
        <v>FleetFuel</v>
      </c>
      <c r="F12" t="str">
        <f>IFERROR(INDEX(Category_Targets!$A$2:$A$9,MATCH(TRIM(Procurement_Raw!F12),Category_Targets!$A$2:$A$9,0)),"Unmapped")</f>
        <v>Vehicle &amp; Fuel</v>
      </c>
      <c r="G12" t="str">
        <f>TRIM(Procurement_Raw!G12)</f>
        <v>INV-2025-00011</v>
      </c>
      <c r="H12" s="77">
        <f>Procurement_Raw!H12</f>
        <v>46</v>
      </c>
      <c r="I12" s="124">
        <f>Procurement_Raw!I12</f>
        <v>73.63</v>
      </c>
      <c r="J12" s="125">
        <f>IF(Procurement_Raw!J12="","",Procurement_Raw!J12)</f>
        <v>3386.79</v>
      </c>
      <c r="K12" s="77">
        <f>Procurement_Raw!K12</f>
        <v>30</v>
      </c>
      <c r="L12" t="str">
        <f>Procurement_Raw!L12</f>
        <v>Legacy Spend File</v>
      </c>
      <c r="M12" t="str">
        <f>Procurement_Raw!O12</f>
        <v>Y</v>
      </c>
      <c r="N12" t="str">
        <f>IF(E12="","Missing supplier",IF(B12="","Missing site",IF(J12="","Missing spend",IF(COUNTIFS($G$2:G12,G12,$E$2:E12,E12,$J$2:J12,J12)&gt;1,"Duplicate invoice",IF(COUNTIF($G$2:$G$1801,G12)&gt;1,"Duplicate ID - review",IF(AND(P12&lt;&gt;"Unmapped",P12&lt;&gt;F12),"Category mismatch","OK"))))))</f>
        <v>OK</v>
      </c>
      <c r="O12" s="125">
        <f t="shared" si="0"/>
        <v>3386.79</v>
      </c>
      <c r="P12" t="str">
        <f>IF(E12="","Unmapped",IFERROR(INDEX(Supplier_Lookup!$B$2:$B$25,MATCH(E12,Supplier_Lookup!$A$2:$A$25,0)),"Unmapped"))</f>
        <v>Vehicle &amp; Fuel</v>
      </c>
      <c r="Q12" s="76">
        <f>IFERROR(INDEX(Category_Targets!$B$2:$B$9,MATCH(F12,Category_Targets!$A$2:$A$9,0)),0)</f>
        <v>0.05</v>
      </c>
      <c r="R12" s="125">
        <f t="shared" si="1"/>
        <v>169.33950000000002</v>
      </c>
      <c r="S12" s="78">
        <f t="shared" si="2"/>
        <v>45839</v>
      </c>
      <c r="T12" t="str">
        <f>IFERROR(VLOOKUP(B12,Sites!$A$2:$D$21,4,FALSE()),"Unknown")</f>
        <v>Cardiff</v>
      </c>
      <c r="U12" t="str">
        <f>IF(N12="OK","",COUNTIF($N$2:N12,"&lt;&gt;OK"))</f>
        <v/>
      </c>
      <c r="V12">
        <f>IF(OR(NOT(EXACT(E12,TRIM(Procurement_Raw!E12))),NOT(EXACT(F12,TRIM(Procurement_Raw!F12)))),1,0)</f>
        <v>0</v>
      </c>
    </row>
    <row r="13" spans="1:22" ht="15" customHeight="1" x14ac:dyDescent="0.25">
      <c r="A13" s="123">
        <f>Procurement_Raw!A13</f>
        <v>45983</v>
      </c>
      <c r="B13" t="str">
        <f>TRIM(Procurement_Raw!B13)</f>
        <v>S019</v>
      </c>
      <c r="C13" t="str">
        <f>Procurement_Raw!C13</f>
        <v>Wrexham Care &amp; Education Centre</v>
      </c>
      <c r="D13" t="str">
        <f>Procurement_Raw!D13</f>
        <v>Wales</v>
      </c>
      <c r="E13" t="str">
        <f>IF(TRIM(Procurement_Raw!E13)="","",IFERROR(INDEX(Supplier_Lookup!$A$2:$A$25,MATCH(TRIM(Procurement_Raw!E13),Supplier_Lookup!$A$2:$A$25,0)),TRIM(Procurement_Raw!E13)))</f>
        <v>KitchenPro</v>
      </c>
      <c r="F13" t="str">
        <f>IFERROR(INDEX(Category_Targets!$A$2:$A$9,MATCH(TRIM(Procurement_Raw!F13),Category_Targets!$A$2:$A$9,0)),"Unmapped")</f>
        <v>Food &amp; Catering</v>
      </c>
      <c r="G13" t="str">
        <f>TRIM(Procurement_Raw!G13)</f>
        <v>INV-2025-00012</v>
      </c>
      <c r="H13" s="77">
        <f>Procurement_Raw!H13</f>
        <v>22</v>
      </c>
      <c r="I13" s="124">
        <f>Procurement_Raw!I13</f>
        <v>50.31</v>
      </c>
      <c r="J13" s="125">
        <f>IF(Procurement_Raw!J13="","",Procurement_Raw!J13)</f>
        <v>1106.8599999999999</v>
      </c>
      <c r="K13" s="77">
        <f>Procurement_Raw!K13</f>
        <v>60</v>
      </c>
      <c r="L13" t="str">
        <f>Procurement_Raw!L13</f>
        <v>Legacy Spend File</v>
      </c>
      <c r="M13" t="str">
        <f>Procurement_Raw!O13</f>
        <v>N</v>
      </c>
      <c r="N13" t="str">
        <f>IF(E13="","Missing supplier",IF(B13="","Missing site",IF(J13="","Missing spend",IF(COUNTIFS($G$2:G13,G13,$E$2:E13,E13,$J$2:J13,J13)&gt;1,"Duplicate invoice",IF(COUNTIF($G$2:$G$1801,G13)&gt;1,"Duplicate ID - review",IF(AND(P13&lt;&gt;"Unmapped",P13&lt;&gt;F13),"Category mismatch","OK"))))))</f>
        <v>OK</v>
      </c>
      <c r="O13" s="125">
        <f t="shared" si="0"/>
        <v>1106.8599999999999</v>
      </c>
      <c r="P13" t="str">
        <f>IF(E13="","Unmapped",IFERROR(INDEX(Supplier_Lookup!$B$2:$B$25,MATCH(E13,Supplier_Lookup!$A$2:$A$25,0)),"Unmapped"))</f>
        <v>Food &amp; Catering</v>
      </c>
      <c r="Q13" s="76">
        <f>IFERROR(INDEX(Category_Targets!$B$2:$B$9,MATCH(F13,Category_Targets!$A$2:$A$9,0)),0)</f>
        <v>0.04</v>
      </c>
      <c r="R13" s="125">
        <f t="shared" si="1"/>
        <v>44.2744</v>
      </c>
      <c r="S13" s="78">
        <f t="shared" si="2"/>
        <v>45962</v>
      </c>
      <c r="T13" t="str">
        <f>IFERROR(VLOOKUP(B13,Sites!$A$2:$D$21,4,FALSE()),"Unknown")</f>
        <v>Wrexham</v>
      </c>
      <c r="U13" t="str">
        <f>IF(N13="OK","",COUNTIF($N$2:N13,"&lt;&gt;OK"))</f>
        <v/>
      </c>
      <c r="V13">
        <f>IF(OR(NOT(EXACT(E13,TRIM(Procurement_Raw!E13))),NOT(EXACT(F13,TRIM(Procurement_Raw!F13)))),1,0)</f>
        <v>0</v>
      </c>
    </row>
    <row r="14" spans="1:22" ht="15" customHeight="1" x14ac:dyDescent="0.25">
      <c r="A14" s="123">
        <f>Procurement_Raw!A14</f>
        <v>45852</v>
      </c>
      <c r="B14" t="str">
        <f>TRIM(Procurement_Raw!B14)</f>
        <v>S009</v>
      </c>
      <c r="C14" t="str">
        <f>Procurement_Raw!C14</f>
        <v>Derby Care &amp; Education Centre</v>
      </c>
      <c r="D14" t="str">
        <f>Procurement_Raw!D14</f>
        <v>Midlands</v>
      </c>
      <c r="E14" t="str">
        <f>IF(TRIM(Procurement_Raw!E14)="","",IFERROR(INDEX(Supplier_Lookup!$A$2:$A$25,MATCH(TRIM(Procurement_Raw!E14),Supplier_Lookup!$A$2:$A$25,0)),TRIM(Procurement_Raw!E14)))</f>
        <v>SafeGuard FM</v>
      </c>
      <c r="F14" t="str">
        <f>IFERROR(INDEX(Category_Targets!$A$2:$A$9,MATCH(TRIM(Procurement_Raw!F14),Category_Targets!$A$2:$A$9,0)),"Unmapped")</f>
        <v>Facilities</v>
      </c>
      <c r="G14" t="str">
        <f>TRIM(Procurement_Raw!G14)</f>
        <v>INV-2025-00013</v>
      </c>
      <c r="H14" s="77">
        <f>Procurement_Raw!H14</f>
        <v>35</v>
      </c>
      <c r="I14" s="124">
        <f>Procurement_Raw!I14</f>
        <v>205.62</v>
      </c>
      <c r="J14" s="125">
        <f>IF(Procurement_Raw!J14="","",Procurement_Raw!J14)</f>
        <v>7196.75</v>
      </c>
      <c r="K14" s="77">
        <f>Procurement_Raw!K14</f>
        <v>60</v>
      </c>
      <c r="L14" t="str">
        <f>Procurement_Raw!L14</f>
        <v>Legacy Spend File</v>
      </c>
      <c r="M14" t="str">
        <f>Procurement_Raw!O14</f>
        <v>N</v>
      </c>
      <c r="N14" t="str">
        <f>IF(E14="","Missing supplier",IF(B14="","Missing site",IF(J14="","Missing spend",IF(COUNTIFS($G$2:G14,G14,$E$2:E14,E14,$J$2:J14,J14)&gt;1,"Duplicate invoice",IF(COUNTIF($G$2:$G$1801,G14)&gt;1,"Duplicate ID - review",IF(AND(P14&lt;&gt;"Unmapped",P14&lt;&gt;F14),"Category mismatch","OK"))))))</f>
        <v>OK</v>
      </c>
      <c r="O14" s="125">
        <f t="shared" si="0"/>
        <v>7196.75</v>
      </c>
      <c r="P14" t="str">
        <f>IF(E14="","Unmapped",IFERROR(INDEX(Supplier_Lookup!$B$2:$B$25,MATCH(E14,Supplier_Lookup!$A$2:$A$25,0)),"Unmapped"))</f>
        <v>Facilities</v>
      </c>
      <c r="Q14" s="76">
        <f>IFERROR(INDEX(Category_Targets!$B$2:$B$9,MATCH(F14,Category_Targets!$A$2:$A$9,0)),0)</f>
        <v>0.05</v>
      </c>
      <c r="R14" s="125">
        <f t="shared" si="1"/>
        <v>359.83750000000003</v>
      </c>
      <c r="S14" s="78">
        <f t="shared" si="2"/>
        <v>45839</v>
      </c>
      <c r="T14" t="str">
        <f>IFERROR(VLOOKUP(B14,Sites!$A$2:$D$21,4,FALSE()),"Unknown")</f>
        <v>Derby</v>
      </c>
      <c r="U14" t="str">
        <f>IF(N14="OK","",COUNTIF($N$2:N14,"&lt;&gt;OK"))</f>
        <v/>
      </c>
      <c r="V14">
        <f>IF(OR(NOT(EXACT(E14,TRIM(Procurement_Raw!E14))),NOT(EXACT(F14,TRIM(Procurement_Raw!F14)))),1,0)</f>
        <v>0</v>
      </c>
    </row>
    <row r="15" spans="1:22" ht="15" customHeight="1" x14ac:dyDescent="0.25">
      <c r="A15" s="123">
        <f>Procurement_Raw!A15</f>
        <v>45824</v>
      </c>
      <c r="B15" t="str">
        <f>TRIM(Procurement_Raw!B15)</f>
        <v>S014</v>
      </c>
      <c r="C15" t="str">
        <f>Procurement_Raw!C15</f>
        <v>Southampton Care &amp; Education Centre</v>
      </c>
      <c r="D15" t="str">
        <f>Procurement_Raw!D15</f>
        <v>South</v>
      </c>
      <c r="E15" t="str">
        <f>IF(TRIM(Procurement_Raw!E15)="","",IFERROR(INDEX(Supplier_Lookup!$A$2:$A$25,MATCH(TRIM(Procurement_Raw!E15),Supplier_Lookup!$A$2:$A$25,0)),TRIM(Procurement_Raw!E15)))</f>
        <v>PowerDirect</v>
      </c>
      <c r="F15" t="str">
        <f>IFERROR(INDEX(Category_Targets!$A$2:$A$9,MATCH(TRIM(Procurement_Raw!F15),Category_Targets!$A$2:$A$9,0)),"Unmapped")</f>
        <v>Utilities</v>
      </c>
      <c r="G15" t="str">
        <f>TRIM(Procurement_Raw!G15)</f>
        <v>INV-2025-00014</v>
      </c>
      <c r="H15" s="77">
        <f>Procurement_Raw!H15</f>
        <v>8</v>
      </c>
      <c r="I15" s="124">
        <f>Procurement_Raw!I15</f>
        <v>87.28</v>
      </c>
      <c r="J15" s="125">
        <f>IF(Procurement_Raw!J15="","",Procurement_Raw!J15)</f>
        <v>698.26</v>
      </c>
      <c r="K15" s="77">
        <f>Procurement_Raw!K15</f>
        <v>30</v>
      </c>
      <c r="L15" t="str">
        <f>Procurement_Raw!L15</f>
        <v>ERP</v>
      </c>
      <c r="M15" t="str">
        <f>Procurement_Raw!O15</f>
        <v>N</v>
      </c>
      <c r="N15" t="str">
        <f>IF(E15="","Missing supplier",IF(B15="","Missing site",IF(J15="","Missing spend",IF(COUNTIFS($G$2:G15,G15,$E$2:E15,E15,$J$2:J15,J15)&gt;1,"Duplicate invoice",IF(COUNTIF($G$2:$G$1801,G15)&gt;1,"Duplicate ID - review",IF(AND(P15&lt;&gt;"Unmapped",P15&lt;&gt;F15),"Category mismatch","OK"))))))</f>
        <v>OK</v>
      </c>
      <c r="O15" s="125">
        <f t="shared" si="0"/>
        <v>698.26</v>
      </c>
      <c r="P15" t="str">
        <f>IF(E15="","Unmapped",IFERROR(INDEX(Supplier_Lookup!$B$2:$B$25,MATCH(E15,Supplier_Lookup!$A$2:$A$25,0)),"Unmapped"))</f>
        <v>Utilities</v>
      </c>
      <c r="Q15" s="76">
        <f>IFERROR(INDEX(Category_Targets!$B$2:$B$9,MATCH(F15,Category_Targets!$A$2:$A$9,0)),0)</f>
        <v>0.03</v>
      </c>
      <c r="R15" s="125">
        <f t="shared" si="1"/>
        <v>20.947799999999997</v>
      </c>
      <c r="S15" s="78">
        <f t="shared" si="2"/>
        <v>45809</v>
      </c>
      <c r="T15" t="str">
        <f>IFERROR(VLOOKUP(B15,Sites!$A$2:$D$21,4,FALSE()),"Unknown")</f>
        <v>Southampton</v>
      </c>
      <c r="U15" t="str">
        <f>IF(N15="OK","",COUNTIF($N$2:N15,"&lt;&gt;OK"))</f>
        <v/>
      </c>
      <c r="V15">
        <f>IF(OR(NOT(EXACT(E15,TRIM(Procurement_Raw!E15))),NOT(EXACT(F15,TRIM(Procurement_Raw!F15)))),1,0)</f>
        <v>0</v>
      </c>
    </row>
    <row r="16" spans="1:22" ht="15" customHeight="1" x14ac:dyDescent="0.25">
      <c r="A16" s="123">
        <f>Procurement_Raw!A16</f>
        <v>45691</v>
      </c>
      <c r="B16" t="str">
        <f>TRIM(Procurement_Raw!B16)</f>
        <v>S007</v>
      </c>
      <c r="C16" t="str">
        <f>Procurement_Raw!C16</f>
        <v>Nottingham Care &amp; Education Centre</v>
      </c>
      <c r="D16" t="str">
        <f>Procurement_Raw!D16</f>
        <v>Midlands</v>
      </c>
      <c r="E16" t="str">
        <f>IF(TRIM(Procurement_Raw!E16)="","",IFERROR(INDEX(Supplier_Lookup!$A$2:$A$25,MATCH(TRIM(Procurement_Raw!E16),Supplier_Lookup!$A$2:$A$25,0)),TRIM(Procurement_Raw!E16)))</f>
        <v>CareTemps</v>
      </c>
      <c r="F16" t="str">
        <f>IFERROR(INDEX(Category_Targets!$A$2:$A$9,MATCH(TRIM(Procurement_Raw!F16),Category_Targets!$A$2:$A$9,0)),"Unmapped")</f>
        <v>Agency Labour</v>
      </c>
      <c r="G16" t="str">
        <f>TRIM(Procurement_Raw!G16)</f>
        <v>INV-2025-00015</v>
      </c>
      <c r="H16" s="77">
        <f>Procurement_Raw!H16</f>
        <v>28</v>
      </c>
      <c r="I16" s="124">
        <f>Procurement_Raw!I16</f>
        <v>116.17</v>
      </c>
      <c r="J16" s="125">
        <f>IF(Procurement_Raw!J16="","",Procurement_Raw!J16)</f>
        <v>3252.83</v>
      </c>
      <c r="K16" s="77">
        <f>Procurement_Raw!K16</f>
        <v>60</v>
      </c>
      <c r="L16" t="str">
        <f>Procurement_Raw!L16</f>
        <v>Legacy Spend File</v>
      </c>
      <c r="M16" t="str">
        <f>Procurement_Raw!O16</f>
        <v>N</v>
      </c>
      <c r="N16" t="str">
        <f>IF(E16="","Missing supplier",IF(B16="","Missing site",IF(J16="","Missing spend",IF(COUNTIFS($G$2:G16,G16,$E$2:E16,E16,$J$2:J16,J16)&gt;1,"Duplicate invoice",IF(COUNTIF($G$2:$G$1801,G16)&gt;1,"Duplicate ID - review",IF(AND(P16&lt;&gt;"Unmapped",P16&lt;&gt;F16),"Category mismatch","OK"))))))</f>
        <v>OK</v>
      </c>
      <c r="O16" s="125">
        <f t="shared" si="0"/>
        <v>3252.83</v>
      </c>
      <c r="P16" t="str">
        <f>IF(E16="","Unmapped",IFERROR(INDEX(Supplier_Lookup!$B$2:$B$25,MATCH(E16,Supplier_Lookup!$A$2:$A$25,0)),"Unmapped"))</f>
        <v>Agency Labour</v>
      </c>
      <c r="Q16" s="76">
        <f>IFERROR(INDEX(Category_Targets!$B$2:$B$9,MATCH(F16,Category_Targets!$A$2:$A$9,0)),0)</f>
        <v>7.0000000000000007E-2</v>
      </c>
      <c r="R16" s="125">
        <f t="shared" si="1"/>
        <v>227.69810000000001</v>
      </c>
      <c r="S16" s="78">
        <f t="shared" si="2"/>
        <v>45689</v>
      </c>
      <c r="T16" t="str">
        <f>IFERROR(VLOOKUP(B16,Sites!$A$2:$D$21,4,FALSE()),"Unknown")</f>
        <v>Nottingham</v>
      </c>
      <c r="U16" t="str">
        <f>IF(N16="OK","",COUNTIF($N$2:N16,"&lt;&gt;OK"))</f>
        <v/>
      </c>
      <c r="V16">
        <f>IF(OR(NOT(EXACT(E16,TRIM(Procurement_Raw!E16))),NOT(EXACT(F16,TRIM(Procurement_Raw!F16)))),1,0)</f>
        <v>0</v>
      </c>
    </row>
    <row r="17" spans="1:22" ht="15" customHeight="1" x14ac:dyDescent="0.25">
      <c r="A17" s="123">
        <f>Procurement_Raw!A17</f>
        <v>45913</v>
      </c>
      <c r="B17" t="str">
        <f>TRIM(Procurement_Raw!B17)</f>
        <v>S017</v>
      </c>
      <c r="C17" t="str">
        <f>Procurement_Raw!C17</f>
        <v>Swansea Care &amp; Education Centre</v>
      </c>
      <c r="D17" t="str">
        <f>Procurement_Raw!D17</f>
        <v>Wales</v>
      </c>
      <c r="E17" t="str">
        <f>IF(TRIM(Procurement_Raw!E17)="","",IFERROR(INDEX(Supplier_Lookup!$A$2:$A$25,MATCH(TRIM(Procurement_Raw!E17),Supplier_Lookup!$A$2:$A$25,0)),TRIM(Procurement_Raw!E17)))</f>
        <v>PowerDirect</v>
      </c>
      <c r="F17" t="str">
        <f>IFERROR(INDEX(Category_Targets!$A$2:$A$9,MATCH(TRIM(Procurement_Raw!F17),Category_Targets!$A$2:$A$9,0)),"Unmapped")</f>
        <v>Utilities</v>
      </c>
      <c r="G17" t="str">
        <f>TRIM(Procurement_Raw!G17)</f>
        <v>INV-2025-00016</v>
      </c>
      <c r="H17" s="77">
        <f>Procurement_Raw!H17</f>
        <v>51</v>
      </c>
      <c r="I17" s="124">
        <f>Procurement_Raw!I17</f>
        <v>183.5</v>
      </c>
      <c r="J17" s="125">
        <f>IF(Procurement_Raw!J17="","",Procurement_Raw!J17)</f>
        <v>9358.39</v>
      </c>
      <c r="K17" s="77">
        <f>Procurement_Raw!K17</f>
        <v>60</v>
      </c>
      <c r="L17" t="str">
        <f>Procurement_Raw!L17</f>
        <v>Procurement Portal</v>
      </c>
      <c r="M17" t="str">
        <f>Procurement_Raw!O17</f>
        <v>N</v>
      </c>
      <c r="N17" t="str">
        <f>IF(E17="","Missing supplier",IF(B17="","Missing site",IF(J17="","Missing spend",IF(COUNTIFS($G$2:G17,G17,$E$2:E17,E17,$J$2:J17,J17)&gt;1,"Duplicate invoice",IF(COUNTIF($G$2:$G$1801,G17)&gt;1,"Duplicate ID - review",IF(AND(P17&lt;&gt;"Unmapped",P17&lt;&gt;F17),"Category mismatch","OK"))))))</f>
        <v>OK</v>
      </c>
      <c r="O17" s="125">
        <f t="shared" si="0"/>
        <v>9358.39</v>
      </c>
      <c r="P17" t="str">
        <f>IF(E17="","Unmapped",IFERROR(INDEX(Supplier_Lookup!$B$2:$B$25,MATCH(E17,Supplier_Lookup!$A$2:$A$25,0)),"Unmapped"))</f>
        <v>Utilities</v>
      </c>
      <c r="Q17" s="76">
        <f>IFERROR(INDEX(Category_Targets!$B$2:$B$9,MATCH(F17,Category_Targets!$A$2:$A$9,0)),0)</f>
        <v>0.03</v>
      </c>
      <c r="R17" s="125">
        <f t="shared" si="1"/>
        <v>280.75169999999997</v>
      </c>
      <c r="S17" s="78">
        <f t="shared" si="2"/>
        <v>45901</v>
      </c>
      <c r="T17" t="str">
        <f>IFERROR(VLOOKUP(B17,Sites!$A$2:$D$21,4,FALSE()),"Unknown")</f>
        <v>Swansea</v>
      </c>
      <c r="U17" t="str">
        <f>IF(N17="OK","",COUNTIF($N$2:N17,"&lt;&gt;OK"))</f>
        <v/>
      </c>
      <c r="V17">
        <f>IF(OR(NOT(EXACT(E17,TRIM(Procurement_Raw!E17))),NOT(EXACT(F17,TRIM(Procurement_Raw!F17)))),1,0)</f>
        <v>0</v>
      </c>
    </row>
    <row r="18" spans="1:22" ht="15" customHeight="1" x14ac:dyDescent="0.25">
      <c r="A18" s="123">
        <f>Procurement_Raw!A18</f>
        <v>45784</v>
      </c>
      <c r="B18" t="str">
        <f>TRIM(Procurement_Raw!B18)</f>
        <v>S001</v>
      </c>
      <c r="C18" t="str">
        <f>Procurement_Raw!C18</f>
        <v>Preston Care &amp; Education Centre</v>
      </c>
      <c r="D18" t="str">
        <f>Procurement_Raw!D18</f>
        <v>North</v>
      </c>
      <c r="E18" t="str">
        <f>IF(TRIM(Procurement_Raw!E18)="","",IFERROR(INDEX(Supplier_Lookup!$A$2:$A$25,MATCH(TRIM(Procurement_Raw!E18),Supplier_Lookup!$A$2:$A$25,0)),TRIM(Procurement_Raw!E18)))</f>
        <v>CloudLink</v>
      </c>
      <c r="F18" t="str">
        <f>IFERROR(INDEX(Category_Targets!$A$2:$A$9,MATCH(TRIM(Procurement_Raw!F18),Category_Targets!$A$2:$A$9,0)),"Unmapped")</f>
        <v>IT &amp; Telecoms</v>
      </c>
      <c r="G18" t="str">
        <f>TRIM(Procurement_Raw!G18)</f>
        <v>INV-2025-00017</v>
      </c>
      <c r="H18" s="77">
        <f>Procurement_Raw!H18</f>
        <v>72</v>
      </c>
      <c r="I18" s="124">
        <f>Procurement_Raw!I18</f>
        <v>126.04</v>
      </c>
      <c r="J18" s="125">
        <f>IF(Procurement_Raw!J18="","",Procurement_Raw!J18)</f>
        <v>9074.6200000000008</v>
      </c>
      <c r="K18" s="77">
        <f>Procurement_Raw!K18</f>
        <v>60</v>
      </c>
      <c r="L18" t="str">
        <f>Procurement_Raw!L18</f>
        <v>Procurement Portal</v>
      </c>
      <c r="M18" t="str">
        <f>Procurement_Raw!O18</f>
        <v>Y</v>
      </c>
      <c r="N18" t="str">
        <f>IF(E18="","Missing supplier",IF(B18="","Missing site",IF(J18="","Missing spend",IF(COUNTIFS($G$2:G18,G18,$E$2:E18,E18,$J$2:J18,J18)&gt;1,"Duplicate invoice",IF(COUNTIF($G$2:$G$1801,G18)&gt;1,"Duplicate ID - review",IF(AND(P18&lt;&gt;"Unmapped",P18&lt;&gt;F18),"Category mismatch","OK"))))))</f>
        <v>OK</v>
      </c>
      <c r="O18" s="125">
        <f t="shared" si="0"/>
        <v>9074.6200000000008</v>
      </c>
      <c r="P18" t="str">
        <f>IF(E18="","Unmapped",IFERROR(INDEX(Supplier_Lookup!$B$2:$B$25,MATCH(E18,Supplier_Lookup!$A$2:$A$25,0)),"Unmapped"))</f>
        <v>IT &amp; Telecoms</v>
      </c>
      <c r="Q18" s="76">
        <f>IFERROR(INDEX(Category_Targets!$B$2:$B$9,MATCH(F18,Category_Targets!$A$2:$A$9,0)),0)</f>
        <v>0.08</v>
      </c>
      <c r="R18" s="125">
        <f t="shared" si="1"/>
        <v>725.96960000000013</v>
      </c>
      <c r="S18" s="78">
        <f t="shared" si="2"/>
        <v>45778</v>
      </c>
      <c r="T18" t="str">
        <f>IFERROR(VLOOKUP(B18,Sites!$A$2:$D$21,4,FALSE()),"Unknown")</f>
        <v>Preston</v>
      </c>
      <c r="U18" t="str">
        <f>IF(N18="OK","",COUNTIF($N$2:N18,"&lt;&gt;OK"))</f>
        <v/>
      </c>
      <c r="V18">
        <f>IF(OR(NOT(EXACT(E18,TRIM(Procurement_Raw!E18))),NOT(EXACT(F18,TRIM(Procurement_Raw!F18)))),1,0)</f>
        <v>0</v>
      </c>
    </row>
    <row r="19" spans="1:22" ht="15" customHeight="1" x14ac:dyDescent="0.25">
      <c r="A19" s="123">
        <f>Procurement_Raw!A19</f>
        <v>45862</v>
      </c>
      <c r="B19" t="str">
        <f>TRIM(Procurement_Raw!B19)</f>
        <v>S020</v>
      </c>
      <c r="C19" t="str">
        <f>Procurement_Raw!C19</f>
        <v>Bangor Care &amp; Education Centre</v>
      </c>
      <c r="D19" t="str">
        <f>Procurement_Raw!D19</f>
        <v>Wales</v>
      </c>
      <c r="E19" t="str">
        <f>IF(TRIM(Procurement_Raw!E19)="","",IFERROR(INDEX(Supplier_Lookup!$A$2:$A$25,MATCH(TRIM(Procurement_Raw!E19),Supplier_Lookup!$A$2:$A$25,0)),TRIM(Procurement_Raw!E19)))</f>
        <v>NurseLink</v>
      </c>
      <c r="F19" t="str">
        <f>IFERROR(INDEX(Category_Targets!$A$2:$A$9,MATCH(TRIM(Procurement_Raw!F19),Category_Targets!$A$2:$A$9,0)),"Unmapped")</f>
        <v>Agency Labour</v>
      </c>
      <c r="G19" t="str">
        <f>TRIM(Procurement_Raw!G19)</f>
        <v>INV-2025-00018</v>
      </c>
      <c r="H19" s="77">
        <f>Procurement_Raw!H19</f>
        <v>47</v>
      </c>
      <c r="I19" s="124">
        <f>Procurement_Raw!I19</f>
        <v>356.6</v>
      </c>
      <c r="J19" s="125">
        <f>IF(Procurement_Raw!J19="","",Procurement_Raw!J19)</f>
        <v>16760.259999999998</v>
      </c>
      <c r="K19" s="77">
        <f>Procurement_Raw!K19</f>
        <v>30</v>
      </c>
      <c r="L19" t="str">
        <f>Procurement_Raw!L19</f>
        <v>ERP</v>
      </c>
      <c r="M19" t="str">
        <f>Procurement_Raw!O19</f>
        <v>N</v>
      </c>
      <c r="N19" t="str">
        <f>IF(E19="","Missing supplier",IF(B19="","Missing site",IF(J19="","Missing spend",IF(COUNTIFS($G$2:G19,G19,$E$2:E19,E19,$J$2:J19,J19)&gt;1,"Duplicate invoice",IF(COUNTIF($G$2:$G$1801,G19)&gt;1,"Duplicate ID - review",IF(AND(P19&lt;&gt;"Unmapped",P19&lt;&gt;F19),"Category mismatch","OK"))))))</f>
        <v>OK</v>
      </c>
      <c r="O19" s="125">
        <f t="shared" si="0"/>
        <v>16760.259999999998</v>
      </c>
      <c r="P19" t="str">
        <f>IF(E19="","Unmapped",IFERROR(INDEX(Supplier_Lookup!$B$2:$B$25,MATCH(E19,Supplier_Lookup!$A$2:$A$25,0)),"Unmapped"))</f>
        <v>Agency Labour</v>
      </c>
      <c r="Q19" s="76">
        <f>IFERROR(INDEX(Category_Targets!$B$2:$B$9,MATCH(F19,Category_Targets!$A$2:$A$9,0)),0)</f>
        <v>7.0000000000000007E-2</v>
      </c>
      <c r="R19" s="125">
        <f t="shared" si="1"/>
        <v>1173.2182</v>
      </c>
      <c r="S19" s="78">
        <f t="shared" si="2"/>
        <v>45839</v>
      </c>
      <c r="T19" t="str">
        <f>IFERROR(VLOOKUP(B19,Sites!$A$2:$D$21,4,FALSE()),"Unknown")</f>
        <v>Bangor</v>
      </c>
      <c r="U19" t="str">
        <f>IF(N19="OK","",COUNTIF($N$2:N19,"&lt;&gt;OK"))</f>
        <v/>
      </c>
      <c r="V19">
        <f>IF(OR(NOT(EXACT(E19,TRIM(Procurement_Raw!E19))),NOT(EXACT(F19,TRIM(Procurement_Raw!F19)))),1,0)</f>
        <v>0</v>
      </c>
    </row>
    <row r="20" spans="1:22" ht="15" customHeight="1" x14ac:dyDescent="0.25">
      <c r="A20" s="123">
        <f>Procurement_Raw!A20</f>
        <v>45682</v>
      </c>
      <c r="B20" t="str">
        <f>TRIM(Procurement_Raw!B20)</f>
        <v>S007</v>
      </c>
      <c r="C20" t="str">
        <f>Procurement_Raw!C20</f>
        <v>Nottingham Care &amp; Education Centre</v>
      </c>
      <c r="D20" t="str">
        <f>Procurement_Raw!D20</f>
        <v>Midlands</v>
      </c>
      <c r="E20" t="str">
        <f>IF(TRIM(Procurement_Raw!E20)="","",IFERROR(INDEX(Supplier_Lookup!$A$2:$A$25,MATCH(TRIM(Procurement_Raw!E20),Supplier_Lookup!$A$2:$A$25,0)),TRIM(Procurement_Raw!E20)))</f>
        <v>OfficePlus</v>
      </c>
      <c r="F20" t="str">
        <f>IFERROR(INDEX(Category_Targets!$A$2:$A$9,MATCH(TRIM(Procurement_Raw!F20),Category_Targets!$A$2:$A$9,0)),"Unmapped")</f>
        <v>Office &amp; Training</v>
      </c>
      <c r="G20" t="str">
        <f>TRIM(Procurement_Raw!G20)</f>
        <v>INV-2025-00019</v>
      </c>
      <c r="H20" s="77">
        <f>Procurement_Raw!H20</f>
        <v>15</v>
      </c>
      <c r="I20" s="124">
        <f>Procurement_Raw!I20</f>
        <v>45.52</v>
      </c>
      <c r="J20" s="125">
        <f>IF(Procurement_Raw!J20="","",Procurement_Raw!J20)</f>
        <v>682.75</v>
      </c>
      <c r="K20" s="77">
        <f>Procurement_Raw!K20</f>
        <v>30</v>
      </c>
      <c r="L20" t="str">
        <f>Procurement_Raw!L20</f>
        <v>Legacy Spend File</v>
      </c>
      <c r="M20" t="str">
        <f>Procurement_Raw!O20</f>
        <v>N</v>
      </c>
      <c r="N20" t="str">
        <f>IF(E20="","Missing supplier",IF(B20="","Missing site",IF(J20="","Missing spend",IF(COUNTIFS($G$2:G20,G20,$E$2:E20,E20,$J$2:J20,J20)&gt;1,"Duplicate invoice",IF(COUNTIF($G$2:$G$1801,G20)&gt;1,"Duplicate ID - review",IF(AND(P20&lt;&gt;"Unmapped",P20&lt;&gt;F20),"Category mismatch","OK"))))))</f>
        <v>OK</v>
      </c>
      <c r="O20" s="125">
        <f t="shared" si="0"/>
        <v>682.75</v>
      </c>
      <c r="P20" t="str">
        <f>IF(E20="","Unmapped",IFERROR(INDEX(Supplier_Lookup!$B$2:$B$25,MATCH(E20,Supplier_Lookup!$A$2:$A$25,0)),"Unmapped"))</f>
        <v>Office &amp; Training</v>
      </c>
      <c r="Q20" s="76">
        <f>IFERROR(INDEX(Category_Targets!$B$2:$B$9,MATCH(F20,Category_Targets!$A$2:$A$9,0)),0)</f>
        <v>0.04</v>
      </c>
      <c r="R20" s="125">
        <f t="shared" si="1"/>
        <v>27.310000000000002</v>
      </c>
      <c r="S20" s="78">
        <f t="shared" si="2"/>
        <v>45658</v>
      </c>
      <c r="T20" t="str">
        <f>IFERROR(VLOOKUP(B20,Sites!$A$2:$D$21,4,FALSE()),"Unknown")</f>
        <v>Nottingham</v>
      </c>
      <c r="U20" t="str">
        <f>IF(N20="OK","",COUNTIF($N$2:N20,"&lt;&gt;OK"))</f>
        <v/>
      </c>
      <c r="V20">
        <f>IF(OR(NOT(EXACT(E20,TRIM(Procurement_Raw!E20))),NOT(EXACT(F20,TRIM(Procurement_Raw!F20)))),1,0)</f>
        <v>0</v>
      </c>
    </row>
    <row r="21" spans="1:22" ht="15" customHeight="1" x14ac:dyDescent="0.25">
      <c r="A21" s="123">
        <f>Procurement_Raw!A21</f>
        <v>45690</v>
      </c>
      <c r="B21" t="str">
        <f>TRIM(Procurement_Raw!B21)</f>
        <v>S018</v>
      </c>
      <c r="C21" t="str">
        <f>Procurement_Raw!C21</f>
        <v>Newport Care &amp; Education Centre</v>
      </c>
      <c r="D21" t="str">
        <f>Procurement_Raw!D21</f>
        <v>Wales</v>
      </c>
      <c r="E21" t="str">
        <f>IF(TRIM(Procurement_Raw!E21)="","",IFERROR(INDEX(Supplier_Lookup!$A$2:$A$25,MATCH(TRIM(Procurement_Raw!E21),Supplier_Lookup!$A$2:$A$25,0)),TRIM(Procurement_Raw!E21)))</f>
        <v>NurseLink</v>
      </c>
      <c r="F21" t="str">
        <f>IFERROR(INDEX(Category_Targets!$A$2:$A$9,MATCH(TRIM(Procurement_Raw!F21),Category_Targets!$A$2:$A$9,0)),"Unmapped")</f>
        <v>Agency Labour</v>
      </c>
      <c r="G21" t="str">
        <f>TRIM(Procurement_Raw!G21)</f>
        <v>INV-2025-00020</v>
      </c>
      <c r="H21" s="77">
        <f>Procurement_Raw!H21</f>
        <v>50</v>
      </c>
      <c r="I21" s="124">
        <f>Procurement_Raw!I21</f>
        <v>137.97</v>
      </c>
      <c r="J21" s="125">
        <f>IF(Procurement_Raw!J21="","",Procurement_Raw!J21)</f>
        <v>6898.36</v>
      </c>
      <c r="K21" s="77">
        <f>Procurement_Raw!K21</f>
        <v>45</v>
      </c>
      <c r="L21" t="str">
        <f>Procurement_Raw!L21</f>
        <v>Legacy Spend File</v>
      </c>
      <c r="M21" t="str">
        <f>Procurement_Raw!O21</f>
        <v>N</v>
      </c>
      <c r="N21" t="str">
        <f>IF(E21="","Missing supplier",IF(B21="","Missing site",IF(J21="","Missing spend",IF(COUNTIFS($G$2:G21,G21,$E$2:E21,E21,$J$2:J21,J21)&gt;1,"Duplicate invoice",IF(COUNTIF($G$2:$G$1801,G21)&gt;1,"Duplicate ID - review",IF(AND(P21&lt;&gt;"Unmapped",P21&lt;&gt;F21),"Category mismatch","OK"))))))</f>
        <v>OK</v>
      </c>
      <c r="O21" s="125">
        <f t="shared" si="0"/>
        <v>6898.36</v>
      </c>
      <c r="P21" t="str">
        <f>IF(E21="","Unmapped",IFERROR(INDEX(Supplier_Lookup!$B$2:$B$25,MATCH(E21,Supplier_Lookup!$A$2:$A$25,0)),"Unmapped"))</f>
        <v>Agency Labour</v>
      </c>
      <c r="Q21" s="76">
        <f>IFERROR(INDEX(Category_Targets!$B$2:$B$9,MATCH(F21,Category_Targets!$A$2:$A$9,0)),0)</f>
        <v>7.0000000000000007E-2</v>
      </c>
      <c r="R21" s="125">
        <f t="shared" si="1"/>
        <v>482.8852</v>
      </c>
      <c r="S21" s="78">
        <f t="shared" si="2"/>
        <v>45689</v>
      </c>
      <c r="T21" t="str">
        <f>IFERROR(VLOOKUP(B21,Sites!$A$2:$D$21,4,FALSE()),"Unknown")</f>
        <v>Newport</v>
      </c>
      <c r="U21" t="str">
        <f>IF(N21="OK","",COUNTIF($N$2:N21,"&lt;&gt;OK"))</f>
        <v/>
      </c>
      <c r="V21">
        <f>IF(OR(NOT(EXACT(E21,TRIM(Procurement_Raw!E21))),NOT(EXACT(F21,TRIM(Procurement_Raw!F21)))),1,0)</f>
        <v>0</v>
      </c>
    </row>
    <row r="22" spans="1:22" ht="15" customHeight="1" x14ac:dyDescent="0.25">
      <c r="A22" s="123">
        <f>Procurement_Raw!A22</f>
        <v>45663</v>
      </c>
      <c r="B22" t="str">
        <f>TRIM(Procurement_Raw!B22)</f>
        <v>S002</v>
      </c>
      <c r="C22" t="str">
        <f>Procurement_Raw!C22</f>
        <v>Manchester Care &amp; Education Centre</v>
      </c>
      <c r="D22" t="str">
        <f>Procurement_Raw!D22</f>
        <v>North</v>
      </c>
      <c r="E22" t="str">
        <f>IF(TRIM(Procurement_Raw!E22)="","",IFERROR(INDEX(Supplier_Lookup!$A$2:$A$25,MATCH(TRIM(Procurement_Raw!E22),Supplier_Lookup!$A$2:$A$25,0)),TRIM(Procurement_Raw!E22)))</f>
        <v>NetServe</v>
      </c>
      <c r="F22" t="str">
        <f>IFERROR(INDEX(Category_Targets!$A$2:$A$9,MATCH(TRIM(Procurement_Raw!F22),Category_Targets!$A$2:$A$9,0)),"Unmapped")</f>
        <v>IT &amp; Telecoms</v>
      </c>
      <c r="G22" t="str">
        <f>TRIM(Procurement_Raw!G22)</f>
        <v>INV-2025-00021</v>
      </c>
      <c r="H22" s="77">
        <f>Procurement_Raw!H22</f>
        <v>15</v>
      </c>
      <c r="I22" s="124">
        <f>Procurement_Raw!I22</f>
        <v>492.62</v>
      </c>
      <c r="J22" s="125">
        <f>IF(Procurement_Raw!J22="","",Procurement_Raw!J22)</f>
        <v>7389.27</v>
      </c>
      <c r="K22" s="77">
        <f>Procurement_Raw!K22</f>
        <v>60</v>
      </c>
      <c r="L22" t="str">
        <f>Procurement_Raw!L22</f>
        <v>Legacy Spend File</v>
      </c>
      <c r="M22" t="str">
        <f>Procurement_Raw!O22</f>
        <v>N</v>
      </c>
      <c r="N22" t="str">
        <f>IF(E22="","Missing supplier",IF(B22="","Missing site",IF(J22="","Missing spend",IF(COUNTIFS($G$2:G22,G22,$E$2:E22,E22,$J$2:J22,J22)&gt;1,"Duplicate invoice",IF(COUNTIF($G$2:$G$1801,G22)&gt;1,"Duplicate ID - review",IF(AND(P22&lt;&gt;"Unmapped",P22&lt;&gt;F22),"Category mismatch","OK"))))))</f>
        <v>OK</v>
      </c>
      <c r="O22" s="125">
        <f t="shared" si="0"/>
        <v>7389.27</v>
      </c>
      <c r="P22" t="str">
        <f>IF(E22="","Unmapped",IFERROR(INDEX(Supplier_Lookup!$B$2:$B$25,MATCH(E22,Supplier_Lookup!$A$2:$A$25,0)),"Unmapped"))</f>
        <v>IT &amp; Telecoms</v>
      </c>
      <c r="Q22" s="76">
        <f>IFERROR(INDEX(Category_Targets!$B$2:$B$9,MATCH(F22,Category_Targets!$A$2:$A$9,0)),0)</f>
        <v>0.08</v>
      </c>
      <c r="R22" s="125">
        <f t="shared" si="1"/>
        <v>591.14160000000004</v>
      </c>
      <c r="S22" s="78">
        <f t="shared" si="2"/>
        <v>45658</v>
      </c>
      <c r="T22" t="str">
        <f>IFERROR(VLOOKUP(B22,Sites!$A$2:$D$21,4,FALSE()),"Unknown")</f>
        <v>Manchester</v>
      </c>
      <c r="U22" t="str">
        <f>IF(N22="OK","",COUNTIF($N$2:N22,"&lt;&gt;OK"))</f>
        <v/>
      </c>
      <c r="V22">
        <f>IF(OR(NOT(EXACT(E22,TRIM(Procurement_Raw!E22))),NOT(EXACT(F22,TRIM(Procurement_Raw!F22)))),1,0)</f>
        <v>0</v>
      </c>
    </row>
    <row r="23" spans="1:22" ht="15" customHeight="1" x14ac:dyDescent="0.25">
      <c r="A23" s="123">
        <f>Procurement_Raw!A23</f>
        <v>45832</v>
      </c>
      <c r="B23" t="str">
        <f>TRIM(Procurement_Raw!B23)</f>
        <v>S019</v>
      </c>
      <c r="C23" t="str">
        <f>Procurement_Raw!C23</f>
        <v>Wrexham Care &amp; Education Centre</v>
      </c>
      <c r="D23" t="str">
        <f>Procurement_Raw!D23</f>
        <v>Wales</v>
      </c>
      <c r="E23" t="str">
        <f>IF(TRIM(Procurement_Raw!E23)="","",IFERROR(INDEX(Supplier_Lookup!$A$2:$A$25,MATCH(TRIM(Procurement_Raw!E23),Supplier_Lookup!$A$2:$A$25,0)),TRIM(Procurement_Raw!E23)))</f>
        <v>NetServe</v>
      </c>
      <c r="F23" t="str">
        <f>IFERROR(INDEX(Category_Targets!$A$2:$A$9,MATCH(TRIM(Procurement_Raw!F23),Category_Targets!$A$2:$A$9,0)),"Unmapped")</f>
        <v>IT &amp; Telecoms</v>
      </c>
      <c r="G23" t="str">
        <f>TRIM(Procurement_Raw!G23)</f>
        <v>INV-2025-00022</v>
      </c>
      <c r="H23" s="77">
        <f>Procurement_Raw!H23</f>
        <v>15</v>
      </c>
      <c r="I23" s="124">
        <f>Procurement_Raw!I23</f>
        <v>194.31</v>
      </c>
      <c r="J23" s="125">
        <f>IF(Procurement_Raw!J23="","",Procurement_Raw!J23)</f>
        <v>2914.64</v>
      </c>
      <c r="K23" s="77">
        <f>Procurement_Raw!K23</f>
        <v>45</v>
      </c>
      <c r="L23" t="str">
        <f>Procurement_Raw!L23</f>
        <v>Procurement Portal</v>
      </c>
      <c r="M23" t="str">
        <f>Procurement_Raw!O23</f>
        <v>N</v>
      </c>
      <c r="N23" t="str">
        <f>IF(E23="","Missing supplier",IF(B23="","Missing site",IF(J23="","Missing spend",IF(COUNTIFS($G$2:G23,G23,$E$2:E23,E23,$J$2:J23,J23)&gt;1,"Duplicate invoice",IF(COUNTIF($G$2:$G$1801,G23)&gt;1,"Duplicate ID - review",IF(AND(P23&lt;&gt;"Unmapped",P23&lt;&gt;F23),"Category mismatch","OK"))))))</f>
        <v>OK</v>
      </c>
      <c r="O23" s="125">
        <f t="shared" si="0"/>
        <v>2914.64</v>
      </c>
      <c r="P23" t="str">
        <f>IF(E23="","Unmapped",IFERROR(INDEX(Supplier_Lookup!$B$2:$B$25,MATCH(E23,Supplier_Lookup!$A$2:$A$25,0)),"Unmapped"))</f>
        <v>IT &amp; Telecoms</v>
      </c>
      <c r="Q23" s="76">
        <f>IFERROR(INDEX(Category_Targets!$B$2:$B$9,MATCH(F23,Category_Targets!$A$2:$A$9,0)),0)</f>
        <v>0.08</v>
      </c>
      <c r="R23" s="125">
        <f t="shared" si="1"/>
        <v>233.1712</v>
      </c>
      <c r="S23" s="78">
        <f t="shared" si="2"/>
        <v>45809</v>
      </c>
      <c r="T23" t="str">
        <f>IFERROR(VLOOKUP(B23,Sites!$A$2:$D$21,4,FALSE()),"Unknown")</f>
        <v>Wrexham</v>
      </c>
      <c r="U23" t="str">
        <f>IF(N23="OK","",COUNTIF($N$2:N23,"&lt;&gt;OK"))</f>
        <v/>
      </c>
      <c r="V23">
        <f>IF(OR(NOT(EXACT(E23,TRIM(Procurement_Raw!E23))),NOT(EXACT(F23,TRIM(Procurement_Raw!F23)))),1,0)</f>
        <v>0</v>
      </c>
    </row>
    <row r="24" spans="1:22" ht="15" customHeight="1" x14ac:dyDescent="0.25">
      <c r="A24" s="123">
        <f>Procurement_Raw!A24</f>
        <v>45792</v>
      </c>
      <c r="B24" t="str">
        <f>TRIM(Procurement_Raw!B24)</f>
        <v>S012</v>
      </c>
      <c r="C24" t="str">
        <f>Procurement_Raw!C24</f>
        <v>Bristol Care &amp; Education Centre</v>
      </c>
      <c r="D24" t="str">
        <f>Procurement_Raw!D24</f>
        <v>South</v>
      </c>
      <c r="E24" t="str">
        <f>IF(TRIM(Procurement_Raw!E24)="","",IFERROR(INDEX(Supplier_Lookup!$A$2:$A$25,MATCH(TRIM(Procurement_Raw!E24),Supplier_Lookup!$A$2:$A$25,0)),TRIM(Procurement_Raw!E24)))</f>
        <v>OfficePlus</v>
      </c>
      <c r="F24" t="str">
        <f>IFERROR(INDEX(Category_Targets!$A$2:$A$9,MATCH(TRIM(Procurement_Raw!F24),Category_Targets!$A$2:$A$9,0)),"Unmapped")</f>
        <v>Office &amp; Training</v>
      </c>
      <c r="G24" t="str">
        <f>TRIM(Procurement_Raw!G24)</f>
        <v>INV-2025-00023</v>
      </c>
      <c r="H24" s="77">
        <f>Procurement_Raw!H24</f>
        <v>65</v>
      </c>
      <c r="I24" s="124">
        <f>Procurement_Raw!I24</f>
        <v>77.84</v>
      </c>
      <c r="J24" s="125">
        <f>IF(Procurement_Raw!J24="","",Procurement_Raw!J24)</f>
        <v>5059.46</v>
      </c>
      <c r="K24" s="77">
        <f>Procurement_Raw!K24</f>
        <v>30</v>
      </c>
      <c r="L24" t="str">
        <f>Procurement_Raw!L24</f>
        <v>Legacy Spend File</v>
      </c>
      <c r="M24" t="str">
        <f>Procurement_Raw!O24</f>
        <v>N</v>
      </c>
      <c r="N24" t="str">
        <f>IF(E24="","Missing supplier",IF(B24="","Missing site",IF(J24="","Missing spend",IF(COUNTIFS($G$2:G24,G24,$E$2:E24,E24,$J$2:J24,J24)&gt;1,"Duplicate invoice",IF(COUNTIF($G$2:$G$1801,G24)&gt;1,"Duplicate ID - review",IF(AND(P24&lt;&gt;"Unmapped",P24&lt;&gt;F24),"Category mismatch","OK"))))))</f>
        <v>OK</v>
      </c>
      <c r="O24" s="125">
        <f t="shared" si="0"/>
        <v>5059.46</v>
      </c>
      <c r="P24" t="str">
        <f>IF(E24="","Unmapped",IFERROR(INDEX(Supplier_Lookup!$B$2:$B$25,MATCH(E24,Supplier_Lookup!$A$2:$A$25,0)),"Unmapped"))</f>
        <v>Office &amp; Training</v>
      </c>
      <c r="Q24" s="76">
        <f>IFERROR(INDEX(Category_Targets!$B$2:$B$9,MATCH(F24,Category_Targets!$A$2:$A$9,0)),0)</f>
        <v>0.04</v>
      </c>
      <c r="R24" s="125">
        <f t="shared" si="1"/>
        <v>202.3784</v>
      </c>
      <c r="S24" s="78">
        <f t="shared" si="2"/>
        <v>45778</v>
      </c>
      <c r="T24" t="str">
        <f>IFERROR(VLOOKUP(B24,Sites!$A$2:$D$21,4,FALSE()),"Unknown")</f>
        <v>Bristol</v>
      </c>
      <c r="U24" t="str">
        <f>IF(N24="OK","",COUNTIF($N$2:N24,"&lt;&gt;OK"))</f>
        <v/>
      </c>
      <c r="V24">
        <f>IF(OR(NOT(EXACT(E24,TRIM(Procurement_Raw!E24))),NOT(EXACT(F24,TRIM(Procurement_Raw!F24)))),1,0)</f>
        <v>0</v>
      </c>
    </row>
    <row r="25" spans="1:22" ht="15" customHeight="1" x14ac:dyDescent="0.25">
      <c r="A25" s="123">
        <f>Procurement_Raw!A25</f>
        <v>45917</v>
      </c>
      <c r="B25" t="str">
        <f>TRIM(Procurement_Raw!B25)</f>
        <v>S010</v>
      </c>
      <c r="C25" t="str">
        <f>Procurement_Raw!C25</f>
        <v>Coventry Care &amp; Education Centre</v>
      </c>
      <c r="D25" t="str">
        <f>Procurement_Raw!D25</f>
        <v>Midlands</v>
      </c>
      <c r="E25" t="str">
        <f>IF(TRIM(Procurement_Raw!E25)="","",IFERROR(INDEX(Supplier_Lookup!$A$2:$A$25,MATCH(TRIM(Procurement_Raw!E25),Supplier_Lookup!$A$2:$A$25,0)),TRIM(Procurement_Raw!E25)))</f>
        <v>NetServe</v>
      </c>
      <c r="F25" t="str">
        <f>IFERROR(INDEX(Category_Targets!$A$2:$A$9,MATCH(TRIM(Procurement_Raw!F25),Category_Targets!$A$2:$A$9,0)),"Unmapped")</f>
        <v>IT &amp; Telecoms</v>
      </c>
      <c r="G25" t="str">
        <f>TRIM(Procurement_Raw!G25)</f>
        <v>INV-2025-00024</v>
      </c>
      <c r="H25" s="77">
        <f>Procurement_Raw!H25</f>
        <v>78</v>
      </c>
      <c r="I25" s="124">
        <f>Procurement_Raw!I25</f>
        <v>100.49</v>
      </c>
      <c r="J25" s="125">
        <f>IF(Procurement_Raw!J25="","",Procurement_Raw!J25)</f>
        <v>7837.89</v>
      </c>
      <c r="K25" s="77">
        <f>Procurement_Raw!K25</f>
        <v>30</v>
      </c>
      <c r="L25" t="str">
        <f>Procurement_Raw!L25</f>
        <v>ERP</v>
      </c>
      <c r="M25" t="str">
        <f>Procurement_Raw!O25</f>
        <v>N</v>
      </c>
      <c r="N25" t="str">
        <f>IF(E25="","Missing supplier",IF(B25="","Missing site",IF(J25="","Missing spend",IF(COUNTIFS($G$2:G25,G25,$E$2:E25,E25,$J$2:J25,J25)&gt;1,"Duplicate invoice",IF(COUNTIF($G$2:$G$1801,G25)&gt;1,"Duplicate ID - review",IF(AND(P25&lt;&gt;"Unmapped",P25&lt;&gt;F25),"Category mismatch","OK"))))))</f>
        <v>OK</v>
      </c>
      <c r="O25" s="125">
        <f t="shared" si="0"/>
        <v>7837.89</v>
      </c>
      <c r="P25" t="str">
        <f>IF(E25="","Unmapped",IFERROR(INDEX(Supplier_Lookup!$B$2:$B$25,MATCH(E25,Supplier_Lookup!$A$2:$A$25,0)),"Unmapped"))</f>
        <v>IT &amp; Telecoms</v>
      </c>
      <c r="Q25" s="76">
        <f>IFERROR(INDEX(Category_Targets!$B$2:$B$9,MATCH(F25,Category_Targets!$A$2:$A$9,0)),0)</f>
        <v>0.08</v>
      </c>
      <c r="R25" s="125">
        <f t="shared" si="1"/>
        <v>627.03120000000001</v>
      </c>
      <c r="S25" s="78">
        <f t="shared" si="2"/>
        <v>45901</v>
      </c>
      <c r="T25" t="str">
        <f>IFERROR(VLOOKUP(B25,Sites!$A$2:$D$21,4,FALSE()),"Unknown")</f>
        <v>Coventry</v>
      </c>
      <c r="U25" t="str">
        <f>IF(N25="OK","",COUNTIF($N$2:N25,"&lt;&gt;OK"))</f>
        <v/>
      </c>
      <c r="V25">
        <f>IF(OR(NOT(EXACT(E25,TRIM(Procurement_Raw!E25))),NOT(EXACT(F25,TRIM(Procurement_Raw!F25)))),1,0)</f>
        <v>0</v>
      </c>
    </row>
    <row r="26" spans="1:22" ht="15" customHeight="1" x14ac:dyDescent="0.25">
      <c r="A26" s="123">
        <f>Procurement_Raw!A26</f>
        <v>45929</v>
      </c>
      <c r="B26" t="str">
        <f>TRIM(Procurement_Raw!B26)</f>
        <v>S001</v>
      </c>
      <c r="C26" t="str">
        <f>Procurement_Raw!C26</f>
        <v>Preston Care &amp; Education Centre</v>
      </c>
      <c r="D26" t="str">
        <f>Procurement_Raw!D26</f>
        <v>North</v>
      </c>
      <c r="E26" t="str">
        <f>IF(TRIM(Procurement_Raw!E26)="","",IFERROR(INDEX(Supplier_Lookup!$A$2:$A$25,MATCH(TRIM(Procurement_Raw!E26),Supplier_Lookup!$A$2:$A$25,0)),TRIM(Procurement_Raw!E26)))</f>
        <v>BuildCare</v>
      </c>
      <c r="F26" t="str">
        <f>IFERROR(INDEX(Category_Targets!$A$2:$A$9,MATCH(TRIM(Procurement_Raw!F26),Category_Targets!$A$2:$A$9,0)),"Unmapped")</f>
        <v>Facilities</v>
      </c>
      <c r="G26" t="str">
        <f>TRIM(Procurement_Raw!G26)</f>
        <v>INV-2025-00025</v>
      </c>
      <c r="H26" s="77">
        <f>Procurement_Raw!H26</f>
        <v>1</v>
      </c>
      <c r="I26" s="124">
        <f>Procurement_Raw!I26</f>
        <v>133.43</v>
      </c>
      <c r="J26" s="125">
        <f>IF(Procurement_Raw!J26="","",Procurement_Raw!J26)</f>
        <v>133.43</v>
      </c>
      <c r="K26" s="77">
        <f>Procurement_Raw!K26</f>
        <v>60</v>
      </c>
      <c r="L26" t="str">
        <f>Procurement_Raw!L26</f>
        <v>Procurement Portal</v>
      </c>
      <c r="M26" t="str">
        <f>Procurement_Raw!O26</f>
        <v>N</v>
      </c>
      <c r="N26" t="str">
        <f>IF(E26="","Missing supplier",IF(B26="","Missing site",IF(J26="","Missing spend",IF(COUNTIFS($G$2:G26,G26,$E$2:E26,E26,$J$2:J26,J26)&gt;1,"Duplicate invoice",IF(COUNTIF($G$2:$G$1801,G26)&gt;1,"Duplicate ID - review",IF(AND(P26&lt;&gt;"Unmapped",P26&lt;&gt;F26),"Category mismatch","OK"))))))</f>
        <v>OK</v>
      </c>
      <c r="O26" s="125">
        <f t="shared" si="0"/>
        <v>133.43</v>
      </c>
      <c r="P26" t="str">
        <f>IF(E26="","Unmapped",IFERROR(INDEX(Supplier_Lookup!$B$2:$B$25,MATCH(E26,Supplier_Lookup!$A$2:$A$25,0)),"Unmapped"))</f>
        <v>Facilities</v>
      </c>
      <c r="Q26" s="76">
        <f>IFERROR(INDEX(Category_Targets!$B$2:$B$9,MATCH(F26,Category_Targets!$A$2:$A$9,0)),0)</f>
        <v>0.05</v>
      </c>
      <c r="R26" s="125">
        <f t="shared" si="1"/>
        <v>6.6715000000000009</v>
      </c>
      <c r="S26" s="78">
        <f t="shared" si="2"/>
        <v>45901</v>
      </c>
      <c r="T26" t="str">
        <f>IFERROR(VLOOKUP(B26,Sites!$A$2:$D$21,4,FALSE()),"Unknown")</f>
        <v>Preston</v>
      </c>
      <c r="U26" t="str">
        <f>IF(N26="OK","",COUNTIF($N$2:N26,"&lt;&gt;OK"))</f>
        <v/>
      </c>
      <c r="V26">
        <f>IF(OR(NOT(EXACT(E26,TRIM(Procurement_Raw!E26))),NOT(EXACT(F26,TRIM(Procurement_Raw!F26)))),1,0)</f>
        <v>0</v>
      </c>
    </row>
    <row r="27" spans="1:22" ht="15" customHeight="1" x14ac:dyDescent="0.25">
      <c r="A27" s="123">
        <f>Procurement_Raw!A27</f>
        <v>45843</v>
      </c>
      <c r="B27" t="str">
        <f>TRIM(Procurement_Raw!B27)</f>
        <v>S014</v>
      </c>
      <c r="C27" t="str">
        <f>Procurement_Raw!C27</f>
        <v>Southampton Care &amp; Education Centre</v>
      </c>
      <c r="D27" t="str">
        <f>Procurement_Raw!D27</f>
        <v>South</v>
      </c>
      <c r="E27" t="str">
        <f>IF(TRIM(Procurement_Raw!E27)="","",IFERROR(INDEX(Supplier_Lookup!$A$2:$A$25,MATCH(TRIM(Procurement_Raw!E27),Supplier_Lookup!$A$2:$A$25,0)),TRIM(Procurement_Raw!E27)))</f>
        <v>MediSure</v>
      </c>
      <c r="F27" t="str">
        <f>IFERROR(INDEX(Category_Targets!$A$2:$A$9,MATCH(TRIM(Procurement_Raw!F27),Category_Targets!$A$2:$A$9,0)),"Unmapped")</f>
        <v>Medical Supplies</v>
      </c>
      <c r="G27" t="str">
        <f>TRIM(Procurement_Raw!G27)</f>
        <v>INV-2025-00026</v>
      </c>
      <c r="H27" s="77">
        <f>Procurement_Raw!H27</f>
        <v>40</v>
      </c>
      <c r="I27" s="124">
        <f>Procurement_Raw!I27</f>
        <v>127.55</v>
      </c>
      <c r="J27" s="125">
        <f>IF(Procurement_Raw!J27="","",Procurement_Raw!J27)</f>
        <v>5101.95</v>
      </c>
      <c r="K27" s="77">
        <f>Procurement_Raw!K27</f>
        <v>30</v>
      </c>
      <c r="L27" t="str">
        <f>Procurement_Raw!L27</f>
        <v>ERP</v>
      </c>
      <c r="M27" t="str">
        <f>Procurement_Raw!O27</f>
        <v>Y</v>
      </c>
      <c r="N27" t="str">
        <f>IF(E27="","Missing supplier",IF(B27="","Missing site",IF(J27="","Missing spend",IF(COUNTIFS($G$2:G27,G27,$E$2:E27,E27,$J$2:J27,J27)&gt;1,"Duplicate invoice",IF(COUNTIF($G$2:$G$1801,G27)&gt;1,"Duplicate ID - review",IF(AND(P27&lt;&gt;"Unmapped",P27&lt;&gt;F27),"Category mismatch","OK"))))))</f>
        <v>OK</v>
      </c>
      <c r="O27" s="125">
        <f t="shared" si="0"/>
        <v>5101.95</v>
      </c>
      <c r="P27" t="str">
        <f>IF(E27="","Unmapped",IFERROR(INDEX(Supplier_Lookup!$B$2:$B$25,MATCH(E27,Supplier_Lookup!$A$2:$A$25,0)),"Unmapped"))</f>
        <v>Medical Supplies</v>
      </c>
      <c r="Q27" s="76">
        <f>IFERROR(INDEX(Category_Targets!$B$2:$B$9,MATCH(F27,Category_Targets!$A$2:$A$9,0)),0)</f>
        <v>0.06</v>
      </c>
      <c r="R27" s="125">
        <f t="shared" si="1"/>
        <v>306.11699999999996</v>
      </c>
      <c r="S27" s="78">
        <f t="shared" si="2"/>
        <v>45839</v>
      </c>
      <c r="T27" t="str">
        <f>IFERROR(VLOOKUP(B27,Sites!$A$2:$D$21,4,FALSE()),"Unknown")</f>
        <v>Southampton</v>
      </c>
      <c r="U27" t="str">
        <f>IF(N27="OK","",COUNTIF($N$2:N27,"&lt;&gt;OK"))</f>
        <v/>
      </c>
      <c r="V27">
        <f>IF(OR(NOT(EXACT(E27,TRIM(Procurement_Raw!E27))),NOT(EXACT(F27,TRIM(Procurement_Raw!F27)))),1,0)</f>
        <v>0</v>
      </c>
    </row>
    <row r="28" spans="1:22" ht="15" customHeight="1" x14ac:dyDescent="0.25">
      <c r="A28" s="123">
        <f>Procurement_Raw!A28</f>
        <v>45906</v>
      </c>
      <c r="B28" t="str">
        <f>TRIM(Procurement_Raw!B28)</f>
        <v>S006</v>
      </c>
      <c r="C28" t="str">
        <f>Procurement_Raw!C28</f>
        <v>Birmingham Care &amp; Education Centre</v>
      </c>
      <c r="D28" t="str">
        <f>Procurement_Raw!D28</f>
        <v>Midlands</v>
      </c>
      <c r="E28" t="str">
        <f>IF(TRIM(Procurement_Raw!E28)="","",IFERROR(INDEX(Supplier_Lookup!$A$2:$A$25,MATCH(TRIM(Procurement_Raw!E28),Supplier_Lookup!$A$2:$A$25,0)),TRIM(Procurement_Raw!E28)))</f>
        <v>FreshServe</v>
      </c>
      <c r="F28" t="str">
        <f>IFERROR(INDEX(Category_Targets!$A$2:$A$9,MATCH(TRIM(Procurement_Raw!F28),Category_Targets!$A$2:$A$9,0)),"Unmapped")</f>
        <v>Food &amp; Catering</v>
      </c>
      <c r="G28" t="str">
        <f>TRIM(Procurement_Raw!G28)</f>
        <v>INV-2025-00027</v>
      </c>
      <c r="H28" s="77">
        <f>Procurement_Raw!H28</f>
        <v>9</v>
      </c>
      <c r="I28" s="124">
        <f>Procurement_Raw!I28</f>
        <v>34.51</v>
      </c>
      <c r="J28" s="125">
        <f>IF(Procurement_Raw!J28="","",Procurement_Raw!J28)</f>
        <v>310.62</v>
      </c>
      <c r="K28" s="77">
        <f>Procurement_Raw!K28</f>
        <v>60</v>
      </c>
      <c r="L28" t="str">
        <f>Procurement_Raw!L28</f>
        <v>ERP</v>
      </c>
      <c r="M28" t="str">
        <f>Procurement_Raw!O28</f>
        <v>Y</v>
      </c>
      <c r="N28" t="str">
        <f>IF(E28="","Missing supplier",IF(B28="","Missing site",IF(J28="","Missing spend",IF(COUNTIFS($G$2:G28,G28,$E$2:E28,E28,$J$2:J28,J28)&gt;1,"Duplicate invoice",IF(COUNTIF($G$2:$G$1801,G28)&gt;1,"Duplicate ID - review",IF(AND(P28&lt;&gt;"Unmapped",P28&lt;&gt;F28),"Category mismatch","OK"))))))</f>
        <v>OK</v>
      </c>
      <c r="O28" s="125">
        <f t="shared" si="0"/>
        <v>310.62</v>
      </c>
      <c r="P28" t="str">
        <f>IF(E28="","Unmapped",IFERROR(INDEX(Supplier_Lookup!$B$2:$B$25,MATCH(E28,Supplier_Lookup!$A$2:$A$25,0)),"Unmapped"))</f>
        <v>Food &amp; Catering</v>
      </c>
      <c r="Q28" s="76">
        <f>IFERROR(INDEX(Category_Targets!$B$2:$B$9,MATCH(F28,Category_Targets!$A$2:$A$9,0)),0)</f>
        <v>0.04</v>
      </c>
      <c r="R28" s="125">
        <f t="shared" si="1"/>
        <v>12.424800000000001</v>
      </c>
      <c r="S28" s="78">
        <f t="shared" si="2"/>
        <v>45901</v>
      </c>
      <c r="T28" t="str">
        <f>IFERROR(VLOOKUP(B28,Sites!$A$2:$D$21,4,FALSE()),"Unknown")</f>
        <v>Birmingham</v>
      </c>
      <c r="U28" t="str">
        <f>IF(N28="OK","",COUNTIF($N$2:N28,"&lt;&gt;OK"))</f>
        <v/>
      </c>
      <c r="V28">
        <f>IF(OR(NOT(EXACT(E28,TRIM(Procurement_Raw!E28))),NOT(EXACT(F28,TRIM(Procurement_Raw!F28)))),1,0)</f>
        <v>0</v>
      </c>
    </row>
    <row r="29" spans="1:22" ht="15" customHeight="1" x14ac:dyDescent="0.25">
      <c r="A29" s="123">
        <f>Procurement_Raw!A29</f>
        <v>45742</v>
      </c>
      <c r="B29" t="str">
        <f>TRIM(Procurement_Raw!B29)</f>
        <v>S012</v>
      </c>
      <c r="C29" t="str">
        <f>Procurement_Raw!C29</f>
        <v>Bristol Care &amp; Education Centre</v>
      </c>
      <c r="D29" t="str">
        <f>Procurement_Raw!D29</f>
        <v>South</v>
      </c>
      <c r="E29" t="str">
        <f>IF(TRIM(Procurement_Raw!E29)="","",IFERROR(INDEX(Supplier_Lookup!$A$2:$A$25,MATCH(TRIM(Procurement_Raw!E29),Supplier_Lookup!$A$2:$A$25,0)),TRIM(Procurement_Raw!E29)))</f>
        <v>PrintCo</v>
      </c>
      <c r="F29" t="str">
        <f>IFERROR(INDEX(Category_Targets!$A$2:$A$9,MATCH(TRIM(Procurement_Raw!F29),Category_Targets!$A$2:$A$9,0)),"Unmapped")</f>
        <v>Office &amp; Training</v>
      </c>
      <c r="G29" t="str">
        <f>TRIM(Procurement_Raw!G29)</f>
        <v>INV-2025-00028</v>
      </c>
      <c r="H29" s="77">
        <f>Procurement_Raw!H29</f>
        <v>34</v>
      </c>
      <c r="I29" s="124">
        <f>Procurement_Raw!I29</f>
        <v>92.21</v>
      </c>
      <c r="J29" s="125">
        <f>IF(Procurement_Raw!J29="","",Procurement_Raw!J29)</f>
        <v>3135.31</v>
      </c>
      <c r="K29" s="77">
        <f>Procurement_Raw!K29</f>
        <v>60</v>
      </c>
      <c r="L29" t="str">
        <f>Procurement_Raw!L29</f>
        <v>Legacy Spend File</v>
      </c>
      <c r="M29" t="str">
        <f>Procurement_Raw!O29</f>
        <v>N</v>
      </c>
      <c r="N29" t="str">
        <f>IF(E29="","Missing supplier",IF(B29="","Missing site",IF(J29="","Missing spend",IF(COUNTIFS($G$2:G29,G29,$E$2:E29,E29,$J$2:J29,J29)&gt;1,"Duplicate invoice",IF(COUNTIF($G$2:$G$1801,G29)&gt;1,"Duplicate ID - review",IF(AND(P29&lt;&gt;"Unmapped",P29&lt;&gt;F29),"Category mismatch","OK"))))))</f>
        <v>OK</v>
      </c>
      <c r="O29" s="125">
        <f t="shared" si="0"/>
        <v>3135.31</v>
      </c>
      <c r="P29" t="str">
        <f>IF(E29="","Unmapped",IFERROR(INDEX(Supplier_Lookup!$B$2:$B$25,MATCH(E29,Supplier_Lookup!$A$2:$A$25,0)),"Unmapped"))</f>
        <v>Office &amp; Training</v>
      </c>
      <c r="Q29" s="76">
        <f>IFERROR(INDEX(Category_Targets!$B$2:$B$9,MATCH(F29,Category_Targets!$A$2:$A$9,0)),0)</f>
        <v>0.04</v>
      </c>
      <c r="R29" s="125">
        <f t="shared" si="1"/>
        <v>125.41240000000001</v>
      </c>
      <c r="S29" s="78">
        <f t="shared" si="2"/>
        <v>45717</v>
      </c>
      <c r="T29" t="str">
        <f>IFERROR(VLOOKUP(B29,Sites!$A$2:$D$21,4,FALSE()),"Unknown")</f>
        <v>Bristol</v>
      </c>
      <c r="U29" t="str">
        <f>IF(N29="OK","",COUNTIF($N$2:N29,"&lt;&gt;OK"))</f>
        <v/>
      </c>
      <c r="V29">
        <f>IF(OR(NOT(EXACT(E29,TRIM(Procurement_Raw!E29))),NOT(EXACT(F29,TRIM(Procurement_Raw!F29)))),1,0)</f>
        <v>0</v>
      </c>
    </row>
    <row r="30" spans="1:22" ht="15" customHeight="1" x14ac:dyDescent="0.25">
      <c r="A30" s="123">
        <f>Procurement_Raw!A30</f>
        <v>46011</v>
      </c>
      <c r="B30" t="str">
        <f>TRIM(Procurement_Raw!B30)</f>
        <v>S009</v>
      </c>
      <c r="C30" t="str">
        <f>Procurement_Raw!C30</f>
        <v>Derby Care &amp; Education Centre</v>
      </c>
      <c r="D30" t="str">
        <f>Procurement_Raw!D30</f>
        <v>Midlands</v>
      </c>
      <c r="E30" t="str">
        <f>IF(TRIM(Procurement_Raw!E30)="","",IFERROR(INDEX(Supplier_Lookup!$A$2:$A$25,MATCH(TRIM(Procurement_Raw!E30),Supplier_Lookup!$A$2:$A$25,0)),TRIM(Procurement_Raw!E30)))</f>
        <v>PowerDirect</v>
      </c>
      <c r="F30" t="str">
        <f>IFERROR(INDEX(Category_Targets!$A$2:$A$9,MATCH(TRIM(Procurement_Raw!F30),Category_Targets!$A$2:$A$9,0)),"Unmapped")</f>
        <v>Utilities</v>
      </c>
      <c r="G30" t="str">
        <f>TRIM(Procurement_Raw!G30)</f>
        <v>INV-2025-00029</v>
      </c>
      <c r="H30" s="77">
        <f>Procurement_Raw!H30</f>
        <v>26</v>
      </c>
      <c r="I30" s="124">
        <f>Procurement_Raw!I30</f>
        <v>179.67</v>
      </c>
      <c r="J30" s="125">
        <f>IF(Procurement_Raw!J30="","",Procurement_Raw!J30)</f>
        <v>4671.3599999999997</v>
      </c>
      <c r="K30" s="77">
        <f>Procurement_Raw!K30</f>
        <v>60</v>
      </c>
      <c r="L30" t="str">
        <f>Procurement_Raw!L30</f>
        <v>Procurement Portal</v>
      </c>
      <c r="M30" t="str">
        <f>Procurement_Raw!O30</f>
        <v>N</v>
      </c>
      <c r="N30" t="str">
        <f>IF(E30="","Missing supplier",IF(B30="","Missing site",IF(J30="","Missing spend",IF(COUNTIFS($G$2:G30,G30,$E$2:E30,E30,$J$2:J30,J30)&gt;1,"Duplicate invoice",IF(COUNTIF($G$2:$G$1801,G30)&gt;1,"Duplicate ID - review",IF(AND(P30&lt;&gt;"Unmapped",P30&lt;&gt;F30),"Category mismatch","OK"))))))</f>
        <v>OK</v>
      </c>
      <c r="O30" s="125">
        <f t="shared" si="0"/>
        <v>4671.3599999999997</v>
      </c>
      <c r="P30" t="str">
        <f>IF(E30="","Unmapped",IFERROR(INDEX(Supplier_Lookup!$B$2:$B$25,MATCH(E30,Supplier_Lookup!$A$2:$A$25,0)),"Unmapped"))</f>
        <v>Utilities</v>
      </c>
      <c r="Q30" s="76">
        <f>IFERROR(INDEX(Category_Targets!$B$2:$B$9,MATCH(F30,Category_Targets!$A$2:$A$9,0)),0)</f>
        <v>0.03</v>
      </c>
      <c r="R30" s="125">
        <f t="shared" si="1"/>
        <v>140.14079999999998</v>
      </c>
      <c r="S30" s="78">
        <f t="shared" si="2"/>
        <v>45992</v>
      </c>
      <c r="T30" t="str">
        <f>IFERROR(VLOOKUP(B30,Sites!$A$2:$D$21,4,FALSE()),"Unknown")</f>
        <v>Derby</v>
      </c>
      <c r="U30" t="str">
        <f>IF(N30="OK","",COUNTIF($N$2:N30,"&lt;&gt;OK"))</f>
        <v/>
      </c>
      <c r="V30">
        <f>IF(OR(NOT(EXACT(E30,TRIM(Procurement_Raw!E30))),NOT(EXACT(F30,TRIM(Procurement_Raw!F30)))),1,0)</f>
        <v>0</v>
      </c>
    </row>
    <row r="31" spans="1:22" ht="15" customHeight="1" x14ac:dyDescent="0.25">
      <c r="A31" s="123">
        <f>Procurement_Raw!A31</f>
        <v>45922</v>
      </c>
      <c r="B31" t="str">
        <f>TRIM(Procurement_Raw!B31)</f>
        <v>S006</v>
      </c>
      <c r="C31" t="str">
        <f>Procurement_Raw!C31</f>
        <v>Birmingham Care &amp; Education Centre</v>
      </c>
      <c r="D31" t="str">
        <f>Procurement_Raw!D31</f>
        <v>Midlands</v>
      </c>
      <c r="E31" t="str">
        <f>IF(TRIM(Procurement_Raw!E31)="","",IFERROR(INDEX(Supplier_Lookup!$A$2:$A$25,MATCH(TRIM(Procurement_Raw!E31),Supplier_Lookup!$A$2:$A$25,0)),TRIM(Procurement_Raw!E31)))</f>
        <v>RoadReady</v>
      </c>
      <c r="F31" t="str">
        <f>IFERROR(INDEX(Category_Targets!$A$2:$A$9,MATCH(TRIM(Procurement_Raw!F31),Category_Targets!$A$2:$A$9,0)),"Unmapped")</f>
        <v>Vehicle &amp; Fuel</v>
      </c>
      <c r="G31" t="str">
        <f>TRIM(Procurement_Raw!G31)</f>
        <v>INV-2025-00030</v>
      </c>
      <c r="H31" s="77">
        <f>Procurement_Raw!H31</f>
        <v>58</v>
      </c>
      <c r="I31" s="124">
        <f>Procurement_Raw!I31</f>
        <v>80.92</v>
      </c>
      <c r="J31" s="125">
        <f>IF(Procurement_Raw!J31="","",Procurement_Raw!J31)</f>
        <v>4693.29</v>
      </c>
      <c r="K31" s="77">
        <f>Procurement_Raw!K31</f>
        <v>30</v>
      </c>
      <c r="L31" t="str">
        <f>Procurement_Raw!L31</f>
        <v>ERP</v>
      </c>
      <c r="M31" t="str">
        <f>Procurement_Raw!O31</f>
        <v>N</v>
      </c>
      <c r="N31" t="str">
        <f>IF(E31="","Missing supplier",IF(B31="","Missing site",IF(J31="","Missing spend",IF(COUNTIFS($G$2:G31,G31,$E$2:E31,E31,$J$2:J31,J31)&gt;1,"Duplicate invoice",IF(COUNTIF($G$2:$G$1801,G31)&gt;1,"Duplicate ID - review",IF(AND(P31&lt;&gt;"Unmapped",P31&lt;&gt;F31),"Category mismatch","OK"))))))</f>
        <v>OK</v>
      </c>
      <c r="O31" s="125">
        <f t="shared" si="0"/>
        <v>4693.29</v>
      </c>
      <c r="P31" t="str">
        <f>IF(E31="","Unmapped",IFERROR(INDEX(Supplier_Lookup!$B$2:$B$25,MATCH(E31,Supplier_Lookup!$A$2:$A$25,0)),"Unmapped"))</f>
        <v>Vehicle &amp; Fuel</v>
      </c>
      <c r="Q31" s="76">
        <f>IFERROR(INDEX(Category_Targets!$B$2:$B$9,MATCH(F31,Category_Targets!$A$2:$A$9,0)),0)</f>
        <v>0.05</v>
      </c>
      <c r="R31" s="125">
        <f t="shared" si="1"/>
        <v>234.6645</v>
      </c>
      <c r="S31" s="78">
        <f t="shared" si="2"/>
        <v>45901</v>
      </c>
      <c r="T31" t="str">
        <f>IFERROR(VLOOKUP(B31,Sites!$A$2:$D$21,4,FALSE()),"Unknown")</f>
        <v>Birmingham</v>
      </c>
      <c r="U31" t="str">
        <f>IF(N31="OK","",COUNTIF($N$2:N31,"&lt;&gt;OK"))</f>
        <v/>
      </c>
      <c r="V31">
        <f>IF(OR(NOT(EXACT(E31,TRIM(Procurement_Raw!E31))),NOT(EXACT(F31,TRIM(Procurement_Raw!F31)))),1,0)</f>
        <v>0</v>
      </c>
    </row>
    <row r="32" spans="1:22" ht="15" customHeight="1" x14ac:dyDescent="0.25">
      <c r="A32" s="123">
        <f>Procurement_Raw!A32</f>
        <v>45668</v>
      </c>
      <c r="B32" t="str">
        <f>TRIM(Procurement_Raw!B32)</f>
        <v>S010</v>
      </c>
      <c r="C32" t="str">
        <f>Procurement_Raw!C32</f>
        <v>Coventry Care &amp; Education Centre</v>
      </c>
      <c r="D32" t="str">
        <f>Procurement_Raw!D32</f>
        <v>Midlands</v>
      </c>
      <c r="E32" t="str">
        <f>IF(TRIM(Procurement_Raw!E32)="","",IFERROR(INDEX(Supplier_Lookup!$A$2:$A$25,MATCH(TRIM(Procurement_Raw!E32),Supplier_Lookup!$A$2:$A$25,0)),TRIM(Procurement_Raw!E32)))</f>
        <v>NourishCo</v>
      </c>
      <c r="F32" t="str">
        <f>IFERROR(INDEX(Category_Targets!$A$2:$A$9,MATCH(TRIM(Procurement_Raw!F32),Category_Targets!$A$2:$A$9,0)),"Unmapped")</f>
        <v>Food &amp; Catering</v>
      </c>
      <c r="G32" t="str">
        <f>TRIM(Procurement_Raw!G32)</f>
        <v>INV-2025-00031</v>
      </c>
      <c r="H32" s="77">
        <f>Procurement_Raw!H32</f>
        <v>76</v>
      </c>
      <c r="I32" s="124">
        <f>Procurement_Raw!I32</f>
        <v>46.69</v>
      </c>
      <c r="J32" s="125">
        <f>IF(Procurement_Raw!J32="","",Procurement_Raw!J32)</f>
        <v>3548.15</v>
      </c>
      <c r="K32" s="77">
        <f>Procurement_Raw!K32</f>
        <v>60</v>
      </c>
      <c r="L32" t="str">
        <f>Procurement_Raw!L32</f>
        <v>ERP</v>
      </c>
      <c r="M32" t="str">
        <f>Procurement_Raw!O32</f>
        <v>N</v>
      </c>
      <c r="N32" t="str">
        <f>IF(E32="","Missing supplier",IF(B32="","Missing site",IF(J32="","Missing spend",IF(COUNTIFS($G$2:G32,G32,$E$2:E32,E32,$J$2:J32,J32)&gt;1,"Duplicate invoice",IF(COUNTIF($G$2:$G$1801,G32)&gt;1,"Duplicate ID - review",IF(AND(P32&lt;&gt;"Unmapped",P32&lt;&gt;F32),"Category mismatch","OK"))))))</f>
        <v>OK</v>
      </c>
      <c r="O32" s="125">
        <f t="shared" si="0"/>
        <v>3548.15</v>
      </c>
      <c r="P32" t="str">
        <f>IF(E32="","Unmapped",IFERROR(INDEX(Supplier_Lookup!$B$2:$B$25,MATCH(E32,Supplier_Lookup!$A$2:$A$25,0)),"Unmapped"))</f>
        <v>Food &amp; Catering</v>
      </c>
      <c r="Q32" s="76">
        <f>IFERROR(INDEX(Category_Targets!$B$2:$B$9,MATCH(F32,Category_Targets!$A$2:$A$9,0)),0)</f>
        <v>0.04</v>
      </c>
      <c r="R32" s="125">
        <f t="shared" si="1"/>
        <v>141.92600000000002</v>
      </c>
      <c r="S32" s="78">
        <f t="shared" si="2"/>
        <v>45658</v>
      </c>
      <c r="T32" t="str">
        <f>IFERROR(VLOOKUP(B32,Sites!$A$2:$D$21,4,FALSE()),"Unknown")</f>
        <v>Coventry</v>
      </c>
      <c r="U32" t="str">
        <f>IF(N32="OK","",COUNTIF($N$2:N32,"&lt;&gt;OK"))</f>
        <v/>
      </c>
      <c r="V32">
        <f>IF(OR(NOT(EXACT(E32,TRIM(Procurement_Raw!E32))),NOT(EXACT(F32,TRIM(Procurement_Raw!F32)))),1,0)</f>
        <v>0</v>
      </c>
    </row>
    <row r="33" spans="1:22" ht="15" customHeight="1" x14ac:dyDescent="0.25">
      <c r="A33" s="123">
        <f>Procurement_Raw!A33</f>
        <v>45694</v>
      </c>
      <c r="B33" t="str">
        <f>TRIM(Procurement_Raw!B33)</f>
        <v>S010</v>
      </c>
      <c r="C33" t="str">
        <f>Procurement_Raw!C33</f>
        <v>Coventry Care &amp; Education Centre</v>
      </c>
      <c r="D33" t="str">
        <f>Procurement_Raw!D33</f>
        <v>Midlands</v>
      </c>
      <c r="E33" t="str">
        <f>IF(TRIM(Procurement_Raw!E33)="","",IFERROR(INDEX(Supplier_Lookup!$A$2:$A$25,MATCH(TRIM(Procurement_Raw!E33),Supplier_Lookup!$A$2:$A$25,0)),TRIM(Procurement_Raw!E33)))</f>
        <v>UK Energy Partners</v>
      </c>
      <c r="F33" t="str">
        <f>IFERROR(INDEX(Category_Targets!$A$2:$A$9,MATCH(TRIM(Procurement_Raw!F33),Category_Targets!$A$2:$A$9,0)),"Unmapped")</f>
        <v>Utilities</v>
      </c>
      <c r="G33" t="str">
        <f>TRIM(Procurement_Raw!G33)</f>
        <v>INV-2025-00032</v>
      </c>
      <c r="H33" s="77">
        <f>Procurement_Raw!H33</f>
        <v>8</v>
      </c>
      <c r="I33" s="124">
        <f>Procurement_Raw!I33</f>
        <v>692.43</v>
      </c>
      <c r="J33" s="125">
        <f>IF(Procurement_Raw!J33="","",Procurement_Raw!J33)</f>
        <v>5539.48</v>
      </c>
      <c r="K33" s="77">
        <f>Procurement_Raw!K33</f>
        <v>30</v>
      </c>
      <c r="L33" t="str">
        <f>Procurement_Raw!L33</f>
        <v>ERP</v>
      </c>
      <c r="M33" t="str">
        <f>Procurement_Raw!O33</f>
        <v>N</v>
      </c>
      <c r="N33" t="str">
        <f>IF(E33="","Missing supplier",IF(B33="","Missing site",IF(J33="","Missing spend",IF(COUNTIFS($G$2:G33,G33,$E$2:E33,E33,$J$2:J33,J33)&gt;1,"Duplicate invoice",IF(COUNTIF($G$2:$G$1801,G33)&gt;1,"Duplicate ID - review",IF(AND(P33&lt;&gt;"Unmapped",P33&lt;&gt;F33),"Category mismatch","OK"))))))</f>
        <v>OK</v>
      </c>
      <c r="O33" s="125">
        <f t="shared" si="0"/>
        <v>5539.48</v>
      </c>
      <c r="P33" t="str">
        <f>IF(E33="","Unmapped",IFERROR(INDEX(Supplier_Lookup!$B$2:$B$25,MATCH(E33,Supplier_Lookup!$A$2:$A$25,0)),"Unmapped"))</f>
        <v>Utilities</v>
      </c>
      <c r="Q33" s="76">
        <f>IFERROR(INDEX(Category_Targets!$B$2:$B$9,MATCH(F33,Category_Targets!$A$2:$A$9,0)),0)</f>
        <v>0.03</v>
      </c>
      <c r="R33" s="125">
        <f t="shared" si="1"/>
        <v>166.18439999999998</v>
      </c>
      <c r="S33" s="78">
        <f t="shared" si="2"/>
        <v>45689</v>
      </c>
      <c r="T33" t="str">
        <f>IFERROR(VLOOKUP(B33,Sites!$A$2:$D$21,4,FALSE()),"Unknown")</f>
        <v>Coventry</v>
      </c>
      <c r="U33" t="str">
        <f>IF(N33="OK","",COUNTIF($N$2:N33,"&lt;&gt;OK"))</f>
        <v/>
      </c>
      <c r="V33">
        <f>IF(OR(NOT(EXACT(E33,TRIM(Procurement_Raw!E33))),NOT(EXACT(F33,TRIM(Procurement_Raw!F33)))),1,0)</f>
        <v>0</v>
      </c>
    </row>
    <row r="34" spans="1:22" ht="15" customHeight="1" x14ac:dyDescent="0.25">
      <c r="A34" s="123">
        <f>Procurement_Raw!A34</f>
        <v>45921</v>
      </c>
      <c r="B34" t="str">
        <f>TRIM(Procurement_Raw!B34)</f>
        <v>S007</v>
      </c>
      <c r="C34" t="str">
        <f>Procurement_Raw!C34</f>
        <v>Nottingham Care &amp; Education Centre</v>
      </c>
      <c r="D34" t="str">
        <f>Procurement_Raw!D34</f>
        <v>Midlands</v>
      </c>
      <c r="E34" t="str">
        <f>IF(TRIM(Procurement_Raw!E34)="","",IFERROR(INDEX(Supplier_Lookup!$A$2:$A$25,MATCH(TRIM(Procurement_Raw!E34),Supplier_Lookup!$A$2:$A$25,0)),TRIM(Procurement_Raw!E34)))</f>
        <v>FleetFuel</v>
      </c>
      <c r="F34" t="str">
        <f>IFERROR(INDEX(Category_Targets!$A$2:$A$9,MATCH(TRIM(Procurement_Raw!F34),Category_Targets!$A$2:$A$9,0)),"Unmapped")</f>
        <v>Vehicle &amp; Fuel</v>
      </c>
      <c r="G34" t="str">
        <f>TRIM(Procurement_Raw!G34)</f>
        <v>INV-2025-00033</v>
      </c>
      <c r="H34" s="77">
        <f>Procurement_Raw!H34</f>
        <v>31</v>
      </c>
      <c r="I34" s="124">
        <f>Procurement_Raw!I34</f>
        <v>94.3</v>
      </c>
      <c r="J34" s="125">
        <f>IF(Procurement_Raw!J34="","",Procurement_Raw!J34)</f>
        <v>2923.22</v>
      </c>
      <c r="K34" s="77">
        <f>Procurement_Raw!K34</f>
        <v>45</v>
      </c>
      <c r="L34" t="str">
        <f>Procurement_Raw!L34</f>
        <v>Legacy Spend File</v>
      </c>
      <c r="M34" t="str">
        <f>Procurement_Raw!O34</f>
        <v>Y</v>
      </c>
      <c r="N34" t="str">
        <f>IF(E34="","Missing supplier",IF(B34="","Missing site",IF(J34="","Missing spend",IF(COUNTIFS($G$2:G34,G34,$E$2:E34,E34,$J$2:J34,J34)&gt;1,"Duplicate invoice",IF(COUNTIF($G$2:$G$1801,G34)&gt;1,"Duplicate ID - review",IF(AND(P34&lt;&gt;"Unmapped",P34&lt;&gt;F34),"Category mismatch","OK"))))))</f>
        <v>OK</v>
      </c>
      <c r="O34" s="125">
        <f t="shared" si="0"/>
        <v>2923.22</v>
      </c>
      <c r="P34" t="str">
        <f>IF(E34="","Unmapped",IFERROR(INDEX(Supplier_Lookup!$B$2:$B$25,MATCH(E34,Supplier_Lookup!$A$2:$A$25,0)),"Unmapped"))</f>
        <v>Vehicle &amp; Fuel</v>
      </c>
      <c r="Q34" s="76">
        <f>IFERROR(INDEX(Category_Targets!$B$2:$B$9,MATCH(F34,Category_Targets!$A$2:$A$9,0)),0)</f>
        <v>0.05</v>
      </c>
      <c r="R34" s="125">
        <f t="shared" si="1"/>
        <v>146.161</v>
      </c>
      <c r="S34" s="78">
        <f t="shared" si="2"/>
        <v>45901</v>
      </c>
      <c r="T34" t="str">
        <f>IFERROR(VLOOKUP(B34,Sites!$A$2:$D$21,4,FALSE()),"Unknown")</f>
        <v>Nottingham</v>
      </c>
      <c r="U34" t="str">
        <f>IF(N34="OK","",COUNTIF($N$2:N34,"&lt;&gt;OK"))</f>
        <v/>
      </c>
      <c r="V34">
        <f>IF(OR(NOT(EXACT(E34,TRIM(Procurement_Raw!E34))),NOT(EXACT(F34,TRIM(Procurement_Raw!F34)))),1,0)</f>
        <v>0</v>
      </c>
    </row>
    <row r="35" spans="1:22" ht="15" customHeight="1" x14ac:dyDescent="0.25">
      <c r="A35" s="123">
        <f>Procurement_Raw!A35</f>
        <v>45725</v>
      </c>
      <c r="B35" t="str">
        <f>TRIM(Procurement_Raw!B35)</f>
        <v>S018</v>
      </c>
      <c r="C35" t="str">
        <f>Procurement_Raw!C35</f>
        <v>Newport Care &amp; Education Centre</v>
      </c>
      <c r="D35" t="str">
        <f>Procurement_Raw!D35</f>
        <v>Wales</v>
      </c>
      <c r="E35" t="str">
        <f>IF(TRIM(Procurement_Raw!E35)="","",IFERROR(INDEX(Supplier_Lookup!$A$2:$A$25,MATCH(TRIM(Procurement_Raw!E35),Supplier_Lookup!$A$2:$A$25,0)),TRIM(Procurement_Raw!E35)))</f>
        <v>PowerDirect</v>
      </c>
      <c r="F35" t="str">
        <f>IFERROR(INDEX(Category_Targets!$A$2:$A$9,MATCH(TRIM(Procurement_Raw!F35),Category_Targets!$A$2:$A$9,0)),"Unmapped")</f>
        <v>Utilities</v>
      </c>
      <c r="G35" t="str">
        <f>TRIM(Procurement_Raw!G35)</f>
        <v>INV-2025-00034</v>
      </c>
      <c r="H35" s="77">
        <f>Procurement_Raw!H35</f>
        <v>74</v>
      </c>
      <c r="I35" s="124">
        <f>Procurement_Raw!I35</f>
        <v>139.72999999999999</v>
      </c>
      <c r="J35" s="125">
        <f>IF(Procurement_Raw!J35="","",Procurement_Raw!J35)</f>
        <v>10340.1</v>
      </c>
      <c r="K35" s="77">
        <f>Procurement_Raw!K35</f>
        <v>60</v>
      </c>
      <c r="L35" t="str">
        <f>Procurement_Raw!L35</f>
        <v>Procurement Portal</v>
      </c>
      <c r="M35" t="str">
        <f>Procurement_Raw!O35</f>
        <v>N</v>
      </c>
      <c r="N35" t="str">
        <f>IF(E35="","Missing supplier",IF(B35="","Missing site",IF(J35="","Missing spend",IF(COUNTIFS($G$2:G35,G35,$E$2:E35,E35,$J$2:J35,J35)&gt;1,"Duplicate invoice",IF(COUNTIF($G$2:$G$1801,G35)&gt;1,"Duplicate ID - review",IF(AND(P35&lt;&gt;"Unmapped",P35&lt;&gt;F35),"Category mismatch","OK"))))))</f>
        <v>OK</v>
      </c>
      <c r="O35" s="125">
        <f t="shared" si="0"/>
        <v>10340.1</v>
      </c>
      <c r="P35" t="str">
        <f>IF(E35="","Unmapped",IFERROR(INDEX(Supplier_Lookup!$B$2:$B$25,MATCH(E35,Supplier_Lookup!$A$2:$A$25,0)),"Unmapped"))</f>
        <v>Utilities</v>
      </c>
      <c r="Q35" s="76">
        <f>IFERROR(INDEX(Category_Targets!$B$2:$B$9,MATCH(F35,Category_Targets!$A$2:$A$9,0)),0)</f>
        <v>0.03</v>
      </c>
      <c r="R35" s="125">
        <f t="shared" si="1"/>
        <v>310.20299999999997</v>
      </c>
      <c r="S35" s="78">
        <f t="shared" si="2"/>
        <v>45717</v>
      </c>
      <c r="T35" t="str">
        <f>IFERROR(VLOOKUP(B35,Sites!$A$2:$D$21,4,FALSE()),"Unknown")</f>
        <v>Newport</v>
      </c>
      <c r="U35" t="str">
        <f>IF(N35="OK","",COUNTIF($N$2:N35,"&lt;&gt;OK"))</f>
        <v/>
      </c>
      <c r="V35">
        <f>IF(OR(NOT(EXACT(E35,TRIM(Procurement_Raw!E35))),NOT(EXACT(F35,TRIM(Procurement_Raw!F35)))),1,0)</f>
        <v>0</v>
      </c>
    </row>
    <row r="36" spans="1:22" ht="15" customHeight="1" x14ac:dyDescent="0.25">
      <c r="A36" s="123">
        <f>Procurement_Raw!A36</f>
        <v>45755</v>
      </c>
      <c r="B36" t="str">
        <f>TRIM(Procurement_Raw!B36)</f>
        <v>S015</v>
      </c>
      <c r="C36" t="str">
        <f>Procurement_Raw!C36</f>
        <v>Brighton Care &amp; Education Centre</v>
      </c>
      <c r="D36" t="str">
        <f>Procurement_Raw!D36</f>
        <v>South</v>
      </c>
      <c r="E36" t="str">
        <f>IF(TRIM(Procurement_Raw!E36)="","",IFERROR(INDEX(Supplier_Lookup!$A$2:$A$25,MATCH(TRIM(Procurement_Raw!E36),Supplier_Lookup!$A$2:$A$25,0)),TRIM(Procurement_Raw!E36)))</f>
        <v>LearnWell</v>
      </c>
      <c r="F36" t="str">
        <f>IFERROR(INDEX(Category_Targets!$A$2:$A$9,MATCH(TRIM(Procurement_Raw!F36),Category_Targets!$A$2:$A$9,0)),"Unmapped")</f>
        <v>Office &amp; Training</v>
      </c>
      <c r="G36" t="str">
        <f>TRIM(Procurement_Raw!G36)</f>
        <v>INV-2025-00035</v>
      </c>
      <c r="H36" s="77">
        <f>Procurement_Raw!H36</f>
        <v>13</v>
      </c>
      <c r="I36" s="124">
        <f>Procurement_Raw!I36</f>
        <v>117.91</v>
      </c>
      <c r="J36" s="125">
        <f>IF(Procurement_Raw!J36="","",Procurement_Raw!J36)</f>
        <v>1532.78</v>
      </c>
      <c r="K36" s="77">
        <f>Procurement_Raw!K36</f>
        <v>30</v>
      </c>
      <c r="L36" t="str">
        <f>Procurement_Raw!L36</f>
        <v>Legacy Spend File</v>
      </c>
      <c r="M36" t="str">
        <f>Procurement_Raw!O36</f>
        <v>N</v>
      </c>
      <c r="N36" t="str">
        <f>IF(E36="","Missing supplier",IF(B36="","Missing site",IF(J36="","Missing spend",IF(COUNTIFS($G$2:G36,G36,$E$2:E36,E36,$J$2:J36,J36)&gt;1,"Duplicate invoice",IF(COUNTIF($G$2:$G$1801,G36)&gt;1,"Duplicate ID - review",IF(AND(P36&lt;&gt;"Unmapped",P36&lt;&gt;F36),"Category mismatch","OK"))))))</f>
        <v>OK</v>
      </c>
      <c r="O36" s="125">
        <f t="shared" si="0"/>
        <v>1532.78</v>
      </c>
      <c r="P36" t="str">
        <f>IF(E36="","Unmapped",IFERROR(INDEX(Supplier_Lookup!$B$2:$B$25,MATCH(E36,Supplier_Lookup!$A$2:$A$25,0)),"Unmapped"))</f>
        <v>Office &amp; Training</v>
      </c>
      <c r="Q36" s="76">
        <f>IFERROR(INDEX(Category_Targets!$B$2:$B$9,MATCH(F36,Category_Targets!$A$2:$A$9,0)),0)</f>
        <v>0.04</v>
      </c>
      <c r="R36" s="125">
        <f t="shared" si="1"/>
        <v>61.311199999999999</v>
      </c>
      <c r="S36" s="78">
        <f t="shared" si="2"/>
        <v>45748</v>
      </c>
      <c r="T36" t="str">
        <f>IFERROR(VLOOKUP(B36,Sites!$A$2:$D$21,4,FALSE()),"Unknown")</f>
        <v>Brighton</v>
      </c>
      <c r="U36" t="str">
        <f>IF(N36="OK","",COUNTIF($N$2:N36,"&lt;&gt;OK"))</f>
        <v/>
      </c>
      <c r="V36">
        <f>IF(OR(NOT(EXACT(E36,TRIM(Procurement_Raw!E36))),NOT(EXACT(F36,TRIM(Procurement_Raw!F36)))),1,0)</f>
        <v>0</v>
      </c>
    </row>
    <row r="37" spans="1:22" ht="15" customHeight="1" x14ac:dyDescent="0.25">
      <c r="A37" s="123">
        <f>Procurement_Raw!A37</f>
        <v>45868</v>
      </c>
      <c r="B37" t="str">
        <f>TRIM(Procurement_Raw!B37)</f>
        <v>S017</v>
      </c>
      <c r="C37" t="str">
        <f>Procurement_Raw!C37</f>
        <v>Swansea Care &amp; Education Centre</v>
      </c>
      <c r="D37" t="str">
        <f>Procurement_Raw!D37</f>
        <v>Wales</v>
      </c>
      <c r="E37" t="str">
        <f>IF(TRIM(Procurement_Raw!E37)="","",IFERROR(INDEX(Supplier_Lookup!$A$2:$A$25,MATCH(TRIM(Procurement_Raw!E37),Supplier_Lookup!$A$2:$A$25,0)),TRIM(Procurement_Raw!E37)))</f>
        <v>RoadReady</v>
      </c>
      <c r="F37" t="str">
        <f>IFERROR(INDEX(Category_Targets!$A$2:$A$9,MATCH(TRIM(Procurement_Raw!F37),Category_Targets!$A$2:$A$9,0)),"Unmapped")</f>
        <v>Vehicle &amp; Fuel</v>
      </c>
      <c r="G37" t="str">
        <f>TRIM(Procurement_Raw!G37)</f>
        <v>INV-2025-00036</v>
      </c>
      <c r="H37" s="77">
        <f>Procurement_Raw!H37</f>
        <v>60</v>
      </c>
      <c r="I37" s="124">
        <f>Procurement_Raw!I37</f>
        <v>48.54</v>
      </c>
      <c r="J37" s="125">
        <f>IF(Procurement_Raw!J37="","",Procurement_Raw!J37)</f>
        <v>2912.47</v>
      </c>
      <c r="K37" s="77">
        <f>Procurement_Raw!K37</f>
        <v>60</v>
      </c>
      <c r="L37" t="str">
        <f>Procurement_Raw!L37</f>
        <v>ERP</v>
      </c>
      <c r="M37" t="str">
        <f>Procurement_Raw!O37</f>
        <v>N</v>
      </c>
      <c r="N37" t="str">
        <f>IF(E37="","Missing supplier",IF(B37="","Missing site",IF(J37="","Missing spend",IF(COUNTIFS($G$2:G37,G37,$E$2:E37,E37,$J$2:J37,J37)&gt;1,"Duplicate invoice",IF(COUNTIF($G$2:$G$1801,G37)&gt;1,"Duplicate ID - review",IF(AND(P37&lt;&gt;"Unmapped",P37&lt;&gt;F37),"Category mismatch","OK"))))))</f>
        <v>OK</v>
      </c>
      <c r="O37" s="125">
        <f t="shared" si="0"/>
        <v>2912.47</v>
      </c>
      <c r="P37" t="str">
        <f>IF(E37="","Unmapped",IFERROR(INDEX(Supplier_Lookup!$B$2:$B$25,MATCH(E37,Supplier_Lookup!$A$2:$A$25,0)),"Unmapped"))</f>
        <v>Vehicle &amp; Fuel</v>
      </c>
      <c r="Q37" s="76">
        <f>IFERROR(INDEX(Category_Targets!$B$2:$B$9,MATCH(F37,Category_Targets!$A$2:$A$9,0)),0)</f>
        <v>0.05</v>
      </c>
      <c r="R37" s="125">
        <f t="shared" si="1"/>
        <v>145.62350000000001</v>
      </c>
      <c r="S37" s="78">
        <f t="shared" si="2"/>
        <v>45839</v>
      </c>
      <c r="T37" t="str">
        <f>IFERROR(VLOOKUP(B37,Sites!$A$2:$D$21,4,FALSE()),"Unknown")</f>
        <v>Swansea</v>
      </c>
      <c r="U37" t="str">
        <f>IF(N37="OK","",COUNTIF($N$2:N37,"&lt;&gt;OK"))</f>
        <v/>
      </c>
      <c r="V37">
        <f>IF(OR(NOT(EXACT(E37,TRIM(Procurement_Raw!E37))),NOT(EXACT(F37,TRIM(Procurement_Raw!F37)))),1,0)</f>
        <v>0</v>
      </c>
    </row>
    <row r="38" spans="1:22" ht="15" customHeight="1" x14ac:dyDescent="0.25">
      <c r="A38" s="123">
        <f>Procurement_Raw!A38</f>
        <v>45864</v>
      </c>
      <c r="B38" t="str">
        <f>TRIM(Procurement_Raw!B38)</f>
        <v>S013</v>
      </c>
      <c r="C38" t="str">
        <f>Procurement_Raw!C38</f>
        <v>Reading Care &amp; Education Centre</v>
      </c>
      <c r="D38" t="str">
        <f>Procurement_Raw!D38</f>
        <v>South</v>
      </c>
      <c r="E38" t="str">
        <f>IF(TRIM(Procurement_Raw!E38)="","",IFERROR(INDEX(Supplier_Lookup!$A$2:$A$25,MATCH(TRIM(Procurement_Raw!E38),Supplier_Lookup!$A$2:$A$25,0)),TRIM(Procurement_Raw!E38)))</f>
        <v>FreshServe</v>
      </c>
      <c r="F38" t="str">
        <f>IFERROR(INDEX(Category_Targets!$A$2:$A$9,MATCH(TRIM(Procurement_Raw!F38),Category_Targets!$A$2:$A$9,0)),"Unmapped")</f>
        <v>Food &amp; Catering</v>
      </c>
      <c r="G38" t="str">
        <f>TRIM(Procurement_Raw!G38)</f>
        <v>INV-2025-00037</v>
      </c>
      <c r="H38" s="77">
        <f>Procurement_Raw!H38</f>
        <v>44</v>
      </c>
      <c r="I38" s="124">
        <f>Procurement_Raw!I38</f>
        <v>72.91</v>
      </c>
      <c r="J38" s="125">
        <f>IF(Procurement_Raw!J38="","",Procurement_Raw!J38)</f>
        <v>3208.16</v>
      </c>
      <c r="K38" s="77">
        <f>Procurement_Raw!K38</f>
        <v>30</v>
      </c>
      <c r="L38" t="str">
        <f>Procurement_Raw!L38</f>
        <v>ERP</v>
      </c>
      <c r="M38" t="str">
        <f>Procurement_Raw!O38</f>
        <v>Y</v>
      </c>
      <c r="N38" t="str">
        <f>IF(E38="","Missing supplier",IF(B38="","Missing site",IF(J38="","Missing spend",IF(COUNTIFS($G$2:G38,G38,$E$2:E38,E38,$J$2:J38,J38)&gt;1,"Duplicate invoice",IF(COUNTIF($G$2:$G$1801,G38)&gt;1,"Duplicate ID - review",IF(AND(P38&lt;&gt;"Unmapped",P38&lt;&gt;F38),"Category mismatch","OK"))))))</f>
        <v>OK</v>
      </c>
      <c r="O38" s="125">
        <f t="shared" si="0"/>
        <v>3208.16</v>
      </c>
      <c r="P38" t="str">
        <f>IF(E38="","Unmapped",IFERROR(INDEX(Supplier_Lookup!$B$2:$B$25,MATCH(E38,Supplier_Lookup!$A$2:$A$25,0)),"Unmapped"))</f>
        <v>Food &amp; Catering</v>
      </c>
      <c r="Q38" s="76">
        <f>IFERROR(INDEX(Category_Targets!$B$2:$B$9,MATCH(F38,Category_Targets!$A$2:$A$9,0)),0)</f>
        <v>0.04</v>
      </c>
      <c r="R38" s="125">
        <f t="shared" si="1"/>
        <v>128.32640000000001</v>
      </c>
      <c r="S38" s="78">
        <f t="shared" si="2"/>
        <v>45839</v>
      </c>
      <c r="T38" t="str">
        <f>IFERROR(VLOOKUP(B38,Sites!$A$2:$D$21,4,FALSE()),"Unknown")</f>
        <v>Reading</v>
      </c>
      <c r="U38" t="str">
        <f>IF(N38="OK","",COUNTIF($N$2:N38,"&lt;&gt;OK"))</f>
        <v/>
      </c>
      <c r="V38">
        <f>IF(OR(NOT(EXACT(E38,TRIM(Procurement_Raw!E38))),NOT(EXACT(F38,TRIM(Procurement_Raw!F38)))),1,0)</f>
        <v>0</v>
      </c>
    </row>
    <row r="39" spans="1:22" ht="15" customHeight="1" x14ac:dyDescent="0.25">
      <c r="A39" s="123">
        <f>Procurement_Raw!A39</f>
        <v>45887</v>
      </c>
      <c r="B39" t="str">
        <f>TRIM(Procurement_Raw!B39)</f>
        <v>S003</v>
      </c>
      <c r="C39" t="str">
        <f>Procurement_Raw!C39</f>
        <v>Leeds Care &amp; Education Centre</v>
      </c>
      <c r="D39" t="str">
        <f>Procurement_Raw!D39</f>
        <v>North</v>
      </c>
      <c r="E39" t="str">
        <f>IF(TRIM(Procurement_Raw!E39)="","",IFERROR(INDEX(Supplier_Lookup!$A$2:$A$25,MATCH(TRIM(Procurement_Raw!E39),Supplier_Lookup!$A$2:$A$25,0)),TRIM(Procurement_Raw!E39)))</f>
        <v>PowerDirect</v>
      </c>
      <c r="F39" t="str">
        <f>IFERROR(INDEX(Category_Targets!$A$2:$A$9,MATCH(TRIM(Procurement_Raw!F39),Category_Targets!$A$2:$A$9,0)),"Unmapped")</f>
        <v>Utilities</v>
      </c>
      <c r="G39" t="str">
        <f>TRIM(Procurement_Raw!G39)</f>
        <v>INV-2025-00038</v>
      </c>
      <c r="H39" s="77">
        <f>Procurement_Raw!H39</f>
        <v>18</v>
      </c>
      <c r="I39" s="124">
        <f>Procurement_Raw!I39</f>
        <v>85.08</v>
      </c>
      <c r="J39" s="125">
        <f>IF(Procurement_Raw!J39="","",Procurement_Raw!J39)</f>
        <v>1531.52</v>
      </c>
      <c r="K39" s="77">
        <f>Procurement_Raw!K39</f>
        <v>45</v>
      </c>
      <c r="L39" t="str">
        <f>Procurement_Raw!L39</f>
        <v>ERP</v>
      </c>
      <c r="M39" t="str">
        <f>Procurement_Raw!O39</f>
        <v>N</v>
      </c>
      <c r="N39" t="str">
        <f>IF(E39="","Missing supplier",IF(B39="","Missing site",IF(J39="","Missing spend",IF(COUNTIFS($G$2:G39,G39,$E$2:E39,E39,$J$2:J39,J39)&gt;1,"Duplicate invoice",IF(COUNTIF($G$2:$G$1801,G39)&gt;1,"Duplicate ID - review",IF(AND(P39&lt;&gt;"Unmapped",P39&lt;&gt;F39),"Category mismatch","OK"))))))</f>
        <v>OK</v>
      </c>
      <c r="O39" s="125">
        <f t="shared" si="0"/>
        <v>1531.52</v>
      </c>
      <c r="P39" t="str">
        <f>IF(E39="","Unmapped",IFERROR(INDEX(Supplier_Lookup!$B$2:$B$25,MATCH(E39,Supplier_Lookup!$A$2:$A$25,0)),"Unmapped"))</f>
        <v>Utilities</v>
      </c>
      <c r="Q39" s="76">
        <f>IFERROR(INDEX(Category_Targets!$B$2:$B$9,MATCH(F39,Category_Targets!$A$2:$A$9,0)),0)</f>
        <v>0.03</v>
      </c>
      <c r="R39" s="125">
        <f t="shared" si="1"/>
        <v>45.945599999999999</v>
      </c>
      <c r="S39" s="78">
        <f t="shared" si="2"/>
        <v>45870</v>
      </c>
      <c r="T39" t="str">
        <f>IFERROR(VLOOKUP(B39,Sites!$A$2:$D$21,4,FALSE()),"Unknown")</f>
        <v>Leeds</v>
      </c>
      <c r="U39" t="str">
        <f>IF(N39="OK","",COUNTIF($N$2:N39,"&lt;&gt;OK"))</f>
        <v/>
      </c>
      <c r="V39">
        <f>IF(OR(NOT(EXACT(E39,TRIM(Procurement_Raw!E39))),NOT(EXACT(F39,TRIM(Procurement_Raw!F39)))),1,0)</f>
        <v>0</v>
      </c>
    </row>
    <row r="40" spans="1:22" ht="15" customHeight="1" x14ac:dyDescent="0.25">
      <c r="A40" s="123">
        <f>Procurement_Raw!A40</f>
        <v>45696</v>
      </c>
      <c r="B40" t="str">
        <f>TRIM(Procurement_Raw!B40)</f>
        <v>S009</v>
      </c>
      <c r="C40" t="str">
        <f>Procurement_Raw!C40</f>
        <v>Derby Care &amp; Education Centre</v>
      </c>
      <c r="D40" t="str">
        <f>Procurement_Raw!D40</f>
        <v>Midlands</v>
      </c>
      <c r="E40" t="str">
        <f>IF(TRIM(Procurement_Raw!E40)="","",IFERROR(INDEX(Supplier_Lookup!$A$2:$A$25,MATCH(TRIM(Procurement_Raw!E40),Supplier_Lookup!$A$2:$A$25,0)),TRIM(Procurement_Raw!E40)))</f>
        <v>OfficePlus</v>
      </c>
      <c r="F40" t="str">
        <f>IFERROR(INDEX(Category_Targets!$A$2:$A$9,MATCH(TRIM(Procurement_Raw!F40),Category_Targets!$A$2:$A$9,0)),"Unmapped")</f>
        <v>Office &amp; Training</v>
      </c>
      <c r="G40" t="str">
        <f>TRIM(Procurement_Raw!G40)</f>
        <v>INV-2025-00039</v>
      </c>
      <c r="H40" s="77">
        <f>Procurement_Raw!H40</f>
        <v>57</v>
      </c>
      <c r="I40" s="124">
        <f>Procurement_Raw!I40</f>
        <v>36.130000000000003</v>
      </c>
      <c r="J40" s="125">
        <f>IF(Procurement_Raw!J40="","",Procurement_Raw!J40)</f>
        <v>2059.13</v>
      </c>
      <c r="K40" s="77">
        <f>Procurement_Raw!K40</f>
        <v>60</v>
      </c>
      <c r="L40" t="str">
        <f>Procurement_Raw!L40</f>
        <v>ERP</v>
      </c>
      <c r="M40" t="str">
        <f>Procurement_Raw!O40</f>
        <v>N</v>
      </c>
      <c r="N40" t="str">
        <f>IF(E40="","Missing supplier",IF(B40="","Missing site",IF(J40="","Missing spend",IF(COUNTIFS($G$2:G40,G40,$E$2:E40,E40,$J$2:J40,J40)&gt;1,"Duplicate invoice",IF(COUNTIF($G$2:$G$1801,G40)&gt;1,"Duplicate ID - review",IF(AND(P40&lt;&gt;"Unmapped",P40&lt;&gt;F40),"Category mismatch","OK"))))))</f>
        <v>OK</v>
      </c>
      <c r="O40" s="125">
        <f t="shared" si="0"/>
        <v>2059.13</v>
      </c>
      <c r="P40" t="str">
        <f>IF(E40="","Unmapped",IFERROR(INDEX(Supplier_Lookup!$B$2:$B$25,MATCH(E40,Supplier_Lookup!$A$2:$A$25,0)),"Unmapped"))</f>
        <v>Office &amp; Training</v>
      </c>
      <c r="Q40" s="76">
        <f>IFERROR(INDEX(Category_Targets!$B$2:$B$9,MATCH(F40,Category_Targets!$A$2:$A$9,0)),0)</f>
        <v>0.04</v>
      </c>
      <c r="R40" s="125">
        <f t="shared" si="1"/>
        <v>82.365200000000002</v>
      </c>
      <c r="S40" s="78">
        <f t="shared" si="2"/>
        <v>45689</v>
      </c>
      <c r="T40" t="str">
        <f>IFERROR(VLOOKUP(B40,Sites!$A$2:$D$21,4,FALSE()),"Unknown")</f>
        <v>Derby</v>
      </c>
      <c r="U40" t="str">
        <f>IF(N40="OK","",COUNTIF($N$2:N40,"&lt;&gt;OK"))</f>
        <v/>
      </c>
      <c r="V40">
        <f>IF(OR(NOT(EXACT(E40,TRIM(Procurement_Raw!E40))),NOT(EXACT(F40,TRIM(Procurement_Raw!F40)))),1,0)</f>
        <v>0</v>
      </c>
    </row>
    <row r="41" spans="1:22" ht="15" customHeight="1" x14ac:dyDescent="0.25">
      <c r="A41" s="123">
        <f>Procurement_Raw!A41</f>
        <v>45779</v>
      </c>
      <c r="B41" t="str">
        <f>TRIM(Procurement_Raw!B41)</f>
        <v>S012</v>
      </c>
      <c r="C41" t="str">
        <f>Procurement_Raw!C41</f>
        <v>Bristol Care &amp; Education Centre</v>
      </c>
      <c r="D41" t="str">
        <f>Procurement_Raw!D41</f>
        <v>South</v>
      </c>
      <c r="E41" t="str">
        <f>IF(TRIM(Procurement_Raw!E41)="","",IFERROR(INDEX(Supplier_Lookup!$A$2:$A$25,MATCH(TRIM(Procurement_Raw!E41),Supplier_Lookup!$A$2:$A$25,0)),TRIM(Procurement_Raw!E41)))</f>
        <v>MediSure</v>
      </c>
      <c r="F41" t="str">
        <f>IFERROR(INDEX(Category_Targets!$A$2:$A$9,MATCH(TRIM(Procurement_Raw!F41),Category_Targets!$A$2:$A$9,0)),"Unmapped")</f>
        <v>Medical Supplies</v>
      </c>
      <c r="G41" t="str">
        <f>TRIM(Procurement_Raw!G41)</f>
        <v>INV-2025-00040</v>
      </c>
      <c r="H41" s="77">
        <f>Procurement_Raw!H41</f>
        <v>22</v>
      </c>
      <c r="I41" s="124">
        <f>Procurement_Raw!I41</f>
        <v>133.72</v>
      </c>
      <c r="J41" s="125">
        <f>IF(Procurement_Raw!J41="","",Procurement_Raw!J41)</f>
        <v>2941.89</v>
      </c>
      <c r="K41" s="77">
        <f>Procurement_Raw!K41</f>
        <v>45</v>
      </c>
      <c r="L41" t="str">
        <f>Procurement_Raw!L41</f>
        <v>Procurement Portal</v>
      </c>
      <c r="M41" t="str">
        <f>Procurement_Raw!O41</f>
        <v>Y</v>
      </c>
      <c r="N41" t="str">
        <f>IF(E41="","Missing supplier",IF(B41="","Missing site",IF(J41="","Missing spend",IF(COUNTIFS($G$2:G41,G41,$E$2:E41,E41,$J$2:J41,J41)&gt;1,"Duplicate invoice",IF(COUNTIF($G$2:$G$1801,G41)&gt;1,"Duplicate ID - review",IF(AND(P41&lt;&gt;"Unmapped",P41&lt;&gt;F41),"Category mismatch","OK"))))))</f>
        <v>OK</v>
      </c>
      <c r="O41" s="125">
        <f t="shared" si="0"/>
        <v>2941.89</v>
      </c>
      <c r="P41" t="str">
        <f>IF(E41="","Unmapped",IFERROR(INDEX(Supplier_Lookup!$B$2:$B$25,MATCH(E41,Supplier_Lookup!$A$2:$A$25,0)),"Unmapped"))</f>
        <v>Medical Supplies</v>
      </c>
      <c r="Q41" s="76">
        <f>IFERROR(INDEX(Category_Targets!$B$2:$B$9,MATCH(F41,Category_Targets!$A$2:$A$9,0)),0)</f>
        <v>0.06</v>
      </c>
      <c r="R41" s="125">
        <f t="shared" si="1"/>
        <v>176.51339999999999</v>
      </c>
      <c r="S41" s="78">
        <f t="shared" si="2"/>
        <v>45778</v>
      </c>
      <c r="T41" t="str">
        <f>IFERROR(VLOOKUP(B41,Sites!$A$2:$D$21,4,FALSE()),"Unknown")</f>
        <v>Bristol</v>
      </c>
      <c r="U41" t="str">
        <f>IF(N41="OK","",COUNTIF($N$2:N41,"&lt;&gt;OK"))</f>
        <v/>
      </c>
      <c r="V41">
        <f>IF(OR(NOT(EXACT(E41,TRIM(Procurement_Raw!E41))),NOT(EXACT(F41,TRIM(Procurement_Raw!F41)))),1,0)</f>
        <v>0</v>
      </c>
    </row>
    <row r="42" spans="1:22" ht="15" customHeight="1" x14ac:dyDescent="0.25">
      <c r="A42" s="123">
        <f>Procurement_Raw!A42</f>
        <v>45688</v>
      </c>
      <c r="B42" t="str">
        <f>TRIM(Procurement_Raw!B42)</f>
        <v>S019</v>
      </c>
      <c r="C42" t="str">
        <f>Procurement_Raw!C42</f>
        <v>Wrexham Care &amp; Education Centre</v>
      </c>
      <c r="D42" t="str">
        <f>Procurement_Raw!D42</f>
        <v>Wales</v>
      </c>
      <c r="E42" t="str">
        <f>IF(TRIM(Procurement_Raw!E42)="","",IFERROR(INDEX(Supplier_Lookup!$A$2:$A$25,MATCH(TRIM(Procurement_Raw!E42),Supplier_Lookup!$A$2:$A$25,0)),TRIM(Procurement_Raw!E42)))</f>
        <v>WaterGrid</v>
      </c>
      <c r="F42" t="str">
        <f>IFERROR(INDEX(Category_Targets!$A$2:$A$9,MATCH(TRIM(Procurement_Raw!F42),Category_Targets!$A$2:$A$9,0)),"Unmapped")</f>
        <v>Utilities</v>
      </c>
      <c r="G42" t="str">
        <f>TRIM(Procurement_Raw!G42)</f>
        <v>INV-2025-00041</v>
      </c>
      <c r="H42" s="77">
        <f>Procurement_Raw!H42</f>
        <v>22</v>
      </c>
      <c r="I42" s="124">
        <f>Procurement_Raw!I42</f>
        <v>375.26</v>
      </c>
      <c r="J42" s="125">
        <f>IF(Procurement_Raw!J42="","",Procurement_Raw!J42)</f>
        <v>8255.7099999999991</v>
      </c>
      <c r="K42" s="77">
        <f>Procurement_Raw!K42</f>
        <v>45</v>
      </c>
      <c r="L42" t="str">
        <f>Procurement_Raw!L42</f>
        <v>ERP</v>
      </c>
      <c r="M42" t="str">
        <f>Procurement_Raw!O42</f>
        <v>N</v>
      </c>
      <c r="N42" t="str">
        <f>IF(E42="","Missing supplier",IF(B42="","Missing site",IF(J42="","Missing spend",IF(COUNTIFS($G$2:G42,G42,$E$2:E42,E42,$J$2:J42,J42)&gt;1,"Duplicate invoice",IF(COUNTIF($G$2:$G$1801,G42)&gt;1,"Duplicate ID - review",IF(AND(P42&lt;&gt;"Unmapped",P42&lt;&gt;F42),"Category mismatch","OK"))))))</f>
        <v>OK</v>
      </c>
      <c r="O42" s="125">
        <f t="shared" si="0"/>
        <v>8255.7099999999991</v>
      </c>
      <c r="P42" t="str">
        <f>IF(E42="","Unmapped",IFERROR(INDEX(Supplier_Lookup!$B$2:$B$25,MATCH(E42,Supplier_Lookup!$A$2:$A$25,0)),"Unmapped"))</f>
        <v>Utilities</v>
      </c>
      <c r="Q42" s="76">
        <f>IFERROR(INDEX(Category_Targets!$B$2:$B$9,MATCH(F42,Category_Targets!$A$2:$A$9,0)),0)</f>
        <v>0.03</v>
      </c>
      <c r="R42" s="125">
        <f t="shared" si="1"/>
        <v>247.67129999999997</v>
      </c>
      <c r="S42" s="78">
        <f t="shared" si="2"/>
        <v>45658</v>
      </c>
      <c r="T42" t="str">
        <f>IFERROR(VLOOKUP(B42,Sites!$A$2:$D$21,4,FALSE()),"Unknown")</f>
        <v>Wrexham</v>
      </c>
      <c r="U42" t="str">
        <f>IF(N42="OK","",COUNTIF($N$2:N42,"&lt;&gt;OK"))</f>
        <v/>
      </c>
      <c r="V42">
        <f>IF(OR(NOT(EXACT(E42,TRIM(Procurement_Raw!E42))),NOT(EXACT(F42,TRIM(Procurement_Raw!F42)))),1,0)</f>
        <v>0</v>
      </c>
    </row>
    <row r="43" spans="1:22" ht="15" customHeight="1" x14ac:dyDescent="0.25">
      <c r="A43" s="123">
        <f>Procurement_Raw!A43</f>
        <v>45804</v>
      </c>
      <c r="B43" t="str">
        <f>TRIM(Procurement_Raw!B43)</f>
        <v>S002</v>
      </c>
      <c r="C43" t="str">
        <f>Procurement_Raw!C43</f>
        <v>Manchester Care &amp; Education Centre</v>
      </c>
      <c r="D43" t="str">
        <f>Procurement_Raw!D43</f>
        <v>North</v>
      </c>
      <c r="E43" t="str">
        <f>IF(TRIM(Procurement_Raw!E43)="","",IFERROR(INDEX(Supplier_Lookup!$A$2:$A$25,MATCH(TRIM(Procurement_Raw!E43),Supplier_Lookup!$A$2:$A$25,0)),TRIM(Procurement_Raw!E43)))</f>
        <v>TeleCare IT</v>
      </c>
      <c r="F43" t="str">
        <f>IFERROR(INDEX(Category_Targets!$A$2:$A$9,MATCH(TRIM(Procurement_Raw!F43),Category_Targets!$A$2:$A$9,0)),"Unmapped")</f>
        <v>IT &amp; Telecoms</v>
      </c>
      <c r="G43" t="str">
        <f>TRIM(Procurement_Raw!G43)</f>
        <v>INV-2025-00042</v>
      </c>
      <c r="H43" s="77">
        <f>Procurement_Raw!H43</f>
        <v>55</v>
      </c>
      <c r="I43" s="124">
        <f>Procurement_Raw!I43</f>
        <v>241.74</v>
      </c>
      <c r="J43" s="125">
        <f>IF(Procurement_Raw!J43="","",Procurement_Raw!J43)</f>
        <v>13295.93</v>
      </c>
      <c r="K43" s="77">
        <f>Procurement_Raw!K43</f>
        <v>60</v>
      </c>
      <c r="L43" t="str">
        <f>Procurement_Raw!L43</f>
        <v>Legacy Spend File</v>
      </c>
      <c r="M43" t="str">
        <f>Procurement_Raw!O43</f>
        <v>N</v>
      </c>
      <c r="N43" t="str">
        <f>IF(E43="","Missing supplier",IF(B43="","Missing site",IF(J43="","Missing spend",IF(COUNTIFS($G$2:G43,G43,$E$2:E43,E43,$J$2:J43,J43)&gt;1,"Duplicate invoice",IF(COUNTIF($G$2:$G$1801,G43)&gt;1,"Duplicate ID - review",IF(AND(P43&lt;&gt;"Unmapped",P43&lt;&gt;F43),"Category mismatch","OK"))))))</f>
        <v>OK</v>
      </c>
      <c r="O43" s="125">
        <f t="shared" si="0"/>
        <v>13295.93</v>
      </c>
      <c r="P43" t="str">
        <f>IF(E43="","Unmapped",IFERROR(INDEX(Supplier_Lookup!$B$2:$B$25,MATCH(E43,Supplier_Lookup!$A$2:$A$25,0)),"Unmapped"))</f>
        <v>IT &amp; Telecoms</v>
      </c>
      <c r="Q43" s="76">
        <f>IFERROR(INDEX(Category_Targets!$B$2:$B$9,MATCH(F43,Category_Targets!$A$2:$A$9,0)),0)</f>
        <v>0.08</v>
      </c>
      <c r="R43" s="125">
        <f t="shared" si="1"/>
        <v>1063.6744000000001</v>
      </c>
      <c r="S43" s="78">
        <f t="shared" si="2"/>
        <v>45778</v>
      </c>
      <c r="T43" t="str">
        <f>IFERROR(VLOOKUP(B43,Sites!$A$2:$D$21,4,FALSE()),"Unknown")</f>
        <v>Manchester</v>
      </c>
      <c r="U43" t="str">
        <f>IF(N43="OK","",COUNTIF($N$2:N43,"&lt;&gt;OK"))</f>
        <v/>
      </c>
      <c r="V43">
        <f>IF(OR(NOT(EXACT(E43,TRIM(Procurement_Raw!E43))),NOT(EXACT(F43,TRIM(Procurement_Raw!F43)))),1,0)</f>
        <v>0</v>
      </c>
    </row>
    <row r="44" spans="1:22" ht="15" customHeight="1" x14ac:dyDescent="0.25">
      <c r="A44" s="123">
        <f>Procurement_Raw!A44</f>
        <v>45755</v>
      </c>
      <c r="B44" t="str">
        <f>TRIM(Procurement_Raw!B44)</f>
        <v>S006</v>
      </c>
      <c r="C44" t="str">
        <f>Procurement_Raw!C44</f>
        <v>Birmingham Care &amp; Education Centre</v>
      </c>
      <c r="D44" t="str">
        <f>Procurement_Raw!D44</f>
        <v>Midlands</v>
      </c>
      <c r="E44" t="str">
        <f>IF(TRIM(Procurement_Raw!E44)="","",IFERROR(INDEX(Supplier_Lookup!$A$2:$A$25,MATCH(TRIM(Procurement_Raw!E44),Supplier_Lookup!$A$2:$A$25,0)),TRIM(Procurement_Raw!E44)))</f>
        <v>OfficePlus</v>
      </c>
      <c r="F44" t="str">
        <f>IFERROR(INDEX(Category_Targets!$A$2:$A$9,MATCH(TRIM(Procurement_Raw!F44),Category_Targets!$A$2:$A$9,0)),"Unmapped")</f>
        <v>Office &amp; Training</v>
      </c>
      <c r="G44" t="str">
        <f>TRIM(Procurement_Raw!G44)</f>
        <v>INV-2025-00043</v>
      </c>
      <c r="H44" s="77">
        <f>Procurement_Raw!H44</f>
        <v>38</v>
      </c>
      <c r="I44" s="124">
        <f>Procurement_Raw!I44</f>
        <v>70.38</v>
      </c>
      <c r="J44" s="125">
        <f>IF(Procurement_Raw!J44="","",Procurement_Raw!J44)</f>
        <v>2674.37</v>
      </c>
      <c r="K44" s="77">
        <f>Procurement_Raw!K44</f>
        <v>30</v>
      </c>
      <c r="L44" t="str">
        <f>Procurement_Raw!L44</f>
        <v>ERP</v>
      </c>
      <c r="M44" t="str">
        <f>Procurement_Raw!O44</f>
        <v>N</v>
      </c>
      <c r="N44" t="str">
        <f>IF(E44="","Missing supplier",IF(B44="","Missing site",IF(J44="","Missing spend",IF(COUNTIFS($G$2:G44,G44,$E$2:E44,E44,$J$2:J44,J44)&gt;1,"Duplicate invoice",IF(COUNTIF($G$2:$G$1801,G44)&gt;1,"Duplicate ID - review",IF(AND(P44&lt;&gt;"Unmapped",P44&lt;&gt;F44),"Category mismatch","OK"))))))</f>
        <v>OK</v>
      </c>
      <c r="O44" s="125">
        <f t="shared" si="0"/>
        <v>2674.37</v>
      </c>
      <c r="P44" t="str">
        <f>IF(E44="","Unmapped",IFERROR(INDEX(Supplier_Lookup!$B$2:$B$25,MATCH(E44,Supplier_Lookup!$A$2:$A$25,0)),"Unmapped"))</f>
        <v>Office &amp; Training</v>
      </c>
      <c r="Q44" s="76">
        <f>IFERROR(INDEX(Category_Targets!$B$2:$B$9,MATCH(F44,Category_Targets!$A$2:$A$9,0)),0)</f>
        <v>0.04</v>
      </c>
      <c r="R44" s="125">
        <f t="shared" si="1"/>
        <v>106.9748</v>
      </c>
      <c r="S44" s="78">
        <f t="shared" si="2"/>
        <v>45748</v>
      </c>
      <c r="T44" t="str">
        <f>IFERROR(VLOOKUP(B44,Sites!$A$2:$D$21,4,FALSE()),"Unknown")</f>
        <v>Birmingham</v>
      </c>
      <c r="U44" t="str">
        <f>IF(N44="OK","",COUNTIF($N$2:N44,"&lt;&gt;OK"))</f>
        <v/>
      </c>
      <c r="V44">
        <f>IF(OR(NOT(EXACT(E44,TRIM(Procurement_Raw!E44))),NOT(EXACT(F44,TRIM(Procurement_Raw!F44)))),1,0)</f>
        <v>0</v>
      </c>
    </row>
    <row r="45" spans="1:22" ht="15" customHeight="1" x14ac:dyDescent="0.25">
      <c r="A45" s="123">
        <f>Procurement_Raw!A45</f>
        <v>45818</v>
      </c>
      <c r="B45" t="str">
        <f>TRIM(Procurement_Raw!B45)</f>
        <v>S002</v>
      </c>
      <c r="C45" t="str">
        <f>Procurement_Raw!C45</f>
        <v>Manchester Care &amp; Education Centre</v>
      </c>
      <c r="D45" t="str">
        <f>Procurement_Raw!D45</f>
        <v>North</v>
      </c>
      <c r="E45" t="str">
        <f>IF(TRIM(Procurement_Raw!E45)="","",IFERROR(INDEX(Supplier_Lookup!$A$2:$A$25,MATCH(TRIM(Procurement_Raw!E45),Supplier_Lookup!$A$2:$A$25,0)),TRIM(Procurement_Raw!E45)))</f>
        <v>ClinEquip</v>
      </c>
      <c r="F45" t="str">
        <f>IFERROR(INDEX(Category_Targets!$A$2:$A$9,MATCH(TRIM(Procurement_Raw!F45),Category_Targets!$A$2:$A$9,0)),"Unmapped")</f>
        <v>Medical Supplies</v>
      </c>
      <c r="G45" t="str">
        <f>TRIM(Procurement_Raw!G45)</f>
        <v>INV-2025-00044</v>
      </c>
      <c r="H45" s="77">
        <f>Procurement_Raw!H45</f>
        <v>8</v>
      </c>
      <c r="I45" s="124">
        <f>Procurement_Raw!I45</f>
        <v>101.69</v>
      </c>
      <c r="J45" s="125">
        <f>IF(Procurement_Raw!J45="","",Procurement_Raw!J45)</f>
        <v>813.48</v>
      </c>
      <c r="K45" s="77">
        <f>Procurement_Raw!K45</f>
        <v>30</v>
      </c>
      <c r="L45" t="str">
        <f>Procurement_Raw!L45</f>
        <v>Legacy Spend File</v>
      </c>
      <c r="M45" t="str">
        <f>Procurement_Raw!O45</f>
        <v>N</v>
      </c>
      <c r="N45" t="str">
        <f>IF(E45="","Missing supplier",IF(B45="","Missing site",IF(J45="","Missing spend",IF(COUNTIFS($G$2:G45,G45,$E$2:E45,E45,$J$2:J45,J45)&gt;1,"Duplicate invoice",IF(COUNTIF($G$2:$G$1801,G45)&gt;1,"Duplicate ID - review",IF(AND(P45&lt;&gt;"Unmapped",P45&lt;&gt;F45),"Category mismatch","OK"))))))</f>
        <v>OK</v>
      </c>
      <c r="O45" s="125">
        <f t="shared" si="0"/>
        <v>813.48</v>
      </c>
      <c r="P45" t="str">
        <f>IF(E45="","Unmapped",IFERROR(INDEX(Supplier_Lookup!$B$2:$B$25,MATCH(E45,Supplier_Lookup!$A$2:$A$25,0)),"Unmapped"))</f>
        <v>Medical Supplies</v>
      </c>
      <c r="Q45" s="76">
        <f>IFERROR(INDEX(Category_Targets!$B$2:$B$9,MATCH(F45,Category_Targets!$A$2:$A$9,0)),0)</f>
        <v>0.06</v>
      </c>
      <c r="R45" s="125">
        <f t="shared" si="1"/>
        <v>48.808799999999998</v>
      </c>
      <c r="S45" s="78">
        <f t="shared" si="2"/>
        <v>45809</v>
      </c>
      <c r="T45" t="str">
        <f>IFERROR(VLOOKUP(B45,Sites!$A$2:$D$21,4,FALSE()),"Unknown")</f>
        <v>Manchester</v>
      </c>
      <c r="U45" t="str">
        <f>IF(N45="OK","",COUNTIF($N$2:N45,"&lt;&gt;OK"))</f>
        <v/>
      </c>
      <c r="V45">
        <f>IF(OR(NOT(EXACT(E45,TRIM(Procurement_Raw!E45))),NOT(EXACT(F45,TRIM(Procurement_Raw!F45)))),1,0)</f>
        <v>0</v>
      </c>
    </row>
    <row r="46" spans="1:22" ht="15" customHeight="1" x14ac:dyDescent="0.25">
      <c r="A46" s="123">
        <f>Procurement_Raw!A46</f>
        <v>45918</v>
      </c>
      <c r="B46" t="str">
        <f>TRIM(Procurement_Raw!B46)</f>
        <v>S001</v>
      </c>
      <c r="C46" t="str">
        <f>Procurement_Raw!C46</f>
        <v>Preston Care &amp; Education Centre</v>
      </c>
      <c r="D46" t="str">
        <f>Procurement_Raw!D46</f>
        <v>North</v>
      </c>
      <c r="E46" t="str">
        <f>IF(TRIM(Procurement_Raw!E46)="","",IFERROR(INDEX(Supplier_Lookup!$A$2:$A$25,MATCH(TRIM(Procurement_Raw!E46),Supplier_Lookup!$A$2:$A$25,0)),TRIM(Procurement_Raw!E46)))</f>
        <v>CleanWorks</v>
      </c>
      <c r="F46" t="str">
        <f>IFERROR(INDEX(Category_Targets!$A$2:$A$9,MATCH(TRIM(Procurement_Raw!F46),Category_Targets!$A$2:$A$9,0)),"Unmapped")</f>
        <v>Facilities</v>
      </c>
      <c r="G46" t="str">
        <f>TRIM(Procurement_Raw!G46)</f>
        <v>INV-2025-00045</v>
      </c>
      <c r="H46" s="77">
        <f>Procurement_Raw!H46</f>
        <v>11</v>
      </c>
      <c r="I46" s="124">
        <f>Procurement_Raw!I46</f>
        <v>79.819999999999993</v>
      </c>
      <c r="J46" s="125">
        <f>IF(Procurement_Raw!J46="","",Procurement_Raw!J46)</f>
        <v>878.02</v>
      </c>
      <c r="K46" s="77">
        <f>Procurement_Raw!K46</f>
        <v>30</v>
      </c>
      <c r="L46" t="str">
        <f>Procurement_Raw!L46</f>
        <v>ERP</v>
      </c>
      <c r="M46" t="str">
        <f>Procurement_Raw!O46</f>
        <v>Y</v>
      </c>
      <c r="N46" t="str">
        <f>IF(E46="","Missing supplier",IF(B46="","Missing site",IF(J46="","Missing spend",IF(COUNTIFS($G$2:G46,G46,$E$2:E46,E46,$J$2:J46,J46)&gt;1,"Duplicate invoice",IF(COUNTIF($G$2:$G$1801,G46)&gt;1,"Duplicate ID - review",IF(AND(P46&lt;&gt;"Unmapped",P46&lt;&gt;F46),"Category mismatch","OK"))))))</f>
        <v>OK</v>
      </c>
      <c r="O46" s="125">
        <f t="shared" si="0"/>
        <v>878.02</v>
      </c>
      <c r="P46" t="str">
        <f>IF(E46="","Unmapped",IFERROR(INDEX(Supplier_Lookup!$B$2:$B$25,MATCH(E46,Supplier_Lookup!$A$2:$A$25,0)),"Unmapped"))</f>
        <v>Facilities</v>
      </c>
      <c r="Q46" s="76">
        <f>IFERROR(INDEX(Category_Targets!$B$2:$B$9,MATCH(F46,Category_Targets!$A$2:$A$9,0)),0)</f>
        <v>0.05</v>
      </c>
      <c r="R46" s="125">
        <f t="shared" si="1"/>
        <v>43.901000000000003</v>
      </c>
      <c r="S46" s="78">
        <f t="shared" si="2"/>
        <v>45901</v>
      </c>
      <c r="T46" t="str">
        <f>IFERROR(VLOOKUP(B46,Sites!$A$2:$D$21,4,FALSE()),"Unknown")</f>
        <v>Preston</v>
      </c>
      <c r="U46" t="str">
        <f>IF(N46="OK","",COUNTIF($N$2:N46,"&lt;&gt;OK"))</f>
        <v/>
      </c>
      <c r="V46">
        <f>IF(OR(NOT(EXACT(E46,TRIM(Procurement_Raw!E46))),NOT(EXACT(F46,TRIM(Procurement_Raw!F46)))),1,0)</f>
        <v>0</v>
      </c>
    </row>
    <row r="47" spans="1:22" ht="15" customHeight="1" x14ac:dyDescent="0.25">
      <c r="A47" s="123">
        <f>Procurement_Raw!A47</f>
        <v>45778</v>
      </c>
      <c r="B47" t="str">
        <f>TRIM(Procurement_Raw!B47)</f>
        <v>S018</v>
      </c>
      <c r="C47" t="str">
        <f>Procurement_Raw!C47</f>
        <v>Newport Care &amp; Education Centre</v>
      </c>
      <c r="D47" t="str">
        <f>Procurement_Raw!D47</f>
        <v>Wales</v>
      </c>
      <c r="E47" t="str">
        <f>IF(TRIM(Procurement_Raw!E47)="","",IFERROR(INDEX(Supplier_Lookup!$A$2:$A$25,MATCH(TRIM(Procurement_Raw!E47),Supplier_Lookup!$A$2:$A$25,0)),TRIM(Procurement_Raw!E47)))</f>
        <v>KitchenPro</v>
      </c>
      <c r="F47" t="str">
        <f>IFERROR(INDEX(Category_Targets!$A$2:$A$9,MATCH(TRIM(Procurement_Raw!F47),Category_Targets!$A$2:$A$9,0)),"Unmapped")</f>
        <v>Food &amp; Catering</v>
      </c>
      <c r="G47" t="str">
        <f>TRIM(Procurement_Raw!G47)</f>
        <v>INV-2025-00046</v>
      </c>
      <c r="H47" s="77">
        <f>Procurement_Raw!H47</f>
        <v>52</v>
      </c>
      <c r="I47" s="124">
        <f>Procurement_Raw!I47</f>
        <v>43.75</v>
      </c>
      <c r="J47" s="125">
        <f>IF(Procurement_Raw!J47="","",Procurement_Raw!J47)</f>
        <v>2274.96</v>
      </c>
      <c r="K47" s="77">
        <f>Procurement_Raw!K47</f>
        <v>30</v>
      </c>
      <c r="L47" t="str">
        <f>Procurement_Raw!L47</f>
        <v>Legacy Spend File</v>
      </c>
      <c r="M47" t="str">
        <f>Procurement_Raw!O47</f>
        <v>N</v>
      </c>
      <c r="N47" t="str">
        <f>IF(E47="","Missing supplier",IF(B47="","Missing site",IF(J47="","Missing spend",IF(COUNTIFS($G$2:G47,G47,$E$2:E47,E47,$J$2:J47,J47)&gt;1,"Duplicate invoice",IF(COUNTIF($G$2:$G$1801,G47)&gt;1,"Duplicate ID - review",IF(AND(P47&lt;&gt;"Unmapped",P47&lt;&gt;F47),"Category mismatch","OK"))))))</f>
        <v>OK</v>
      </c>
      <c r="O47" s="125">
        <f t="shared" si="0"/>
        <v>2274.96</v>
      </c>
      <c r="P47" t="str">
        <f>IF(E47="","Unmapped",IFERROR(INDEX(Supplier_Lookup!$B$2:$B$25,MATCH(E47,Supplier_Lookup!$A$2:$A$25,0)),"Unmapped"))</f>
        <v>Food &amp; Catering</v>
      </c>
      <c r="Q47" s="76">
        <f>IFERROR(INDEX(Category_Targets!$B$2:$B$9,MATCH(F47,Category_Targets!$A$2:$A$9,0)),0)</f>
        <v>0.04</v>
      </c>
      <c r="R47" s="125">
        <f t="shared" si="1"/>
        <v>90.998400000000004</v>
      </c>
      <c r="S47" s="78">
        <f t="shared" si="2"/>
        <v>45778</v>
      </c>
      <c r="T47" t="str">
        <f>IFERROR(VLOOKUP(B47,Sites!$A$2:$D$21,4,FALSE()),"Unknown")</f>
        <v>Newport</v>
      </c>
      <c r="U47" t="str">
        <f>IF(N47="OK","",COUNTIF($N$2:N47,"&lt;&gt;OK"))</f>
        <v/>
      </c>
      <c r="V47">
        <f>IF(OR(NOT(EXACT(E47,TRIM(Procurement_Raw!E47))),NOT(EXACT(F47,TRIM(Procurement_Raw!F47)))),1,0)</f>
        <v>0</v>
      </c>
    </row>
    <row r="48" spans="1:22" ht="15" customHeight="1" x14ac:dyDescent="0.25">
      <c r="A48" s="123">
        <f>Procurement_Raw!A48</f>
        <v>45699</v>
      </c>
      <c r="B48" t="str">
        <f>TRIM(Procurement_Raw!B48)</f>
        <v>S005</v>
      </c>
      <c r="C48" t="str">
        <f>Procurement_Raw!C48</f>
        <v>Sheffield Care &amp; Education Centre</v>
      </c>
      <c r="D48" t="str">
        <f>Procurement_Raw!D48</f>
        <v>North</v>
      </c>
      <c r="E48" t="str">
        <f>IF(TRIM(Procurement_Raw!E48)="","",IFERROR(INDEX(Supplier_Lookup!$A$2:$A$25,MATCH(TRIM(Procurement_Raw!E48),Supplier_Lookup!$A$2:$A$25,0)),TRIM(Procurement_Raw!E48)))</f>
        <v>ClinEquip</v>
      </c>
      <c r="F48" t="str">
        <f>IFERROR(INDEX(Category_Targets!$A$2:$A$9,MATCH(TRIM(Procurement_Raw!F48),Category_Targets!$A$2:$A$9,0)),"Unmapped")</f>
        <v>Medical Supplies</v>
      </c>
      <c r="G48" t="str">
        <f>TRIM(Procurement_Raw!G48)</f>
        <v>INV-2025-00047</v>
      </c>
      <c r="H48" s="77">
        <f>Procurement_Raw!H48</f>
        <v>54</v>
      </c>
      <c r="I48" s="124">
        <f>Procurement_Raw!I48</f>
        <v>93.14</v>
      </c>
      <c r="J48" s="125">
        <f>IF(Procurement_Raw!J48="","",Procurement_Raw!J48)</f>
        <v>5029.74</v>
      </c>
      <c r="K48" s="77">
        <f>Procurement_Raw!K48</f>
        <v>60</v>
      </c>
      <c r="L48" t="str">
        <f>Procurement_Raw!L48</f>
        <v>Legacy Spend File</v>
      </c>
      <c r="M48" t="str">
        <f>Procurement_Raw!O48</f>
        <v>N</v>
      </c>
      <c r="N48" t="str">
        <f>IF(E48="","Missing supplier",IF(B48="","Missing site",IF(J48="","Missing spend",IF(COUNTIFS($G$2:G48,G48,$E$2:E48,E48,$J$2:J48,J48)&gt;1,"Duplicate invoice",IF(COUNTIF($G$2:$G$1801,G48)&gt;1,"Duplicate ID - review",IF(AND(P48&lt;&gt;"Unmapped",P48&lt;&gt;F48),"Category mismatch","OK"))))))</f>
        <v>OK</v>
      </c>
      <c r="O48" s="125">
        <f t="shared" si="0"/>
        <v>5029.74</v>
      </c>
      <c r="P48" t="str">
        <f>IF(E48="","Unmapped",IFERROR(INDEX(Supplier_Lookup!$B$2:$B$25,MATCH(E48,Supplier_Lookup!$A$2:$A$25,0)),"Unmapped"))</f>
        <v>Medical Supplies</v>
      </c>
      <c r="Q48" s="76">
        <f>IFERROR(INDEX(Category_Targets!$B$2:$B$9,MATCH(F48,Category_Targets!$A$2:$A$9,0)),0)</f>
        <v>0.06</v>
      </c>
      <c r="R48" s="125">
        <f t="shared" si="1"/>
        <v>301.78439999999995</v>
      </c>
      <c r="S48" s="78">
        <f t="shared" si="2"/>
        <v>45689</v>
      </c>
      <c r="T48" t="str">
        <f>IFERROR(VLOOKUP(B48,Sites!$A$2:$D$21,4,FALSE()),"Unknown")</f>
        <v>Sheffield</v>
      </c>
      <c r="U48" t="str">
        <f>IF(N48="OK","",COUNTIF($N$2:N48,"&lt;&gt;OK"))</f>
        <v/>
      </c>
      <c r="V48">
        <f>IF(OR(NOT(EXACT(E48,TRIM(Procurement_Raw!E48))),NOT(EXACT(F48,TRIM(Procurement_Raw!F48)))),1,0)</f>
        <v>0</v>
      </c>
    </row>
    <row r="49" spans="1:22" ht="15" customHeight="1" x14ac:dyDescent="0.25">
      <c r="A49" s="123">
        <f>Procurement_Raw!A49</f>
        <v>45762</v>
      </c>
      <c r="B49" t="str">
        <f>TRIM(Procurement_Raw!B49)</f>
        <v>S010</v>
      </c>
      <c r="C49" t="str">
        <f>Procurement_Raw!C49</f>
        <v>Coventry Care &amp; Education Centre</v>
      </c>
      <c r="D49" t="str">
        <f>Procurement_Raw!D49</f>
        <v>Midlands</v>
      </c>
      <c r="E49" t="str">
        <f>IF(TRIM(Procurement_Raw!E49)="","",IFERROR(INDEX(Supplier_Lookup!$A$2:$A$25,MATCH(TRIM(Procurement_Raw!E49),Supplier_Lookup!$A$2:$A$25,0)),TRIM(Procurement_Raw!E49)))</f>
        <v>RoadReady</v>
      </c>
      <c r="F49" t="str">
        <f>IFERROR(INDEX(Category_Targets!$A$2:$A$9,MATCH(TRIM(Procurement_Raw!F49),Category_Targets!$A$2:$A$9,0)),"Unmapped")</f>
        <v>Vehicle &amp; Fuel</v>
      </c>
      <c r="G49" t="str">
        <f>TRIM(Procurement_Raw!G49)</f>
        <v>INV-2025-00048</v>
      </c>
      <c r="H49" s="77">
        <f>Procurement_Raw!H49</f>
        <v>41</v>
      </c>
      <c r="I49" s="124">
        <f>Procurement_Raw!I49</f>
        <v>169.91</v>
      </c>
      <c r="J49" s="125">
        <f>IF(Procurement_Raw!J49="","",Procurement_Raw!J49)</f>
        <v>6966.49</v>
      </c>
      <c r="K49" s="77">
        <f>Procurement_Raw!K49</f>
        <v>30</v>
      </c>
      <c r="L49" t="str">
        <f>Procurement_Raw!L49</f>
        <v>Procurement Portal</v>
      </c>
      <c r="M49" t="str">
        <f>Procurement_Raw!O49</f>
        <v>N</v>
      </c>
      <c r="N49" t="str">
        <f>IF(E49="","Missing supplier",IF(B49="","Missing site",IF(J49="","Missing spend",IF(COUNTIFS($G$2:G49,G49,$E$2:E49,E49,$J$2:J49,J49)&gt;1,"Duplicate invoice",IF(COUNTIF($G$2:$G$1801,G49)&gt;1,"Duplicate ID - review",IF(AND(P49&lt;&gt;"Unmapped",P49&lt;&gt;F49),"Category mismatch","OK"))))))</f>
        <v>OK</v>
      </c>
      <c r="O49" s="125">
        <f t="shared" si="0"/>
        <v>6966.49</v>
      </c>
      <c r="P49" t="str">
        <f>IF(E49="","Unmapped",IFERROR(INDEX(Supplier_Lookup!$B$2:$B$25,MATCH(E49,Supplier_Lookup!$A$2:$A$25,0)),"Unmapped"))</f>
        <v>Vehicle &amp; Fuel</v>
      </c>
      <c r="Q49" s="76">
        <f>IFERROR(INDEX(Category_Targets!$B$2:$B$9,MATCH(F49,Category_Targets!$A$2:$A$9,0)),0)</f>
        <v>0.05</v>
      </c>
      <c r="R49" s="125">
        <f t="shared" si="1"/>
        <v>348.3245</v>
      </c>
      <c r="S49" s="78">
        <f t="shared" si="2"/>
        <v>45748</v>
      </c>
      <c r="T49" t="str">
        <f>IFERROR(VLOOKUP(B49,Sites!$A$2:$D$21,4,FALSE()),"Unknown")</f>
        <v>Coventry</v>
      </c>
      <c r="U49" t="str">
        <f>IF(N49="OK","",COUNTIF($N$2:N49,"&lt;&gt;OK"))</f>
        <v/>
      </c>
      <c r="V49">
        <f>IF(OR(NOT(EXACT(E49,TRIM(Procurement_Raw!E49))),NOT(EXACT(F49,TRIM(Procurement_Raw!F49)))),1,0)</f>
        <v>0</v>
      </c>
    </row>
    <row r="50" spans="1:22" ht="15" customHeight="1" x14ac:dyDescent="0.25">
      <c r="A50" s="123">
        <f>Procurement_Raw!A50</f>
        <v>45988</v>
      </c>
      <c r="B50" t="str">
        <f>TRIM(Procurement_Raw!B50)</f>
        <v>S005</v>
      </c>
      <c r="C50" t="str">
        <f>Procurement_Raw!C50</f>
        <v>Sheffield Care &amp; Education Centre</v>
      </c>
      <c r="D50" t="str">
        <f>Procurement_Raw!D50</f>
        <v>North</v>
      </c>
      <c r="E50" t="str">
        <f>IF(TRIM(Procurement_Raw!E50)="","",IFERROR(INDEX(Supplier_Lookup!$A$2:$A$25,MATCH(TRIM(Procurement_Raw!E50),Supplier_Lookup!$A$2:$A$25,0)),TRIM(Procurement_Raw!E50)))</f>
        <v>BuildCare</v>
      </c>
      <c r="F50" t="str">
        <f>IFERROR(INDEX(Category_Targets!$A$2:$A$9,MATCH(TRIM(Procurement_Raw!F50),Category_Targets!$A$2:$A$9,0)),"Unmapped")</f>
        <v>Facilities</v>
      </c>
      <c r="G50" t="str">
        <f>TRIM(Procurement_Raw!G50)</f>
        <v>INV-2025-00049</v>
      </c>
      <c r="H50" s="77">
        <f>Procurement_Raw!H50</f>
        <v>39</v>
      </c>
      <c r="I50" s="124">
        <f>Procurement_Raw!I50</f>
        <v>217.45</v>
      </c>
      <c r="J50" s="125">
        <f>IF(Procurement_Raw!J50="","",Procurement_Raw!J50)</f>
        <v>8480.36</v>
      </c>
      <c r="K50" s="77">
        <f>Procurement_Raw!K50</f>
        <v>45</v>
      </c>
      <c r="L50" t="str">
        <f>Procurement_Raw!L50</f>
        <v>Procurement Portal</v>
      </c>
      <c r="M50" t="str">
        <f>Procurement_Raw!O50</f>
        <v>N</v>
      </c>
      <c r="N50" t="str">
        <f>IF(E50="","Missing supplier",IF(B50="","Missing site",IF(J50="","Missing spend",IF(COUNTIFS($G$2:G50,G50,$E$2:E50,E50,$J$2:J50,J50)&gt;1,"Duplicate invoice",IF(COUNTIF($G$2:$G$1801,G50)&gt;1,"Duplicate ID - review",IF(AND(P50&lt;&gt;"Unmapped",P50&lt;&gt;F50),"Category mismatch","OK"))))))</f>
        <v>OK</v>
      </c>
      <c r="O50" s="125">
        <f t="shared" si="0"/>
        <v>8480.36</v>
      </c>
      <c r="P50" t="str">
        <f>IF(E50="","Unmapped",IFERROR(INDEX(Supplier_Lookup!$B$2:$B$25,MATCH(E50,Supplier_Lookup!$A$2:$A$25,0)),"Unmapped"))</f>
        <v>Facilities</v>
      </c>
      <c r="Q50" s="76">
        <f>IFERROR(INDEX(Category_Targets!$B$2:$B$9,MATCH(F50,Category_Targets!$A$2:$A$9,0)),0)</f>
        <v>0.05</v>
      </c>
      <c r="R50" s="125">
        <f t="shared" si="1"/>
        <v>424.01800000000003</v>
      </c>
      <c r="S50" s="78">
        <f t="shared" si="2"/>
        <v>45962</v>
      </c>
      <c r="T50" t="str">
        <f>IFERROR(VLOOKUP(B50,Sites!$A$2:$D$21,4,FALSE()),"Unknown")</f>
        <v>Sheffield</v>
      </c>
      <c r="U50" t="str">
        <f>IF(N50="OK","",COUNTIF($N$2:N50,"&lt;&gt;OK"))</f>
        <v/>
      </c>
      <c r="V50">
        <f>IF(OR(NOT(EXACT(E50,TRIM(Procurement_Raw!E50))),NOT(EXACT(F50,TRIM(Procurement_Raw!F50)))),1,0)</f>
        <v>0</v>
      </c>
    </row>
    <row r="51" spans="1:22" ht="15" customHeight="1" x14ac:dyDescent="0.25">
      <c r="A51" s="123">
        <f>Procurement_Raw!A51</f>
        <v>45892</v>
      </c>
      <c r="B51" t="str">
        <f>TRIM(Procurement_Raw!B51)</f>
        <v>S009</v>
      </c>
      <c r="C51" t="str">
        <f>Procurement_Raw!C51</f>
        <v>Derby Care &amp; Education Centre</v>
      </c>
      <c r="D51" t="str">
        <f>Procurement_Raw!D51</f>
        <v>Midlands</v>
      </c>
      <c r="E51" t="str">
        <f>IF(TRIM(Procurement_Raw!E51)="","",IFERROR(INDEX(Supplier_Lookup!$A$2:$A$25,MATCH(TRIM(Procurement_Raw!E51),Supplier_Lookup!$A$2:$A$25,0)),TRIM(Procurement_Raw!E51)))</f>
        <v>FreshServe</v>
      </c>
      <c r="F51" t="str">
        <f>IFERROR(INDEX(Category_Targets!$A$2:$A$9,MATCH(TRIM(Procurement_Raw!F51),Category_Targets!$A$2:$A$9,0)),"Unmapped")</f>
        <v>Food &amp; Catering</v>
      </c>
      <c r="G51" t="str">
        <f>TRIM(Procurement_Raw!G51)</f>
        <v>INV-2025-00050</v>
      </c>
      <c r="H51" s="77">
        <f>Procurement_Raw!H51</f>
        <v>80</v>
      </c>
      <c r="I51" s="124">
        <f>Procurement_Raw!I51</f>
        <v>24.65</v>
      </c>
      <c r="J51" s="125">
        <f>IF(Procurement_Raw!J51="","",Procurement_Raw!J51)</f>
        <v>1971.88</v>
      </c>
      <c r="K51" s="77">
        <f>Procurement_Raw!K51</f>
        <v>60</v>
      </c>
      <c r="L51" t="str">
        <f>Procurement_Raw!L51</f>
        <v>ERP</v>
      </c>
      <c r="M51" t="str">
        <f>Procurement_Raw!O51</f>
        <v>Y</v>
      </c>
      <c r="N51" t="str">
        <f>IF(E51="","Missing supplier",IF(B51="","Missing site",IF(J51="","Missing spend",IF(COUNTIFS($G$2:G51,G51,$E$2:E51,E51,$J$2:J51,J51)&gt;1,"Duplicate invoice",IF(COUNTIF($G$2:$G$1801,G51)&gt;1,"Duplicate ID - review",IF(AND(P51&lt;&gt;"Unmapped",P51&lt;&gt;F51),"Category mismatch","OK"))))))</f>
        <v>OK</v>
      </c>
      <c r="O51" s="125">
        <f t="shared" si="0"/>
        <v>1971.88</v>
      </c>
      <c r="P51" t="str">
        <f>IF(E51="","Unmapped",IFERROR(INDEX(Supplier_Lookup!$B$2:$B$25,MATCH(E51,Supplier_Lookup!$A$2:$A$25,0)),"Unmapped"))</f>
        <v>Food &amp; Catering</v>
      </c>
      <c r="Q51" s="76">
        <f>IFERROR(INDEX(Category_Targets!$B$2:$B$9,MATCH(F51,Category_Targets!$A$2:$A$9,0)),0)</f>
        <v>0.04</v>
      </c>
      <c r="R51" s="125">
        <f t="shared" si="1"/>
        <v>78.875200000000007</v>
      </c>
      <c r="S51" s="78">
        <f t="shared" si="2"/>
        <v>45870</v>
      </c>
      <c r="T51" t="str">
        <f>IFERROR(VLOOKUP(B51,Sites!$A$2:$D$21,4,FALSE()),"Unknown")</f>
        <v>Derby</v>
      </c>
      <c r="U51" t="str">
        <f>IF(N51="OK","",COUNTIF($N$2:N51,"&lt;&gt;OK"))</f>
        <v/>
      </c>
      <c r="V51">
        <f>IF(OR(NOT(EXACT(E51,TRIM(Procurement_Raw!E51))),NOT(EXACT(F51,TRIM(Procurement_Raw!F51)))),1,0)</f>
        <v>0</v>
      </c>
    </row>
    <row r="52" spans="1:22" ht="15" customHeight="1" x14ac:dyDescent="0.25">
      <c r="A52" s="123">
        <f>Procurement_Raw!A52</f>
        <v>45793</v>
      </c>
      <c r="B52" t="str">
        <f>TRIM(Procurement_Raw!B52)</f>
        <v>S003</v>
      </c>
      <c r="C52" t="str">
        <f>Procurement_Raw!C52</f>
        <v>Leeds Care &amp; Education Centre</v>
      </c>
      <c r="D52" t="str">
        <f>Procurement_Raw!D52</f>
        <v>North</v>
      </c>
      <c r="E52" t="str">
        <f>IF(TRIM(Procurement_Raw!E52)="","",IFERROR(INDEX(Supplier_Lookup!$A$2:$A$25,MATCH(TRIM(Procurement_Raw!E52),Supplier_Lookup!$A$2:$A$25,0)),TRIM(Procurement_Raw!E52)))</f>
        <v>PowerDirect</v>
      </c>
      <c r="F52" t="str">
        <f>IFERROR(INDEX(Category_Targets!$A$2:$A$9,MATCH(TRIM(Procurement_Raw!F52),Category_Targets!$A$2:$A$9,0)),"Unmapped")</f>
        <v>Utilities</v>
      </c>
      <c r="G52" t="str">
        <f>TRIM(Procurement_Raw!G52)</f>
        <v>INV-2025-00051</v>
      </c>
      <c r="H52" s="77">
        <f>Procurement_Raw!H52</f>
        <v>17</v>
      </c>
      <c r="I52" s="124">
        <f>Procurement_Raw!I52</f>
        <v>298.77999999999997</v>
      </c>
      <c r="J52" s="125">
        <f>IF(Procurement_Raw!J52="","",Procurement_Raw!J52)</f>
        <v>5079.26</v>
      </c>
      <c r="K52" s="77">
        <f>Procurement_Raw!K52</f>
        <v>45</v>
      </c>
      <c r="L52" t="str">
        <f>Procurement_Raw!L52</f>
        <v>ERP</v>
      </c>
      <c r="M52" t="str">
        <f>Procurement_Raw!O52</f>
        <v>N</v>
      </c>
      <c r="N52" t="str">
        <f>IF(E52="","Missing supplier",IF(B52="","Missing site",IF(J52="","Missing spend",IF(COUNTIFS($G$2:G52,G52,$E$2:E52,E52,$J$2:J52,J52)&gt;1,"Duplicate invoice",IF(COUNTIF($G$2:$G$1801,G52)&gt;1,"Duplicate ID - review",IF(AND(P52&lt;&gt;"Unmapped",P52&lt;&gt;F52),"Category mismatch","OK"))))))</f>
        <v>OK</v>
      </c>
      <c r="O52" s="125">
        <f t="shared" si="0"/>
        <v>5079.26</v>
      </c>
      <c r="P52" t="str">
        <f>IF(E52="","Unmapped",IFERROR(INDEX(Supplier_Lookup!$B$2:$B$25,MATCH(E52,Supplier_Lookup!$A$2:$A$25,0)),"Unmapped"))</f>
        <v>Utilities</v>
      </c>
      <c r="Q52" s="76">
        <f>IFERROR(INDEX(Category_Targets!$B$2:$B$9,MATCH(F52,Category_Targets!$A$2:$A$9,0)),0)</f>
        <v>0.03</v>
      </c>
      <c r="R52" s="125">
        <f t="shared" si="1"/>
        <v>152.37780000000001</v>
      </c>
      <c r="S52" s="78">
        <f t="shared" si="2"/>
        <v>45778</v>
      </c>
      <c r="T52" t="str">
        <f>IFERROR(VLOOKUP(B52,Sites!$A$2:$D$21,4,FALSE()),"Unknown")</f>
        <v>Leeds</v>
      </c>
      <c r="U52" t="str">
        <f>IF(N52="OK","",COUNTIF($N$2:N52,"&lt;&gt;OK"))</f>
        <v/>
      </c>
      <c r="V52">
        <f>IF(OR(NOT(EXACT(E52,TRIM(Procurement_Raw!E52))),NOT(EXACT(F52,TRIM(Procurement_Raw!F52)))),1,0)</f>
        <v>0</v>
      </c>
    </row>
    <row r="53" spans="1:22" ht="15" customHeight="1" x14ac:dyDescent="0.25">
      <c r="A53" s="123">
        <f>Procurement_Raw!A53</f>
        <v>45738</v>
      </c>
      <c r="B53" t="str">
        <f>TRIM(Procurement_Raw!B53)</f>
        <v>S006</v>
      </c>
      <c r="C53" t="str">
        <f>Procurement_Raw!C53</f>
        <v>Birmingham Care &amp; Education Centre</v>
      </c>
      <c r="D53" t="str">
        <f>Procurement_Raw!D53</f>
        <v>Midlands</v>
      </c>
      <c r="E53" t="str">
        <f>IF(TRIM(Procurement_Raw!E53)="","",IFERROR(INDEX(Supplier_Lookup!$A$2:$A$25,MATCH(TRIM(Procurement_Raw!E53),Supplier_Lookup!$A$2:$A$25,0)),TRIM(Procurement_Raw!E53)))</f>
        <v>RoadReady</v>
      </c>
      <c r="F53" t="str">
        <f>IFERROR(INDEX(Category_Targets!$A$2:$A$9,MATCH(TRIM(Procurement_Raw!F53),Category_Targets!$A$2:$A$9,0)),"Unmapped")</f>
        <v>Vehicle &amp; Fuel</v>
      </c>
      <c r="G53" t="str">
        <f>TRIM(Procurement_Raw!G53)</f>
        <v>INV-2025-00052</v>
      </c>
      <c r="H53" s="77">
        <f>Procurement_Raw!H53</f>
        <v>57</v>
      </c>
      <c r="I53" s="124">
        <f>Procurement_Raw!I53</f>
        <v>76.87</v>
      </c>
      <c r="J53" s="125">
        <f>IF(Procurement_Raw!J53="","",Procurement_Raw!J53)</f>
        <v>4381.4399999999996</v>
      </c>
      <c r="K53" s="77">
        <f>Procurement_Raw!K53</f>
        <v>60</v>
      </c>
      <c r="L53" t="str">
        <f>Procurement_Raw!L53</f>
        <v>Legacy Spend File</v>
      </c>
      <c r="M53" t="str">
        <f>Procurement_Raw!O53</f>
        <v>N</v>
      </c>
      <c r="N53" t="str">
        <f>IF(E53="","Missing supplier",IF(B53="","Missing site",IF(J53="","Missing spend",IF(COUNTIFS($G$2:G53,G53,$E$2:E53,E53,$J$2:J53,J53)&gt;1,"Duplicate invoice",IF(COUNTIF($G$2:$G$1801,G53)&gt;1,"Duplicate ID - review",IF(AND(P53&lt;&gt;"Unmapped",P53&lt;&gt;F53),"Category mismatch","OK"))))))</f>
        <v>OK</v>
      </c>
      <c r="O53" s="125">
        <f t="shared" si="0"/>
        <v>4381.4399999999996</v>
      </c>
      <c r="P53" t="str">
        <f>IF(E53="","Unmapped",IFERROR(INDEX(Supplier_Lookup!$B$2:$B$25,MATCH(E53,Supplier_Lookup!$A$2:$A$25,0)),"Unmapped"))</f>
        <v>Vehicle &amp; Fuel</v>
      </c>
      <c r="Q53" s="76">
        <f>IFERROR(INDEX(Category_Targets!$B$2:$B$9,MATCH(F53,Category_Targets!$A$2:$A$9,0)),0)</f>
        <v>0.05</v>
      </c>
      <c r="R53" s="125">
        <f t="shared" si="1"/>
        <v>219.072</v>
      </c>
      <c r="S53" s="78">
        <f t="shared" si="2"/>
        <v>45717</v>
      </c>
      <c r="T53" t="str">
        <f>IFERROR(VLOOKUP(B53,Sites!$A$2:$D$21,4,FALSE()),"Unknown")</f>
        <v>Birmingham</v>
      </c>
      <c r="U53" t="str">
        <f>IF(N53="OK","",COUNTIF($N$2:N53,"&lt;&gt;OK"))</f>
        <v/>
      </c>
      <c r="V53">
        <f>IF(OR(NOT(EXACT(E53,TRIM(Procurement_Raw!E53))),NOT(EXACT(F53,TRIM(Procurement_Raw!F53)))),1,0)</f>
        <v>0</v>
      </c>
    </row>
    <row r="54" spans="1:22" ht="15" customHeight="1" x14ac:dyDescent="0.25">
      <c r="A54" s="123">
        <f>Procurement_Raw!A54</f>
        <v>45941</v>
      </c>
      <c r="B54" t="str">
        <f>TRIM(Procurement_Raw!B54)</f>
        <v>S004</v>
      </c>
      <c r="C54" t="str">
        <f>Procurement_Raw!C54</f>
        <v>Newcastle Care &amp; Education Centre</v>
      </c>
      <c r="D54" t="str">
        <f>Procurement_Raw!D54</f>
        <v>North</v>
      </c>
      <c r="E54" t="str">
        <f>IF(TRIM(Procurement_Raw!E54)="","",IFERROR(INDEX(Supplier_Lookup!$A$2:$A$25,MATCH(TRIM(Procurement_Raw!E54),Supplier_Lookup!$A$2:$A$25,0)),TRIM(Procurement_Raw!E54)))</f>
        <v>ClinEquip</v>
      </c>
      <c r="F54" t="str">
        <f>IFERROR(INDEX(Category_Targets!$A$2:$A$9,MATCH(TRIM(Procurement_Raw!F54),Category_Targets!$A$2:$A$9,0)),"Unmapped")</f>
        <v>Medical Supplies</v>
      </c>
      <c r="G54" t="str">
        <f>TRIM(Procurement_Raw!G54)</f>
        <v>INV-2025-00053</v>
      </c>
      <c r="H54" s="77">
        <f>Procurement_Raw!H54</f>
        <v>39</v>
      </c>
      <c r="I54" s="124">
        <f>Procurement_Raw!I54</f>
        <v>82.7</v>
      </c>
      <c r="J54" s="125">
        <f>IF(Procurement_Raw!J54="","",Procurement_Raw!J54)</f>
        <v>3225.19</v>
      </c>
      <c r="K54" s="77">
        <f>Procurement_Raw!K54</f>
        <v>60</v>
      </c>
      <c r="L54" t="str">
        <f>Procurement_Raw!L54</f>
        <v>ERP</v>
      </c>
      <c r="M54" t="str">
        <f>Procurement_Raw!O54</f>
        <v>N</v>
      </c>
      <c r="N54" t="str">
        <f>IF(E54="","Missing supplier",IF(B54="","Missing site",IF(J54="","Missing spend",IF(COUNTIFS($G$2:G54,G54,$E$2:E54,E54,$J$2:J54,J54)&gt;1,"Duplicate invoice",IF(COUNTIF($G$2:$G$1801,G54)&gt;1,"Duplicate ID - review",IF(AND(P54&lt;&gt;"Unmapped",P54&lt;&gt;F54),"Category mismatch","OK"))))))</f>
        <v>OK</v>
      </c>
      <c r="O54" s="125">
        <f t="shared" si="0"/>
        <v>3225.19</v>
      </c>
      <c r="P54" t="str">
        <f>IF(E54="","Unmapped",IFERROR(INDEX(Supplier_Lookup!$B$2:$B$25,MATCH(E54,Supplier_Lookup!$A$2:$A$25,0)),"Unmapped"))</f>
        <v>Medical Supplies</v>
      </c>
      <c r="Q54" s="76">
        <f>IFERROR(INDEX(Category_Targets!$B$2:$B$9,MATCH(F54,Category_Targets!$A$2:$A$9,0)),0)</f>
        <v>0.06</v>
      </c>
      <c r="R54" s="125">
        <f t="shared" si="1"/>
        <v>193.51140000000001</v>
      </c>
      <c r="S54" s="78">
        <f t="shared" si="2"/>
        <v>45931</v>
      </c>
      <c r="T54" t="str">
        <f>IFERROR(VLOOKUP(B54,Sites!$A$2:$D$21,4,FALSE()),"Unknown")</f>
        <v>Newcastle</v>
      </c>
      <c r="U54" t="str">
        <f>IF(N54="OK","",COUNTIF($N$2:N54,"&lt;&gt;OK"))</f>
        <v/>
      </c>
      <c r="V54">
        <f>IF(OR(NOT(EXACT(E54,TRIM(Procurement_Raw!E54))),NOT(EXACT(F54,TRIM(Procurement_Raw!F54)))),1,0)</f>
        <v>0</v>
      </c>
    </row>
    <row r="55" spans="1:22" ht="15" customHeight="1" x14ac:dyDescent="0.25">
      <c r="A55" s="123">
        <f>Procurement_Raw!A55</f>
        <v>45712</v>
      </c>
      <c r="B55" t="str">
        <f>TRIM(Procurement_Raw!B55)</f>
        <v>S017</v>
      </c>
      <c r="C55" t="str">
        <f>Procurement_Raw!C55</f>
        <v>Swansea Care &amp; Education Centre</v>
      </c>
      <c r="D55" t="str">
        <f>Procurement_Raw!D55</f>
        <v>Wales</v>
      </c>
      <c r="E55" t="str">
        <f>IF(TRIM(Procurement_Raw!E55)="","",IFERROR(INDEX(Supplier_Lookup!$A$2:$A$25,MATCH(TRIM(Procurement_Raw!E55),Supplier_Lookup!$A$2:$A$25,0)),TRIM(Procurement_Raw!E55)))</f>
        <v>CloudLink</v>
      </c>
      <c r="F55" t="str">
        <f>IFERROR(INDEX(Category_Targets!$A$2:$A$9,MATCH(TRIM(Procurement_Raw!F55),Category_Targets!$A$2:$A$9,0)),"Unmapped")</f>
        <v>IT &amp; Telecoms</v>
      </c>
      <c r="G55" t="str">
        <f>TRIM(Procurement_Raw!G55)</f>
        <v>INV-2025-00054</v>
      </c>
      <c r="H55" s="77">
        <f>Procurement_Raw!H55</f>
        <v>71</v>
      </c>
      <c r="I55" s="124">
        <f>Procurement_Raw!I55</f>
        <v>307.98</v>
      </c>
      <c r="J55" s="125">
        <f>IF(Procurement_Raw!J55="","",Procurement_Raw!J55)</f>
        <v>21866.9</v>
      </c>
      <c r="K55" s="77">
        <f>Procurement_Raw!K55</f>
        <v>30</v>
      </c>
      <c r="L55" t="str">
        <f>Procurement_Raw!L55</f>
        <v>Procurement Portal</v>
      </c>
      <c r="M55" t="str">
        <f>Procurement_Raw!O55</f>
        <v>Y</v>
      </c>
      <c r="N55" t="str">
        <f>IF(E55="","Missing supplier",IF(B55="","Missing site",IF(J55="","Missing spend",IF(COUNTIFS($G$2:G55,G55,$E$2:E55,E55,$J$2:J55,J55)&gt;1,"Duplicate invoice",IF(COUNTIF($G$2:$G$1801,G55)&gt;1,"Duplicate ID - review",IF(AND(P55&lt;&gt;"Unmapped",P55&lt;&gt;F55),"Category mismatch","OK"))))))</f>
        <v>OK</v>
      </c>
      <c r="O55" s="125">
        <f t="shared" si="0"/>
        <v>21866.9</v>
      </c>
      <c r="P55" t="str">
        <f>IF(E55="","Unmapped",IFERROR(INDEX(Supplier_Lookup!$B$2:$B$25,MATCH(E55,Supplier_Lookup!$A$2:$A$25,0)),"Unmapped"))</f>
        <v>IT &amp; Telecoms</v>
      </c>
      <c r="Q55" s="76">
        <f>IFERROR(INDEX(Category_Targets!$B$2:$B$9,MATCH(F55,Category_Targets!$A$2:$A$9,0)),0)</f>
        <v>0.08</v>
      </c>
      <c r="R55" s="125">
        <f t="shared" si="1"/>
        <v>1749.3520000000001</v>
      </c>
      <c r="S55" s="78">
        <f t="shared" si="2"/>
        <v>45689</v>
      </c>
      <c r="T55" t="str">
        <f>IFERROR(VLOOKUP(B55,Sites!$A$2:$D$21,4,FALSE()),"Unknown")</f>
        <v>Swansea</v>
      </c>
      <c r="U55" t="str">
        <f>IF(N55="OK","",COUNTIF($N$2:N55,"&lt;&gt;OK"))</f>
        <v/>
      </c>
      <c r="V55">
        <f>IF(OR(NOT(EXACT(E55,TRIM(Procurement_Raw!E55))),NOT(EXACT(F55,TRIM(Procurement_Raw!F55)))),1,0)</f>
        <v>0</v>
      </c>
    </row>
    <row r="56" spans="1:22" ht="15" customHeight="1" x14ac:dyDescent="0.25">
      <c r="A56" s="123">
        <f>Procurement_Raw!A56</f>
        <v>45833</v>
      </c>
      <c r="B56" t="str">
        <f>TRIM(Procurement_Raw!B56)</f>
        <v>S013</v>
      </c>
      <c r="C56" t="str">
        <f>Procurement_Raw!C56</f>
        <v>Reading Care &amp; Education Centre</v>
      </c>
      <c r="D56" t="str">
        <f>Procurement_Raw!D56</f>
        <v>South</v>
      </c>
      <c r="E56" t="str">
        <f>IF(TRIM(Procurement_Raw!E56)="","",IFERROR(INDEX(Supplier_Lookup!$A$2:$A$25,MATCH(TRIM(Procurement_Raw!E56),Supplier_Lookup!$A$2:$A$25,0)),TRIM(Procurement_Raw!E56)))</f>
        <v>PowerDirect</v>
      </c>
      <c r="F56" t="str">
        <f>IFERROR(INDEX(Category_Targets!$A$2:$A$9,MATCH(TRIM(Procurement_Raw!F56),Category_Targets!$A$2:$A$9,0)),"Unmapped")</f>
        <v>Utilities</v>
      </c>
      <c r="G56" t="str">
        <f>TRIM(Procurement_Raw!G56)</f>
        <v>INV-2025-00055</v>
      </c>
      <c r="H56" s="77">
        <f>Procurement_Raw!H56</f>
        <v>27</v>
      </c>
      <c r="I56" s="124">
        <f>Procurement_Raw!I56</f>
        <v>440.76</v>
      </c>
      <c r="J56" s="125">
        <f>IF(Procurement_Raw!J56="","",Procurement_Raw!J56)</f>
        <v>11900.64</v>
      </c>
      <c r="K56" s="77">
        <f>Procurement_Raw!K56</f>
        <v>60</v>
      </c>
      <c r="L56" t="str">
        <f>Procurement_Raw!L56</f>
        <v>Legacy Spend File</v>
      </c>
      <c r="M56" t="str">
        <f>Procurement_Raw!O56</f>
        <v>N</v>
      </c>
      <c r="N56" t="str">
        <f>IF(E56="","Missing supplier",IF(B56="","Missing site",IF(J56="","Missing spend",IF(COUNTIFS($G$2:G56,G56,$E$2:E56,E56,$J$2:J56,J56)&gt;1,"Duplicate invoice",IF(COUNTIF($G$2:$G$1801,G56)&gt;1,"Duplicate ID - review",IF(AND(P56&lt;&gt;"Unmapped",P56&lt;&gt;F56),"Category mismatch","OK"))))))</f>
        <v>OK</v>
      </c>
      <c r="O56" s="125">
        <f t="shared" si="0"/>
        <v>11900.64</v>
      </c>
      <c r="P56" t="str">
        <f>IF(E56="","Unmapped",IFERROR(INDEX(Supplier_Lookup!$B$2:$B$25,MATCH(E56,Supplier_Lookup!$A$2:$A$25,0)),"Unmapped"))</f>
        <v>Utilities</v>
      </c>
      <c r="Q56" s="76">
        <f>IFERROR(INDEX(Category_Targets!$B$2:$B$9,MATCH(F56,Category_Targets!$A$2:$A$9,0)),0)</f>
        <v>0.03</v>
      </c>
      <c r="R56" s="125">
        <f t="shared" si="1"/>
        <v>357.01919999999996</v>
      </c>
      <c r="S56" s="78">
        <f t="shared" si="2"/>
        <v>45809</v>
      </c>
      <c r="T56" t="str">
        <f>IFERROR(VLOOKUP(B56,Sites!$A$2:$D$21,4,FALSE()),"Unknown")</f>
        <v>Reading</v>
      </c>
      <c r="U56" t="str">
        <f>IF(N56="OK","",COUNTIF($N$2:N56,"&lt;&gt;OK"))</f>
        <v/>
      </c>
      <c r="V56">
        <f>IF(OR(NOT(EXACT(E56,TRIM(Procurement_Raw!E56))),NOT(EXACT(F56,TRIM(Procurement_Raw!F56)))),1,0)</f>
        <v>0</v>
      </c>
    </row>
    <row r="57" spans="1:22" ht="15" customHeight="1" x14ac:dyDescent="0.25">
      <c r="A57" s="123">
        <f>Procurement_Raw!A57</f>
        <v>45684</v>
      </c>
      <c r="B57" t="str">
        <f>TRIM(Procurement_Raw!B57)</f>
        <v>S013</v>
      </c>
      <c r="C57" t="str">
        <f>Procurement_Raw!C57</f>
        <v>Reading Care &amp; Education Centre</v>
      </c>
      <c r="D57" t="str">
        <f>Procurement_Raw!D57</f>
        <v>South</v>
      </c>
      <c r="E57" t="str">
        <f>IF(TRIM(Procurement_Raw!E57)="","",IFERROR(INDEX(Supplier_Lookup!$A$2:$A$25,MATCH(TRIM(Procurement_Raw!E57),Supplier_Lookup!$A$2:$A$25,0)),TRIM(Procurement_Raw!E57)))</f>
        <v>LearnWell</v>
      </c>
      <c r="F57" t="str">
        <f>IFERROR(INDEX(Category_Targets!$A$2:$A$9,MATCH(TRIM(Procurement_Raw!F57),Category_Targets!$A$2:$A$9,0)),"Unmapped")</f>
        <v>Office &amp; Training</v>
      </c>
      <c r="G57" t="str">
        <f>TRIM(Procurement_Raw!G57)</f>
        <v>INV-2025-00056</v>
      </c>
      <c r="H57" s="77">
        <f>Procurement_Raw!H57</f>
        <v>12</v>
      </c>
      <c r="I57" s="124">
        <f>Procurement_Raw!I57</f>
        <v>125.17</v>
      </c>
      <c r="J57" s="125">
        <f>IF(Procurement_Raw!J57="","",Procurement_Raw!J57)</f>
        <v>1502.07</v>
      </c>
      <c r="K57" s="77">
        <f>Procurement_Raw!K57</f>
        <v>60</v>
      </c>
      <c r="L57" t="str">
        <f>Procurement_Raw!L57</f>
        <v>Procurement Portal</v>
      </c>
      <c r="M57" t="str">
        <f>Procurement_Raw!O57</f>
        <v>N</v>
      </c>
      <c r="N57" t="str">
        <f>IF(E57="","Missing supplier",IF(B57="","Missing site",IF(J57="","Missing spend",IF(COUNTIFS($G$2:G57,G57,$E$2:E57,E57,$J$2:J57,J57)&gt;1,"Duplicate invoice",IF(COUNTIF($G$2:$G$1801,G57)&gt;1,"Duplicate ID - review",IF(AND(P57&lt;&gt;"Unmapped",P57&lt;&gt;F57),"Category mismatch","OK"))))))</f>
        <v>OK</v>
      </c>
      <c r="O57" s="125">
        <f t="shared" si="0"/>
        <v>1502.07</v>
      </c>
      <c r="P57" t="str">
        <f>IF(E57="","Unmapped",IFERROR(INDEX(Supplier_Lookup!$B$2:$B$25,MATCH(E57,Supplier_Lookup!$A$2:$A$25,0)),"Unmapped"))</f>
        <v>Office &amp; Training</v>
      </c>
      <c r="Q57" s="76">
        <f>IFERROR(INDEX(Category_Targets!$B$2:$B$9,MATCH(F57,Category_Targets!$A$2:$A$9,0)),0)</f>
        <v>0.04</v>
      </c>
      <c r="R57" s="125">
        <f t="shared" si="1"/>
        <v>60.082799999999999</v>
      </c>
      <c r="S57" s="78">
        <f t="shared" si="2"/>
        <v>45658</v>
      </c>
      <c r="T57" t="str">
        <f>IFERROR(VLOOKUP(B57,Sites!$A$2:$D$21,4,FALSE()),"Unknown")</f>
        <v>Reading</v>
      </c>
      <c r="U57" t="str">
        <f>IF(N57="OK","",COUNTIF($N$2:N57,"&lt;&gt;OK"))</f>
        <v/>
      </c>
      <c r="V57">
        <f>IF(OR(NOT(EXACT(E57,TRIM(Procurement_Raw!E57))),NOT(EXACT(F57,TRIM(Procurement_Raw!F57)))),1,0)</f>
        <v>0</v>
      </c>
    </row>
    <row r="58" spans="1:22" ht="15" customHeight="1" x14ac:dyDescent="0.25">
      <c r="A58" s="123">
        <f>Procurement_Raw!A58</f>
        <v>45828</v>
      </c>
      <c r="B58" t="str">
        <f>TRIM(Procurement_Raw!B58)</f>
        <v>S020</v>
      </c>
      <c r="C58" t="str">
        <f>Procurement_Raw!C58</f>
        <v>Bangor Care &amp; Education Centre</v>
      </c>
      <c r="D58" t="str">
        <f>Procurement_Raw!D58</f>
        <v>Wales</v>
      </c>
      <c r="E58" t="str">
        <f>IF(TRIM(Procurement_Raw!E58)="","",IFERROR(INDEX(Supplier_Lookup!$A$2:$A$25,MATCH(TRIM(Procurement_Raw!E58),Supplier_Lookup!$A$2:$A$25,0)),TRIM(Procurement_Raw!E58)))</f>
        <v>MediSure</v>
      </c>
      <c r="F58" t="str">
        <f>IFERROR(INDEX(Category_Targets!$A$2:$A$9,MATCH(TRIM(Procurement_Raw!F58),Category_Targets!$A$2:$A$9,0)),"Unmapped")</f>
        <v>Medical Supplies</v>
      </c>
      <c r="G58" t="str">
        <f>TRIM(Procurement_Raw!G58)</f>
        <v>INV-2025-00057</v>
      </c>
      <c r="H58" s="77">
        <f>Procurement_Raw!H58</f>
        <v>17</v>
      </c>
      <c r="I58" s="124">
        <f>Procurement_Raw!I58</f>
        <v>75.64</v>
      </c>
      <c r="J58" s="125">
        <f>IF(Procurement_Raw!J58="","",Procurement_Raw!J58)</f>
        <v>1285.8</v>
      </c>
      <c r="K58" s="77">
        <f>Procurement_Raw!K58</f>
        <v>60</v>
      </c>
      <c r="L58" t="str">
        <f>Procurement_Raw!L58</f>
        <v>Procurement Portal</v>
      </c>
      <c r="M58" t="str">
        <f>Procurement_Raw!O58</f>
        <v>Y</v>
      </c>
      <c r="N58" t="str">
        <f>IF(E58="","Missing supplier",IF(B58="","Missing site",IF(J58="","Missing spend",IF(COUNTIFS($G$2:G58,G58,$E$2:E58,E58,$J$2:J58,J58)&gt;1,"Duplicate invoice",IF(COUNTIF($G$2:$G$1801,G58)&gt;1,"Duplicate ID - review",IF(AND(P58&lt;&gt;"Unmapped",P58&lt;&gt;F58),"Category mismatch","OK"))))))</f>
        <v>OK</v>
      </c>
      <c r="O58" s="125">
        <f t="shared" si="0"/>
        <v>1285.8</v>
      </c>
      <c r="P58" t="str">
        <f>IF(E58="","Unmapped",IFERROR(INDEX(Supplier_Lookup!$B$2:$B$25,MATCH(E58,Supplier_Lookup!$A$2:$A$25,0)),"Unmapped"))</f>
        <v>Medical Supplies</v>
      </c>
      <c r="Q58" s="76">
        <f>IFERROR(INDEX(Category_Targets!$B$2:$B$9,MATCH(F58,Category_Targets!$A$2:$A$9,0)),0)</f>
        <v>0.06</v>
      </c>
      <c r="R58" s="125">
        <f t="shared" si="1"/>
        <v>77.147999999999996</v>
      </c>
      <c r="S58" s="78">
        <f t="shared" si="2"/>
        <v>45809</v>
      </c>
      <c r="T58" t="str">
        <f>IFERROR(VLOOKUP(B58,Sites!$A$2:$D$21,4,FALSE()),"Unknown")</f>
        <v>Bangor</v>
      </c>
      <c r="U58" t="str">
        <f>IF(N58="OK","",COUNTIF($N$2:N58,"&lt;&gt;OK"))</f>
        <v/>
      </c>
      <c r="V58">
        <f>IF(OR(NOT(EXACT(E58,TRIM(Procurement_Raw!E58))),NOT(EXACT(F58,TRIM(Procurement_Raw!F58)))),1,0)</f>
        <v>0</v>
      </c>
    </row>
    <row r="59" spans="1:22" ht="15" customHeight="1" x14ac:dyDescent="0.25">
      <c r="A59" s="123">
        <f>Procurement_Raw!A59</f>
        <v>46019</v>
      </c>
      <c r="B59" t="str">
        <f>TRIM(Procurement_Raw!B59)</f>
        <v>S006</v>
      </c>
      <c r="C59" t="str">
        <f>Procurement_Raw!C59</f>
        <v>Birmingham Care &amp; Education Centre</v>
      </c>
      <c r="D59" t="str">
        <f>Procurement_Raw!D59</f>
        <v>Midlands</v>
      </c>
      <c r="E59" t="str">
        <f>IF(TRIM(Procurement_Raw!E59)="","",IFERROR(INDEX(Supplier_Lookup!$A$2:$A$25,MATCH(TRIM(Procurement_Raw!E59),Supplier_Lookup!$A$2:$A$25,0)),TRIM(Procurement_Raw!E59)))</f>
        <v>PrintCo</v>
      </c>
      <c r="F59" t="str">
        <f>IFERROR(INDEX(Category_Targets!$A$2:$A$9,MATCH(TRIM(Procurement_Raw!F59),Category_Targets!$A$2:$A$9,0)),"Unmapped")</f>
        <v>Office &amp; Training</v>
      </c>
      <c r="G59" t="str">
        <f>TRIM(Procurement_Raw!G59)</f>
        <v>INV-2025-00058</v>
      </c>
      <c r="H59" s="77">
        <f>Procurement_Raw!H59</f>
        <v>55</v>
      </c>
      <c r="I59" s="124">
        <f>Procurement_Raw!I59</f>
        <v>63.27</v>
      </c>
      <c r="J59" s="125">
        <f>IF(Procurement_Raw!J59="","",Procurement_Raw!J59)</f>
        <v>3479.88</v>
      </c>
      <c r="K59" s="77">
        <f>Procurement_Raw!K59</f>
        <v>60</v>
      </c>
      <c r="L59" t="str">
        <f>Procurement_Raw!L59</f>
        <v>ERP</v>
      </c>
      <c r="M59" t="str">
        <f>Procurement_Raw!O59</f>
        <v>N</v>
      </c>
      <c r="N59" t="str">
        <f>IF(E59="","Missing supplier",IF(B59="","Missing site",IF(J59="","Missing spend",IF(COUNTIFS($G$2:G59,G59,$E$2:E59,E59,$J$2:J59,J59)&gt;1,"Duplicate invoice",IF(COUNTIF($G$2:$G$1801,G59)&gt;1,"Duplicate ID - review",IF(AND(P59&lt;&gt;"Unmapped",P59&lt;&gt;F59),"Category mismatch","OK"))))))</f>
        <v>OK</v>
      </c>
      <c r="O59" s="125">
        <f t="shared" si="0"/>
        <v>3479.88</v>
      </c>
      <c r="P59" t="str">
        <f>IF(E59="","Unmapped",IFERROR(INDEX(Supplier_Lookup!$B$2:$B$25,MATCH(E59,Supplier_Lookup!$A$2:$A$25,0)),"Unmapped"))</f>
        <v>Office &amp; Training</v>
      </c>
      <c r="Q59" s="76">
        <f>IFERROR(INDEX(Category_Targets!$B$2:$B$9,MATCH(F59,Category_Targets!$A$2:$A$9,0)),0)</f>
        <v>0.04</v>
      </c>
      <c r="R59" s="125">
        <f t="shared" si="1"/>
        <v>139.1952</v>
      </c>
      <c r="S59" s="78">
        <f t="shared" si="2"/>
        <v>45992</v>
      </c>
      <c r="T59" t="str">
        <f>IFERROR(VLOOKUP(B59,Sites!$A$2:$D$21,4,FALSE()),"Unknown")</f>
        <v>Birmingham</v>
      </c>
      <c r="U59" t="str">
        <f>IF(N59="OK","",COUNTIF($N$2:N59,"&lt;&gt;OK"))</f>
        <v/>
      </c>
      <c r="V59">
        <f>IF(OR(NOT(EXACT(E59,TRIM(Procurement_Raw!E59))),NOT(EXACT(F59,TRIM(Procurement_Raw!F59)))),1,0)</f>
        <v>0</v>
      </c>
    </row>
    <row r="60" spans="1:22" ht="15" customHeight="1" x14ac:dyDescent="0.25">
      <c r="A60" s="123">
        <f>Procurement_Raw!A60</f>
        <v>45734</v>
      </c>
      <c r="B60" t="str">
        <f>TRIM(Procurement_Raw!B60)</f>
        <v>S005</v>
      </c>
      <c r="C60" t="str">
        <f>Procurement_Raw!C60</f>
        <v>Sheffield Care &amp; Education Centre</v>
      </c>
      <c r="D60" t="str">
        <f>Procurement_Raw!D60</f>
        <v>North</v>
      </c>
      <c r="E60" t="str">
        <f>IF(TRIM(Procurement_Raw!E60)="","",IFERROR(INDEX(Supplier_Lookup!$A$2:$A$25,MATCH(TRIM(Procurement_Raw!E60),Supplier_Lookup!$A$2:$A$25,0)),TRIM(Procurement_Raw!E60)))</f>
        <v>KitchenPro</v>
      </c>
      <c r="F60" t="str">
        <f>IFERROR(INDEX(Category_Targets!$A$2:$A$9,MATCH(TRIM(Procurement_Raw!F60),Category_Targets!$A$2:$A$9,0)),"Unmapped")</f>
        <v>Food &amp; Catering</v>
      </c>
      <c r="G60" t="str">
        <f>TRIM(Procurement_Raw!G60)</f>
        <v>INV-2025-00059</v>
      </c>
      <c r="H60" s="77">
        <f>Procurement_Raw!H60</f>
        <v>70</v>
      </c>
      <c r="I60" s="124">
        <f>Procurement_Raw!I60</f>
        <v>77.989999999999995</v>
      </c>
      <c r="J60" s="125">
        <f>IF(Procurement_Raw!J60="","",Procurement_Raw!J60)</f>
        <v>5459.31</v>
      </c>
      <c r="K60" s="77">
        <f>Procurement_Raw!K60</f>
        <v>30</v>
      </c>
      <c r="L60" t="str">
        <f>Procurement_Raw!L60</f>
        <v>Procurement Portal</v>
      </c>
      <c r="M60" t="str">
        <f>Procurement_Raw!O60</f>
        <v>N</v>
      </c>
      <c r="N60" t="str">
        <f>IF(E60="","Missing supplier",IF(B60="","Missing site",IF(J60="","Missing spend",IF(COUNTIFS($G$2:G60,G60,$E$2:E60,E60,$J$2:J60,J60)&gt;1,"Duplicate invoice",IF(COUNTIF($G$2:$G$1801,G60)&gt;1,"Duplicate ID - review",IF(AND(P60&lt;&gt;"Unmapped",P60&lt;&gt;F60),"Category mismatch","OK"))))))</f>
        <v>OK</v>
      </c>
      <c r="O60" s="125">
        <f t="shared" si="0"/>
        <v>5459.31</v>
      </c>
      <c r="P60" t="str">
        <f>IF(E60="","Unmapped",IFERROR(INDEX(Supplier_Lookup!$B$2:$B$25,MATCH(E60,Supplier_Lookup!$A$2:$A$25,0)),"Unmapped"))</f>
        <v>Food &amp; Catering</v>
      </c>
      <c r="Q60" s="76">
        <f>IFERROR(INDEX(Category_Targets!$B$2:$B$9,MATCH(F60,Category_Targets!$A$2:$A$9,0)),0)</f>
        <v>0.04</v>
      </c>
      <c r="R60" s="125">
        <f t="shared" si="1"/>
        <v>218.37240000000003</v>
      </c>
      <c r="S60" s="78">
        <f t="shared" si="2"/>
        <v>45717</v>
      </c>
      <c r="T60" t="str">
        <f>IFERROR(VLOOKUP(B60,Sites!$A$2:$D$21,4,FALSE()),"Unknown")</f>
        <v>Sheffield</v>
      </c>
      <c r="U60" t="str">
        <f>IF(N60="OK","",COUNTIF($N$2:N60,"&lt;&gt;OK"))</f>
        <v/>
      </c>
      <c r="V60">
        <f>IF(OR(NOT(EXACT(E60,TRIM(Procurement_Raw!E60))),NOT(EXACT(F60,TRIM(Procurement_Raw!F60)))),1,0)</f>
        <v>0</v>
      </c>
    </row>
    <row r="61" spans="1:22" ht="15" customHeight="1" x14ac:dyDescent="0.25">
      <c r="A61" s="123">
        <f>Procurement_Raw!A61</f>
        <v>45723</v>
      </c>
      <c r="B61" t="str">
        <f>TRIM(Procurement_Raw!B61)</f>
        <v>S004</v>
      </c>
      <c r="C61" t="str">
        <f>Procurement_Raw!C61</f>
        <v>Newcastle Care &amp; Education Centre</v>
      </c>
      <c r="D61" t="str">
        <f>Procurement_Raw!D61</f>
        <v>North</v>
      </c>
      <c r="E61" t="str">
        <f>IF(TRIM(Procurement_Raw!E61)="","",IFERROR(INDEX(Supplier_Lookup!$A$2:$A$25,MATCH(TRIM(Procurement_Raw!E61),Supplier_Lookup!$A$2:$A$25,0)),TRIM(Procurement_Raw!E61)))</f>
        <v>SafeGuard FM</v>
      </c>
      <c r="F61" t="str">
        <f>IFERROR(INDEX(Category_Targets!$A$2:$A$9,MATCH(TRIM(Procurement_Raw!F61),Category_Targets!$A$2:$A$9,0)),"Unmapped")</f>
        <v>Facilities</v>
      </c>
      <c r="G61" t="str">
        <f>TRIM(Procurement_Raw!G61)</f>
        <v>INV-2025-00060</v>
      </c>
      <c r="H61" s="77">
        <f>Procurement_Raw!H61</f>
        <v>6</v>
      </c>
      <c r="I61" s="124">
        <f>Procurement_Raw!I61</f>
        <v>307.82</v>
      </c>
      <c r="J61" s="125">
        <f>IF(Procurement_Raw!J61="","",Procurement_Raw!J61)</f>
        <v>1846.9</v>
      </c>
      <c r="K61" s="77">
        <f>Procurement_Raw!K61</f>
        <v>45</v>
      </c>
      <c r="L61" t="str">
        <f>Procurement_Raw!L61</f>
        <v>Procurement Portal</v>
      </c>
      <c r="M61" t="str">
        <f>Procurement_Raw!O61</f>
        <v>N</v>
      </c>
      <c r="N61" t="str">
        <f>IF(E61="","Missing supplier",IF(B61="","Missing site",IF(J61="","Missing spend",IF(COUNTIFS($G$2:G61,G61,$E$2:E61,E61,$J$2:J61,J61)&gt;1,"Duplicate invoice",IF(COUNTIF($G$2:$G$1801,G61)&gt;1,"Duplicate ID - review",IF(AND(P61&lt;&gt;"Unmapped",P61&lt;&gt;F61),"Category mismatch","OK"))))))</f>
        <v>OK</v>
      </c>
      <c r="O61" s="125">
        <f t="shared" si="0"/>
        <v>1846.9</v>
      </c>
      <c r="P61" t="str">
        <f>IF(E61="","Unmapped",IFERROR(INDEX(Supplier_Lookup!$B$2:$B$25,MATCH(E61,Supplier_Lookup!$A$2:$A$25,0)),"Unmapped"))</f>
        <v>Facilities</v>
      </c>
      <c r="Q61" s="76">
        <f>IFERROR(INDEX(Category_Targets!$B$2:$B$9,MATCH(F61,Category_Targets!$A$2:$A$9,0)),0)</f>
        <v>0.05</v>
      </c>
      <c r="R61" s="125">
        <f t="shared" si="1"/>
        <v>92.345000000000013</v>
      </c>
      <c r="S61" s="78">
        <f t="shared" si="2"/>
        <v>45717</v>
      </c>
      <c r="T61" t="str">
        <f>IFERROR(VLOOKUP(B61,Sites!$A$2:$D$21,4,FALSE()),"Unknown")</f>
        <v>Newcastle</v>
      </c>
      <c r="U61" t="str">
        <f>IF(N61="OK","",COUNTIF($N$2:N61,"&lt;&gt;OK"))</f>
        <v/>
      </c>
      <c r="V61">
        <f>IF(OR(NOT(EXACT(E61,TRIM(Procurement_Raw!E61))),NOT(EXACT(F61,TRIM(Procurement_Raw!F61)))),1,0)</f>
        <v>0</v>
      </c>
    </row>
    <row r="62" spans="1:22" ht="15" customHeight="1" x14ac:dyDescent="0.25">
      <c r="A62" s="123">
        <f>Procurement_Raw!A62</f>
        <v>46007</v>
      </c>
      <c r="B62" t="str">
        <f>TRIM(Procurement_Raw!B62)</f>
        <v>S001</v>
      </c>
      <c r="C62" t="str">
        <f>Procurement_Raw!C62</f>
        <v>Preston Care &amp; Education Centre</v>
      </c>
      <c r="D62" t="str">
        <f>Procurement_Raw!D62</f>
        <v>North</v>
      </c>
      <c r="E62" t="str">
        <f>IF(TRIM(Procurement_Raw!E62)="","",IFERROR(INDEX(Supplier_Lookup!$A$2:$A$25,MATCH(TRIM(Procurement_Raw!E62),Supplier_Lookup!$A$2:$A$25,0)),TRIM(Procurement_Raw!E62)))</f>
        <v>FleetFuel</v>
      </c>
      <c r="F62" t="str">
        <f>IFERROR(INDEX(Category_Targets!$A$2:$A$9,MATCH(TRIM(Procurement_Raw!F62),Category_Targets!$A$2:$A$9,0)),"Unmapped")</f>
        <v>Vehicle &amp; Fuel</v>
      </c>
      <c r="G62" t="str">
        <f>TRIM(Procurement_Raw!G62)</f>
        <v>INV-2025-00061</v>
      </c>
      <c r="H62" s="77">
        <f>Procurement_Raw!H62</f>
        <v>32</v>
      </c>
      <c r="I62" s="124">
        <f>Procurement_Raw!I62</f>
        <v>72.989999999999995</v>
      </c>
      <c r="J62" s="125">
        <f>IF(Procurement_Raw!J62="","",Procurement_Raw!J62)</f>
        <v>2335.6999999999998</v>
      </c>
      <c r="K62" s="77">
        <f>Procurement_Raw!K62</f>
        <v>60</v>
      </c>
      <c r="L62" t="str">
        <f>Procurement_Raw!L62</f>
        <v>ERP</v>
      </c>
      <c r="M62" t="str">
        <f>Procurement_Raw!O62</f>
        <v>Y</v>
      </c>
      <c r="N62" t="str">
        <f>IF(E62="","Missing supplier",IF(B62="","Missing site",IF(J62="","Missing spend",IF(COUNTIFS($G$2:G62,G62,$E$2:E62,E62,$J$2:J62,J62)&gt;1,"Duplicate invoice",IF(COUNTIF($G$2:$G$1801,G62)&gt;1,"Duplicate ID - review",IF(AND(P62&lt;&gt;"Unmapped",P62&lt;&gt;F62),"Category mismatch","OK"))))))</f>
        <v>OK</v>
      </c>
      <c r="O62" s="125">
        <f t="shared" si="0"/>
        <v>2335.6999999999998</v>
      </c>
      <c r="P62" t="str">
        <f>IF(E62="","Unmapped",IFERROR(INDEX(Supplier_Lookup!$B$2:$B$25,MATCH(E62,Supplier_Lookup!$A$2:$A$25,0)),"Unmapped"))</f>
        <v>Vehicle &amp; Fuel</v>
      </c>
      <c r="Q62" s="76">
        <f>IFERROR(INDEX(Category_Targets!$B$2:$B$9,MATCH(F62,Category_Targets!$A$2:$A$9,0)),0)</f>
        <v>0.05</v>
      </c>
      <c r="R62" s="125">
        <f t="shared" si="1"/>
        <v>116.785</v>
      </c>
      <c r="S62" s="78">
        <f t="shared" si="2"/>
        <v>45992</v>
      </c>
      <c r="T62" t="str">
        <f>IFERROR(VLOOKUP(B62,Sites!$A$2:$D$21,4,FALSE()),"Unknown")</f>
        <v>Preston</v>
      </c>
      <c r="U62" t="str">
        <f>IF(N62="OK","",COUNTIF($N$2:N62,"&lt;&gt;OK"))</f>
        <v/>
      </c>
      <c r="V62">
        <f>IF(OR(NOT(EXACT(E62,TRIM(Procurement_Raw!E62))),NOT(EXACT(F62,TRIM(Procurement_Raw!F62)))),1,0)</f>
        <v>0</v>
      </c>
    </row>
    <row r="63" spans="1:22" ht="15" customHeight="1" x14ac:dyDescent="0.25">
      <c r="A63" s="123">
        <f>Procurement_Raw!A63</f>
        <v>45737</v>
      </c>
      <c r="B63" t="str">
        <f>TRIM(Procurement_Raw!B63)</f>
        <v>S015</v>
      </c>
      <c r="C63" t="str">
        <f>Procurement_Raw!C63</f>
        <v>Brighton Care &amp; Education Centre</v>
      </c>
      <c r="D63" t="str">
        <f>Procurement_Raw!D63</f>
        <v>South</v>
      </c>
      <c r="E63" t="str">
        <f>IF(TRIM(Procurement_Raw!E63)="","",IFERROR(INDEX(Supplier_Lookup!$A$2:$A$25,MATCH(TRIM(Procurement_Raw!E63),Supplier_Lookup!$A$2:$A$25,0)),TRIM(Procurement_Raw!E63)))</f>
        <v>NurseLink</v>
      </c>
      <c r="F63" t="str">
        <f>IFERROR(INDEX(Category_Targets!$A$2:$A$9,MATCH(TRIM(Procurement_Raw!F63),Category_Targets!$A$2:$A$9,0)),"Unmapped")</f>
        <v>Agency Labour</v>
      </c>
      <c r="G63" t="str">
        <f>TRIM(Procurement_Raw!G63)</f>
        <v>INV-2025-00062</v>
      </c>
      <c r="H63" s="77">
        <f>Procurement_Raw!H63</f>
        <v>31</v>
      </c>
      <c r="I63" s="124">
        <f>Procurement_Raw!I63</f>
        <v>270.88</v>
      </c>
      <c r="J63" s="125">
        <f>IF(Procurement_Raw!J63="","",Procurement_Raw!J63)</f>
        <v>8397.23</v>
      </c>
      <c r="K63" s="77">
        <f>Procurement_Raw!K63</f>
        <v>30</v>
      </c>
      <c r="L63" t="str">
        <f>Procurement_Raw!L63</f>
        <v>ERP</v>
      </c>
      <c r="M63" t="str">
        <f>Procurement_Raw!O63</f>
        <v>N</v>
      </c>
      <c r="N63" t="str">
        <f>IF(E63="","Missing supplier",IF(B63="","Missing site",IF(J63="","Missing spend",IF(COUNTIFS($G$2:G63,G63,$E$2:E63,E63,$J$2:J63,J63)&gt;1,"Duplicate invoice",IF(COUNTIF($G$2:$G$1801,G63)&gt;1,"Duplicate ID - review",IF(AND(P63&lt;&gt;"Unmapped",P63&lt;&gt;F63),"Category mismatch","OK"))))))</f>
        <v>OK</v>
      </c>
      <c r="O63" s="125">
        <f t="shared" si="0"/>
        <v>8397.23</v>
      </c>
      <c r="P63" t="str">
        <f>IF(E63="","Unmapped",IFERROR(INDEX(Supplier_Lookup!$B$2:$B$25,MATCH(E63,Supplier_Lookup!$A$2:$A$25,0)),"Unmapped"))</f>
        <v>Agency Labour</v>
      </c>
      <c r="Q63" s="76">
        <f>IFERROR(INDEX(Category_Targets!$B$2:$B$9,MATCH(F63,Category_Targets!$A$2:$A$9,0)),0)</f>
        <v>7.0000000000000007E-2</v>
      </c>
      <c r="R63" s="125">
        <f t="shared" si="1"/>
        <v>587.80610000000001</v>
      </c>
      <c r="S63" s="78">
        <f t="shared" si="2"/>
        <v>45717</v>
      </c>
      <c r="T63" t="str">
        <f>IFERROR(VLOOKUP(B63,Sites!$A$2:$D$21,4,FALSE()),"Unknown")</f>
        <v>Brighton</v>
      </c>
      <c r="U63" t="str">
        <f>IF(N63="OK","",COUNTIF($N$2:N63,"&lt;&gt;OK"))</f>
        <v/>
      </c>
      <c r="V63">
        <f>IF(OR(NOT(EXACT(E63,TRIM(Procurement_Raw!E63))),NOT(EXACT(F63,TRIM(Procurement_Raw!F63)))),1,0)</f>
        <v>0</v>
      </c>
    </row>
    <row r="64" spans="1:22" ht="15" customHeight="1" x14ac:dyDescent="0.25">
      <c r="A64" s="123">
        <f>Procurement_Raw!A64</f>
        <v>45828</v>
      </c>
      <c r="B64" t="str">
        <f>TRIM(Procurement_Raw!B64)</f>
        <v>S012</v>
      </c>
      <c r="C64" t="str">
        <f>Procurement_Raw!C64</f>
        <v>Bristol Care &amp; Education Centre</v>
      </c>
      <c r="D64" t="str">
        <f>Procurement_Raw!D64</f>
        <v>South</v>
      </c>
      <c r="E64" t="str">
        <f>IF(TRIM(Procurement_Raw!E64)="","",IFERROR(INDEX(Supplier_Lookup!$A$2:$A$25,MATCH(TRIM(Procurement_Raw!E64),Supplier_Lookup!$A$2:$A$25,0)),TRIM(Procurement_Raw!E64)))</f>
        <v>MediSure</v>
      </c>
      <c r="F64" t="str">
        <f>IFERROR(INDEX(Category_Targets!$A$2:$A$9,MATCH(TRIM(Procurement_Raw!F64),Category_Targets!$A$2:$A$9,0)),"Unmapped")</f>
        <v>Medical Supplies</v>
      </c>
      <c r="G64" t="str">
        <f>TRIM(Procurement_Raw!G64)</f>
        <v>INV-2025-00063</v>
      </c>
      <c r="H64" s="77">
        <f>Procurement_Raw!H64</f>
        <v>53</v>
      </c>
      <c r="I64" s="124">
        <f>Procurement_Raw!I64</f>
        <v>65.3</v>
      </c>
      <c r="J64" s="125">
        <f>IF(Procurement_Raw!J64="","",Procurement_Raw!J64)</f>
        <v>3460.95</v>
      </c>
      <c r="K64" s="77">
        <f>Procurement_Raw!K64</f>
        <v>60</v>
      </c>
      <c r="L64" t="str">
        <f>Procurement_Raw!L64</f>
        <v>Legacy Spend File</v>
      </c>
      <c r="M64" t="str">
        <f>Procurement_Raw!O64</f>
        <v>Y</v>
      </c>
      <c r="N64" t="str">
        <f>IF(E64="","Missing supplier",IF(B64="","Missing site",IF(J64="","Missing spend",IF(COUNTIFS($G$2:G64,G64,$E$2:E64,E64,$J$2:J64,J64)&gt;1,"Duplicate invoice",IF(COUNTIF($G$2:$G$1801,G64)&gt;1,"Duplicate ID - review",IF(AND(P64&lt;&gt;"Unmapped",P64&lt;&gt;F64),"Category mismatch","OK"))))))</f>
        <v>OK</v>
      </c>
      <c r="O64" s="125">
        <f t="shared" si="0"/>
        <v>3460.95</v>
      </c>
      <c r="P64" t="str">
        <f>IF(E64="","Unmapped",IFERROR(INDEX(Supplier_Lookup!$B$2:$B$25,MATCH(E64,Supplier_Lookup!$A$2:$A$25,0)),"Unmapped"))</f>
        <v>Medical Supplies</v>
      </c>
      <c r="Q64" s="76">
        <f>IFERROR(INDEX(Category_Targets!$B$2:$B$9,MATCH(F64,Category_Targets!$A$2:$A$9,0)),0)</f>
        <v>0.06</v>
      </c>
      <c r="R64" s="125">
        <f t="shared" si="1"/>
        <v>207.65699999999998</v>
      </c>
      <c r="S64" s="78">
        <f t="shared" si="2"/>
        <v>45809</v>
      </c>
      <c r="T64" t="str">
        <f>IFERROR(VLOOKUP(B64,Sites!$A$2:$D$21,4,FALSE()),"Unknown")</f>
        <v>Bristol</v>
      </c>
      <c r="U64" t="str">
        <f>IF(N64="OK","",COUNTIF($N$2:N64,"&lt;&gt;OK"))</f>
        <v/>
      </c>
      <c r="V64">
        <f>IF(OR(NOT(EXACT(E64,TRIM(Procurement_Raw!E64))),NOT(EXACT(F64,TRIM(Procurement_Raw!F64)))),1,0)</f>
        <v>0</v>
      </c>
    </row>
    <row r="65" spans="1:22" ht="15" customHeight="1" x14ac:dyDescent="0.25">
      <c r="A65" s="123">
        <f>Procurement_Raw!A65</f>
        <v>46017</v>
      </c>
      <c r="B65" t="str">
        <f>TRIM(Procurement_Raw!B65)</f>
        <v>S014</v>
      </c>
      <c r="C65" t="str">
        <f>Procurement_Raw!C65</f>
        <v>Southampton Care &amp; Education Centre</v>
      </c>
      <c r="D65" t="str">
        <f>Procurement_Raw!D65</f>
        <v>South</v>
      </c>
      <c r="E65" t="str">
        <f>IF(TRIM(Procurement_Raw!E65)="","",IFERROR(INDEX(Supplier_Lookup!$A$2:$A$25,MATCH(TRIM(Procurement_Raw!E65),Supplier_Lookup!$A$2:$A$25,0)),TRIM(Procurement_Raw!E65)))</f>
        <v>CloudLink</v>
      </c>
      <c r="F65" t="str">
        <f>IFERROR(INDEX(Category_Targets!$A$2:$A$9,MATCH(TRIM(Procurement_Raw!F65),Category_Targets!$A$2:$A$9,0)),"Unmapped")</f>
        <v>IT &amp; Telecoms</v>
      </c>
      <c r="G65" t="str">
        <f>TRIM(Procurement_Raw!G65)</f>
        <v>INV-2025-00064</v>
      </c>
      <c r="H65" s="77">
        <f>Procurement_Raw!H65</f>
        <v>14</v>
      </c>
      <c r="I65" s="124">
        <f>Procurement_Raw!I65</f>
        <v>113.94</v>
      </c>
      <c r="J65" s="125">
        <f>IF(Procurement_Raw!J65="","",Procurement_Raw!J65)</f>
        <v>1595.23</v>
      </c>
      <c r="K65" s="77">
        <f>Procurement_Raw!K65</f>
        <v>45</v>
      </c>
      <c r="L65" t="str">
        <f>Procurement_Raw!L65</f>
        <v>ERP</v>
      </c>
      <c r="M65" t="str">
        <f>Procurement_Raw!O65</f>
        <v>Y</v>
      </c>
      <c r="N65" t="str">
        <f>IF(E65="","Missing supplier",IF(B65="","Missing site",IF(J65="","Missing spend",IF(COUNTIFS($G$2:G65,G65,$E$2:E65,E65,$J$2:J65,J65)&gt;1,"Duplicate invoice",IF(COUNTIF($G$2:$G$1801,G65)&gt;1,"Duplicate ID - review",IF(AND(P65&lt;&gt;"Unmapped",P65&lt;&gt;F65),"Category mismatch","OK"))))))</f>
        <v>OK</v>
      </c>
      <c r="O65" s="125">
        <f t="shared" si="0"/>
        <v>1595.23</v>
      </c>
      <c r="P65" t="str">
        <f>IF(E65="","Unmapped",IFERROR(INDEX(Supplier_Lookup!$B$2:$B$25,MATCH(E65,Supplier_Lookup!$A$2:$A$25,0)),"Unmapped"))</f>
        <v>IT &amp; Telecoms</v>
      </c>
      <c r="Q65" s="76">
        <f>IFERROR(INDEX(Category_Targets!$B$2:$B$9,MATCH(F65,Category_Targets!$A$2:$A$9,0)),0)</f>
        <v>0.08</v>
      </c>
      <c r="R65" s="125">
        <f t="shared" si="1"/>
        <v>127.61840000000001</v>
      </c>
      <c r="S65" s="78">
        <f t="shared" si="2"/>
        <v>45992</v>
      </c>
      <c r="T65" t="str">
        <f>IFERROR(VLOOKUP(B65,Sites!$A$2:$D$21,4,FALSE()),"Unknown")</f>
        <v>Southampton</v>
      </c>
      <c r="U65" t="str">
        <f>IF(N65="OK","",COUNTIF($N$2:N65,"&lt;&gt;OK"))</f>
        <v/>
      </c>
      <c r="V65">
        <f>IF(OR(NOT(EXACT(E65,TRIM(Procurement_Raw!E65))),NOT(EXACT(F65,TRIM(Procurement_Raw!F65)))),1,0)</f>
        <v>0</v>
      </c>
    </row>
    <row r="66" spans="1:22" ht="15" customHeight="1" x14ac:dyDescent="0.25">
      <c r="A66" s="123">
        <f>Procurement_Raw!A66</f>
        <v>45893</v>
      </c>
      <c r="B66" t="str">
        <f>TRIM(Procurement_Raw!B66)</f>
        <v>S003</v>
      </c>
      <c r="C66" t="str">
        <f>Procurement_Raw!C66</f>
        <v>Leeds Care &amp; Education Centre</v>
      </c>
      <c r="D66" t="str">
        <f>Procurement_Raw!D66</f>
        <v>North</v>
      </c>
      <c r="E66" t="str">
        <f>IF(TRIM(Procurement_Raw!E66)="","",IFERROR(INDEX(Supplier_Lookup!$A$2:$A$25,MATCH(TRIM(Procurement_Raw!E66),Supplier_Lookup!$A$2:$A$25,0)),TRIM(Procurement_Raw!E66)))</f>
        <v>UK Energy Partners</v>
      </c>
      <c r="F66" t="str">
        <f>IFERROR(INDEX(Category_Targets!$A$2:$A$9,MATCH(TRIM(Procurement_Raw!F66),Category_Targets!$A$2:$A$9,0)),"Unmapped")</f>
        <v>Utilities</v>
      </c>
      <c r="G66" t="str">
        <f>TRIM(Procurement_Raw!G66)</f>
        <v>INV-2025-00065</v>
      </c>
      <c r="H66" s="77">
        <f>Procurement_Raw!H66</f>
        <v>45</v>
      </c>
      <c r="I66" s="124">
        <f>Procurement_Raw!I66</f>
        <v>390.86</v>
      </c>
      <c r="J66" s="125">
        <f>IF(Procurement_Raw!J66="","",Procurement_Raw!J66)</f>
        <v>17588.71</v>
      </c>
      <c r="K66" s="77">
        <f>Procurement_Raw!K66</f>
        <v>45</v>
      </c>
      <c r="L66" t="str">
        <f>Procurement_Raw!L66</f>
        <v>ERP</v>
      </c>
      <c r="M66" t="str">
        <f>Procurement_Raw!O66</f>
        <v>N</v>
      </c>
      <c r="N66" t="str">
        <f>IF(E66="","Missing supplier",IF(B66="","Missing site",IF(J66="","Missing spend",IF(COUNTIFS($G$2:G66,G66,$E$2:E66,E66,$J$2:J66,J66)&gt;1,"Duplicate invoice",IF(COUNTIF($G$2:$G$1801,G66)&gt;1,"Duplicate ID - review",IF(AND(P66&lt;&gt;"Unmapped",P66&lt;&gt;F66),"Category mismatch","OK"))))))</f>
        <v>OK</v>
      </c>
      <c r="O66" s="125">
        <f t="shared" ref="O66:O129" si="3">IF(OR(N66="Missing spend",N66="Duplicate invoice"),0,J66)</f>
        <v>17588.71</v>
      </c>
      <c r="P66" t="str">
        <f>IF(E66="","Unmapped",IFERROR(INDEX(Supplier_Lookup!$B$2:$B$25,MATCH(E66,Supplier_Lookup!$A$2:$A$25,0)),"Unmapped"))</f>
        <v>Utilities</v>
      </c>
      <c r="Q66" s="76">
        <f>IFERROR(INDEX(Category_Targets!$B$2:$B$9,MATCH(F66,Category_Targets!$A$2:$A$9,0)),0)</f>
        <v>0.03</v>
      </c>
      <c r="R66" s="125">
        <f t="shared" ref="R66:R129" si="4">O66*Q66</f>
        <v>527.66129999999998</v>
      </c>
      <c r="S66" s="78">
        <f t="shared" ref="S66:S129" si="5">DATE(YEAR(A66),MONTH(A66),1)</f>
        <v>45870</v>
      </c>
      <c r="T66" t="str">
        <f>IFERROR(VLOOKUP(B66,Sites!$A$2:$D$21,4,FALSE()),"Unknown")</f>
        <v>Leeds</v>
      </c>
      <c r="U66" t="str">
        <f>IF(N66="OK","",COUNTIF($N$2:N66,"&lt;&gt;OK"))</f>
        <v/>
      </c>
      <c r="V66">
        <f>IF(OR(NOT(EXACT(E66,TRIM(Procurement_Raw!E66))),NOT(EXACT(F66,TRIM(Procurement_Raw!F66)))),1,0)</f>
        <v>0</v>
      </c>
    </row>
    <row r="67" spans="1:22" ht="15" customHeight="1" x14ac:dyDescent="0.25">
      <c r="A67" s="123">
        <f>Procurement_Raw!A67</f>
        <v>45756</v>
      </c>
      <c r="B67" t="str">
        <f>TRIM(Procurement_Raw!B67)</f>
        <v>S006</v>
      </c>
      <c r="C67" t="str">
        <f>Procurement_Raw!C67</f>
        <v>Birmingham Care &amp; Education Centre</v>
      </c>
      <c r="D67" t="str">
        <f>Procurement_Raw!D67</f>
        <v>Midlands</v>
      </c>
      <c r="E67" t="str">
        <f>IF(TRIM(Procurement_Raw!E67)="","",IFERROR(INDEX(Supplier_Lookup!$A$2:$A$25,MATCH(TRIM(Procurement_Raw!E67),Supplier_Lookup!$A$2:$A$25,0)),TRIM(Procurement_Raw!E67)))</f>
        <v>ClinEquip</v>
      </c>
      <c r="F67" t="str">
        <f>IFERROR(INDEX(Category_Targets!$A$2:$A$9,MATCH(TRIM(Procurement_Raw!F67),Category_Targets!$A$2:$A$9,0)),"Unmapped")</f>
        <v>Medical Supplies</v>
      </c>
      <c r="G67" t="str">
        <f>TRIM(Procurement_Raw!G67)</f>
        <v>INV-2025-00066</v>
      </c>
      <c r="H67" s="77">
        <f>Procurement_Raw!H67</f>
        <v>52</v>
      </c>
      <c r="I67" s="124">
        <f>Procurement_Raw!I67</f>
        <v>253.01</v>
      </c>
      <c r="J67" s="125">
        <f>IF(Procurement_Raw!J67="","",Procurement_Raw!J67)</f>
        <v>13156.45</v>
      </c>
      <c r="K67" s="77">
        <f>Procurement_Raw!K67</f>
        <v>45</v>
      </c>
      <c r="L67" t="str">
        <f>Procurement_Raw!L67</f>
        <v>Procurement Portal</v>
      </c>
      <c r="M67" t="str">
        <f>Procurement_Raw!O67</f>
        <v>N</v>
      </c>
      <c r="N67" t="str">
        <f>IF(E67="","Missing supplier",IF(B67="","Missing site",IF(J67="","Missing spend",IF(COUNTIFS($G$2:G67,G67,$E$2:E67,E67,$J$2:J67,J67)&gt;1,"Duplicate invoice",IF(COUNTIF($G$2:$G$1801,G67)&gt;1,"Duplicate ID - review",IF(AND(P67&lt;&gt;"Unmapped",P67&lt;&gt;F67),"Category mismatch","OK"))))))</f>
        <v>OK</v>
      </c>
      <c r="O67" s="125">
        <f t="shared" si="3"/>
        <v>13156.45</v>
      </c>
      <c r="P67" t="str">
        <f>IF(E67="","Unmapped",IFERROR(INDEX(Supplier_Lookup!$B$2:$B$25,MATCH(E67,Supplier_Lookup!$A$2:$A$25,0)),"Unmapped"))</f>
        <v>Medical Supplies</v>
      </c>
      <c r="Q67" s="76">
        <f>IFERROR(INDEX(Category_Targets!$B$2:$B$9,MATCH(F67,Category_Targets!$A$2:$A$9,0)),0)</f>
        <v>0.06</v>
      </c>
      <c r="R67" s="125">
        <f t="shared" si="4"/>
        <v>789.38700000000006</v>
      </c>
      <c r="S67" s="78">
        <f t="shared" si="5"/>
        <v>45748</v>
      </c>
      <c r="T67" t="str">
        <f>IFERROR(VLOOKUP(B67,Sites!$A$2:$D$21,4,FALSE()),"Unknown")</f>
        <v>Birmingham</v>
      </c>
      <c r="U67" t="str">
        <f>IF(N67="OK","",COUNTIF($N$2:N67,"&lt;&gt;OK"))</f>
        <v/>
      </c>
      <c r="V67">
        <f>IF(OR(NOT(EXACT(E67,TRIM(Procurement_Raw!E67))),NOT(EXACT(F67,TRIM(Procurement_Raw!F67)))),1,0)</f>
        <v>0</v>
      </c>
    </row>
    <row r="68" spans="1:22" ht="15" customHeight="1" x14ac:dyDescent="0.25">
      <c r="A68" s="123">
        <f>Procurement_Raw!A68</f>
        <v>45986</v>
      </c>
      <c r="B68" t="str">
        <f>TRIM(Procurement_Raw!B68)</f>
        <v>S009</v>
      </c>
      <c r="C68" t="str">
        <f>Procurement_Raw!C68</f>
        <v>Derby Care &amp; Education Centre</v>
      </c>
      <c r="D68" t="str">
        <f>Procurement_Raw!D68</f>
        <v>Midlands</v>
      </c>
      <c r="E68" t="str">
        <f>IF(TRIM(Procurement_Raw!E68)="","",IFERROR(INDEX(Supplier_Lookup!$A$2:$A$25,MATCH(TRIM(Procurement_Raw!E68),Supplier_Lookup!$A$2:$A$25,0)),TRIM(Procurement_Raw!E68)))</f>
        <v>TeleCare IT</v>
      </c>
      <c r="F68" t="str">
        <f>IFERROR(INDEX(Category_Targets!$A$2:$A$9,MATCH(TRIM(Procurement_Raw!F68),Category_Targets!$A$2:$A$9,0)),"Unmapped")</f>
        <v>IT &amp; Telecoms</v>
      </c>
      <c r="G68" t="str">
        <f>TRIM(Procurement_Raw!G68)</f>
        <v>INV-2025-00067</v>
      </c>
      <c r="H68" s="77">
        <f>Procurement_Raw!H68</f>
        <v>66</v>
      </c>
      <c r="I68" s="124">
        <f>Procurement_Raw!I68</f>
        <v>211.46</v>
      </c>
      <c r="J68" s="125">
        <f>IF(Procurement_Raw!J68="","",Procurement_Raw!J68)</f>
        <v>13956.17</v>
      </c>
      <c r="K68" s="77">
        <f>Procurement_Raw!K68</f>
        <v>45</v>
      </c>
      <c r="L68" t="str">
        <f>Procurement_Raw!L68</f>
        <v>Legacy Spend File</v>
      </c>
      <c r="M68" t="str">
        <f>Procurement_Raw!O68</f>
        <v>N</v>
      </c>
      <c r="N68" t="str">
        <f>IF(E68="","Missing supplier",IF(B68="","Missing site",IF(J68="","Missing spend",IF(COUNTIFS($G$2:G68,G68,$E$2:E68,E68,$J$2:J68,J68)&gt;1,"Duplicate invoice",IF(COUNTIF($G$2:$G$1801,G68)&gt;1,"Duplicate ID - review",IF(AND(P68&lt;&gt;"Unmapped",P68&lt;&gt;F68),"Category mismatch","OK"))))))</f>
        <v>OK</v>
      </c>
      <c r="O68" s="125">
        <f t="shared" si="3"/>
        <v>13956.17</v>
      </c>
      <c r="P68" t="str">
        <f>IF(E68="","Unmapped",IFERROR(INDEX(Supplier_Lookup!$B$2:$B$25,MATCH(E68,Supplier_Lookup!$A$2:$A$25,0)),"Unmapped"))</f>
        <v>IT &amp; Telecoms</v>
      </c>
      <c r="Q68" s="76">
        <f>IFERROR(INDEX(Category_Targets!$B$2:$B$9,MATCH(F68,Category_Targets!$A$2:$A$9,0)),0)</f>
        <v>0.08</v>
      </c>
      <c r="R68" s="125">
        <f t="shared" si="4"/>
        <v>1116.4936</v>
      </c>
      <c r="S68" s="78">
        <f t="shared" si="5"/>
        <v>45962</v>
      </c>
      <c r="T68" t="str">
        <f>IFERROR(VLOOKUP(B68,Sites!$A$2:$D$21,4,FALSE()),"Unknown")</f>
        <v>Derby</v>
      </c>
      <c r="U68" t="str">
        <f>IF(N68="OK","",COUNTIF($N$2:N68,"&lt;&gt;OK"))</f>
        <v/>
      </c>
      <c r="V68">
        <f>IF(OR(NOT(EXACT(E68,TRIM(Procurement_Raw!E68))),NOT(EXACT(F68,TRIM(Procurement_Raw!F68)))),1,0)</f>
        <v>0</v>
      </c>
    </row>
    <row r="69" spans="1:22" ht="15" customHeight="1" x14ac:dyDescent="0.25">
      <c r="A69" s="123">
        <f>Procurement_Raw!A69</f>
        <v>45717</v>
      </c>
      <c r="B69" t="str">
        <f>TRIM(Procurement_Raw!B69)</f>
        <v>S006</v>
      </c>
      <c r="C69" t="str">
        <f>Procurement_Raw!C69</f>
        <v>Birmingham Care &amp; Education Centre</v>
      </c>
      <c r="D69" t="str">
        <f>Procurement_Raw!D69</f>
        <v>Midlands</v>
      </c>
      <c r="E69" t="str">
        <f>IF(TRIM(Procurement_Raw!E69)="","",IFERROR(INDEX(Supplier_Lookup!$A$2:$A$25,MATCH(TRIM(Procurement_Raw!E69),Supplier_Lookup!$A$2:$A$25,0)),TRIM(Procurement_Raw!E69)))</f>
        <v>FleetFuel</v>
      </c>
      <c r="F69" t="str">
        <f>IFERROR(INDEX(Category_Targets!$A$2:$A$9,MATCH(TRIM(Procurement_Raw!F69),Category_Targets!$A$2:$A$9,0)),"Unmapped")</f>
        <v>Vehicle &amp; Fuel</v>
      </c>
      <c r="G69" t="str">
        <f>TRIM(Procurement_Raw!G69)</f>
        <v>INV-2025-00068</v>
      </c>
      <c r="H69" s="77">
        <f>Procurement_Raw!H69</f>
        <v>34</v>
      </c>
      <c r="I69" s="124">
        <f>Procurement_Raw!I69</f>
        <v>164.98</v>
      </c>
      <c r="J69" s="125">
        <f>IF(Procurement_Raw!J69="","",Procurement_Raw!J69)</f>
        <v>5609.3</v>
      </c>
      <c r="K69" s="77">
        <f>Procurement_Raw!K69</f>
        <v>30</v>
      </c>
      <c r="L69" t="str">
        <f>Procurement_Raw!L69</f>
        <v>Legacy Spend File</v>
      </c>
      <c r="M69" t="str">
        <f>Procurement_Raw!O69</f>
        <v>Y</v>
      </c>
      <c r="N69" t="str">
        <f>IF(E69="","Missing supplier",IF(B69="","Missing site",IF(J69="","Missing spend",IF(COUNTIFS($G$2:G69,G69,$E$2:E69,E69,$J$2:J69,J69)&gt;1,"Duplicate invoice",IF(COUNTIF($G$2:$G$1801,G69)&gt;1,"Duplicate ID - review",IF(AND(P69&lt;&gt;"Unmapped",P69&lt;&gt;F69),"Category mismatch","OK"))))))</f>
        <v>OK</v>
      </c>
      <c r="O69" s="125">
        <f t="shared" si="3"/>
        <v>5609.3</v>
      </c>
      <c r="P69" t="str">
        <f>IF(E69="","Unmapped",IFERROR(INDEX(Supplier_Lookup!$B$2:$B$25,MATCH(E69,Supplier_Lookup!$A$2:$A$25,0)),"Unmapped"))</f>
        <v>Vehicle &amp; Fuel</v>
      </c>
      <c r="Q69" s="76">
        <f>IFERROR(INDEX(Category_Targets!$B$2:$B$9,MATCH(F69,Category_Targets!$A$2:$A$9,0)),0)</f>
        <v>0.05</v>
      </c>
      <c r="R69" s="125">
        <f t="shared" si="4"/>
        <v>280.46500000000003</v>
      </c>
      <c r="S69" s="78">
        <f t="shared" si="5"/>
        <v>45717</v>
      </c>
      <c r="T69" t="str">
        <f>IFERROR(VLOOKUP(B69,Sites!$A$2:$D$21,4,FALSE()),"Unknown")</f>
        <v>Birmingham</v>
      </c>
      <c r="U69" t="str">
        <f>IF(N69="OK","",COUNTIF($N$2:N69,"&lt;&gt;OK"))</f>
        <v/>
      </c>
      <c r="V69">
        <f>IF(OR(NOT(EXACT(E69,TRIM(Procurement_Raw!E69))),NOT(EXACT(F69,TRIM(Procurement_Raw!F69)))),1,0)</f>
        <v>0</v>
      </c>
    </row>
    <row r="70" spans="1:22" ht="15" customHeight="1" x14ac:dyDescent="0.25">
      <c r="A70" s="123">
        <f>Procurement_Raw!A70</f>
        <v>45963</v>
      </c>
      <c r="B70" t="str">
        <f>TRIM(Procurement_Raw!B70)</f>
        <v>S003</v>
      </c>
      <c r="C70" t="str">
        <f>Procurement_Raw!C70</f>
        <v>Leeds Care &amp; Education Centre</v>
      </c>
      <c r="D70" t="str">
        <f>Procurement_Raw!D70</f>
        <v>North</v>
      </c>
      <c r="E70" t="str">
        <f>IF(TRIM(Procurement_Raw!E70)="","",IFERROR(INDEX(Supplier_Lookup!$A$2:$A$25,MATCH(TRIM(Procurement_Raw!E70),Supplier_Lookup!$A$2:$A$25,0)),TRIM(Procurement_Raw!E70)))</f>
        <v>MediSure</v>
      </c>
      <c r="F70" t="str">
        <f>IFERROR(INDEX(Category_Targets!$A$2:$A$9,MATCH(TRIM(Procurement_Raw!F70),Category_Targets!$A$2:$A$9,0)),"Unmapped")</f>
        <v>Medical Supplies</v>
      </c>
      <c r="G70" t="str">
        <f>TRIM(Procurement_Raw!G70)</f>
        <v>INV-2025-00069</v>
      </c>
      <c r="H70" s="77">
        <f>Procurement_Raw!H70</f>
        <v>56</v>
      </c>
      <c r="I70" s="124">
        <f>Procurement_Raw!I70</f>
        <v>146.41</v>
      </c>
      <c r="J70" s="125">
        <f>IF(Procurement_Raw!J70="","",Procurement_Raw!J70)</f>
        <v>8198.7999999999993</v>
      </c>
      <c r="K70" s="77">
        <f>Procurement_Raw!K70</f>
        <v>45</v>
      </c>
      <c r="L70" t="str">
        <f>Procurement_Raw!L70</f>
        <v>Legacy Spend File</v>
      </c>
      <c r="M70" t="str">
        <f>Procurement_Raw!O70</f>
        <v>Y</v>
      </c>
      <c r="N70" t="str">
        <f>IF(E70="","Missing supplier",IF(B70="","Missing site",IF(J70="","Missing spend",IF(COUNTIFS($G$2:G70,G70,$E$2:E70,E70,$J$2:J70,J70)&gt;1,"Duplicate invoice",IF(COUNTIF($G$2:$G$1801,G70)&gt;1,"Duplicate ID - review",IF(AND(P70&lt;&gt;"Unmapped",P70&lt;&gt;F70),"Category mismatch","OK"))))))</f>
        <v>OK</v>
      </c>
      <c r="O70" s="125">
        <f t="shared" si="3"/>
        <v>8198.7999999999993</v>
      </c>
      <c r="P70" t="str">
        <f>IF(E70="","Unmapped",IFERROR(INDEX(Supplier_Lookup!$B$2:$B$25,MATCH(E70,Supplier_Lookup!$A$2:$A$25,0)),"Unmapped"))</f>
        <v>Medical Supplies</v>
      </c>
      <c r="Q70" s="76">
        <f>IFERROR(INDEX(Category_Targets!$B$2:$B$9,MATCH(F70,Category_Targets!$A$2:$A$9,0)),0)</f>
        <v>0.06</v>
      </c>
      <c r="R70" s="125">
        <f t="shared" si="4"/>
        <v>491.92799999999994</v>
      </c>
      <c r="S70" s="78">
        <f t="shared" si="5"/>
        <v>45962</v>
      </c>
      <c r="T70" t="str">
        <f>IFERROR(VLOOKUP(B70,Sites!$A$2:$D$21,4,FALSE()),"Unknown")</f>
        <v>Leeds</v>
      </c>
      <c r="U70" t="str">
        <f>IF(N70="OK","",COUNTIF($N$2:N70,"&lt;&gt;OK"))</f>
        <v/>
      </c>
      <c r="V70">
        <f>IF(OR(NOT(EXACT(E70,TRIM(Procurement_Raw!E70))),NOT(EXACT(F70,TRIM(Procurement_Raw!F70)))),1,0)</f>
        <v>0</v>
      </c>
    </row>
    <row r="71" spans="1:22" ht="15" customHeight="1" x14ac:dyDescent="0.25">
      <c r="A71" s="123">
        <f>Procurement_Raw!A71</f>
        <v>45919</v>
      </c>
      <c r="B71" t="str">
        <f>TRIM(Procurement_Raw!B71)</f>
        <v>S012</v>
      </c>
      <c r="C71" t="str">
        <f>Procurement_Raw!C71</f>
        <v>Bristol Care &amp; Education Centre</v>
      </c>
      <c r="D71" t="str">
        <f>Procurement_Raw!D71</f>
        <v>South</v>
      </c>
      <c r="E71" t="str">
        <f>IF(TRIM(Procurement_Raw!E71)="","",IFERROR(INDEX(Supplier_Lookup!$A$2:$A$25,MATCH(TRIM(Procurement_Raw!E71),Supplier_Lookup!$A$2:$A$25,0)),TRIM(Procurement_Raw!E71)))</f>
        <v>NurseLink</v>
      </c>
      <c r="F71" t="str">
        <f>IFERROR(INDEX(Category_Targets!$A$2:$A$9,MATCH(TRIM(Procurement_Raw!F71),Category_Targets!$A$2:$A$9,0)),"Unmapped")</f>
        <v>Agency Labour</v>
      </c>
      <c r="G71" t="str">
        <f>TRIM(Procurement_Raw!G71)</f>
        <v>INV-2025-00070</v>
      </c>
      <c r="H71" s="77">
        <f>Procurement_Raw!H71</f>
        <v>15</v>
      </c>
      <c r="I71" s="124">
        <f>Procurement_Raw!I71</f>
        <v>210.39</v>
      </c>
      <c r="J71" s="125">
        <f>IF(Procurement_Raw!J71="","",Procurement_Raw!J71)</f>
        <v>3155.86</v>
      </c>
      <c r="K71" s="77">
        <f>Procurement_Raw!K71</f>
        <v>45</v>
      </c>
      <c r="L71" t="str">
        <f>Procurement_Raw!L71</f>
        <v>Legacy Spend File</v>
      </c>
      <c r="M71" t="str">
        <f>Procurement_Raw!O71</f>
        <v>N</v>
      </c>
      <c r="N71" t="str">
        <f>IF(E71="","Missing supplier",IF(B71="","Missing site",IF(J71="","Missing spend",IF(COUNTIFS($G$2:G71,G71,$E$2:E71,E71,$J$2:J71,J71)&gt;1,"Duplicate invoice",IF(COUNTIF($G$2:$G$1801,G71)&gt;1,"Duplicate ID - review",IF(AND(P71&lt;&gt;"Unmapped",P71&lt;&gt;F71),"Category mismatch","OK"))))))</f>
        <v>OK</v>
      </c>
      <c r="O71" s="125">
        <f t="shared" si="3"/>
        <v>3155.86</v>
      </c>
      <c r="P71" t="str">
        <f>IF(E71="","Unmapped",IFERROR(INDEX(Supplier_Lookup!$B$2:$B$25,MATCH(E71,Supplier_Lookup!$A$2:$A$25,0)),"Unmapped"))</f>
        <v>Agency Labour</v>
      </c>
      <c r="Q71" s="76">
        <f>IFERROR(INDEX(Category_Targets!$B$2:$B$9,MATCH(F71,Category_Targets!$A$2:$A$9,0)),0)</f>
        <v>7.0000000000000007E-2</v>
      </c>
      <c r="R71" s="125">
        <f t="shared" si="4"/>
        <v>220.91020000000003</v>
      </c>
      <c r="S71" s="78">
        <f t="shared" si="5"/>
        <v>45901</v>
      </c>
      <c r="T71" t="str">
        <f>IFERROR(VLOOKUP(B71,Sites!$A$2:$D$21,4,FALSE()),"Unknown")</f>
        <v>Bristol</v>
      </c>
      <c r="U71" t="str">
        <f>IF(N71="OK","",COUNTIF($N$2:N71,"&lt;&gt;OK"))</f>
        <v/>
      </c>
      <c r="V71">
        <f>IF(OR(NOT(EXACT(E71,TRIM(Procurement_Raw!E71))),NOT(EXACT(F71,TRIM(Procurement_Raw!F71)))),1,0)</f>
        <v>0</v>
      </c>
    </row>
    <row r="72" spans="1:22" ht="15" customHeight="1" x14ac:dyDescent="0.25">
      <c r="A72" s="123">
        <f>Procurement_Raw!A72</f>
        <v>46020</v>
      </c>
      <c r="B72" t="str">
        <f>TRIM(Procurement_Raw!B72)</f>
        <v>S019</v>
      </c>
      <c r="C72" t="str">
        <f>Procurement_Raw!C72</f>
        <v>Wrexham Care &amp; Education Centre</v>
      </c>
      <c r="D72" t="str">
        <f>Procurement_Raw!D72</f>
        <v>Wales</v>
      </c>
      <c r="E72" t="str">
        <f>IF(TRIM(Procurement_Raw!E72)="","",IFERROR(INDEX(Supplier_Lookup!$A$2:$A$25,MATCH(TRIM(Procurement_Raw!E72),Supplier_Lookup!$A$2:$A$25,0)),TRIM(Procurement_Raw!E72)))</f>
        <v>CloudLink</v>
      </c>
      <c r="F72" t="str">
        <f>IFERROR(INDEX(Category_Targets!$A$2:$A$9,MATCH(TRIM(Procurement_Raw!F72),Category_Targets!$A$2:$A$9,0)),"Unmapped")</f>
        <v>IT &amp; Telecoms</v>
      </c>
      <c r="G72" t="str">
        <f>TRIM(Procurement_Raw!G72)</f>
        <v>INV-2025-00071</v>
      </c>
      <c r="H72" s="77">
        <f>Procurement_Raw!H72</f>
        <v>56</v>
      </c>
      <c r="I72" s="124">
        <f>Procurement_Raw!I72</f>
        <v>268.38</v>
      </c>
      <c r="J72" s="125">
        <f>IF(Procurement_Raw!J72="","",Procurement_Raw!J72)</f>
        <v>15029.15</v>
      </c>
      <c r="K72" s="77">
        <f>Procurement_Raw!K72</f>
        <v>30</v>
      </c>
      <c r="L72" t="str">
        <f>Procurement_Raw!L72</f>
        <v>Legacy Spend File</v>
      </c>
      <c r="M72" t="str">
        <f>Procurement_Raw!O72</f>
        <v>Y</v>
      </c>
      <c r="N72" t="str">
        <f>IF(E72="","Missing supplier",IF(B72="","Missing site",IF(J72="","Missing spend",IF(COUNTIFS($G$2:G72,G72,$E$2:E72,E72,$J$2:J72,J72)&gt;1,"Duplicate invoice",IF(COUNTIF($G$2:$G$1801,G72)&gt;1,"Duplicate ID - review",IF(AND(P72&lt;&gt;"Unmapped",P72&lt;&gt;F72),"Category mismatch","OK"))))))</f>
        <v>OK</v>
      </c>
      <c r="O72" s="125">
        <f t="shared" si="3"/>
        <v>15029.15</v>
      </c>
      <c r="P72" t="str">
        <f>IF(E72="","Unmapped",IFERROR(INDEX(Supplier_Lookup!$B$2:$B$25,MATCH(E72,Supplier_Lookup!$A$2:$A$25,0)),"Unmapped"))</f>
        <v>IT &amp; Telecoms</v>
      </c>
      <c r="Q72" s="76">
        <f>IFERROR(INDEX(Category_Targets!$B$2:$B$9,MATCH(F72,Category_Targets!$A$2:$A$9,0)),0)</f>
        <v>0.08</v>
      </c>
      <c r="R72" s="125">
        <f t="shared" si="4"/>
        <v>1202.3320000000001</v>
      </c>
      <c r="S72" s="78">
        <f t="shared" si="5"/>
        <v>45992</v>
      </c>
      <c r="T72" t="str">
        <f>IFERROR(VLOOKUP(B72,Sites!$A$2:$D$21,4,FALSE()),"Unknown")</f>
        <v>Wrexham</v>
      </c>
      <c r="U72" t="str">
        <f>IF(N72="OK","",COUNTIF($N$2:N72,"&lt;&gt;OK"))</f>
        <v/>
      </c>
      <c r="V72">
        <f>IF(OR(NOT(EXACT(E72,TRIM(Procurement_Raw!E72))),NOT(EXACT(F72,TRIM(Procurement_Raw!F72)))),1,0)</f>
        <v>0</v>
      </c>
    </row>
    <row r="73" spans="1:22" ht="15" customHeight="1" x14ac:dyDescent="0.25">
      <c r="A73" s="123">
        <f>Procurement_Raw!A73</f>
        <v>45878</v>
      </c>
      <c r="B73" t="str">
        <f>TRIM(Procurement_Raw!B73)</f>
        <v>S013</v>
      </c>
      <c r="C73" t="str">
        <f>Procurement_Raw!C73</f>
        <v>Reading Care &amp; Education Centre</v>
      </c>
      <c r="D73" t="str">
        <f>Procurement_Raw!D73</f>
        <v>South</v>
      </c>
      <c r="E73" t="str">
        <f>IF(TRIM(Procurement_Raw!E73)="","",IFERROR(INDEX(Supplier_Lookup!$A$2:$A$25,MATCH(TRIM(Procurement_Raw!E73),Supplier_Lookup!$A$2:$A$25,0)),TRIM(Procurement_Raw!E73)))</f>
        <v>WaterGrid</v>
      </c>
      <c r="F73" t="str">
        <f>IFERROR(INDEX(Category_Targets!$A$2:$A$9,MATCH(TRIM(Procurement_Raw!F73),Category_Targets!$A$2:$A$9,0)),"Unmapped")</f>
        <v>Utilities</v>
      </c>
      <c r="G73" t="str">
        <f>TRIM(Procurement_Raw!G73)</f>
        <v>INV-2025-00072</v>
      </c>
      <c r="H73" s="77">
        <f>Procurement_Raw!H73</f>
        <v>9</v>
      </c>
      <c r="I73" s="124">
        <f>Procurement_Raw!I73</f>
        <v>582.53</v>
      </c>
      <c r="J73" s="125">
        <f>IF(Procurement_Raw!J73="","",Procurement_Raw!J73)</f>
        <v>5242.7700000000004</v>
      </c>
      <c r="K73" s="77">
        <f>Procurement_Raw!K73</f>
        <v>60</v>
      </c>
      <c r="L73" t="str">
        <f>Procurement_Raw!L73</f>
        <v>Procurement Portal</v>
      </c>
      <c r="M73" t="str">
        <f>Procurement_Raw!O73</f>
        <v>N</v>
      </c>
      <c r="N73" t="str">
        <f>IF(E73="","Missing supplier",IF(B73="","Missing site",IF(J73="","Missing spend",IF(COUNTIFS($G$2:G73,G73,$E$2:E73,E73,$J$2:J73,J73)&gt;1,"Duplicate invoice",IF(COUNTIF($G$2:$G$1801,G73)&gt;1,"Duplicate ID - review",IF(AND(P73&lt;&gt;"Unmapped",P73&lt;&gt;F73),"Category mismatch","OK"))))))</f>
        <v>OK</v>
      </c>
      <c r="O73" s="125">
        <f t="shared" si="3"/>
        <v>5242.7700000000004</v>
      </c>
      <c r="P73" t="str">
        <f>IF(E73="","Unmapped",IFERROR(INDEX(Supplier_Lookup!$B$2:$B$25,MATCH(E73,Supplier_Lookup!$A$2:$A$25,0)),"Unmapped"))</f>
        <v>Utilities</v>
      </c>
      <c r="Q73" s="76">
        <f>IFERROR(INDEX(Category_Targets!$B$2:$B$9,MATCH(F73,Category_Targets!$A$2:$A$9,0)),0)</f>
        <v>0.03</v>
      </c>
      <c r="R73" s="125">
        <f t="shared" si="4"/>
        <v>157.28310000000002</v>
      </c>
      <c r="S73" s="78">
        <f t="shared" si="5"/>
        <v>45870</v>
      </c>
      <c r="T73" t="str">
        <f>IFERROR(VLOOKUP(B73,Sites!$A$2:$D$21,4,FALSE()),"Unknown")</f>
        <v>Reading</v>
      </c>
      <c r="U73" t="str">
        <f>IF(N73="OK","",COUNTIF($N$2:N73,"&lt;&gt;OK"))</f>
        <v/>
      </c>
      <c r="V73">
        <f>IF(OR(NOT(EXACT(E73,TRIM(Procurement_Raw!E73))),NOT(EXACT(F73,TRIM(Procurement_Raw!F73)))),1,0)</f>
        <v>0</v>
      </c>
    </row>
    <row r="74" spans="1:22" ht="15" customHeight="1" x14ac:dyDescent="0.25">
      <c r="A74" s="123">
        <f>Procurement_Raw!A74</f>
        <v>45721</v>
      </c>
      <c r="B74" t="str">
        <f>TRIM(Procurement_Raw!B74)</f>
        <v>S018</v>
      </c>
      <c r="C74" t="str">
        <f>Procurement_Raw!C74</f>
        <v>Newport Care &amp; Education Centre</v>
      </c>
      <c r="D74" t="str">
        <f>Procurement_Raw!D74</f>
        <v>Wales</v>
      </c>
      <c r="E74" t="str">
        <f>IF(TRIM(Procurement_Raw!E74)="","",IFERROR(INDEX(Supplier_Lookup!$A$2:$A$25,MATCH(TRIM(Procurement_Raw!E74),Supplier_Lookup!$A$2:$A$25,0)),TRIM(Procurement_Raw!E74)))</f>
        <v>AutoCare</v>
      </c>
      <c r="F74" t="str">
        <f>IFERROR(INDEX(Category_Targets!$A$2:$A$9,MATCH(TRIM(Procurement_Raw!F74),Category_Targets!$A$2:$A$9,0)),"Unmapped")</f>
        <v>Vehicle &amp; Fuel</v>
      </c>
      <c r="G74" t="str">
        <f>TRIM(Procurement_Raw!G74)</f>
        <v>INV-2025-00073</v>
      </c>
      <c r="H74" s="77">
        <f>Procurement_Raw!H74</f>
        <v>39</v>
      </c>
      <c r="I74" s="124">
        <f>Procurement_Raw!I74</f>
        <v>93.15</v>
      </c>
      <c r="J74" s="125">
        <f>IF(Procurement_Raw!J74="","",Procurement_Raw!J74)</f>
        <v>3632.71</v>
      </c>
      <c r="K74" s="77">
        <f>Procurement_Raw!K74</f>
        <v>60</v>
      </c>
      <c r="L74" t="str">
        <f>Procurement_Raw!L74</f>
        <v>Procurement Portal</v>
      </c>
      <c r="M74" t="str">
        <f>Procurement_Raw!O74</f>
        <v>N</v>
      </c>
      <c r="N74" t="str">
        <f>IF(E74="","Missing supplier",IF(B74="","Missing site",IF(J74="","Missing spend",IF(COUNTIFS($G$2:G74,G74,$E$2:E74,E74,$J$2:J74,J74)&gt;1,"Duplicate invoice",IF(COUNTIF($G$2:$G$1801,G74)&gt;1,"Duplicate ID - review",IF(AND(P74&lt;&gt;"Unmapped",P74&lt;&gt;F74),"Category mismatch","OK"))))))</f>
        <v>OK</v>
      </c>
      <c r="O74" s="125">
        <f t="shared" si="3"/>
        <v>3632.71</v>
      </c>
      <c r="P74" t="str">
        <f>IF(E74="","Unmapped",IFERROR(INDEX(Supplier_Lookup!$B$2:$B$25,MATCH(E74,Supplier_Lookup!$A$2:$A$25,0)),"Unmapped"))</f>
        <v>Vehicle &amp; Fuel</v>
      </c>
      <c r="Q74" s="76">
        <f>IFERROR(INDEX(Category_Targets!$B$2:$B$9,MATCH(F74,Category_Targets!$A$2:$A$9,0)),0)</f>
        <v>0.05</v>
      </c>
      <c r="R74" s="125">
        <f t="shared" si="4"/>
        <v>181.63550000000001</v>
      </c>
      <c r="S74" s="78">
        <f t="shared" si="5"/>
        <v>45717</v>
      </c>
      <c r="T74" t="str">
        <f>IFERROR(VLOOKUP(B74,Sites!$A$2:$D$21,4,FALSE()),"Unknown")</f>
        <v>Newport</v>
      </c>
      <c r="U74" t="str">
        <f>IF(N74="OK","",COUNTIF($N$2:N74,"&lt;&gt;OK"))</f>
        <v/>
      </c>
      <c r="V74">
        <f>IF(OR(NOT(EXACT(E74,TRIM(Procurement_Raw!E74))),NOT(EXACT(F74,TRIM(Procurement_Raw!F74)))),1,0)</f>
        <v>0</v>
      </c>
    </row>
    <row r="75" spans="1:22" ht="15" customHeight="1" x14ac:dyDescent="0.25">
      <c r="A75" s="123">
        <f>Procurement_Raw!A75</f>
        <v>45864</v>
      </c>
      <c r="B75" t="str">
        <f>TRIM(Procurement_Raw!B75)</f>
        <v>S019</v>
      </c>
      <c r="C75" t="str">
        <f>Procurement_Raw!C75</f>
        <v>Wrexham Care &amp; Education Centre</v>
      </c>
      <c r="D75" t="str">
        <f>Procurement_Raw!D75</f>
        <v>Wales</v>
      </c>
      <c r="E75" t="str">
        <f>IF(TRIM(Procurement_Raw!E75)="","",IFERROR(INDEX(Supplier_Lookup!$A$2:$A$25,MATCH(TRIM(Procurement_Raw!E75),Supplier_Lookup!$A$2:$A$25,0)),TRIM(Procurement_Raw!E75)))</f>
        <v>CareTemps</v>
      </c>
      <c r="F75" t="str">
        <f>IFERROR(INDEX(Category_Targets!$A$2:$A$9,MATCH(TRIM(Procurement_Raw!F75),Category_Targets!$A$2:$A$9,0)),"Unmapped")</f>
        <v>Agency Labour</v>
      </c>
      <c r="G75" t="str">
        <f>TRIM(Procurement_Raw!G75)</f>
        <v>INV-2025-00074</v>
      </c>
      <c r="H75" s="77">
        <f>Procurement_Raw!H75</f>
        <v>38</v>
      </c>
      <c r="I75" s="124">
        <f>Procurement_Raw!I75</f>
        <v>709.34</v>
      </c>
      <c r="J75" s="125">
        <f>IF(Procurement_Raw!J75="","",Procurement_Raw!J75)</f>
        <v>26954.959999999999</v>
      </c>
      <c r="K75" s="77">
        <f>Procurement_Raw!K75</f>
        <v>60</v>
      </c>
      <c r="L75" t="str">
        <f>Procurement_Raw!L75</f>
        <v>ERP</v>
      </c>
      <c r="M75" t="str">
        <f>Procurement_Raw!O75</f>
        <v>N</v>
      </c>
      <c r="N75" t="str">
        <f>IF(E75="","Missing supplier",IF(B75="","Missing site",IF(J75="","Missing spend",IF(COUNTIFS($G$2:G75,G75,$E$2:E75,E75,$J$2:J75,J75)&gt;1,"Duplicate invoice",IF(COUNTIF($G$2:$G$1801,G75)&gt;1,"Duplicate ID - review",IF(AND(P75&lt;&gt;"Unmapped",P75&lt;&gt;F75),"Category mismatch","OK"))))))</f>
        <v>OK</v>
      </c>
      <c r="O75" s="125">
        <f t="shared" si="3"/>
        <v>26954.959999999999</v>
      </c>
      <c r="P75" t="str">
        <f>IF(E75="","Unmapped",IFERROR(INDEX(Supplier_Lookup!$B$2:$B$25,MATCH(E75,Supplier_Lookup!$A$2:$A$25,0)),"Unmapped"))</f>
        <v>Agency Labour</v>
      </c>
      <c r="Q75" s="76">
        <f>IFERROR(INDEX(Category_Targets!$B$2:$B$9,MATCH(F75,Category_Targets!$A$2:$A$9,0)),0)</f>
        <v>7.0000000000000007E-2</v>
      </c>
      <c r="R75" s="125">
        <f t="shared" si="4"/>
        <v>1886.8472000000002</v>
      </c>
      <c r="S75" s="78">
        <f t="shared" si="5"/>
        <v>45839</v>
      </c>
      <c r="T75" t="str">
        <f>IFERROR(VLOOKUP(B75,Sites!$A$2:$D$21,4,FALSE()),"Unknown")</f>
        <v>Wrexham</v>
      </c>
      <c r="U75" t="str">
        <f>IF(N75="OK","",COUNTIF($N$2:N75,"&lt;&gt;OK"))</f>
        <v/>
      </c>
      <c r="V75">
        <f>IF(OR(NOT(EXACT(E75,TRIM(Procurement_Raw!E75))),NOT(EXACT(F75,TRIM(Procurement_Raw!F75)))),1,0)</f>
        <v>0</v>
      </c>
    </row>
    <row r="76" spans="1:22" ht="15" customHeight="1" x14ac:dyDescent="0.25">
      <c r="A76" s="123">
        <f>Procurement_Raw!A76</f>
        <v>45852</v>
      </c>
      <c r="B76" t="str">
        <f>TRIM(Procurement_Raw!B76)</f>
        <v>S004</v>
      </c>
      <c r="C76" t="str">
        <f>Procurement_Raw!C76</f>
        <v>Newcastle Care &amp; Education Centre</v>
      </c>
      <c r="D76" t="str">
        <f>Procurement_Raw!D76</f>
        <v>North</v>
      </c>
      <c r="E76" t="str">
        <f>IF(TRIM(Procurement_Raw!E76)="","",IFERROR(INDEX(Supplier_Lookup!$A$2:$A$25,MATCH(TRIM(Procurement_Raw!E76),Supplier_Lookup!$A$2:$A$25,0)),TRIM(Procurement_Raw!E76)))</f>
        <v>NurseLink</v>
      </c>
      <c r="F76" t="str">
        <f>IFERROR(INDEX(Category_Targets!$A$2:$A$9,MATCH(TRIM(Procurement_Raw!F76),Category_Targets!$A$2:$A$9,0)),"Unmapped")</f>
        <v>Agency Labour</v>
      </c>
      <c r="G76" t="str">
        <f>TRIM(Procurement_Raw!G76)</f>
        <v>INV-2025-00075</v>
      </c>
      <c r="H76" s="77">
        <f>Procurement_Raw!H76</f>
        <v>23</v>
      </c>
      <c r="I76" s="124">
        <f>Procurement_Raw!I76</f>
        <v>71.02</v>
      </c>
      <c r="J76" s="125">
        <f>IF(Procurement_Raw!J76="","",Procurement_Raw!J76)</f>
        <v>1633.4</v>
      </c>
      <c r="K76" s="77">
        <f>Procurement_Raw!K76</f>
        <v>60</v>
      </c>
      <c r="L76" t="str">
        <f>Procurement_Raw!L76</f>
        <v>Legacy Spend File</v>
      </c>
      <c r="M76" t="str">
        <f>Procurement_Raw!O76</f>
        <v>N</v>
      </c>
      <c r="N76" t="str">
        <f>IF(E76="","Missing supplier",IF(B76="","Missing site",IF(J76="","Missing spend",IF(COUNTIFS($G$2:G76,G76,$E$2:E76,E76,$J$2:J76,J76)&gt;1,"Duplicate invoice",IF(COUNTIF($G$2:$G$1801,G76)&gt;1,"Duplicate ID - review",IF(AND(P76&lt;&gt;"Unmapped",P76&lt;&gt;F76),"Category mismatch","OK"))))))</f>
        <v>OK</v>
      </c>
      <c r="O76" s="125">
        <f t="shared" si="3"/>
        <v>1633.4</v>
      </c>
      <c r="P76" t="str">
        <f>IF(E76="","Unmapped",IFERROR(INDEX(Supplier_Lookup!$B$2:$B$25,MATCH(E76,Supplier_Lookup!$A$2:$A$25,0)),"Unmapped"))</f>
        <v>Agency Labour</v>
      </c>
      <c r="Q76" s="76">
        <f>IFERROR(INDEX(Category_Targets!$B$2:$B$9,MATCH(F76,Category_Targets!$A$2:$A$9,0)),0)</f>
        <v>7.0000000000000007E-2</v>
      </c>
      <c r="R76" s="125">
        <f t="shared" si="4"/>
        <v>114.33800000000002</v>
      </c>
      <c r="S76" s="78">
        <f t="shared" si="5"/>
        <v>45839</v>
      </c>
      <c r="T76" t="str">
        <f>IFERROR(VLOOKUP(B76,Sites!$A$2:$D$21,4,FALSE()),"Unknown")</f>
        <v>Newcastle</v>
      </c>
      <c r="U76" t="str">
        <f>IF(N76="OK","",COUNTIF($N$2:N76,"&lt;&gt;OK"))</f>
        <v/>
      </c>
      <c r="V76">
        <f>IF(OR(NOT(EXACT(E76,TRIM(Procurement_Raw!E76))),NOT(EXACT(F76,TRIM(Procurement_Raw!F76)))),1,0)</f>
        <v>0</v>
      </c>
    </row>
    <row r="77" spans="1:22" ht="15" customHeight="1" x14ac:dyDescent="0.25">
      <c r="A77" s="123">
        <f>Procurement_Raw!A77</f>
        <v>45658</v>
      </c>
      <c r="B77" t="str">
        <f>TRIM(Procurement_Raw!B77)</f>
        <v>S008</v>
      </c>
      <c r="C77" t="str">
        <f>Procurement_Raw!C77</f>
        <v>Leicester Care &amp; Education Centre</v>
      </c>
      <c r="D77" t="str">
        <f>Procurement_Raw!D77</f>
        <v>Midlands</v>
      </c>
      <c r="E77" t="str">
        <f>IF(TRIM(Procurement_Raw!E77)="","",IFERROR(INDEX(Supplier_Lookup!$A$2:$A$25,MATCH(TRIM(Procurement_Raw!E77),Supplier_Lookup!$A$2:$A$25,0)),TRIM(Procurement_Raw!E77)))</f>
        <v>NurseLink</v>
      </c>
      <c r="F77" t="str">
        <f>IFERROR(INDEX(Category_Targets!$A$2:$A$9,MATCH(TRIM(Procurement_Raw!F77),Category_Targets!$A$2:$A$9,0)),"Unmapped")</f>
        <v>Agency Labour</v>
      </c>
      <c r="G77" t="str">
        <f>TRIM(Procurement_Raw!G77)</f>
        <v>INV-2025-00076</v>
      </c>
      <c r="H77" s="77">
        <f>Procurement_Raw!H77</f>
        <v>39</v>
      </c>
      <c r="I77" s="124">
        <f>Procurement_Raw!I77</f>
        <v>471.46</v>
      </c>
      <c r="J77" s="125">
        <f>IF(Procurement_Raw!J77="","",Procurement_Raw!J77)</f>
        <v>18386.84</v>
      </c>
      <c r="K77" s="77">
        <f>Procurement_Raw!K77</f>
        <v>45</v>
      </c>
      <c r="L77" t="str">
        <f>Procurement_Raw!L77</f>
        <v>ERP</v>
      </c>
      <c r="M77" t="str">
        <f>Procurement_Raw!O77</f>
        <v>N</v>
      </c>
      <c r="N77" t="str">
        <f>IF(E77="","Missing supplier",IF(B77="","Missing site",IF(J77="","Missing spend",IF(COUNTIFS($G$2:G77,G77,$E$2:E77,E77,$J$2:J77,J77)&gt;1,"Duplicate invoice",IF(COUNTIF($G$2:$G$1801,G77)&gt;1,"Duplicate ID - review",IF(AND(P77&lt;&gt;"Unmapped",P77&lt;&gt;F77),"Category mismatch","OK"))))))</f>
        <v>OK</v>
      </c>
      <c r="O77" s="125">
        <f t="shared" si="3"/>
        <v>18386.84</v>
      </c>
      <c r="P77" t="str">
        <f>IF(E77="","Unmapped",IFERROR(INDEX(Supplier_Lookup!$B$2:$B$25,MATCH(E77,Supplier_Lookup!$A$2:$A$25,0)),"Unmapped"))</f>
        <v>Agency Labour</v>
      </c>
      <c r="Q77" s="76">
        <f>IFERROR(INDEX(Category_Targets!$B$2:$B$9,MATCH(F77,Category_Targets!$A$2:$A$9,0)),0)</f>
        <v>7.0000000000000007E-2</v>
      </c>
      <c r="R77" s="125">
        <f t="shared" si="4"/>
        <v>1287.0788000000002</v>
      </c>
      <c r="S77" s="78">
        <f t="shared" si="5"/>
        <v>45658</v>
      </c>
      <c r="T77" t="str">
        <f>IFERROR(VLOOKUP(B77,Sites!$A$2:$D$21,4,FALSE()),"Unknown")</f>
        <v>Leicester</v>
      </c>
      <c r="U77" t="str">
        <f>IF(N77="OK","",COUNTIF($N$2:N77,"&lt;&gt;OK"))</f>
        <v/>
      </c>
      <c r="V77">
        <f>IF(OR(NOT(EXACT(E77,TRIM(Procurement_Raw!E77))),NOT(EXACT(F77,TRIM(Procurement_Raw!F77)))),1,0)</f>
        <v>0</v>
      </c>
    </row>
    <row r="78" spans="1:22" ht="15" customHeight="1" x14ac:dyDescent="0.25">
      <c r="A78" s="123">
        <f>Procurement_Raw!A78</f>
        <v>45884</v>
      </c>
      <c r="B78" t="str">
        <f>TRIM(Procurement_Raw!B78)</f>
        <v>S014</v>
      </c>
      <c r="C78" t="str">
        <f>Procurement_Raw!C78</f>
        <v>Southampton Care &amp; Education Centre</v>
      </c>
      <c r="D78" t="str">
        <f>Procurement_Raw!D78</f>
        <v>South</v>
      </c>
      <c r="E78" t="str">
        <f>IF(TRIM(Procurement_Raw!E78)="","",IFERROR(INDEX(Supplier_Lookup!$A$2:$A$25,MATCH(TRIM(Procurement_Raw!E78),Supplier_Lookup!$A$2:$A$25,0)),TRIM(Procurement_Raw!E78)))</f>
        <v>RoadReady</v>
      </c>
      <c r="F78" t="str">
        <f>IFERROR(INDEX(Category_Targets!$A$2:$A$9,MATCH(TRIM(Procurement_Raw!F78),Category_Targets!$A$2:$A$9,0)),"Unmapped")</f>
        <v>Vehicle &amp; Fuel</v>
      </c>
      <c r="G78" t="str">
        <f>TRIM(Procurement_Raw!G78)</f>
        <v>INV-2025-00077</v>
      </c>
      <c r="H78" s="77">
        <f>Procurement_Raw!H78</f>
        <v>57</v>
      </c>
      <c r="I78" s="124">
        <f>Procurement_Raw!I78</f>
        <v>99.66</v>
      </c>
      <c r="J78" s="125">
        <f>IF(Procurement_Raw!J78="","",Procurement_Raw!J78)</f>
        <v>5680.55</v>
      </c>
      <c r="K78" s="77">
        <f>Procurement_Raw!K78</f>
        <v>60</v>
      </c>
      <c r="L78" t="str">
        <f>Procurement_Raw!L78</f>
        <v>ERP</v>
      </c>
      <c r="M78" t="str">
        <f>Procurement_Raw!O78</f>
        <v>N</v>
      </c>
      <c r="N78" t="str">
        <f>IF(E78="","Missing supplier",IF(B78="","Missing site",IF(J78="","Missing spend",IF(COUNTIFS($G$2:G78,G78,$E$2:E78,E78,$J$2:J78,J78)&gt;1,"Duplicate invoice",IF(COUNTIF($G$2:$G$1801,G78)&gt;1,"Duplicate ID - review",IF(AND(P78&lt;&gt;"Unmapped",P78&lt;&gt;F78),"Category mismatch","OK"))))))</f>
        <v>OK</v>
      </c>
      <c r="O78" s="125">
        <f t="shared" si="3"/>
        <v>5680.55</v>
      </c>
      <c r="P78" t="str">
        <f>IF(E78="","Unmapped",IFERROR(INDEX(Supplier_Lookup!$B$2:$B$25,MATCH(E78,Supplier_Lookup!$A$2:$A$25,0)),"Unmapped"))</f>
        <v>Vehicle &amp; Fuel</v>
      </c>
      <c r="Q78" s="76">
        <f>IFERROR(INDEX(Category_Targets!$B$2:$B$9,MATCH(F78,Category_Targets!$A$2:$A$9,0)),0)</f>
        <v>0.05</v>
      </c>
      <c r="R78" s="125">
        <f t="shared" si="4"/>
        <v>284.02750000000003</v>
      </c>
      <c r="S78" s="78">
        <f t="shared" si="5"/>
        <v>45870</v>
      </c>
      <c r="T78" t="str">
        <f>IFERROR(VLOOKUP(B78,Sites!$A$2:$D$21,4,FALSE()),"Unknown")</f>
        <v>Southampton</v>
      </c>
      <c r="U78" t="str">
        <f>IF(N78="OK","",COUNTIF($N$2:N78,"&lt;&gt;OK"))</f>
        <v/>
      </c>
      <c r="V78">
        <f>IF(OR(NOT(EXACT(E78,TRIM(Procurement_Raw!E78))),NOT(EXACT(F78,TRIM(Procurement_Raw!F78)))),1,0)</f>
        <v>0</v>
      </c>
    </row>
    <row r="79" spans="1:22" ht="15" customHeight="1" x14ac:dyDescent="0.25">
      <c r="A79" s="123">
        <f>Procurement_Raw!A79</f>
        <v>45744</v>
      </c>
      <c r="B79" t="str">
        <f>TRIM(Procurement_Raw!B79)</f>
        <v>S005</v>
      </c>
      <c r="C79" t="str">
        <f>Procurement_Raw!C79</f>
        <v>Sheffield Care &amp; Education Centre</v>
      </c>
      <c r="D79" t="str">
        <f>Procurement_Raw!D79</f>
        <v>North</v>
      </c>
      <c r="E79" t="str">
        <f>IF(TRIM(Procurement_Raw!E79)="","",IFERROR(INDEX(Supplier_Lookup!$A$2:$A$25,MATCH(TRIM(Procurement_Raw!E79),Supplier_Lookup!$A$2:$A$25,0)),TRIM(Procurement_Raw!E79)))</f>
        <v/>
      </c>
      <c r="F79" t="str">
        <f>IFERROR(INDEX(Category_Targets!$A$2:$A$9,MATCH(TRIM(Procurement_Raw!F79),Category_Targets!$A$2:$A$9,0)),"Unmapped")</f>
        <v>Office &amp; Training</v>
      </c>
      <c r="G79" t="str">
        <f>TRIM(Procurement_Raw!G79)</f>
        <v>INV-2025-00078</v>
      </c>
      <c r="H79" s="77">
        <f>Procurement_Raw!H79</f>
        <v>11</v>
      </c>
      <c r="I79" s="124">
        <f>Procurement_Raw!I79</f>
        <v>63.63</v>
      </c>
      <c r="J79" s="125">
        <f>IF(Procurement_Raw!J79="","",Procurement_Raw!J79)</f>
        <v>699.89</v>
      </c>
      <c r="K79" s="77">
        <f>Procurement_Raw!K79</f>
        <v>45</v>
      </c>
      <c r="L79" t="str">
        <f>Procurement_Raw!L79</f>
        <v>Legacy Spend File</v>
      </c>
      <c r="M79" t="str">
        <f>Procurement_Raw!O79</f>
        <v>N</v>
      </c>
      <c r="N79" t="str">
        <f>IF(E79="","Missing supplier",IF(B79="","Missing site",IF(J79="","Missing spend",IF(COUNTIFS($G$2:G79,G79,$E$2:E79,E79,$J$2:J79,J79)&gt;1,"Duplicate invoice",IF(COUNTIF($G$2:$G$1801,G79)&gt;1,"Duplicate ID - review",IF(AND(P79&lt;&gt;"Unmapped",P79&lt;&gt;F79),"Category mismatch","OK"))))))</f>
        <v>Missing supplier</v>
      </c>
      <c r="O79" s="125">
        <f t="shared" si="3"/>
        <v>699.89</v>
      </c>
      <c r="P79" t="str">
        <f>IF(E79="","Unmapped",IFERROR(INDEX(Supplier_Lookup!$B$2:$B$25,MATCH(E79,Supplier_Lookup!$A$2:$A$25,0)),"Unmapped"))</f>
        <v>Unmapped</v>
      </c>
      <c r="Q79" s="76">
        <f>IFERROR(INDEX(Category_Targets!$B$2:$B$9,MATCH(F79,Category_Targets!$A$2:$A$9,0)),0)</f>
        <v>0.04</v>
      </c>
      <c r="R79" s="125">
        <f t="shared" si="4"/>
        <v>27.9956</v>
      </c>
      <c r="S79" s="78">
        <f t="shared" si="5"/>
        <v>45717</v>
      </c>
      <c r="T79" t="str">
        <f>IFERROR(VLOOKUP(B79,Sites!$A$2:$D$21,4,FALSE()),"Unknown")</f>
        <v>Sheffield</v>
      </c>
      <c r="U79">
        <f>IF(N79="OK","",COUNTIF($N$2:N79,"&lt;&gt;OK"))</f>
        <v>1</v>
      </c>
      <c r="V79">
        <f>IF(OR(NOT(EXACT(E79,TRIM(Procurement_Raw!E79))),NOT(EXACT(F79,TRIM(Procurement_Raw!F79)))),1,0)</f>
        <v>0</v>
      </c>
    </row>
    <row r="80" spans="1:22" ht="15" customHeight="1" x14ac:dyDescent="0.25">
      <c r="A80" s="123">
        <f>Procurement_Raw!A80</f>
        <v>45778</v>
      </c>
      <c r="B80" t="str">
        <f>TRIM(Procurement_Raw!B80)</f>
        <v>S020</v>
      </c>
      <c r="C80" t="str">
        <f>Procurement_Raw!C80</f>
        <v>Bangor Care &amp; Education Centre</v>
      </c>
      <c r="D80" t="str">
        <f>Procurement_Raw!D80</f>
        <v>Wales</v>
      </c>
      <c r="E80" t="str">
        <f>IF(TRIM(Procurement_Raw!E80)="","",IFERROR(INDEX(Supplier_Lookup!$A$2:$A$25,MATCH(TRIM(Procurement_Raw!E80),Supplier_Lookup!$A$2:$A$25,0)),TRIM(Procurement_Raw!E80)))</f>
        <v>FleetFuel</v>
      </c>
      <c r="F80" t="str">
        <f>IFERROR(INDEX(Category_Targets!$A$2:$A$9,MATCH(TRIM(Procurement_Raw!F80),Category_Targets!$A$2:$A$9,0)),"Unmapped")</f>
        <v>Vehicle &amp; Fuel</v>
      </c>
      <c r="G80" t="str">
        <f>TRIM(Procurement_Raw!G80)</f>
        <v>INV-2025-00079</v>
      </c>
      <c r="H80" s="77">
        <f>Procurement_Raw!H80</f>
        <v>40</v>
      </c>
      <c r="I80" s="124">
        <f>Procurement_Raw!I80</f>
        <v>99.92</v>
      </c>
      <c r="J80" s="125">
        <f>IF(Procurement_Raw!J80="","",Procurement_Raw!J80)</f>
        <v>3996.7</v>
      </c>
      <c r="K80" s="77">
        <f>Procurement_Raw!K80</f>
        <v>30</v>
      </c>
      <c r="L80" t="str">
        <f>Procurement_Raw!L80</f>
        <v>ERP</v>
      </c>
      <c r="M80" t="str">
        <f>Procurement_Raw!O80</f>
        <v>Y</v>
      </c>
      <c r="N80" t="str">
        <f>IF(E80="","Missing supplier",IF(B80="","Missing site",IF(J80="","Missing spend",IF(COUNTIFS($G$2:G80,G80,$E$2:E80,E80,$J$2:J80,J80)&gt;1,"Duplicate invoice",IF(COUNTIF($G$2:$G$1801,G80)&gt;1,"Duplicate ID - review",IF(AND(P80&lt;&gt;"Unmapped",P80&lt;&gt;F80),"Category mismatch","OK"))))))</f>
        <v>OK</v>
      </c>
      <c r="O80" s="125">
        <f t="shared" si="3"/>
        <v>3996.7</v>
      </c>
      <c r="P80" t="str">
        <f>IF(E80="","Unmapped",IFERROR(INDEX(Supplier_Lookup!$B$2:$B$25,MATCH(E80,Supplier_Lookup!$A$2:$A$25,0)),"Unmapped"))</f>
        <v>Vehicle &amp; Fuel</v>
      </c>
      <c r="Q80" s="76">
        <f>IFERROR(INDEX(Category_Targets!$B$2:$B$9,MATCH(F80,Category_Targets!$A$2:$A$9,0)),0)</f>
        <v>0.05</v>
      </c>
      <c r="R80" s="125">
        <f t="shared" si="4"/>
        <v>199.83500000000001</v>
      </c>
      <c r="S80" s="78">
        <f t="shared" si="5"/>
        <v>45778</v>
      </c>
      <c r="T80" t="str">
        <f>IFERROR(VLOOKUP(B80,Sites!$A$2:$D$21,4,FALSE()),"Unknown")</f>
        <v>Bangor</v>
      </c>
      <c r="U80" t="str">
        <f>IF(N80="OK","",COUNTIF($N$2:N80,"&lt;&gt;OK"))</f>
        <v/>
      </c>
      <c r="V80">
        <f>IF(OR(NOT(EXACT(E80,TRIM(Procurement_Raw!E80))),NOT(EXACT(F80,TRIM(Procurement_Raw!F80)))),1,0)</f>
        <v>0</v>
      </c>
    </row>
    <row r="81" spans="1:22" ht="15" customHeight="1" x14ac:dyDescent="0.25">
      <c r="A81" s="123">
        <f>Procurement_Raw!A81</f>
        <v>45783</v>
      </c>
      <c r="B81" t="str">
        <f>TRIM(Procurement_Raw!B81)</f>
        <v>S017</v>
      </c>
      <c r="C81" t="str">
        <f>Procurement_Raw!C81</f>
        <v>Swansea Care &amp; Education Centre</v>
      </c>
      <c r="D81" t="str">
        <f>Procurement_Raw!D81</f>
        <v>Wales</v>
      </c>
      <c r="E81" t="str">
        <f>IF(TRIM(Procurement_Raw!E81)="","",IFERROR(INDEX(Supplier_Lookup!$A$2:$A$25,MATCH(TRIM(Procurement_Raw!E81),Supplier_Lookup!$A$2:$A$25,0)),TRIM(Procurement_Raw!E81)))</f>
        <v>MediSure</v>
      </c>
      <c r="F81" t="str">
        <f>IFERROR(INDEX(Category_Targets!$A$2:$A$9,MATCH(TRIM(Procurement_Raw!F81),Category_Targets!$A$2:$A$9,0)),"Unmapped")</f>
        <v>Medical Supplies</v>
      </c>
      <c r="G81" t="str">
        <f>TRIM(Procurement_Raw!G81)</f>
        <v>INV-2025-00080</v>
      </c>
      <c r="H81" s="77">
        <f>Procurement_Raw!H81</f>
        <v>61</v>
      </c>
      <c r="I81" s="124">
        <f>Procurement_Raw!I81</f>
        <v>40.22</v>
      </c>
      <c r="J81" s="125">
        <f>IF(Procurement_Raw!J81="","",Procurement_Raw!J81)</f>
        <v>2453.33</v>
      </c>
      <c r="K81" s="77">
        <f>Procurement_Raw!K81</f>
        <v>60</v>
      </c>
      <c r="L81" t="str">
        <f>Procurement_Raw!L81</f>
        <v>ERP</v>
      </c>
      <c r="M81" t="str">
        <f>Procurement_Raw!O81</f>
        <v>Y</v>
      </c>
      <c r="N81" t="str">
        <f>IF(E81="","Missing supplier",IF(B81="","Missing site",IF(J81="","Missing spend",IF(COUNTIFS($G$2:G81,G81,$E$2:E81,E81,$J$2:J81,J81)&gt;1,"Duplicate invoice",IF(COUNTIF($G$2:$G$1801,G81)&gt;1,"Duplicate ID - review",IF(AND(P81&lt;&gt;"Unmapped",P81&lt;&gt;F81),"Category mismatch","OK"))))))</f>
        <v>OK</v>
      </c>
      <c r="O81" s="125">
        <f t="shared" si="3"/>
        <v>2453.33</v>
      </c>
      <c r="P81" t="str">
        <f>IF(E81="","Unmapped",IFERROR(INDEX(Supplier_Lookup!$B$2:$B$25,MATCH(E81,Supplier_Lookup!$A$2:$A$25,0)),"Unmapped"))</f>
        <v>Medical Supplies</v>
      </c>
      <c r="Q81" s="76">
        <f>IFERROR(INDEX(Category_Targets!$B$2:$B$9,MATCH(F81,Category_Targets!$A$2:$A$9,0)),0)</f>
        <v>0.06</v>
      </c>
      <c r="R81" s="125">
        <f t="shared" si="4"/>
        <v>147.19979999999998</v>
      </c>
      <c r="S81" s="78">
        <f t="shared" si="5"/>
        <v>45778</v>
      </c>
      <c r="T81" t="str">
        <f>IFERROR(VLOOKUP(B81,Sites!$A$2:$D$21,4,FALSE()),"Unknown")</f>
        <v>Swansea</v>
      </c>
      <c r="U81" t="str">
        <f>IF(N81="OK","",COUNTIF($N$2:N81,"&lt;&gt;OK"))</f>
        <v/>
      </c>
      <c r="V81">
        <f>IF(OR(NOT(EXACT(E81,TRIM(Procurement_Raw!E81))),NOT(EXACT(F81,TRIM(Procurement_Raw!F81)))),1,0)</f>
        <v>0</v>
      </c>
    </row>
    <row r="82" spans="1:22" ht="15" customHeight="1" x14ac:dyDescent="0.25">
      <c r="A82" s="123">
        <f>Procurement_Raw!A82</f>
        <v>45952</v>
      </c>
      <c r="B82" t="str">
        <f>TRIM(Procurement_Raw!B82)</f>
        <v>S008</v>
      </c>
      <c r="C82" t="str">
        <f>Procurement_Raw!C82</f>
        <v>Leicester Care &amp; Education Centre</v>
      </c>
      <c r="D82" t="str">
        <f>Procurement_Raw!D82</f>
        <v>Midlands</v>
      </c>
      <c r="E82" t="str">
        <f>IF(TRIM(Procurement_Raw!E82)="","",IFERROR(INDEX(Supplier_Lookup!$A$2:$A$25,MATCH(TRIM(Procurement_Raw!E82),Supplier_Lookup!$A$2:$A$25,0)),TRIM(Procurement_Raw!E82)))</f>
        <v>NurseLink</v>
      </c>
      <c r="F82" t="str">
        <f>IFERROR(INDEX(Category_Targets!$A$2:$A$9,MATCH(TRIM(Procurement_Raw!F82),Category_Targets!$A$2:$A$9,0)),"Unmapped")</f>
        <v>Agency Labour</v>
      </c>
      <c r="G82" t="str">
        <f>TRIM(Procurement_Raw!G82)</f>
        <v>INV-2025-00081</v>
      </c>
      <c r="H82" s="77">
        <f>Procurement_Raw!H82</f>
        <v>25</v>
      </c>
      <c r="I82" s="124">
        <f>Procurement_Raw!I82</f>
        <v>265.86</v>
      </c>
      <c r="J82" s="125">
        <f>IF(Procurement_Raw!J82="","",Procurement_Raw!J82)</f>
        <v>6646.45</v>
      </c>
      <c r="K82" s="77">
        <f>Procurement_Raw!K82</f>
        <v>60</v>
      </c>
      <c r="L82" t="str">
        <f>Procurement_Raw!L82</f>
        <v>Legacy Spend File</v>
      </c>
      <c r="M82" t="str">
        <f>Procurement_Raw!O82</f>
        <v>N</v>
      </c>
      <c r="N82" t="str">
        <f>IF(E82="","Missing supplier",IF(B82="","Missing site",IF(J82="","Missing spend",IF(COUNTIFS($G$2:G82,G82,$E$2:E82,E82,$J$2:J82,J82)&gt;1,"Duplicate invoice",IF(COUNTIF($G$2:$G$1801,G82)&gt;1,"Duplicate ID - review",IF(AND(P82&lt;&gt;"Unmapped",P82&lt;&gt;F82),"Category mismatch","OK"))))))</f>
        <v>OK</v>
      </c>
      <c r="O82" s="125">
        <f t="shared" si="3"/>
        <v>6646.45</v>
      </c>
      <c r="P82" t="str">
        <f>IF(E82="","Unmapped",IFERROR(INDEX(Supplier_Lookup!$B$2:$B$25,MATCH(E82,Supplier_Lookup!$A$2:$A$25,0)),"Unmapped"))</f>
        <v>Agency Labour</v>
      </c>
      <c r="Q82" s="76">
        <f>IFERROR(INDEX(Category_Targets!$B$2:$B$9,MATCH(F82,Category_Targets!$A$2:$A$9,0)),0)</f>
        <v>7.0000000000000007E-2</v>
      </c>
      <c r="R82" s="125">
        <f t="shared" si="4"/>
        <v>465.25150000000002</v>
      </c>
      <c r="S82" s="78">
        <f t="shared" si="5"/>
        <v>45931</v>
      </c>
      <c r="T82" t="str">
        <f>IFERROR(VLOOKUP(B82,Sites!$A$2:$D$21,4,FALSE()),"Unknown")</f>
        <v>Leicester</v>
      </c>
      <c r="U82" t="str">
        <f>IF(N82="OK","",COUNTIF($N$2:N82,"&lt;&gt;OK"))</f>
        <v/>
      </c>
      <c r="V82">
        <f>IF(OR(NOT(EXACT(E82,TRIM(Procurement_Raw!E82))),NOT(EXACT(F82,TRIM(Procurement_Raw!F82)))),1,0)</f>
        <v>0</v>
      </c>
    </row>
    <row r="83" spans="1:22" ht="15" customHeight="1" x14ac:dyDescent="0.25">
      <c r="A83" s="123">
        <f>Procurement_Raw!A83</f>
        <v>45782</v>
      </c>
      <c r="B83" t="str">
        <f>TRIM(Procurement_Raw!B83)</f>
        <v>S019</v>
      </c>
      <c r="C83" t="str">
        <f>Procurement_Raw!C83</f>
        <v>Wrexham Care &amp; Education Centre</v>
      </c>
      <c r="D83" t="str">
        <f>Procurement_Raw!D83</f>
        <v>Wales</v>
      </c>
      <c r="E83" t="str">
        <f>IF(TRIM(Procurement_Raw!E83)="","",IFERROR(INDEX(Supplier_Lookup!$A$2:$A$25,MATCH(TRIM(Procurement_Raw!E83),Supplier_Lookup!$A$2:$A$25,0)),TRIM(Procurement_Raw!E83)))</f>
        <v>LearnWell</v>
      </c>
      <c r="F83" t="str">
        <f>IFERROR(INDEX(Category_Targets!$A$2:$A$9,MATCH(TRIM(Procurement_Raw!F83),Category_Targets!$A$2:$A$9,0)),"Unmapped")</f>
        <v>Office &amp; Training</v>
      </c>
      <c r="G83" t="str">
        <f>TRIM(Procurement_Raw!G83)</f>
        <v>INV-2025-00082</v>
      </c>
      <c r="H83" s="77">
        <f>Procurement_Raw!H83</f>
        <v>19</v>
      </c>
      <c r="I83" s="124">
        <f>Procurement_Raw!I83</f>
        <v>91.28</v>
      </c>
      <c r="J83" s="125">
        <f>IF(Procurement_Raw!J83="","",Procurement_Raw!J83)</f>
        <v>1734.27</v>
      </c>
      <c r="K83" s="77">
        <f>Procurement_Raw!K83</f>
        <v>60</v>
      </c>
      <c r="L83" t="str">
        <f>Procurement_Raw!L83</f>
        <v>Legacy Spend File</v>
      </c>
      <c r="M83" t="str">
        <f>Procurement_Raw!O83</f>
        <v>N</v>
      </c>
      <c r="N83" t="str">
        <f>IF(E83="","Missing supplier",IF(B83="","Missing site",IF(J83="","Missing spend",IF(COUNTIFS($G$2:G83,G83,$E$2:E83,E83,$J$2:J83,J83)&gt;1,"Duplicate invoice",IF(COUNTIF($G$2:$G$1801,G83)&gt;1,"Duplicate ID - review",IF(AND(P83&lt;&gt;"Unmapped",P83&lt;&gt;F83),"Category mismatch","OK"))))))</f>
        <v>OK</v>
      </c>
      <c r="O83" s="125">
        <f t="shared" si="3"/>
        <v>1734.27</v>
      </c>
      <c r="P83" t="str">
        <f>IF(E83="","Unmapped",IFERROR(INDEX(Supplier_Lookup!$B$2:$B$25,MATCH(E83,Supplier_Lookup!$A$2:$A$25,0)),"Unmapped"))</f>
        <v>Office &amp; Training</v>
      </c>
      <c r="Q83" s="76">
        <f>IFERROR(INDEX(Category_Targets!$B$2:$B$9,MATCH(F83,Category_Targets!$A$2:$A$9,0)),0)</f>
        <v>0.04</v>
      </c>
      <c r="R83" s="125">
        <f t="shared" si="4"/>
        <v>69.370800000000003</v>
      </c>
      <c r="S83" s="78">
        <f t="shared" si="5"/>
        <v>45778</v>
      </c>
      <c r="T83" t="str">
        <f>IFERROR(VLOOKUP(B83,Sites!$A$2:$D$21,4,FALSE()),"Unknown")</f>
        <v>Wrexham</v>
      </c>
      <c r="U83" t="str">
        <f>IF(N83="OK","",COUNTIF($N$2:N83,"&lt;&gt;OK"))</f>
        <v/>
      </c>
      <c r="V83">
        <f>IF(OR(NOT(EXACT(E83,TRIM(Procurement_Raw!E83))),NOT(EXACT(F83,TRIM(Procurement_Raw!F83)))),1,0)</f>
        <v>0</v>
      </c>
    </row>
    <row r="84" spans="1:22" ht="15" customHeight="1" x14ac:dyDescent="0.25">
      <c r="A84" s="123">
        <f>Procurement_Raw!A84</f>
        <v>45770</v>
      </c>
      <c r="B84" t="str">
        <f>TRIM(Procurement_Raw!B84)</f>
        <v>S008</v>
      </c>
      <c r="C84" t="str">
        <f>Procurement_Raw!C84</f>
        <v>Leicester Care &amp; Education Centre</v>
      </c>
      <c r="D84" t="str">
        <f>Procurement_Raw!D84</f>
        <v>Midlands</v>
      </c>
      <c r="E84" t="str">
        <f>IF(TRIM(Procurement_Raw!E84)="","",IFERROR(INDEX(Supplier_Lookup!$A$2:$A$25,MATCH(TRIM(Procurement_Raw!E84),Supplier_Lookup!$A$2:$A$25,0)),TRIM(Procurement_Raw!E84)))</f>
        <v>NourishCo</v>
      </c>
      <c r="F84" t="str">
        <f>IFERROR(INDEX(Category_Targets!$A$2:$A$9,MATCH(TRIM(Procurement_Raw!F84),Category_Targets!$A$2:$A$9,0)),"Unmapped")</f>
        <v>Food &amp; Catering</v>
      </c>
      <c r="G84" t="str">
        <f>TRIM(Procurement_Raw!G84)</f>
        <v>INV-2025-00083</v>
      </c>
      <c r="H84" s="77">
        <f>Procurement_Raw!H84</f>
        <v>23</v>
      </c>
      <c r="I84" s="124">
        <f>Procurement_Raw!I84</f>
        <v>146.53</v>
      </c>
      <c r="J84" s="125">
        <f>IF(Procurement_Raw!J84="","",Procurement_Raw!J84)</f>
        <v>3370.19</v>
      </c>
      <c r="K84" s="77">
        <f>Procurement_Raw!K84</f>
        <v>60</v>
      </c>
      <c r="L84" t="str">
        <f>Procurement_Raw!L84</f>
        <v>Legacy Spend File</v>
      </c>
      <c r="M84" t="str">
        <f>Procurement_Raw!O84</f>
        <v>N</v>
      </c>
      <c r="N84" t="str">
        <f>IF(E84="","Missing supplier",IF(B84="","Missing site",IF(J84="","Missing spend",IF(COUNTIFS($G$2:G84,G84,$E$2:E84,E84,$J$2:J84,J84)&gt;1,"Duplicate invoice",IF(COUNTIF($G$2:$G$1801,G84)&gt;1,"Duplicate ID - review",IF(AND(P84&lt;&gt;"Unmapped",P84&lt;&gt;F84),"Category mismatch","OK"))))))</f>
        <v>OK</v>
      </c>
      <c r="O84" s="125">
        <f t="shared" si="3"/>
        <v>3370.19</v>
      </c>
      <c r="P84" t="str">
        <f>IF(E84="","Unmapped",IFERROR(INDEX(Supplier_Lookup!$B$2:$B$25,MATCH(E84,Supplier_Lookup!$A$2:$A$25,0)),"Unmapped"))</f>
        <v>Food &amp; Catering</v>
      </c>
      <c r="Q84" s="76">
        <f>IFERROR(INDEX(Category_Targets!$B$2:$B$9,MATCH(F84,Category_Targets!$A$2:$A$9,0)),0)</f>
        <v>0.04</v>
      </c>
      <c r="R84" s="125">
        <f t="shared" si="4"/>
        <v>134.80760000000001</v>
      </c>
      <c r="S84" s="78">
        <f t="shared" si="5"/>
        <v>45748</v>
      </c>
      <c r="T84" t="str">
        <f>IFERROR(VLOOKUP(B84,Sites!$A$2:$D$21,4,FALSE()),"Unknown")</f>
        <v>Leicester</v>
      </c>
      <c r="U84" t="str">
        <f>IF(N84="OK","",COUNTIF($N$2:N84,"&lt;&gt;OK"))</f>
        <v/>
      </c>
      <c r="V84">
        <f>IF(OR(NOT(EXACT(E84,TRIM(Procurement_Raw!E84))),NOT(EXACT(F84,TRIM(Procurement_Raw!F84)))),1,0)</f>
        <v>0</v>
      </c>
    </row>
    <row r="85" spans="1:22" ht="15" customHeight="1" x14ac:dyDescent="0.25">
      <c r="A85" s="123">
        <f>Procurement_Raw!A85</f>
        <v>45785</v>
      </c>
      <c r="B85" t="str">
        <f>TRIM(Procurement_Raw!B85)</f>
        <v>S014</v>
      </c>
      <c r="C85" t="str">
        <f>Procurement_Raw!C85</f>
        <v>Southampton Care &amp; Education Centre</v>
      </c>
      <c r="D85" t="str">
        <f>Procurement_Raw!D85</f>
        <v>South</v>
      </c>
      <c r="E85" t="str">
        <f>IF(TRIM(Procurement_Raw!E85)="","",IFERROR(INDEX(Supplier_Lookup!$A$2:$A$25,MATCH(TRIM(Procurement_Raw!E85),Supplier_Lookup!$A$2:$A$25,0)),TRIM(Procurement_Raw!E85)))</f>
        <v>ClinEquip</v>
      </c>
      <c r="F85" t="str">
        <f>IFERROR(INDEX(Category_Targets!$A$2:$A$9,MATCH(TRIM(Procurement_Raw!F85),Category_Targets!$A$2:$A$9,0)),"Unmapped")</f>
        <v>Medical Supplies</v>
      </c>
      <c r="G85" t="str">
        <f>TRIM(Procurement_Raw!G85)</f>
        <v>INV-2025-00084</v>
      </c>
      <c r="H85" s="77">
        <f>Procurement_Raw!H85</f>
        <v>16</v>
      </c>
      <c r="I85" s="124">
        <f>Procurement_Raw!I85</f>
        <v>90.24</v>
      </c>
      <c r="J85" s="125">
        <f>IF(Procurement_Raw!J85="","",Procurement_Raw!J85)</f>
        <v>1443.8</v>
      </c>
      <c r="K85" s="77">
        <f>Procurement_Raw!K85</f>
        <v>45</v>
      </c>
      <c r="L85" t="str">
        <f>Procurement_Raw!L85</f>
        <v>ERP</v>
      </c>
      <c r="M85" t="str">
        <f>Procurement_Raw!O85</f>
        <v>N</v>
      </c>
      <c r="N85" t="str">
        <f>IF(E85="","Missing supplier",IF(B85="","Missing site",IF(J85="","Missing spend",IF(COUNTIFS($G$2:G85,G85,$E$2:E85,E85,$J$2:J85,J85)&gt;1,"Duplicate invoice",IF(COUNTIF($G$2:$G$1801,G85)&gt;1,"Duplicate ID - review",IF(AND(P85&lt;&gt;"Unmapped",P85&lt;&gt;F85),"Category mismatch","OK"))))))</f>
        <v>OK</v>
      </c>
      <c r="O85" s="125">
        <f t="shared" si="3"/>
        <v>1443.8</v>
      </c>
      <c r="P85" t="str">
        <f>IF(E85="","Unmapped",IFERROR(INDEX(Supplier_Lookup!$B$2:$B$25,MATCH(E85,Supplier_Lookup!$A$2:$A$25,0)),"Unmapped"))</f>
        <v>Medical Supplies</v>
      </c>
      <c r="Q85" s="76">
        <f>IFERROR(INDEX(Category_Targets!$B$2:$B$9,MATCH(F85,Category_Targets!$A$2:$A$9,0)),0)</f>
        <v>0.06</v>
      </c>
      <c r="R85" s="125">
        <f t="shared" si="4"/>
        <v>86.628</v>
      </c>
      <c r="S85" s="78">
        <f t="shared" si="5"/>
        <v>45778</v>
      </c>
      <c r="T85" t="str">
        <f>IFERROR(VLOOKUP(B85,Sites!$A$2:$D$21,4,FALSE()),"Unknown")</f>
        <v>Southampton</v>
      </c>
      <c r="U85" t="str">
        <f>IF(N85="OK","",COUNTIF($N$2:N85,"&lt;&gt;OK"))</f>
        <v/>
      </c>
      <c r="V85">
        <f>IF(OR(NOT(EXACT(E85,TRIM(Procurement_Raw!E85))),NOT(EXACT(F85,TRIM(Procurement_Raw!F85)))),1,0)</f>
        <v>0</v>
      </c>
    </row>
    <row r="86" spans="1:22" ht="15" customHeight="1" x14ac:dyDescent="0.25">
      <c r="A86" s="123">
        <f>Procurement_Raw!A86</f>
        <v>45971</v>
      </c>
      <c r="B86" t="str">
        <f>TRIM(Procurement_Raw!B86)</f>
        <v>S012</v>
      </c>
      <c r="C86" t="str">
        <f>Procurement_Raw!C86</f>
        <v>Bristol Care &amp; Education Centre</v>
      </c>
      <c r="D86" t="str">
        <f>Procurement_Raw!D86</f>
        <v>South</v>
      </c>
      <c r="E86" t="str">
        <f>IF(TRIM(Procurement_Raw!E86)="","",IFERROR(INDEX(Supplier_Lookup!$A$2:$A$25,MATCH(TRIM(Procurement_Raw!E86),Supplier_Lookup!$A$2:$A$25,0)),TRIM(Procurement_Raw!E86)))</f>
        <v>RoadReady</v>
      </c>
      <c r="F86" t="str">
        <f>IFERROR(INDEX(Category_Targets!$A$2:$A$9,MATCH(TRIM(Procurement_Raw!F86),Category_Targets!$A$2:$A$9,0)),"Unmapped")</f>
        <v>Vehicle &amp; Fuel</v>
      </c>
      <c r="G86" t="str">
        <f>TRIM(Procurement_Raw!G86)</f>
        <v>INV-2025-00085</v>
      </c>
      <c r="H86" s="77">
        <f>Procurement_Raw!H86</f>
        <v>65</v>
      </c>
      <c r="I86" s="124">
        <f>Procurement_Raw!I86</f>
        <v>60.9</v>
      </c>
      <c r="J86" s="125">
        <f>IF(Procurement_Raw!J86="","",Procurement_Raw!J86)</f>
        <v>3958.39</v>
      </c>
      <c r="K86" s="77">
        <f>Procurement_Raw!K86</f>
        <v>45</v>
      </c>
      <c r="L86" t="str">
        <f>Procurement_Raw!L86</f>
        <v>Legacy Spend File</v>
      </c>
      <c r="M86" t="str">
        <f>Procurement_Raw!O86</f>
        <v>N</v>
      </c>
      <c r="N86" t="str">
        <f>IF(E86="","Missing supplier",IF(B86="","Missing site",IF(J86="","Missing spend",IF(COUNTIFS($G$2:G86,G86,$E$2:E86,E86,$J$2:J86,J86)&gt;1,"Duplicate invoice",IF(COUNTIF($G$2:$G$1801,G86)&gt;1,"Duplicate ID - review",IF(AND(P86&lt;&gt;"Unmapped",P86&lt;&gt;F86),"Category mismatch","OK"))))))</f>
        <v>OK</v>
      </c>
      <c r="O86" s="125">
        <f t="shared" si="3"/>
        <v>3958.39</v>
      </c>
      <c r="P86" t="str">
        <f>IF(E86="","Unmapped",IFERROR(INDEX(Supplier_Lookup!$B$2:$B$25,MATCH(E86,Supplier_Lookup!$A$2:$A$25,0)),"Unmapped"))</f>
        <v>Vehicle &amp; Fuel</v>
      </c>
      <c r="Q86" s="76">
        <f>IFERROR(INDEX(Category_Targets!$B$2:$B$9,MATCH(F86,Category_Targets!$A$2:$A$9,0)),0)</f>
        <v>0.05</v>
      </c>
      <c r="R86" s="125">
        <f t="shared" si="4"/>
        <v>197.9195</v>
      </c>
      <c r="S86" s="78">
        <f t="shared" si="5"/>
        <v>45962</v>
      </c>
      <c r="T86" t="str">
        <f>IFERROR(VLOOKUP(B86,Sites!$A$2:$D$21,4,FALSE()),"Unknown")</f>
        <v>Bristol</v>
      </c>
      <c r="U86" t="str">
        <f>IF(N86="OK","",COUNTIF($N$2:N86,"&lt;&gt;OK"))</f>
        <v/>
      </c>
      <c r="V86">
        <f>IF(OR(NOT(EXACT(E86,TRIM(Procurement_Raw!E86))),NOT(EXACT(F86,TRIM(Procurement_Raw!F86)))),1,0)</f>
        <v>0</v>
      </c>
    </row>
    <row r="87" spans="1:22" ht="15" customHeight="1" x14ac:dyDescent="0.25">
      <c r="A87" s="123">
        <f>Procurement_Raw!A87</f>
        <v>45901</v>
      </c>
      <c r="B87" t="str">
        <f>TRIM(Procurement_Raw!B87)</f>
        <v>S008</v>
      </c>
      <c r="C87" t="str">
        <f>Procurement_Raw!C87</f>
        <v>Leicester Care &amp; Education Centre</v>
      </c>
      <c r="D87" t="str">
        <f>Procurement_Raw!D87</f>
        <v>Midlands</v>
      </c>
      <c r="E87" t="str">
        <f>IF(TRIM(Procurement_Raw!E87)="","",IFERROR(INDEX(Supplier_Lookup!$A$2:$A$25,MATCH(TRIM(Procurement_Raw!E87),Supplier_Lookup!$A$2:$A$25,0)),TRIM(Procurement_Raw!E87)))</f>
        <v>BuildCare</v>
      </c>
      <c r="F87" t="str">
        <f>IFERROR(INDEX(Category_Targets!$A$2:$A$9,MATCH(TRIM(Procurement_Raw!F87),Category_Targets!$A$2:$A$9,0)),"Unmapped")</f>
        <v>Facilities</v>
      </c>
      <c r="G87" t="str">
        <f>TRIM(Procurement_Raw!G87)</f>
        <v>INV-2025-00086</v>
      </c>
      <c r="H87" s="77">
        <f>Procurement_Raw!H87</f>
        <v>58</v>
      </c>
      <c r="I87" s="124">
        <f>Procurement_Raw!I87</f>
        <v>136.59</v>
      </c>
      <c r="J87" s="125">
        <f>IF(Procurement_Raw!J87="","",Procurement_Raw!J87)</f>
        <v>7922.27</v>
      </c>
      <c r="K87" s="77">
        <f>Procurement_Raw!K87</f>
        <v>45</v>
      </c>
      <c r="L87" t="str">
        <f>Procurement_Raw!L87</f>
        <v>ERP</v>
      </c>
      <c r="M87" t="str">
        <f>Procurement_Raw!O87</f>
        <v>N</v>
      </c>
      <c r="N87" t="str">
        <f>IF(E87="","Missing supplier",IF(B87="","Missing site",IF(J87="","Missing spend",IF(COUNTIFS($G$2:G87,G87,$E$2:E87,E87,$J$2:J87,J87)&gt;1,"Duplicate invoice",IF(COUNTIF($G$2:$G$1801,G87)&gt;1,"Duplicate ID - review",IF(AND(P87&lt;&gt;"Unmapped",P87&lt;&gt;F87),"Category mismatch","OK"))))))</f>
        <v>OK</v>
      </c>
      <c r="O87" s="125">
        <f t="shared" si="3"/>
        <v>7922.27</v>
      </c>
      <c r="P87" t="str">
        <f>IF(E87="","Unmapped",IFERROR(INDEX(Supplier_Lookup!$B$2:$B$25,MATCH(E87,Supplier_Lookup!$A$2:$A$25,0)),"Unmapped"))</f>
        <v>Facilities</v>
      </c>
      <c r="Q87" s="76">
        <f>IFERROR(INDEX(Category_Targets!$B$2:$B$9,MATCH(F87,Category_Targets!$A$2:$A$9,0)),0)</f>
        <v>0.05</v>
      </c>
      <c r="R87" s="125">
        <f t="shared" si="4"/>
        <v>396.11350000000004</v>
      </c>
      <c r="S87" s="78">
        <f t="shared" si="5"/>
        <v>45901</v>
      </c>
      <c r="T87" t="str">
        <f>IFERROR(VLOOKUP(B87,Sites!$A$2:$D$21,4,FALSE()),"Unknown")</f>
        <v>Leicester</v>
      </c>
      <c r="U87" t="str">
        <f>IF(N87="OK","",COUNTIF($N$2:N87,"&lt;&gt;OK"))</f>
        <v/>
      </c>
      <c r="V87">
        <f>IF(OR(NOT(EXACT(E87,TRIM(Procurement_Raw!E87))),NOT(EXACT(F87,TRIM(Procurement_Raw!F87)))),1,0)</f>
        <v>0</v>
      </c>
    </row>
    <row r="88" spans="1:22" ht="15" customHeight="1" x14ac:dyDescent="0.25">
      <c r="A88" s="123">
        <f>Procurement_Raw!A88</f>
        <v>45906</v>
      </c>
      <c r="B88" t="str">
        <f>TRIM(Procurement_Raw!B88)</f>
        <v>S007</v>
      </c>
      <c r="C88" t="str">
        <f>Procurement_Raw!C88</f>
        <v>Nottingham Care &amp; Education Centre</v>
      </c>
      <c r="D88" t="str">
        <f>Procurement_Raw!D88</f>
        <v>Midlands</v>
      </c>
      <c r="E88" t="str">
        <f>IF(TRIM(Procurement_Raw!E88)="","",IFERROR(INDEX(Supplier_Lookup!$A$2:$A$25,MATCH(TRIM(Procurement_Raw!E88),Supplier_Lookup!$A$2:$A$25,0)),TRIM(Procurement_Raw!E88)))</f>
        <v>NetServe</v>
      </c>
      <c r="F88" t="str">
        <f>IFERROR(INDEX(Category_Targets!$A$2:$A$9,MATCH(TRIM(Procurement_Raw!F88),Category_Targets!$A$2:$A$9,0)),"Unmapped")</f>
        <v>IT &amp; Telecoms</v>
      </c>
      <c r="G88" t="str">
        <f>TRIM(Procurement_Raw!G88)</f>
        <v>INV-2025-00087</v>
      </c>
      <c r="H88" s="77">
        <f>Procurement_Raw!H88</f>
        <v>31</v>
      </c>
      <c r="I88" s="124">
        <f>Procurement_Raw!I88</f>
        <v>363.98</v>
      </c>
      <c r="J88" s="125">
        <f>IF(Procurement_Raw!J88="","",Procurement_Raw!J88)</f>
        <v>11283.38</v>
      </c>
      <c r="K88" s="77">
        <f>Procurement_Raw!K88</f>
        <v>45</v>
      </c>
      <c r="L88" t="str">
        <f>Procurement_Raw!L88</f>
        <v>Procurement Portal</v>
      </c>
      <c r="M88" t="str">
        <f>Procurement_Raw!O88</f>
        <v>N</v>
      </c>
      <c r="N88" t="str">
        <f>IF(E88="","Missing supplier",IF(B88="","Missing site",IF(J88="","Missing spend",IF(COUNTIFS($G$2:G88,G88,$E$2:E88,E88,$J$2:J88,J88)&gt;1,"Duplicate invoice",IF(COUNTIF($G$2:$G$1801,G88)&gt;1,"Duplicate ID - review",IF(AND(P88&lt;&gt;"Unmapped",P88&lt;&gt;F88),"Category mismatch","OK"))))))</f>
        <v>OK</v>
      </c>
      <c r="O88" s="125">
        <f t="shared" si="3"/>
        <v>11283.38</v>
      </c>
      <c r="P88" t="str">
        <f>IF(E88="","Unmapped",IFERROR(INDEX(Supplier_Lookup!$B$2:$B$25,MATCH(E88,Supplier_Lookup!$A$2:$A$25,0)),"Unmapped"))</f>
        <v>IT &amp; Telecoms</v>
      </c>
      <c r="Q88" s="76">
        <f>IFERROR(INDEX(Category_Targets!$B$2:$B$9,MATCH(F88,Category_Targets!$A$2:$A$9,0)),0)</f>
        <v>0.08</v>
      </c>
      <c r="R88" s="125">
        <f t="shared" si="4"/>
        <v>902.67039999999997</v>
      </c>
      <c r="S88" s="78">
        <f t="shared" si="5"/>
        <v>45901</v>
      </c>
      <c r="T88" t="str">
        <f>IFERROR(VLOOKUP(B88,Sites!$A$2:$D$21,4,FALSE()),"Unknown")</f>
        <v>Nottingham</v>
      </c>
      <c r="U88" t="str">
        <f>IF(N88="OK","",COUNTIF($N$2:N88,"&lt;&gt;OK"))</f>
        <v/>
      </c>
      <c r="V88">
        <f>IF(OR(NOT(EXACT(E88,TRIM(Procurement_Raw!E88))),NOT(EXACT(F88,TRIM(Procurement_Raw!F88)))),1,0)</f>
        <v>0</v>
      </c>
    </row>
    <row r="89" spans="1:22" ht="15" customHeight="1" x14ac:dyDescent="0.25">
      <c r="A89" s="123">
        <f>Procurement_Raw!A89</f>
        <v>45797</v>
      </c>
      <c r="B89" t="str">
        <f>TRIM(Procurement_Raw!B89)</f>
        <v>S005</v>
      </c>
      <c r="C89" t="str">
        <f>Procurement_Raw!C89</f>
        <v>Sheffield Care &amp; Education Centre</v>
      </c>
      <c r="D89" t="str">
        <f>Procurement_Raw!D89</f>
        <v>North</v>
      </c>
      <c r="E89" t="str">
        <f>IF(TRIM(Procurement_Raw!E89)="","",IFERROR(INDEX(Supplier_Lookup!$A$2:$A$25,MATCH(TRIM(Procurement_Raw!E89),Supplier_Lookup!$A$2:$A$25,0)),TRIM(Procurement_Raw!E89)))</f>
        <v>CloudLink</v>
      </c>
      <c r="F89" t="str">
        <f>IFERROR(INDEX(Category_Targets!$A$2:$A$9,MATCH(TRIM(Procurement_Raw!F89),Category_Targets!$A$2:$A$9,0)),"Unmapped")</f>
        <v>IT &amp; Telecoms</v>
      </c>
      <c r="G89" t="str">
        <f>TRIM(Procurement_Raw!G89)</f>
        <v>INV-2025-00088</v>
      </c>
      <c r="H89" s="77">
        <f>Procurement_Raw!H89</f>
        <v>43</v>
      </c>
      <c r="I89" s="124">
        <f>Procurement_Raw!I89</f>
        <v>263.60000000000002</v>
      </c>
      <c r="J89" s="125">
        <f>IF(Procurement_Raw!J89="","",Procurement_Raw!J89)</f>
        <v>11334.89</v>
      </c>
      <c r="K89" s="77">
        <f>Procurement_Raw!K89</f>
        <v>45</v>
      </c>
      <c r="L89" t="str">
        <f>Procurement_Raw!L89</f>
        <v>Legacy Spend File</v>
      </c>
      <c r="M89" t="str">
        <f>Procurement_Raw!O89</f>
        <v>Y</v>
      </c>
      <c r="N89" t="str">
        <f>IF(E89="","Missing supplier",IF(B89="","Missing site",IF(J89="","Missing spend",IF(COUNTIFS($G$2:G89,G89,$E$2:E89,E89,$J$2:J89,J89)&gt;1,"Duplicate invoice",IF(COUNTIF($G$2:$G$1801,G89)&gt;1,"Duplicate ID - review",IF(AND(P89&lt;&gt;"Unmapped",P89&lt;&gt;F89),"Category mismatch","OK"))))))</f>
        <v>OK</v>
      </c>
      <c r="O89" s="125">
        <f t="shared" si="3"/>
        <v>11334.89</v>
      </c>
      <c r="P89" t="str">
        <f>IF(E89="","Unmapped",IFERROR(INDEX(Supplier_Lookup!$B$2:$B$25,MATCH(E89,Supplier_Lookup!$A$2:$A$25,0)),"Unmapped"))</f>
        <v>IT &amp; Telecoms</v>
      </c>
      <c r="Q89" s="76">
        <f>IFERROR(INDEX(Category_Targets!$B$2:$B$9,MATCH(F89,Category_Targets!$A$2:$A$9,0)),0)</f>
        <v>0.08</v>
      </c>
      <c r="R89" s="125">
        <f t="shared" si="4"/>
        <v>906.7912</v>
      </c>
      <c r="S89" s="78">
        <f t="shared" si="5"/>
        <v>45778</v>
      </c>
      <c r="T89" t="str">
        <f>IFERROR(VLOOKUP(B89,Sites!$A$2:$D$21,4,FALSE()),"Unknown")</f>
        <v>Sheffield</v>
      </c>
      <c r="U89" t="str">
        <f>IF(N89="OK","",COUNTIF($N$2:N89,"&lt;&gt;OK"))</f>
        <v/>
      </c>
      <c r="V89">
        <f>IF(OR(NOT(EXACT(E89,TRIM(Procurement_Raw!E89))),NOT(EXACT(F89,TRIM(Procurement_Raw!F89)))),1,0)</f>
        <v>0</v>
      </c>
    </row>
    <row r="90" spans="1:22" ht="15" customHeight="1" x14ac:dyDescent="0.25">
      <c r="A90" s="123">
        <f>Procurement_Raw!A90</f>
        <v>45776</v>
      </c>
      <c r="B90" t="str">
        <f>TRIM(Procurement_Raw!B90)</f>
        <v>S007</v>
      </c>
      <c r="C90" t="str">
        <f>Procurement_Raw!C90</f>
        <v>Nottingham Care &amp; Education Centre</v>
      </c>
      <c r="D90" t="str">
        <f>Procurement_Raw!D90</f>
        <v>Midlands</v>
      </c>
      <c r="E90" t="str">
        <f>IF(TRIM(Procurement_Raw!E90)="","",IFERROR(INDEX(Supplier_Lookup!$A$2:$A$25,MATCH(TRIM(Procurement_Raw!E90),Supplier_Lookup!$A$2:$A$25,0)),TRIM(Procurement_Raw!E90)))</f>
        <v>CleanWorks</v>
      </c>
      <c r="F90" t="str">
        <f>IFERROR(INDEX(Category_Targets!$A$2:$A$9,MATCH(TRIM(Procurement_Raw!F90),Category_Targets!$A$2:$A$9,0)),"Unmapped")</f>
        <v>Facilities</v>
      </c>
      <c r="G90" t="str">
        <f>TRIM(Procurement_Raw!G90)</f>
        <v>INV-2025-00089</v>
      </c>
      <c r="H90" s="77">
        <f>Procurement_Raw!H90</f>
        <v>50</v>
      </c>
      <c r="I90" s="124">
        <f>Procurement_Raw!I90</f>
        <v>134.5</v>
      </c>
      <c r="J90" s="125">
        <f>IF(Procurement_Raw!J90="","",Procurement_Raw!J90)</f>
        <v>6725.17</v>
      </c>
      <c r="K90" s="77">
        <f>Procurement_Raw!K90</f>
        <v>60</v>
      </c>
      <c r="L90" t="str">
        <f>Procurement_Raw!L90</f>
        <v>ERP</v>
      </c>
      <c r="M90" t="str">
        <f>Procurement_Raw!O90</f>
        <v>Y</v>
      </c>
      <c r="N90" t="str">
        <f>IF(E90="","Missing supplier",IF(B90="","Missing site",IF(J90="","Missing spend",IF(COUNTIFS($G$2:G90,G90,$E$2:E90,E90,$J$2:J90,J90)&gt;1,"Duplicate invoice",IF(COUNTIF($G$2:$G$1801,G90)&gt;1,"Duplicate ID - review",IF(AND(P90&lt;&gt;"Unmapped",P90&lt;&gt;F90),"Category mismatch","OK"))))))</f>
        <v>OK</v>
      </c>
      <c r="O90" s="125">
        <f t="shared" si="3"/>
        <v>6725.17</v>
      </c>
      <c r="P90" t="str">
        <f>IF(E90="","Unmapped",IFERROR(INDEX(Supplier_Lookup!$B$2:$B$25,MATCH(E90,Supplier_Lookup!$A$2:$A$25,0)),"Unmapped"))</f>
        <v>Facilities</v>
      </c>
      <c r="Q90" s="76">
        <f>IFERROR(INDEX(Category_Targets!$B$2:$B$9,MATCH(F90,Category_Targets!$A$2:$A$9,0)),0)</f>
        <v>0.05</v>
      </c>
      <c r="R90" s="125">
        <f t="shared" si="4"/>
        <v>336.25850000000003</v>
      </c>
      <c r="S90" s="78">
        <f t="shared" si="5"/>
        <v>45748</v>
      </c>
      <c r="T90" t="str">
        <f>IFERROR(VLOOKUP(B90,Sites!$A$2:$D$21,4,FALSE()),"Unknown")</f>
        <v>Nottingham</v>
      </c>
      <c r="U90" t="str">
        <f>IF(N90="OK","",COUNTIF($N$2:N90,"&lt;&gt;OK"))</f>
        <v/>
      </c>
      <c r="V90">
        <f>IF(OR(NOT(EXACT(E90,TRIM(Procurement_Raw!E90))),NOT(EXACT(F90,TRIM(Procurement_Raw!F90)))),1,0)</f>
        <v>0</v>
      </c>
    </row>
    <row r="91" spans="1:22" ht="15" customHeight="1" x14ac:dyDescent="0.25">
      <c r="A91" s="123">
        <f>Procurement_Raw!A91</f>
        <v>45870</v>
      </c>
      <c r="B91" t="str">
        <f>TRIM(Procurement_Raw!B91)</f>
        <v>S011</v>
      </c>
      <c r="C91" t="str">
        <f>Procurement_Raw!C91</f>
        <v>London Care &amp; Education Centre</v>
      </c>
      <c r="D91" t="str">
        <f>Procurement_Raw!D91</f>
        <v>South</v>
      </c>
      <c r="E91" t="str">
        <f>IF(TRIM(Procurement_Raw!E91)="","",IFERROR(INDEX(Supplier_Lookup!$A$2:$A$25,MATCH(TRIM(Procurement_Raw!E91),Supplier_Lookup!$A$2:$A$25,0)),TRIM(Procurement_Raw!E91)))</f>
        <v>UK Energy Partners</v>
      </c>
      <c r="F91" t="str">
        <f>IFERROR(INDEX(Category_Targets!$A$2:$A$9,MATCH(TRIM(Procurement_Raw!F91),Category_Targets!$A$2:$A$9,0)),"Unmapped")</f>
        <v>Utilities</v>
      </c>
      <c r="G91" t="str">
        <f>TRIM(Procurement_Raw!G91)</f>
        <v>INV-2025-00090</v>
      </c>
      <c r="H91" s="77">
        <f>Procurement_Raw!H91</f>
        <v>53</v>
      </c>
      <c r="I91" s="124">
        <f>Procurement_Raw!I91</f>
        <v>331.54</v>
      </c>
      <c r="J91" s="125">
        <f>IF(Procurement_Raw!J91="","",Procurement_Raw!J91)</f>
        <v>17571.79</v>
      </c>
      <c r="K91" s="77">
        <f>Procurement_Raw!K91</f>
        <v>45</v>
      </c>
      <c r="L91" t="str">
        <f>Procurement_Raw!L91</f>
        <v>Legacy Spend File</v>
      </c>
      <c r="M91" t="str">
        <f>Procurement_Raw!O91</f>
        <v>N</v>
      </c>
      <c r="N91" t="str">
        <f>IF(E91="","Missing supplier",IF(B91="","Missing site",IF(J91="","Missing spend",IF(COUNTIFS($G$2:G91,G91,$E$2:E91,E91,$J$2:J91,J91)&gt;1,"Duplicate invoice",IF(COUNTIF($G$2:$G$1801,G91)&gt;1,"Duplicate ID - review",IF(AND(P91&lt;&gt;"Unmapped",P91&lt;&gt;F91),"Category mismatch","OK"))))))</f>
        <v>OK</v>
      </c>
      <c r="O91" s="125">
        <f t="shared" si="3"/>
        <v>17571.79</v>
      </c>
      <c r="P91" t="str">
        <f>IF(E91="","Unmapped",IFERROR(INDEX(Supplier_Lookup!$B$2:$B$25,MATCH(E91,Supplier_Lookup!$A$2:$A$25,0)),"Unmapped"))</f>
        <v>Utilities</v>
      </c>
      <c r="Q91" s="76">
        <f>IFERROR(INDEX(Category_Targets!$B$2:$B$9,MATCH(F91,Category_Targets!$A$2:$A$9,0)),0)</f>
        <v>0.03</v>
      </c>
      <c r="R91" s="125">
        <f t="shared" si="4"/>
        <v>527.15369999999996</v>
      </c>
      <c r="S91" s="78">
        <f t="shared" si="5"/>
        <v>45870</v>
      </c>
      <c r="T91" t="str">
        <f>IFERROR(VLOOKUP(B91,Sites!$A$2:$D$21,4,FALSE()),"Unknown")</f>
        <v>London</v>
      </c>
      <c r="U91" t="str">
        <f>IF(N91="OK","",COUNTIF($N$2:N91,"&lt;&gt;OK"))</f>
        <v/>
      </c>
      <c r="V91">
        <f>IF(OR(NOT(EXACT(E91,TRIM(Procurement_Raw!E91))),NOT(EXACT(F91,TRIM(Procurement_Raw!F91)))),1,0)</f>
        <v>0</v>
      </c>
    </row>
    <row r="92" spans="1:22" ht="15" customHeight="1" x14ac:dyDescent="0.25">
      <c r="A92" s="123">
        <f>Procurement_Raw!A92</f>
        <v>45763</v>
      </c>
      <c r="B92" t="str">
        <f>TRIM(Procurement_Raw!B92)</f>
        <v>S020</v>
      </c>
      <c r="C92" t="str">
        <f>Procurement_Raw!C92</f>
        <v>Bangor Care &amp; Education Centre</v>
      </c>
      <c r="D92" t="str">
        <f>Procurement_Raw!D92</f>
        <v>Wales</v>
      </c>
      <c r="E92" t="str">
        <f>IF(TRIM(Procurement_Raw!E92)="","",IFERROR(INDEX(Supplier_Lookup!$A$2:$A$25,MATCH(TRIM(Procurement_Raw!E92),Supplier_Lookup!$A$2:$A$25,0)),TRIM(Procurement_Raw!E92)))</f>
        <v>HealthStaffing</v>
      </c>
      <c r="F92" t="str">
        <f>IFERROR(INDEX(Category_Targets!$A$2:$A$9,MATCH(TRIM(Procurement_Raw!F92),Category_Targets!$A$2:$A$9,0)),"Unmapped")</f>
        <v>Agency Labour</v>
      </c>
      <c r="G92" t="str">
        <f>TRIM(Procurement_Raw!G92)</f>
        <v>INV-2025-00091</v>
      </c>
      <c r="H92" s="77">
        <f>Procurement_Raw!H92</f>
        <v>54</v>
      </c>
      <c r="I92" s="124">
        <f>Procurement_Raw!I92</f>
        <v>316.45</v>
      </c>
      <c r="J92" s="125">
        <f>IF(Procurement_Raw!J92="","",Procurement_Raw!J92)</f>
        <v>17088.47</v>
      </c>
      <c r="K92" s="77">
        <f>Procurement_Raw!K92</f>
        <v>45</v>
      </c>
      <c r="L92" t="str">
        <f>Procurement_Raw!L92</f>
        <v>Legacy Spend File</v>
      </c>
      <c r="M92" t="str">
        <f>Procurement_Raw!O92</f>
        <v>N</v>
      </c>
      <c r="N92" t="str">
        <f>IF(E92="","Missing supplier",IF(B92="","Missing site",IF(J92="","Missing spend",IF(COUNTIFS($G$2:G92,G92,$E$2:E92,E92,$J$2:J92,J92)&gt;1,"Duplicate invoice",IF(COUNTIF($G$2:$G$1801,G92)&gt;1,"Duplicate ID - review",IF(AND(P92&lt;&gt;"Unmapped",P92&lt;&gt;F92),"Category mismatch","OK"))))))</f>
        <v>OK</v>
      </c>
      <c r="O92" s="125">
        <f t="shared" si="3"/>
        <v>17088.47</v>
      </c>
      <c r="P92" t="str">
        <f>IF(E92="","Unmapped",IFERROR(INDEX(Supplier_Lookup!$B$2:$B$25,MATCH(E92,Supplier_Lookup!$A$2:$A$25,0)),"Unmapped"))</f>
        <v>Agency Labour</v>
      </c>
      <c r="Q92" s="76">
        <f>IFERROR(INDEX(Category_Targets!$B$2:$B$9,MATCH(F92,Category_Targets!$A$2:$A$9,0)),0)</f>
        <v>7.0000000000000007E-2</v>
      </c>
      <c r="R92" s="125">
        <f t="shared" si="4"/>
        <v>1196.1929000000002</v>
      </c>
      <c r="S92" s="78">
        <f t="shared" si="5"/>
        <v>45748</v>
      </c>
      <c r="T92" t="str">
        <f>IFERROR(VLOOKUP(B92,Sites!$A$2:$D$21,4,FALSE()),"Unknown")</f>
        <v>Bangor</v>
      </c>
      <c r="U92" t="str">
        <f>IF(N92="OK","",COUNTIF($N$2:N92,"&lt;&gt;OK"))</f>
        <v/>
      </c>
      <c r="V92">
        <f>IF(OR(NOT(EXACT(E92,TRIM(Procurement_Raw!E92))),NOT(EXACT(F92,TRIM(Procurement_Raw!F92)))),1,0)</f>
        <v>0</v>
      </c>
    </row>
    <row r="93" spans="1:22" ht="15" customHeight="1" x14ac:dyDescent="0.25">
      <c r="A93" s="123">
        <f>Procurement_Raw!A93</f>
        <v>45852</v>
      </c>
      <c r="B93" t="str">
        <f>TRIM(Procurement_Raw!B93)</f>
        <v>S004</v>
      </c>
      <c r="C93" t="str">
        <f>Procurement_Raw!C93</f>
        <v>Newcastle Care &amp; Education Centre</v>
      </c>
      <c r="D93" t="str">
        <f>Procurement_Raw!D93</f>
        <v>North</v>
      </c>
      <c r="E93" t="str">
        <f>IF(TRIM(Procurement_Raw!E93)="","",IFERROR(INDEX(Supplier_Lookup!$A$2:$A$25,MATCH(TRIM(Procurement_Raw!E93),Supplier_Lookup!$A$2:$A$25,0)),TRIM(Procurement_Raw!E93)))</f>
        <v>ClinEquip</v>
      </c>
      <c r="F93" t="str">
        <f>IFERROR(INDEX(Category_Targets!$A$2:$A$9,MATCH(TRIM(Procurement_Raw!F93),Category_Targets!$A$2:$A$9,0)),"Unmapped")</f>
        <v>Medical Supplies</v>
      </c>
      <c r="G93" t="str">
        <f>TRIM(Procurement_Raw!G93)</f>
        <v>INV-2025-00092</v>
      </c>
      <c r="H93" s="77">
        <f>Procurement_Raw!H93</f>
        <v>62</v>
      </c>
      <c r="I93" s="124">
        <f>Procurement_Raw!I93</f>
        <v>204.43</v>
      </c>
      <c r="J93" s="125">
        <f>IF(Procurement_Raw!J93="","",Procurement_Raw!J93)</f>
        <v>12674.92</v>
      </c>
      <c r="K93" s="77">
        <f>Procurement_Raw!K93</f>
        <v>30</v>
      </c>
      <c r="L93" t="str">
        <f>Procurement_Raw!L93</f>
        <v>Procurement Portal</v>
      </c>
      <c r="M93" t="str">
        <f>Procurement_Raw!O93</f>
        <v>N</v>
      </c>
      <c r="N93" t="str">
        <f>IF(E93="","Missing supplier",IF(B93="","Missing site",IF(J93="","Missing spend",IF(COUNTIFS($G$2:G93,G93,$E$2:E93,E93,$J$2:J93,J93)&gt;1,"Duplicate invoice",IF(COUNTIF($G$2:$G$1801,G93)&gt;1,"Duplicate ID - review",IF(AND(P93&lt;&gt;"Unmapped",P93&lt;&gt;F93),"Category mismatch","OK"))))))</f>
        <v>OK</v>
      </c>
      <c r="O93" s="125">
        <f t="shared" si="3"/>
        <v>12674.92</v>
      </c>
      <c r="P93" t="str">
        <f>IF(E93="","Unmapped",IFERROR(INDEX(Supplier_Lookup!$B$2:$B$25,MATCH(E93,Supplier_Lookup!$A$2:$A$25,0)),"Unmapped"))</f>
        <v>Medical Supplies</v>
      </c>
      <c r="Q93" s="76">
        <f>IFERROR(INDEX(Category_Targets!$B$2:$B$9,MATCH(F93,Category_Targets!$A$2:$A$9,0)),0)</f>
        <v>0.06</v>
      </c>
      <c r="R93" s="125">
        <f t="shared" si="4"/>
        <v>760.49519999999995</v>
      </c>
      <c r="S93" s="78">
        <f t="shared" si="5"/>
        <v>45839</v>
      </c>
      <c r="T93" t="str">
        <f>IFERROR(VLOOKUP(B93,Sites!$A$2:$D$21,4,FALSE()),"Unknown")</f>
        <v>Newcastle</v>
      </c>
      <c r="U93" t="str">
        <f>IF(N93="OK","",COUNTIF($N$2:N93,"&lt;&gt;OK"))</f>
        <v/>
      </c>
      <c r="V93">
        <f>IF(OR(NOT(EXACT(E93,TRIM(Procurement_Raw!E93))),NOT(EXACT(F93,TRIM(Procurement_Raw!F93)))),1,0)</f>
        <v>0</v>
      </c>
    </row>
    <row r="94" spans="1:22" ht="15" customHeight="1" x14ac:dyDescent="0.25">
      <c r="A94" s="123">
        <f>Procurement_Raw!A94</f>
        <v>45933</v>
      </c>
      <c r="B94" t="str">
        <f>TRIM(Procurement_Raw!B94)</f>
        <v>S009</v>
      </c>
      <c r="C94" t="str">
        <f>Procurement_Raw!C94</f>
        <v>Derby Care &amp; Education Centre</v>
      </c>
      <c r="D94" t="str">
        <f>Procurement_Raw!D94</f>
        <v>Midlands</v>
      </c>
      <c r="E94" t="str">
        <f>IF(TRIM(Procurement_Raw!E94)="","",IFERROR(INDEX(Supplier_Lookup!$A$2:$A$25,MATCH(TRIM(Procurement_Raw!E94),Supplier_Lookup!$A$2:$A$25,0)),TRIM(Procurement_Raw!E94)))</f>
        <v>CareTemps</v>
      </c>
      <c r="F94" t="str">
        <f>IFERROR(INDEX(Category_Targets!$A$2:$A$9,MATCH(TRIM(Procurement_Raw!F94),Category_Targets!$A$2:$A$9,0)),"Unmapped")</f>
        <v>Agency Labour</v>
      </c>
      <c r="G94" t="str">
        <f>TRIM(Procurement_Raw!G94)</f>
        <v>INV-2025-00093</v>
      </c>
      <c r="H94" s="77">
        <f>Procurement_Raw!H94</f>
        <v>70</v>
      </c>
      <c r="I94" s="124">
        <f>Procurement_Raw!I94</f>
        <v>203.9</v>
      </c>
      <c r="J94" s="125">
        <f>IF(Procurement_Raw!J94="","",Procurement_Raw!J94)</f>
        <v>14273.34</v>
      </c>
      <c r="K94" s="77">
        <f>Procurement_Raw!K94</f>
        <v>60</v>
      </c>
      <c r="L94" t="str">
        <f>Procurement_Raw!L94</f>
        <v>ERP</v>
      </c>
      <c r="M94" t="str">
        <f>Procurement_Raw!O94</f>
        <v>N</v>
      </c>
      <c r="N94" t="str">
        <f>IF(E94="","Missing supplier",IF(B94="","Missing site",IF(J94="","Missing spend",IF(COUNTIFS($G$2:G94,G94,$E$2:E94,E94,$J$2:J94,J94)&gt;1,"Duplicate invoice",IF(COUNTIF($G$2:$G$1801,G94)&gt;1,"Duplicate ID - review",IF(AND(P94&lt;&gt;"Unmapped",P94&lt;&gt;F94),"Category mismatch","OK"))))))</f>
        <v>OK</v>
      </c>
      <c r="O94" s="125">
        <f t="shared" si="3"/>
        <v>14273.34</v>
      </c>
      <c r="P94" t="str">
        <f>IF(E94="","Unmapped",IFERROR(INDEX(Supplier_Lookup!$B$2:$B$25,MATCH(E94,Supplier_Lookup!$A$2:$A$25,0)),"Unmapped"))</f>
        <v>Agency Labour</v>
      </c>
      <c r="Q94" s="76">
        <f>IFERROR(INDEX(Category_Targets!$B$2:$B$9,MATCH(F94,Category_Targets!$A$2:$A$9,0)),0)</f>
        <v>7.0000000000000007E-2</v>
      </c>
      <c r="R94" s="125">
        <f t="shared" si="4"/>
        <v>999.13380000000006</v>
      </c>
      <c r="S94" s="78">
        <f t="shared" si="5"/>
        <v>45931</v>
      </c>
      <c r="T94" t="str">
        <f>IFERROR(VLOOKUP(B94,Sites!$A$2:$D$21,4,FALSE()),"Unknown")</f>
        <v>Derby</v>
      </c>
      <c r="U94" t="str">
        <f>IF(N94="OK","",COUNTIF($N$2:N94,"&lt;&gt;OK"))</f>
        <v/>
      </c>
      <c r="V94">
        <f>IF(OR(NOT(EXACT(E94,TRIM(Procurement_Raw!E94))),NOT(EXACT(F94,TRIM(Procurement_Raw!F94)))),1,0)</f>
        <v>0</v>
      </c>
    </row>
    <row r="95" spans="1:22" ht="15" customHeight="1" x14ac:dyDescent="0.25">
      <c r="A95" s="123">
        <f>Procurement_Raw!A95</f>
        <v>45881</v>
      </c>
      <c r="B95" t="str">
        <f>TRIM(Procurement_Raw!B95)</f>
        <v>S003</v>
      </c>
      <c r="C95" t="str">
        <f>Procurement_Raw!C95</f>
        <v>Leeds Care &amp; Education Centre</v>
      </c>
      <c r="D95" t="str">
        <f>Procurement_Raw!D95</f>
        <v>North</v>
      </c>
      <c r="E95" t="str">
        <f>IF(TRIM(Procurement_Raw!E95)="","",IFERROR(INDEX(Supplier_Lookup!$A$2:$A$25,MATCH(TRIM(Procurement_Raw!E95),Supplier_Lookup!$A$2:$A$25,0)),TRIM(Procurement_Raw!E95)))</f>
        <v>WaterGrid</v>
      </c>
      <c r="F95" t="str">
        <f>IFERROR(INDEX(Category_Targets!$A$2:$A$9,MATCH(TRIM(Procurement_Raw!F95),Category_Targets!$A$2:$A$9,0)),"Unmapped")</f>
        <v>Utilities</v>
      </c>
      <c r="G95" t="str">
        <f>TRIM(Procurement_Raw!G95)</f>
        <v>INV-2025-00094</v>
      </c>
      <c r="H95" s="77">
        <f>Procurement_Raw!H95</f>
        <v>63</v>
      </c>
      <c r="I95" s="124">
        <f>Procurement_Raw!I95</f>
        <v>208.77</v>
      </c>
      <c r="J95" s="125">
        <f>IF(Procurement_Raw!J95="","",Procurement_Raw!J95)</f>
        <v>13152.69</v>
      </c>
      <c r="K95" s="77">
        <f>Procurement_Raw!K95</f>
        <v>30</v>
      </c>
      <c r="L95" t="str">
        <f>Procurement_Raw!L95</f>
        <v>Procurement Portal</v>
      </c>
      <c r="M95" t="str">
        <f>Procurement_Raw!O95</f>
        <v>N</v>
      </c>
      <c r="N95" t="str">
        <f>IF(E95="","Missing supplier",IF(B95="","Missing site",IF(J95="","Missing spend",IF(COUNTIFS($G$2:G95,G95,$E$2:E95,E95,$J$2:J95,J95)&gt;1,"Duplicate invoice",IF(COUNTIF($G$2:$G$1801,G95)&gt;1,"Duplicate ID - review",IF(AND(P95&lt;&gt;"Unmapped",P95&lt;&gt;F95),"Category mismatch","OK"))))))</f>
        <v>OK</v>
      </c>
      <c r="O95" s="125">
        <f t="shared" si="3"/>
        <v>13152.69</v>
      </c>
      <c r="P95" t="str">
        <f>IF(E95="","Unmapped",IFERROR(INDEX(Supplier_Lookup!$B$2:$B$25,MATCH(E95,Supplier_Lookup!$A$2:$A$25,0)),"Unmapped"))</f>
        <v>Utilities</v>
      </c>
      <c r="Q95" s="76">
        <f>IFERROR(INDEX(Category_Targets!$B$2:$B$9,MATCH(F95,Category_Targets!$A$2:$A$9,0)),0)</f>
        <v>0.03</v>
      </c>
      <c r="R95" s="125">
        <f t="shared" si="4"/>
        <v>394.58069999999998</v>
      </c>
      <c r="S95" s="78">
        <f t="shared" si="5"/>
        <v>45870</v>
      </c>
      <c r="T95" t="str">
        <f>IFERROR(VLOOKUP(B95,Sites!$A$2:$D$21,4,FALSE()),"Unknown")</f>
        <v>Leeds</v>
      </c>
      <c r="U95" t="str">
        <f>IF(N95="OK","",COUNTIF($N$2:N95,"&lt;&gt;OK"))</f>
        <v/>
      </c>
      <c r="V95">
        <f>IF(OR(NOT(EXACT(E95,TRIM(Procurement_Raw!E95))),NOT(EXACT(F95,TRIM(Procurement_Raw!F95)))),1,0)</f>
        <v>0</v>
      </c>
    </row>
    <row r="96" spans="1:22" ht="15" customHeight="1" x14ac:dyDescent="0.25">
      <c r="A96" s="123">
        <f>Procurement_Raw!A96</f>
        <v>45742</v>
      </c>
      <c r="B96" t="str">
        <f>TRIM(Procurement_Raw!B96)</f>
        <v>S012</v>
      </c>
      <c r="C96" t="str">
        <f>Procurement_Raw!C96</f>
        <v>Bristol Care &amp; Education Centre</v>
      </c>
      <c r="D96" t="str">
        <f>Procurement_Raw!D96</f>
        <v>South</v>
      </c>
      <c r="E96" t="str">
        <f>IF(TRIM(Procurement_Raw!E96)="","",IFERROR(INDEX(Supplier_Lookup!$A$2:$A$25,MATCH(TRIM(Procurement_Raw!E96),Supplier_Lookup!$A$2:$A$25,0)),TRIM(Procurement_Raw!E96)))</f>
        <v>NurseLink</v>
      </c>
      <c r="F96" t="str">
        <f>IFERROR(INDEX(Category_Targets!$A$2:$A$9,MATCH(TRIM(Procurement_Raw!F96),Category_Targets!$A$2:$A$9,0)),"Unmapped")</f>
        <v>Agency Labour</v>
      </c>
      <c r="G96" t="str">
        <f>TRIM(Procurement_Raw!G96)</f>
        <v>INV-2025-00095</v>
      </c>
      <c r="H96" s="77">
        <f>Procurement_Raw!H96</f>
        <v>60</v>
      </c>
      <c r="I96" s="124">
        <f>Procurement_Raw!I96</f>
        <v>241.8</v>
      </c>
      <c r="J96" s="125">
        <f>IF(Procurement_Raw!J96="","",Procurement_Raw!J96)</f>
        <v>14508.17</v>
      </c>
      <c r="K96" s="77">
        <f>Procurement_Raw!K96</f>
        <v>30</v>
      </c>
      <c r="L96" t="str">
        <f>Procurement_Raw!L96</f>
        <v>Legacy Spend File</v>
      </c>
      <c r="M96" t="str">
        <f>Procurement_Raw!O96</f>
        <v>N</v>
      </c>
      <c r="N96" t="str">
        <f>IF(E96="","Missing supplier",IF(B96="","Missing site",IF(J96="","Missing spend",IF(COUNTIFS($G$2:G96,G96,$E$2:E96,E96,$J$2:J96,J96)&gt;1,"Duplicate invoice",IF(COUNTIF($G$2:$G$1801,G96)&gt;1,"Duplicate ID - review",IF(AND(P96&lt;&gt;"Unmapped",P96&lt;&gt;F96),"Category mismatch","OK"))))))</f>
        <v>OK</v>
      </c>
      <c r="O96" s="125">
        <f t="shared" si="3"/>
        <v>14508.17</v>
      </c>
      <c r="P96" t="str">
        <f>IF(E96="","Unmapped",IFERROR(INDEX(Supplier_Lookup!$B$2:$B$25,MATCH(E96,Supplier_Lookup!$A$2:$A$25,0)),"Unmapped"))</f>
        <v>Agency Labour</v>
      </c>
      <c r="Q96" s="76">
        <f>IFERROR(INDEX(Category_Targets!$B$2:$B$9,MATCH(F96,Category_Targets!$A$2:$A$9,0)),0)</f>
        <v>7.0000000000000007E-2</v>
      </c>
      <c r="R96" s="125">
        <f t="shared" si="4"/>
        <v>1015.5719000000001</v>
      </c>
      <c r="S96" s="78">
        <f t="shared" si="5"/>
        <v>45717</v>
      </c>
      <c r="T96" t="str">
        <f>IFERROR(VLOOKUP(B96,Sites!$A$2:$D$21,4,FALSE()),"Unknown")</f>
        <v>Bristol</v>
      </c>
      <c r="U96" t="str">
        <f>IF(N96="OK","",COUNTIF($N$2:N96,"&lt;&gt;OK"))</f>
        <v/>
      </c>
      <c r="V96">
        <f>IF(OR(NOT(EXACT(E96,TRIM(Procurement_Raw!E96))),NOT(EXACT(F96,TRIM(Procurement_Raw!F96)))),1,0)</f>
        <v>0</v>
      </c>
    </row>
    <row r="97" spans="1:22" ht="15" customHeight="1" x14ac:dyDescent="0.25">
      <c r="A97" s="123">
        <f>Procurement_Raw!A97</f>
        <v>45961</v>
      </c>
      <c r="B97" t="str">
        <f>TRIM(Procurement_Raw!B97)</f>
        <v>S007</v>
      </c>
      <c r="C97" t="str">
        <f>Procurement_Raw!C97</f>
        <v>Nottingham Care &amp; Education Centre</v>
      </c>
      <c r="D97" t="str">
        <f>Procurement_Raw!D97</f>
        <v>Midlands</v>
      </c>
      <c r="E97" t="str">
        <f>IF(TRIM(Procurement_Raw!E97)="","",IFERROR(INDEX(Supplier_Lookup!$A$2:$A$25,MATCH(TRIM(Procurement_Raw!E97),Supplier_Lookup!$A$2:$A$25,0)),TRIM(Procurement_Raw!E97)))</f>
        <v>CareMed</v>
      </c>
      <c r="F97" t="str">
        <f>IFERROR(INDEX(Category_Targets!$A$2:$A$9,MATCH(TRIM(Procurement_Raw!F97),Category_Targets!$A$2:$A$9,0)),"Unmapped")</f>
        <v>Medical Supplies</v>
      </c>
      <c r="G97" t="str">
        <f>TRIM(Procurement_Raw!G97)</f>
        <v>INV-2025-00096</v>
      </c>
      <c r="H97" s="77">
        <f>Procurement_Raw!H97</f>
        <v>73</v>
      </c>
      <c r="I97" s="124">
        <f>Procurement_Raw!I97</f>
        <v>53.65</v>
      </c>
      <c r="J97" s="125">
        <f>IF(Procurement_Raw!J97="","",Procurement_Raw!J97)</f>
        <v>3916.75</v>
      </c>
      <c r="K97" s="77">
        <f>Procurement_Raw!K97</f>
        <v>60</v>
      </c>
      <c r="L97" t="str">
        <f>Procurement_Raw!L97</f>
        <v>ERP</v>
      </c>
      <c r="M97" t="str">
        <f>Procurement_Raw!O97</f>
        <v>N</v>
      </c>
      <c r="N97" t="str">
        <f>IF(E97="","Missing supplier",IF(B97="","Missing site",IF(J97="","Missing spend",IF(COUNTIFS($G$2:G97,G97,$E$2:E97,E97,$J$2:J97,J97)&gt;1,"Duplicate invoice",IF(COUNTIF($G$2:$G$1801,G97)&gt;1,"Duplicate ID - review",IF(AND(P97&lt;&gt;"Unmapped",P97&lt;&gt;F97),"Category mismatch","OK"))))))</f>
        <v>OK</v>
      </c>
      <c r="O97" s="125">
        <f t="shared" si="3"/>
        <v>3916.75</v>
      </c>
      <c r="P97" t="str">
        <f>IF(E97="","Unmapped",IFERROR(INDEX(Supplier_Lookup!$B$2:$B$25,MATCH(E97,Supplier_Lookup!$A$2:$A$25,0)),"Unmapped"))</f>
        <v>Medical Supplies</v>
      </c>
      <c r="Q97" s="76">
        <f>IFERROR(INDEX(Category_Targets!$B$2:$B$9,MATCH(F97,Category_Targets!$A$2:$A$9,0)),0)</f>
        <v>0.06</v>
      </c>
      <c r="R97" s="125">
        <f t="shared" si="4"/>
        <v>235.005</v>
      </c>
      <c r="S97" s="78">
        <f t="shared" si="5"/>
        <v>45931</v>
      </c>
      <c r="T97" t="str">
        <f>IFERROR(VLOOKUP(B97,Sites!$A$2:$D$21,4,FALSE()),"Unknown")</f>
        <v>Nottingham</v>
      </c>
      <c r="U97" t="str">
        <f>IF(N97="OK","",COUNTIF($N$2:N97,"&lt;&gt;OK"))</f>
        <v/>
      </c>
      <c r="V97">
        <f>IF(OR(NOT(EXACT(E97,TRIM(Procurement_Raw!E97))),NOT(EXACT(F97,TRIM(Procurement_Raw!F97)))),1,0)</f>
        <v>0</v>
      </c>
    </row>
    <row r="98" spans="1:22" ht="15" customHeight="1" x14ac:dyDescent="0.25">
      <c r="A98" s="123">
        <f>Procurement_Raw!A98</f>
        <v>45894</v>
      </c>
      <c r="B98" t="str">
        <f>TRIM(Procurement_Raw!B98)</f>
        <v>S019</v>
      </c>
      <c r="C98" t="str">
        <f>Procurement_Raw!C98</f>
        <v>Wrexham Care &amp; Education Centre</v>
      </c>
      <c r="D98" t="str">
        <f>Procurement_Raw!D98</f>
        <v>Wales</v>
      </c>
      <c r="E98" t="str">
        <f>IF(TRIM(Procurement_Raw!E98)="","",IFERROR(INDEX(Supplier_Lookup!$A$2:$A$25,MATCH(TRIM(Procurement_Raw!E98),Supplier_Lookup!$A$2:$A$25,0)),TRIM(Procurement_Raw!E98)))</f>
        <v>HealthStaffing</v>
      </c>
      <c r="F98" t="str">
        <f>IFERROR(INDEX(Category_Targets!$A$2:$A$9,MATCH(TRIM(Procurement_Raw!F98),Category_Targets!$A$2:$A$9,0)),"Unmapped")</f>
        <v>Agency Labour</v>
      </c>
      <c r="G98" t="str">
        <f>TRIM(Procurement_Raw!G98)</f>
        <v>INV-2025-00097</v>
      </c>
      <c r="H98" s="77">
        <f>Procurement_Raw!H98</f>
        <v>24</v>
      </c>
      <c r="I98" s="124">
        <f>Procurement_Raw!I98</f>
        <v>353.06</v>
      </c>
      <c r="J98" s="125">
        <f>IF(Procurement_Raw!J98="","",Procurement_Raw!J98)</f>
        <v>8473.5300000000007</v>
      </c>
      <c r="K98" s="77">
        <f>Procurement_Raw!K98</f>
        <v>30</v>
      </c>
      <c r="L98" t="str">
        <f>Procurement_Raw!L98</f>
        <v>Procurement Portal</v>
      </c>
      <c r="M98" t="str">
        <f>Procurement_Raw!O98</f>
        <v>N</v>
      </c>
      <c r="N98" t="str">
        <f>IF(E98="","Missing supplier",IF(B98="","Missing site",IF(J98="","Missing spend",IF(COUNTIFS($G$2:G98,G98,$E$2:E98,E98,$J$2:J98,J98)&gt;1,"Duplicate invoice",IF(COUNTIF($G$2:$G$1801,G98)&gt;1,"Duplicate ID - review",IF(AND(P98&lt;&gt;"Unmapped",P98&lt;&gt;F98),"Category mismatch","OK"))))))</f>
        <v>OK</v>
      </c>
      <c r="O98" s="125">
        <f t="shared" si="3"/>
        <v>8473.5300000000007</v>
      </c>
      <c r="P98" t="str">
        <f>IF(E98="","Unmapped",IFERROR(INDEX(Supplier_Lookup!$B$2:$B$25,MATCH(E98,Supplier_Lookup!$A$2:$A$25,0)),"Unmapped"))</f>
        <v>Agency Labour</v>
      </c>
      <c r="Q98" s="76">
        <f>IFERROR(INDEX(Category_Targets!$B$2:$B$9,MATCH(F98,Category_Targets!$A$2:$A$9,0)),0)</f>
        <v>7.0000000000000007E-2</v>
      </c>
      <c r="R98" s="125">
        <f t="shared" si="4"/>
        <v>593.14710000000014</v>
      </c>
      <c r="S98" s="78">
        <f t="shared" si="5"/>
        <v>45870</v>
      </c>
      <c r="T98" t="str">
        <f>IFERROR(VLOOKUP(B98,Sites!$A$2:$D$21,4,FALSE()),"Unknown")</f>
        <v>Wrexham</v>
      </c>
      <c r="U98" t="str">
        <f>IF(N98="OK","",COUNTIF($N$2:N98,"&lt;&gt;OK"))</f>
        <v/>
      </c>
      <c r="V98">
        <f>IF(OR(NOT(EXACT(E98,TRIM(Procurement_Raw!E98))),NOT(EXACT(F98,TRIM(Procurement_Raw!F98)))),1,0)</f>
        <v>0</v>
      </c>
    </row>
    <row r="99" spans="1:22" ht="15" customHeight="1" x14ac:dyDescent="0.25">
      <c r="A99" s="123">
        <f>Procurement_Raw!A99</f>
        <v>45890</v>
      </c>
      <c r="B99" t="str">
        <f>TRIM(Procurement_Raw!B99)</f>
        <v>S017</v>
      </c>
      <c r="C99" t="str">
        <f>Procurement_Raw!C99</f>
        <v>Swansea Care &amp; Education Centre</v>
      </c>
      <c r="D99" t="str">
        <f>Procurement_Raw!D99</f>
        <v>Wales</v>
      </c>
      <c r="E99" t="str">
        <f>IF(TRIM(Procurement_Raw!E99)="","",IFERROR(INDEX(Supplier_Lookup!$A$2:$A$25,MATCH(TRIM(Procurement_Raw!E99),Supplier_Lookup!$A$2:$A$25,0)),TRIM(Procurement_Raw!E99)))</f>
        <v>FleetFuel</v>
      </c>
      <c r="F99" t="str">
        <f>IFERROR(INDEX(Category_Targets!$A$2:$A$9,MATCH(TRIM(Procurement_Raw!F99),Category_Targets!$A$2:$A$9,0)),"Unmapped")</f>
        <v>Vehicle &amp; Fuel</v>
      </c>
      <c r="G99" t="str">
        <f>TRIM(Procurement_Raw!G99)</f>
        <v>INV-2025-00098</v>
      </c>
      <c r="H99" s="77">
        <f>Procurement_Raw!H99</f>
        <v>42</v>
      </c>
      <c r="I99" s="124">
        <f>Procurement_Raw!I99</f>
        <v>109.67</v>
      </c>
      <c r="J99" s="125">
        <f>IF(Procurement_Raw!J99="","",Procurement_Raw!J99)</f>
        <v>4606.05</v>
      </c>
      <c r="K99" s="77">
        <f>Procurement_Raw!K99</f>
        <v>45</v>
      </c>
      <c r="L99" t="str">
        <f>Procurement_Raw!L99</f>
        <v>Procurement Portal</v>
      </c>
      <c r="M99" t="str">
        <f>Procurement_Raw!O99</f>
        <v>Y</v>
      </c>
      <c r="N99" t="str">
        <f>IF(E99="","Missing supplier",IF(B99="","Missing site",IF(J99="","Missing spend",IF(COUNTIFS($G$2:G99,G99,$E$2:E99,E99,$J$2:J99,J99)&gt;1,"Duplicate invoice",IF(COUNTIF($G$2:$G$1801,G99)&gt;1,"Duplicate ID - review",IF(AND(P99&lt;&gt;"Unmapped",P99&lt;&gt;F99),"Category mismatch","OK"))))))</f>
        <v>OK</v>
      </c>
      <c r="O99" s="125">
        <f t="shared" si="3"/>
        <v>4606.05</v>
      </c>
      <c r="P99" t="str">
        <f>IF(E99="","Unmapped",IFERROR(INDEX(Supplier_Lookup!$B$2:$B$25,MATCH(E99,Supplier_Lookup!$A$2:$A$25,0)),"Unmapped"))</f>
        <v>Vehicle &amp; Fuel</v>
      </c>
      <c r="Q99" s="76">
        <f>IFERROR(INDEX(Category_Targets!$B$2:$B$9,MATCH(F99,Category_Targets!$A$2:$A$9,0)),0)</f>
        <v>0.05</v>
      </c>
      <c r="R99" s="125">
        <f t="shared" si="4"/>
        <v>230.30250000000001</v>
      </c>
      <c r="S99" s="78">
        <f t="shared" si="5"/>
        <v>45870</v>
      </c>
      <c r="T99" t="str">
        <f>IFERROR(VLOOKUP(B99,Sites!$A$2:$D$21,4,FALSE()),"Unknown")</f>
        <v>Swansea</v>
      </c>
      <c r="U99" t="str">
        <f>IF(N99="OK","",COUNTIF($N$2:N99,"&lt;&gt;OK"))</f>
        <v/>
      </c>
      <c r="V99">
        <f>IF(OR(NOT(EXACT(E99,TRIM(Procurement_Raw!E99))),NOT(EXACT(F99,TRIM(Procurement_Raw!F99)))),1,0)</f>
        <v>0</v>
      </c>
    </row>
    <row r="100" spans="1:22" ht="15" customHeight="1" x14ac:dyDescent="0.25">
      <c r="A100" s="123">
        <f>Procurement_Raw!A100</f>
        <v>45699</v>
      </c>
      <c r="B100" t="str">
        <f>TRIM(Procurement_Raw!B100)</f>
        <v>S007</v>
      </c>
      <c r="C100" t="str">
        <f>Procurement_Raw!C100</f>
        <v>Nottingham Care &amp; Education Centre</v>
      </c>
      <c r="D100" t="str">
        <f>Procurement_Raw!D100</f>
        <v>Midlands</v>
      </c>
      <c r="E100" t="str">
        <f>IF(TRIM(Procurement_Raw!E100)="","",IFERROR(INDEX(Supplier_Lookup!$A$2:$A$25,MATCH(TRIM(Procurement_Raw!E100),Supplier_Lookup!$A$2:$A$25,0)),TRIM(Procurement_Raw!E100)))</f>
        <v>CareTemps</v>
      </c>
      <c r="F100" t="str">
        <f>IFERROR(INDEX(Category_Targets!$A$2:$A$9,MATCH(TRIM(Procurement_Raw!F100),Category_Targets!$A$2:$A$9,0)),"Unmapped")</f>
        <v>Agency Labour</v>
      </c>
      <c r="G100" t="str">
        <f>TRIM(Procurement_Raw!G100)</f>
        <v>INV-2025-00099</v>
      </c>
      <c r="H100" s="77">
        <f>Procurement_Raw!H100</f>
        <v>61</v>
      </c>
      <c r="I100" s="124">
        <f>Procurement_Raw!I100</f>
        <v>300.83999999999997</v>
      </c>
      <c r="J100" s="125">
        <f>IF(Procurement_Raw!J100="","",Procurement_Raw!J100)</f>
        <v>18351.54</v>
      </c>
      <c r="K100" s="77">
        <f>Procurement_Raw!K100</f>
        <v>30</v>
      </c>
      <c r="L100" t="str">
        <f>Procurement_Raw!L100</f>
        <v>Legacy Spend File</v>
      </c>
      <c r="M100" t="str">
        <f>Procurement_Raw!O100</f>
        <v>N</v>
      </c>
      <c r="N100" t="str">
        <f>IF(E100="","Missing supplier",IF(B100="","Missing site",IF(J100="","Missing spend",IF(COUNTIFS($G$2:G100,G100,$E$2:E100,E100,$J$2:J100,J100)&gt;1,"Duplicate invoice",IF(COUNTIF($G$2:$G$1801,G100)&gt;1,"Duplicate ID - review",IF(AND(P100&lt;&gt;"Unmapped",P100&lt;&gt;F100),"Category mismatch","OK"))))))</f>
        <v>OK</v>
      </c>
      <c r="O100" s="125">
        <f t="shared" si="3"/>
        <v>18351.54</v>
      </c>
      <c r="P100" t="str">
        <f>IF(E100="","Unmapped",IFERROR(INDEX(Supplier_Lookup!$B$2:$B$25,MATCH(E100,Supplier_Lookup!$A$2:$A$25,0)),"Unmapped"))</f>
        <v>Agency Labour</v>
      </c>
      <c r="Q100" s="76">
        <f>IFERROR(INDEX(Category_Targets!$B$2:$B$9,MATCH(F100,Category_Targets!$A$2:$A$9,0)),0)</f>
        <v>7.0000000000000007E-2</v>
      </c>
      <c r="R100" s="125">
        <f t="shared" si="4"/>
        <v>1284.6078000000002</v>
      </c>
      <c r="S100" s="78">
        <f t="shared" si="5"/>
        <v>45689</v>
      </c>
      <c r="T100" t="str">
        <f>IFERROR(VLOOKUP(B100,Sites!$A$2:$D$21,4,FALSE()),"Unknown")</f>
        <v>Nottingham</v>
      </c>
      <c r="U100" t="str">
        <f>IF(N100="OK","",COUNTIF($N$2:N100,"&lt;&gt;OK"))</f>
        <v/>
      </c>
      <c r="V100">
        <f>IF(OR(NOT(EXACT(E100,TRIM(Procurement_Raw!E100))),NOT(EXACT(F100,TRIM(Procurement_Raw!F100)))),1,0)</f>
        <v>0</v>
      </c>
    </row>
    <row r="101" spans="1:22" ht="15" customHeight="1" x14ac:dyDescent="0.25">
      <c r="A101" s="123">
        <f>Procurement_Raw!A101</f>
        <v>45772</v>
      </c>
      <c r="B101" t="str">
        <f>TRIM(Procurement_Raw!B101)</f>
        <v>S002</v>
      </c>
      <c r="C101" t="str">
        <f>Procurement_Raw!C101</f>
        <v>Manchester Care &amp; Education Centre</v>
      </c>
      <c r="D101" t="str">
        <f>Procurement_Raw!D101</f>
        <v>North</v>
      </c>
      <c r="E101" t="str">
        <f>IF(TRIM(Procurement_Raw!E101)="","",IFERROR(INDEX(Supplier_Lookup!$A$2:$A$25,MATCH(TRIM(Procurement_Raw!E101),Supplier_Lookup!$A$2:$A$25,0)),TRIM(Procurement_Raw!E101)))</f>
        <v>CareMed</v>
      </c>
      <c r="F101" t="str">
        <f>IFERROR(INDEX(Category_Targets!$A$2:$A$9,MATCH(TRIM(Procurement_Raw!F101),Category_Targets!$A$2:$A$9,0)),"Unmapped")</f>
        <v>Medical Supplies</v>
      </c>
      <c r="G101" t="str">
        <f>TRIM(Procurement_Raw!G101)</f>
        <v>INV-2025-00100</v>
      </c>
      <c r="H101" s="77">
        <f>Procurement_Raw!H101</f>
        <v>9</v>
      </c>
      <c r="I101" s="124">
        <f>Procurement_Raw!I101</f>
        <v>105.47</v>
      </c>
      <c r="J101" s="125">
        <f>IF(Procurement_Raw!J101="","",Procurement_Raw!J101)</f>
        <v>949.27</v>
      </c>
      <c r="K101" s="77">
        <f>Procurement_Raw!K101</f>
        <v>60</v>
      </c>
      <c r="L101" t="str">
        <f>Procurement_Raw!L101</f>
        <v>ERP</v>
      </c>
      <c r="M101" t="str">
        <f>Procurement_Raw!O101</f>
        <v>N</v>
      </c>
      <c r="N101" t="str">
        <f>IF(E101="","Missing supplier",IF(B101="","Missing site",IF(J101="","Missing spend",IF(COUNTIFS($G$2:G101,G101,$E$2:E101,E101,$J$2:J101,J101)&gt;1,"Duplicate invoice",IF(COUNTIF($G$2:$G$1801,G101)&gt;1,"Duplicate ID - review",IF(AND(P101&lt;&gt;"Unmapped",P101&lt;&gt;F101),"Category mismatch","OK"))))))</f>
        <v>OK</v>
      </c>
      <c r="O101" s="125">
        <f t="shared" si="3"/>
        <v>949.27</v>
      </c>
      <c r="P101" t="str">
        <f>IF(E101="","Unmapped",IFERROR(INDEX(Supplier_Lookup!$B$2:$B$25,MATCH(E101,Supplier_Lookup!$A$2:$A$25,0)),"Unmapped"))</f>
        <v>Medical Supplies</v>
      </c>
      <c r="Q101" s="76">
        <f>IFERROR(INDEX(Category_Targets!$B$2:$B$9,MATCH(F101,Category_Targets!$A$2:$A$9,0)),0)</f>
        <v>0.06</v>
      </c>
      <c r="R101" s="125">
        <f t="shared" si="4"/>
        <v>56.956199999999995</v>
      </c>
      <c r="S101" s="78">
        <f t="shared" si="5"/>
        <v>45748</v>
      </c>
      <c r="T101" t="str">
        <f>IFERROR(VLOOKUP(B101,Sites!$A$2:$D$21,4,FALSE()),"Unknown")</f>
        <v>Manchester</v>
      </c>
      <c r="U101" t="str">
        <f>IF(N101="OK","",COUNTIF($N$2:N101,"&lt;&gt;OK"))</f>
        <v/>
      </c>
      <c r="V101">
        <f>IF(OR(NOT(EXACT(E101,TRIM(Procurement_Raw!E101))),NOT(EXACT(F101,TRIM(Procurement_Raw!F101)))),1,0)</f>
        <v>0</v>
      </c>
    </row>
    <row r="102" spans="1:22" ht="15" customHeight="1" x14ac:dyDescent="0.25">
      <c r="A102" s="123">
        <f>Procurement_Raw!A102</f>
        <v>45760</v>
      </c>
      <c r="B102" t="str">
        <f>TRIM(Procurement_Raw!B102)</f>
        <v>S005</v>
      </c>
      <c r="C102" t="str">
        <f>Procurement_Raw!C102</f>
        <v>Sheffield Care &amp; Education Centre</v>
      </c>
      <c r="D102" t="str">
        <f>Procurement_Raw!D102</f>
        <v>North</v>
      </c>
      <c r="E102" t="str">
        <f>IF(TRIM(Procurement_Raw!E102)="","",IFERROR(INDEX(Supplier_Lookup!$A$2:$A$25,MATCH(TRIM(Procurement_Raw!E102),Supplier_Lookup!$A$2:$A$25,0)),TRIM(Procurement_Raw!E102)))</f>
        <v>MediSure</v>
      </c>
      <c r="F102" t="str">
        <f>IFERROR(INDEX(Category_Targets!$A$2:$A$9,MATCH(TRIM(Procurement_Raw!F102),Category_Targets!$A$2:$A$9,0)),"Unmapped")</f>
        <v>Medical Supplies</v>
      </c>
      <c r="G102" t="str">
        <f>TRIM(Procurement_Raw!G102)</f>
        <v>INV-2025-00101</v>
      </c>
      <c r="H102" s="77">
        <f>Procurement_Raw!H102</f>
        <v>3</v>
      </c>
      <c r="I102" s="124">
        <f>Procurement_Raw!I102</f>
        <v>55.09</v>
      </c>
      <c r="J102" s="125">
        <f>IF(Procurement_Raw!J102="","",Procurement_Raw!J102)</f>
        <v>165.28</v>
      </c>
      <c r="K102" s="77">
        <f>Procurement_Raw!K102</f>
        <v>60</v>
      </c>
      <c r="L102" t="str">
        <f>Procurement_Raw!L102</f>
        <v>ERP</v>
      </c>
      <c r="M102" t="str">
        <f>Procurement_Raw!O102</f>
        <v>Y</v>
      </c>
      <c r="N102" t="str">
        <f>IF(E102="","Missing supplier",IF(B102="","Missing site",IF(J102="","Missing spend",IF(COUNTIFS($G$2:G102,G102,$E$2:E102,E102,$J$2:J102,J102)&gt;1,"Duplicate invoice",IF(COUNTIF($G$2:$G$1801,G102)&gt;1,"Duplicate ID - review",IF(AND(P102&lt;&gt;"Unmapped",P102&lt;&gt;F102),"Category mismatch","OK"))))))</f>
        <v>OK</v>
      </c>
      <c r="O102" s="125">
        <f t="shared" si="3"/>
        <v>165.28</v>
      </c>
      <c r="P102" t="str">
        <f>IF(E102="","Unmapped",IFERROR(INDEX(Supplier_Lookup!$B$2:$B$25,MATCH(E102,Supplier_Lookup!$A$2:$A$25,0)),"Unmapped"))</f>
        <v>Medical Supplies</v>
      </c>
      <c r="Q102" s="76">
        <f>IFERROR(INDEX(Category_Targets!$B$2:$B$9,MATCH(F102,Category_Targets!$A$2:$A$9,0)),0)</f>
        <v>0.06</v>
      </c>
      <c r="R102" s="125">
        <f t="shared" si="4"/>
        <v>9.9168000000000003</v>
      </c>
      <c r="S102" s="78">
        <f t="shared" si="5"/>
        <v>45748</v>
      </c>
      <c r="T102" t="str">
        <f>IFERROR(VLOOKUP(B102,Sites!$A$2:$D$21,4,FALSE()),"Unknown")</f>
        <v>Sheffield</v>
      </c>
      <c r="U102" t="str">
        <f>IF(N102="OK","",COUNTIF($N$2:N102,"&lt;&gt;OK"))</f>
        <v/>
      </c>
      <c r="V102">
        <f>IF(OR(NOT(EXACT(E102,TRIM(Procurement_Raw!E102))),NOT(EXACT(F102,TRIM(Procurement_Raw!F102)))),1,0)</f>
        <v>0</v>
      </c>
    </row>
    <row r="103" spans="1:22" ht="15" customHeight="1" x14ac:dyDescent="0.25">
      <c r="A103" s="123">
        <f>Procurement_Raw!A103</f>
        <v>46000</v>
      </c>
      <c r="B103" t="str">
        <f>TRIM(Procurement_Raw!B103)</f>
        <v>S002</v>
      </c>
      <c r="C103" t="str">
        <f>Procurement_Raw!C103</f>
        <v>Manchester Care &amp; Education Centre</v>
      </c>
      <c r="D103" t="str">
        <f>Procurement_Raw!D103</f>
        <v>North</v>
      </c>
      <c r="E103" t="str">
        <f>IF(TRIM(Procurement_Raw!E103)="","",IFERROR(INDEX(Supplier_Lookup!$A$2:$A$25,MATCH(TRIM(Procurement_Raw!E103),Supplier_Lookup!$A$2:$A$25,0)),TRIM(Procurement_Raw!E103)))</f>
        <v>SafeGuard FM</v>
      </c>
      <c r="F103" t="str">
        <f>IFERROR(INDEX(Category_Targets!$A$2:$A$9,MATCH(TRIM(Procurement_Raw!F103),Category_Targets!$A$2:$A$9,0)),"Unmapped")</f>
        <v>Facilities</v>
      </c>
      <c r="G103" t="str">
        <f>TRIM(Procurement_Raw!G103)</f>
        <v>INV-2025-00102</v>
      </c>
      <c r="H103" s="77">
        <f>Procurement_Raw!H103</f>
        <v>15</v>
      </c>
      <c r="I103" s="124">
        <f>Procurement_Raw!I103</f>
        <v>142.82</v>
      </c>
      <c r="J103" s="125">
        <f>IF(Procurement_Raw!J103="","",Procurement_Raw!J103)</f>
        <v>2142.34</v>
      </c>
      <c r="K103" s="77">
        <f>Procurement_Raw!K103</f>
        <v>60</v>
      </c>
      <c r="L103" t="str">
        <f>Procurement_Raw!L103</f>
        <v>ERP</v>
      </c>
      <c r="M103" t="str">
        <f>Procurement_Raw!O103</f>
        <v>N</v>
      </c>
      <c r="N103" t="str">
        <f>IF(E103="","Missing supplier",IF(B103="","Missing site",IF(J103="","Missing spend",IF(COUNTIFS($G$2:G103,G103,$E$2:E103,E103,$J$2:J103,J103)&gt;1,"Duplicate invoice",IF(COUNTIF($G$2:$G$1801,G103)&gt;1,"Duplicate ID - review",IF(AND(P103&lt;&gt;"Unmapped",P103&lt;&gt;F103),"Category mismatch","OK"))))))</f>
        <v>OK</v>
      </c>
      <c r="O103" s="125">
        <f t="shared" si="3"/>
        <v>2142.34</v>
      </c>
      <c r="P103" t="str">
        <f>IF(E103="","Unmapped",IFERROR(INDEX(Supplier_Lookup!$B$2:$B$25,MATCH(E103,Supplier_Lookup!$A$2:$A$25,0)),"Unmapped"))</f>
        <v>Facilities</v>
      </c>
      <c r="Q103" s="76">
        <f>IFERROR(INDEX(Category_Targets!$B$2:$B$9,MATCH(F103,Category_Targets!$A$2:$A$9,0)),0)</f>
        <v>0.05</v>
      </c>
      <c r="R103" s="125">
        <f t="shared" si="4"/>
        <v>107.11700000000002</v>
      </c>
      <c r="S103" s="78">
        <f t="shared" si="5"/>
        <v>45992</v>
      </c>
      <c r="T103" t="str">
        <f>IFERROR(VLOOKUP(B103,Sites!$A$2:$D$21,4,FALSE()),"Unknown")</f>
        <v>Manchester</v>
      </c>
      <c r="U103" t="str">
        <f>IF(N103="OK","",COUNTIF($N$2:N103,"&lt;&gt;OK"))</f>
        <v/>
      </c>
      <c r="V103">
        <f>IF(OR(NOT(EXACT(E103,TRIM(Procurement_Raw!E103))),NOT(EXACT(F103,TRIM(Procurement_Raw!F103)))),1,0)</f>
        <v>0</v>
      </c>
    </row>
    <row r="104" spans="1:22" ht="15" customHeight="1" x14ac:dyDescent="0.25">
      <c r="A104" s="123">
        <f>Procurement_Raw!A104</f>
        <v>45743</v>
      </c>
      <c r="B104" t="str">
        <f>TRIM(Procurement_Raw!B104)</f>
        <v>S015</v>
      </c>
      <c r="C104" t="str">
        <f>Procurement_Raw!C104</f>
        <v>Brighton Care &amp; Education Centre</v>
      </c>
      <c r="D104" t="str">
        <f>Procurement_Raw!D104</f>
        <v>South</v>
      </c>
      <c r="E104" t="str">
        <f>IF(TRIM(Procurement_Raw!E104)="","",IFERROR(INDEX(Supplier_Lookup!$A$2:$A$25,MATCH(TRIM(Procurement_Raw!E104),Supplier_Lookup!$A$2:$A$25,0)),TRIM(Procurement_Raw!E104)))</f>
        <v>TeleCare IT</v>
      </c>
      <c r="F104" t="str">
        <f>IFERROR(INDEX(Category_Targets!$A$2:$A$9,MATCH(TRIM(Procurement_Raw!F104),Category_Targets!$A$2:$A$9,0)),"Unmapped")</f>
        <v>IT &amp; Telecoms</v>
      </c>
      <c r="G104" t="str">
        <f>TRIM(Procurement_Raw!G104)</f>
        <v>INV-2025-00103</v>
      </c>
      <c r="H104" s="77">
        <f>Procurement_Raw!H104</f>
        <v>78</v>
      </c>
      <c r="I104" s="124">
        <f>Procurement_Raw!I104</f>
        <v>182.21</v>
      </c>
      <c r="J104" s="125">
        <f>IF(Procurement_Raw!J104="","",Procurement_Raw!J104)</f>
        <v>14212.02</v>
      </c>
      <c r="K104" s="77">
        <f>Procurement_Raw!K104</f>
        <v>60</v>
      </c>
      <c r="L104" t="str">
        <f>Procurement_Raw!L104</f>
        <v>Legacy Spend File</v>
      </c>
      <c r="M104" t="str">
        <f>Procurement_Raw!O104</f>
        <v>N</v>
      </c>
      <c r="N104" t="str">
        <f>IF(E104="","Missing supplier",IF(B104="","Missing site",IF(J104="","Missing spend",IF(COUNTIFS($G$2:G104,G104,$E$2:E104,E104,$J$2:J104,J104)&gt;1,"Duplicate invoice",IF(COUNTIF($G$2:$G$1801,G104)&gt;1,"Duplicate ID - review",IF(AND(P104&lt;&gt;"Unmapped",P104&lt;&gt;F104),"Category mismatch","OK"))))))</f>
        <v>OK</v>
      </c>
      <c r="O104" s="125">
        <f t="shared" si="3"/>
        <v>14212.02</v>
      </c>
      <c r="P104" t="str">
        <f>IF(E104="","Unmapped",IFERROR(INDEX(Supplier_Lookup!$B$2:$B$25,MATCH(E104,Supplier_Lookup!$A$2:$A$25,0)),"Unmapped"))</f>
        <v>IT &amp; Telecoms</v>
      </c>
      <c r="Q104" s="76">
        <f>IFERROR(INDEX(Category_Targets!$B$2:$B$9,MATCH(F104,Category_Targets!$A$2:$A$9,0)),0)</f>
        <v>0.08</v>
      </c>
      <c r="R104" s="125">
        <f t="shared" si="4"/>
        <v>1136.9616000000001</v>
      </c>
      <c r="S104" s="78">
        <f t="shared" si="5"/>
        <v>45717</v>
      </c>
      <c r="T104" t="str">
        <f>IFERROR(VLOOKUP(B104,Sites!$A$2:$D$21,4,FALSE()),"Unknown")</f>
        <v>Brighton</v>
      </c>
      <c r="U104" t="str">
        <f>IF(N104="OK","",COUNTIF($N$2:N104,"&lt;&gt;OK"))</f>
        <v/>
      </c>
      <c r="V104">
        <f>IF(OR(NOT(EXACT(E104,TRIM(Procurement_Raw!E104))),NOT(EXACT(F104,TRIM(Procurement_Raw!F104)))),1,0)</f>
        <v>0</v>
      </c>
    </row>
    <row r="105" spans="1:22" ht="15" customHeight="1" x14ac:dyDescent="0.25">
      <c r="A105" s="123">
        <f>Procurement_Raw!A105</f>
        <v>45817</v>
      </c>
      <c r="B105" t="str">
        <f>TRIM(Procurement_Raw!B105)</f>
        <v>S017</v>
      </c>
      <c r="C105" t="str">
        <f>Procurement_Raw!C105</f>
        <v>Swansea Care &amp; Education Centre</v>
      </c>
      <c r="D105" t="str">
        <f>Procurement_Raw!D105</f>
        <v>Wales</v>
      </c>
      <c r="E105" t="str">
        <f>IF(TRIM(Procurement_Raw!E105)="","",IFERROR(INDEX(Supplier_Lookup!$A$2:$A$25,MATCH(TRIM(Procurement_Raw!E105),Supplier_Lookup!$A$2:$A$25,0)),TRIM(Procurement_Raw!E105)))</f>
        <v>FreshServe</v>
      </c>
      <c r="F105" t="str">
        <f>IFERROR(INDEX(Category_Targets!$A$2:$A$9,MATCH(TRIM(Procurement_Raw!F105),Category_Targets!$A$2:$A$9,0)),"Unmapped")</f>
        <v>Food &amp; Catering</v>
      </c>
      <c r="G105" t="str">
        <f>TRIM(Procurement_Raw!G105)</f>
        <v>INV-2025-00104</v>
      </c>
      <c r="H105" s="77">
        <f>Procurement_Raw!H105</f>
        <v>14</v>
      </c>
      <c r="I105" s="124">
        <f>Procurement_Raw!I105</f>
        <v>41.81</v>
      </c>
      <c r="J105" s="125">
        <f>IF(Procurement_Raw!J105="","",Procurement_Raw!J105)</f>
        <v>585.34</v>
      </c>
      <c r="K105" s="77">
        <f>Procurement_Raw!K105</f>
        <v>60</v>
      </c>
      <c r="L105" t="str">
        <f>Procurement_Raw!L105</f>
        <v>ERP</v>
      </c>
      <c r="M105" t="str">
        <f>Procurement_Raw!O105</f>
        <v>Y</v>
      </c>
      <c r="N105" t="str">
        <f>IF(E105="","Missing supplier",IF(B105="","Missing site",IF(J105="","Missing spend",IF(COUNTIFS($G$2:G105,G105,$E$2:E105,E105,$J$2:J105,J105)&gt;1,"Duplicate invoice",IF(COUNTIF($G$2:$G$1801,G105)&gt;1,"Duplicate ID - review",IF(AND(P105&lt;&gt;"Unmapped",P105&lt;&gt;F105),"Category mismatch","OK"))))))</f>
        <v>OK</v>
      </c>
      <c r="O105" s="125">
        <f t="shared" si="3"/>
        <v>585.34</v>
      </c>
      <c r="P105" t="str">
        <f>IF(E105="","Unmapped",IFERROR(INDEX(Supplier_Lookup!$B$2:$B$25,MATCH(E105,Supplier_Lookup!$A$2:$A$25,0)),"Unmapped"))</f>
        <v>Food &amp; Catering</v>
      </c>
      <c r="Q105" s="76">
        <f>IFERROR(INDEX(Category_Targets!$B$2:$B$9,MATCH(F105,Category_Targets!$A$2:$A$9,0)),0)</f>
        <v>0.04</v>
      </c>
      <c r="R105" s="125">
        <f t="shared" si="4"/>
        <v>23.413600000000002</v>
      </c>
      <c r="S105" s="78">
        <f t="shared" si="5"/>
        <v>45809</v>
      </c>
      <c r="T105" t="str">
        <f>IFERROR(VLOOKUP(B105,Sites!$A$2:$D$21,4,FALSE()),"Unknown")</f>
        <v>Swansea</v>
      </c>
      <c r="U105" t="str">
        <f>IF(N105="OK","",COUNTIF($N$2:N105,"&lt;&gt;OK"))</f>
        <v/>
      </c>
      <c r="V105">
        <f>IF(OR(NOT(EXACT(E105,TRIM(Procurement_Raw!E105))),NOT(EXACT(F105,TRIM(Procurement_Raw!F105)))),1,0)</f>
        <v>0</v>
      </c>
    </row>
    <row r="106" spans="1:22" ht="15" customHeight="1" x14ac:dyDescent="0.25">
      <c r="A106" s="123">
        <f>Procurement_Raw!A106</f>
        <v>45759</v>
      </c>
      <c r="B106" t="str">
        <f>TRIM(Procurement_Raw!B106)</f>
        <v>S005</v>
      </c>
      <c r="C106" t="str">
        <f>Procurement_Raw!C106</f>
        <v>Sheffield Care &amp; Education Centre</v>
      </c>
      <c r="D106" t="str">
        <f>Procurement_Raw!D106</f>
        <v>North</v>
      </c>
      <c r="E106" t="str">
        <f>IF(TRIM(Procurement_Raw!E106)="","",IFERROR(INDEX(Supplier_Lookup!$A$2:$A$25,MATCH(TRIM(Procurement_Raw!E106),Supplier_Lookup!$A$2:$A$25,0)),TRIM(Procurement_Raw!E106)))</f>
        <v>CareTemps</v>
      </c>
      <c r="F106" t="str">
        <f>IFERROR(INDEX(Category_Targets!$A$2:$A$9,MATCH(TRIM(Procurement_Raw!F106),Category_Targets!$A$2:$A$9,0)),"Unmapped")</f>
        <v>Agency Labour</v>
      </c>
      <c r="G106" t="str">
        <f>TRIM(Procurement_Raw!G106)</f>
        <v>INV-2025-00105</v>
      </c>
      <c r="H106" s="77">
        <f>Procurement_Raw!H106</f>
        <v>10</v>
      </c>
      <c r="I106" s="124">
        <f>Procurement_Raw!I106</f>
        <v>274.52999999999997</v>
      </c>
      <c r="J106" s="125">
        <f>IF(Procurement_Raw!J106="","",Procurement_Raw!J106)</f>
        <v>2745.34</v>
      </c>
      <c r="K106" s="77">
        <f>Procurement_Raw!K106</f>
        <v>60</v>
      </c>
      <c r="L106" t="str">
        <f>Procurement_Raw!L106</f>
        <v>Legacy Spend File</v>
      </c>
      <c r="M106" t="str">
        <f>Procurement_Raw!O106</f>
        <v>N</v>
      </c>
      <c r="N106" t="str">
        <f>IF(E106="","Missing supplier",IF(B106="","Missing site",IF(J106="","Missing spend",IF(COUNTIFS($G$2:G106,G106,$E$2:E106,E106,$J$2:J106,J106)&gt;1,"Duplicate invoice",IF(COUNTIF($G$2:$G$1801,G106)&gt;1,"Duplicate ID - review",IF(AND(P106&lt;&gt;"Unmapped",P106&lt;&gt;F106),"Category mismatch","OK"))))))</f>
        <v>OK</v>
      </c>
      <c r="O106" s="125">
        <f t="shared" si="3"/>
        <v>2745.34</v>
      </c>
      <c r="P106" t="str">
        <f>IF(E106="","Unmapped",IFERROR(INDEX(Supplier_Lookup!$B$2:$B$25,MATCH(E106,Supplier_Lookup!$A$2:$A$25,0)),"Unmapped"))</f>
        <v>Agency Labour</v>
      </c>
      <c r="Q106" s="76">
        <f>IFERROR(INDEX(Category_Targets!$B$2:$B$9,MATCH(F106,Category_Targets!$A$2:$A$9,0)),0)</f>
        <v>7.0000000000000007E-2</v>
      </c>
      <c r="R106" s="125">
        <f t="shared" si="4"/>
        <v>192.17380000000003</v>
      </c>
      <c r="S106" s="78">
        <f t="shared" si="5"/>
        <v>45748</v>
      </c>
      <c r="T106" t="str">
        <f>IFERROR(VLOOKUP(B106,Sites!$A$2:$D$21,4,FALSE()),"Unknown")</f>
        <v>Sheffield</v>
      </c>
      <c r="U106" t="str">
        <f>IF(N106="OK","",COUNTIF($N$2:N106,"&lt;&gt;OK"))</f>
        <v/>
      </c>
      <c r="V106">
        <f>IF(OR(NOT(EXACT(E106,TRIM(Procurement_Raw!E106))),NOT(EXACT(F106,TRIM(Procurement_Raw!F106)))),1,0)</f>
        <v>0</v>
      </c>
    </row>
    <row r="107" spans="1:22" ht="15" customHeight="1" x14ac:dyDescent="0.25">
      <c r="A107" s="123">
        <f>Procurement_Raw!A107</f>
        <v>46014</v>
      </c>
      <c r="B107" t="str">
        <f>TRIM(Procurement_Raw!B107)</f>
        <v>S020</v>
      </c>
      <c r="C107" t="str">
        <f>Procurement_Raw!C107</f>
        <v>Bangor Care &amp; Education Centre</v>
      </c>
      <c r="D107" t="str">
        <f>Procurement_Raw!D107</f>
        <v>Wales</v>
      </c>
      <c r="E107" t="str">
        <f>IF(TRIM(Procurement_Raw!E107)="","",IFERROR(INDEX(Supplier_Lookup!$A$2:$A$25,MATCH(TRIM(Procurement_Raw!E107),Supplier_Lookup!$A$2:$A$25,0)),TRIM(Procurement_Raw!E107)))</f>
        <v>UK Energy Partners</v>
      </c>
      <c r="F107" t="str">
        <f>IFERROR(INDEX(Category_Targets!$A$2:$A$9,MATCH(TRIM(Procurement_Raw!F107),Category_Targets!$A$2:$A$9,0)),"Unmapped")</f>
        <v>Utilities</v>
      </c>
      <c r="G107" t="str">
        <f>TRIM(Procurement_Raw!G107)</f>
        <v>INV-2025-00106</v>
      </c>
      <c r="H107" s="77">
        <f>Procurement_Raw!H107</f>
        <v>39</v>
      </c>
      <c r="I107" s="124">
        <f>Procurement_Raw!I107</f>
        <v>312.20999999999998</v>
      </c>
      <c r="J107" s="125">
        <f>IF(Procurement_Raw!J107="","",Procurement_Raw!J107)</f>
        <v>12176.35</v>
      </c>
      <c r="K107" s="77">
        <f>Procurement_Raw!K107</f>
        <v>60</v>
      </c>
      <c r="L107" t="str">
        <f>Procurement_Raw!L107</f>
        <v>Legacy Spend File</v>
      </c>
      <c r="M107" t="str">
        <f>Procurement_Raw!O107</f>
        <v>N</v>
      </c>
      <c r="N107" t="str">
        <f>IF(E107="","Missing supplier",IF(B107="","Missing site",IF(J107="","Missing spend",IF(COUNTIFS($G$2:G107,G107,$E$2:E107,E107,$J$2:J107,J107)&gt;1,"Duplicate invoice",IF(COUNTIF($G$2:$G$1801,G107)&gt;1,"Duplicate ID - review",IF(AND(P107&lt;&gt;"Unmapped",P107&lt;&gt;F107),"Category mismatch","OK"))))))</f>
        <v>OK</v>
      </c>
      <c r="O107" s="125">
        <f t="shared" si="3"/>
        <v>12176.35</v>
      </c>
      <c r="P107" t="str">
        <f>IF(E107="","Unmapped",IFERROR(INDEX(Supplier_Lookup!$B$2:$B$25,MATCH(E107,Supplier_Lookup!$A$2:$A$25,0)),"Unmapped"))</f>
        <v>Utilities</v>
      </c>
      <c r="Q107" s="76">
        <f>IFERROR(INDEX(Category_Targets!$B$2:$B$9,MATCH(F107,Category_Targets!$A$2:$A$9,0)),0)</f>
        <v>0.03</v>
      </c>
      <c r="R107" s="125">
        <f t="shared" si="4"/>
        <v>365.29050000000001</v>
      </c>
      <c r="S107" s="78">
        <f t="shared" si="5"/>
        <v>45992</v>
      </c>
      <c r="T107" t="str">
        <f>IFERROR(VLOOKUP(B107,Sites!$A$2:$D$21,4,FALSE()),"Unknown")</f>
        <v>Bangor</v>
      </c>
      <c r="U107" t="str">
        <f>IF(N107="OK","",COUNTIF($N$2:N107,"&lt;&gt;OK"))</f>
        <v/>
      </c>
      <c r="V107">
        <f>IF(OR(NOT(EXACT(E107,TRIM(Procurement_Raw!E107))),NOT(EXACT(F107,TRIM(Procurement_Raw!F107)))),1,0)</f>
        <v>0</v>
      </c>
    </row>
    <row r="108" spans="1:22" ht="15" customHeight="1" x14ac:dyDescent="0.25">
      <c r="A108" s="123">
        <f>Procurement_Raw!A108</f>
        <v>45930</v>
      </c>
      <c r="B108" t="str">
        <f>TRIM(Procurement_Raw!B108)</f>
        <v>S001</v>
      </c>
      <c r="C108" t="str">
        <f>Procurement_Raw!C108</f>
        <v>Preston Care &amp; Education Centre</v>
      </c>
      <c r="D108" t="str">
        <f>Procurement_Raw!D108</f>
        <v>North</v>
      </c>
      <c r="E108" t="str">
        <f>IF(TRIM(Procurement_Raw!E108)="","",IFERROR(INDEX(Supplier_Lookup!$A$2:$A$25,MATCH(TRIM(Procurement_Raw!E108),Supplier_Lookup!$A$2:$A$25,0)),TRIM(Procurement_Raw!E108)))</f>
        <v>CareMed</v>
      </c>
      <c r="F108" t="str">
        <f>IFERROR(INDEX(Category_Targets!$A$2:$A$9,MATCH(TRIM(Procurement_Raw!F108),Category_Targets!$A$2:$A$9,0)),"Unmapped")</f>
        <v>Medical Supplies</v>
      </c>
      <c r="G108" t="str">
        <f>TRIM(Procurement_Raw!G108)</f>
        <v>INV-2025-00107</v>
      </c>
      <c r="H108" s="77">
        <f>Procurement_Raw!H108</f>
        <v>55</v>
      </c>
      <c r="I108" s="124">
        <f>Procurement_Raw!I108</f>
        <v>338.63</v>
      </c>
      <c r="J108" s="125">
        <f>IF(Procurement_Raw!J108="","",Procurement_Raw!J108)</f>
        <v>18624.39</v>
      </c>
      <c r="K108" s="77">
        <f>Procurement_Raw!K108</f>
        <v>60</v>
      </c>
      <c r="L108" t="str">
        <f>Procurement_Raw!L108</f>
        <v>Procurement Portal</v>
      </c>
      <c r="M108" t="str">
        <f>Procurement_Raw!O108</f>
        <v>N</v>
      </c>
      <c r="N108" t="str">
        <f>IF(E108="","Missing supplier",IF(B108="","Missing site",IF(J108="","Missing spend",IF(COUNTIFS($G$2:G108,G108,$E$2:E108,E108,$J$2:J108,J108)&gt;1,"Duplicate invoice",IF(COUNTIF($G$2:$G$1801,G108)&gt;1,"Duplicate ID - review",IF(AND(P108&lt;&gt;"Unmapped",P108&lt;&gt;F108),"Category mismatch","OK"))))))</f>
        <v>OK</v>
      </c>
      <c r="O108" s="125">
        <f t="shared" si="3"/>
        <v>18624.39</v>
      </c>
      <c r="P108" t="str">
        <f>IF(E108="","Unmapped",IFERROR(INDEX(Supplier_Lookup!$B$2:$B$25,MATCH(E108,Supplier_Lookup!$A$2:$A$25,0)),"Unmapped"))</f>
        <v>Medical Supplies</v>
      </c>
      <c r="Q108" s="76">
        <f>IFERROR(INDEX(Category_Targets!$B$2:$B$9,MATCH(F108,Category_Targets!$A$2:$A$9,0)),0)</f>
        <v>0.06</v>
      </c>
      <c r="R108" s="125">
        <f t="shared" si="4"/>
        <v>1117.4633999999999</v>
      </c>
      <c r="S108" s="78">
        <f t="shared" si="5"/>
        <v>45901</v>
      </c>
      <c r="T108" t="str">
        <f>IFERROR(VLOOKUP(B108,Sites!$A$2:$D$21,4,FALSE()),"Unknown")</f>
        <v>Preston</v>
      </c>
      <c r="U108" t="str">
        <f>IF(N108="OK","",COUNTIF($N$2:N108,"&lt;&gt;OK"))</f>
        <v/>
      </c>
      <c r="V108">
        <f>IF(OR(NOT(EXACT(E108,TRIM(Procurement_Raw!E108))),NOT(EXACT(F108,TRIM(Procurement_Raw!F108)))),1,0)</f>
        <v>0</v>
      </c>
    </row>
    <row r="109" spans="1:22" ht="15" customHeight="1" x14ac:dyDescent="0.25">
      <c r="A109" s="123">
        <f>Procurement_Raw!A109</f>
        <v>45873</v>
      </c>
      <c r="B109" t="str">
        <f>TRIM(Procurement_Raw!B109)</f>
        <v>S009</v>
      </c>
      <c r="C109" t="str">
        <f>Procurement_Raw!C109</f>
        <v>Derby Care &amp; Education Centre</v>
      </c>
      <c r="D109" t="str">
        <f>Procurement_Raw!D109</f>
        <v>Midlands</v>
      </c>
      <c r="E109" t="str">
        <f>IF(TRIM(Procurement_Raw!E109)="","",IFERROR(INDEX(Supplier_Lookup!$A$2:$A$25,MATCH(TRIM(Procurement_Raw!E109),Supplier_Lookup!$A$2:$A$25,0)),TRIM(Procurement_Raw!E109)))</f>
        <v>FleetFuel</v>
      </c>
      <c r="F109" t="str">
        <f>IFERROR(INDEX(Category_Targets!$A$2:$A$9,MATCH(TRIM(Procurement_Raw!F109),Category_Targets!$A$2:$A$9,0)),"Unmapped")</f>
        <v>Vehicle &amp; Fuel</v>
      </c>
      <c r="G109" t="str">
        <f>TRIM(Procurement_Raw!G109)</f>
        <v>INV-2025-00108</v>
      </c>
      <c r="H109" s="77">
        <f>Procurement_Raw!H109</f>
        <v>63</v>
      </c>
      <c r="I109" s="124">
        <f>Procurement_Raw!I109</f>
        <v>104.57</v>
      </c>
      <c r="J109" s="125">
        <f>IF(Procurement_Raw!J109="","",Procurement_Raw!J109)</f>
        <v>6588.16</v>
      </c>
      <c r="K109" s="77">
        <f>Procurement_Raw!K109</f>
        <v>30</v>
      </c>
      <c r="L109" t="str">
        <f>Procurement_Raw!L109</f>
        <v>Procurement Portal</v>
      </c>
      <c r="M109" t="str">
        <f>Procurement_Raw!O109</f>
        <v>Y</v>
      </c>
      <c r="N109" t="str">
        <f>IF(E109="","Missing supplier",IF(B109="","Missing site",IF(J109="","Missing spend",IF(COUNTIFS($G$2:G109,G109,$E$2:E109,E109,$J$2:J109,J109)&gt;1,"Duplicate invoice",IF(COUNTIF($G$2:$G$1801,G109)&gt;1,"Duplicate ID - review",IF(AND(P109&lt;&gt;"Unmapped",P109&lt;&gt;F109),"Category mismatch","OK"))))))</f>
        <v>OK</v>
      </c>
      <c r="O109" s="125">
        <f t="shared" si="3"/>
        <v>6588.16</v>
      </c>
      <c r="P109" t="str">
        <f>IF(E109="","Unmapped",IFERROR(INDEX(Supplier_Lookup!$B$2:$B$25,MATCH(E109,Supplier_Lookup!$A$2:$A$25,0)),"Unmapped"))</f>
        <v>Vehicle &amp; Fuel</v>
      </c>
      <c r="Q109" s="76">
        <f>IFERROR(INDEX(Category_Targets!$B$2:$B$9,MATCH(F109,Category_Targets!$A$2:$A$9,0)),0)</f>
        <v>0.05</v>
      </c>
      <c r="R109" s="125">
        <f t="shared" si="4"/>
        <v>329.40800000000002</v>
      </c>
      <c r="S109" s="78">
        <f t="shared" si="5"/>
        <v>45870</v>
      </c>
      <c r="T109" t="str">
        <f>IFERROR(VLOOKUP(B109,Sites!$A$2:$D$21,4,FALSE()),"Unknown")</f>
        <v>Derby</v>
      </c>
      <c r="U109" t="str">
        <f>IF(N109="OK","",COUNTIF($N$2:N109,"&lt;&gt;OK"))</f>
        <v/>
      </c>
      <c r="V109">
        <f>IF(OR(NOT(EXACT(E109,TRIM(Procurement_Raw!E109))),NOT(EXACT(F109,TRIM(Procurement_Raw!F109)))),1,0)</f>
        <v>0</v>
      </c>
    </row>
    <row r="110" spans="1:22" ht="15" customHeight="1" x14ac:dyDescent="0.25">
      <c r="A110" s="123">
        <f>Procurement_Raw!A110</f>
        <v>45736</v>
      </c>
      <c r="B110" t="str">
        <f>TRIM(Procurement_Raw!B110)</f>
        <v>S011</v>
      </c>
      <c r="C110" t="str">
        <f>Procurement_Raw!C110</f>
        <v>London Care &amp; Education Centre</v>
      </c>
      <c r="D110" t="str">
        <f>Procurement_Raw!D110</f>
        <v>South</v>
      </c>
      <c r="E110" t="str">
        <f>IF(TRIM(Procurement_Raw!E110)="","",IFERROR(INDEX(Supplier_Lookup!$A$2:$A$25,MATCH(TRIM(Procurement_Raw!E110),Supplier_Lookup!$A$2:$A$25,0)),TRIM(Procurement_Raw!E110)))</f>
        <v>PrintCo</v>
      </c>
      <c r="F110" t="str">
        <f>IFERROR(INDEX(Category_Targets!$A$2:$A$9,MATCH(TRIM(Procurement_Raw!F110),Category_Targets!$A$2:$A$9,0)),"Unmapped")</f>
        <v>Office &amp; Training</v>
      </c>
      <c r="G110" t="str">
        <f>TRIM(Procurement_Raw!G110)</f>
        <v>INV-2025-00109</v>
      </c>
      <c r="H110" s="77">
        <f>Procurement_Raw!H110</f>
        <v>56</v>
      </c>
      <c r="I110" s="124">
        <f>Procurement_Raw!I110</f>
        <v>86.41</v>
      </c>
      <c r="J110" s="125">
        <f>IF(Procurement_Raw!J110="","",Procurement_Raw!J110)</f>
        <v>4839.1400000000003</v>
      </c>
      <c r="K110" s="77">
        <f>Procurement_Raw!K110</f>
        <v>30</v>
      </c>
      <c r="L110" t="str">
        <f>Procurement_Raw!L110</f>
        <v>Legacy Spend File</v>
      </c>
      <c r="M110" t="str">
        <f>Procurement_Raw!O110</f>
        <v>N</v>
      </c>
      <c r="N110" t="str">
        <f>IF(E110="","Missing supplier",IF(B110="","Missing site",IF(J110="","Missing spend",IF(COUNTIFS($G$2:G110,G110,$E$2:E110,E110,$J$2:J110,J110)&gt;1,"Duplicate invoice",IF(COUNTIF($G$2:$G$1801,G110)&gt;1,"Duplicate ID - review",IF(AND(P110&lt;&gt;"Unmapped",P110&lt;&gt;F110),"Category mismatch","OK"))))))</f>
        <v>OK</v>
      </c>
      <c r="O110" s="125">
        <f t="shared" si="3"/>
        <v>4839.1400000000003</v>
      </c>
      <c r="P110" t="str">
        <f>IF(E110="","Unmapped",IFERROR(INDEX(Supplier_Lookup!$B$2:$B$25,MATCH(E110,Supplier_Lookup!$A$2:$A$25,0)),"Unmapped"))</f>
        <v>Office &amp; Training</v>
      </c>
      <c r="Q110" s="76">
        <f>IFERROR(INDEX(Category_Targets!$B$2:$B$9,MATCH(F110,Category_Targets!$A$2:$A$9,0)),0)</f>
        <v>0.04</v>
      </c>
      <c r="R110" s="125">
        <f t="shared" si="4"/>
        <v>193.56560000000002</v>
      </c>
      <c r="S110" s="78">
        <f t="shared" si="5"/>
        <v>45717</v>
      </c>
      <c r="T110" t="str">
        <f>IFERROR(VLOOKUP(B110,Sites!$A$2:$D$21,4,FALSE()),"Unknown")</f>
        <v>London</v>
      </c>
      <c r="U110" t="str">
        <f>IF(N110="OK","",COUNTIF($N$2:N110,"&lt;&gt;OK"))</f>
        <v/>
      </c>
      <c r="V110">
        <f>IF(OR(NOT(EXACT(E110,TRIM(Procurement_Raw!E110))),NOT(EXACT(F110,TRIM(Procurement_Raw!F110)))),1,0)</f>
        <v>0</v>
      </c>
    </row>
    <row r="111" spans="1:22" ht="15" customHeight="1" x14ac:dyDescent="0.25">
      <c r="A111" s="123">
        <f>Procurement_Raw!A111</f>
        <v>45933</v>
      </c>
      <c r="B111" t="str">
        <f>TRIM(Procurement_Raw!B111)</f>
        <v>S019</v>
      </c>
      <c r="C111" t="str">
        <f>Procurement_Raw!C111</f>
        <v>Wrexham Care &amp; Education Centre</v>
      </c>
      <c r="D111" t="str">
        <f>Procurement_Raw!D111</f>
        <v>Wales</v>
      </c>
      <c r="E111" t="str">
        <f>IF(TRIM(Procurement_Raw!E111)="","",IFERROR(INDEX(Supplier_Lookup!$A$2:$A$25,MATCH(TRIM(Procurement_Raw!E111),Supplier_Lookup!$A$2:$A$25,0)),TRIM(Procurement_Raw!E111)))</f>
        <v>NetServe</v>
      </c>
      <c r="F111" t="str">
        <f>IFERROR(INDEX(Category_Targets!$A$2:$A$9,MATCH(TRIM(Procurement_Raw!F111),Category_Targets!$A$2:$A$9,0)),"Unmapped")</f>
        <v>IT &amp; Telecoms</v>
      </c>
      <c r="G111" t="str">
        <f>TRIM(Procurement_Raw!G111)</f>
        <v>INV-2025-00110</v>
      </c>
      <c r="H111" s="77">
        <f>Procurement_Raw!H111</f>
        <v>62</v>
      </c>
      <c r="I111" s="124">
        <f>Procurement_Raw!I111</f>
        <v>211.17</v>
      </c>
      <c r="J111" s="125">
        <f>IF(Procurement_Raw!J111="","",Procurement_Raw!J111)</f>
        <v>13092.79</v>
      </c>
      <c r="K111" s="77">
        <f>Procurement_Raw!K111</f>
        <v>45</v>
      </c>
      <c r="L111" t="str">
        <f>Procurement_Raw!L111</f>
        <v>Procurement Portal</v>
      </c>
      <c r="M111" t="str">
        <f>Procurement_Raw!O111</f>
        <v>N</v>
      </c>
      <c r="N111" t="str">
        <f>IF(E111="","Missing supplier",IF(B111="","Missing site",IF(J111="","Missing spend",IF(COUNTIFS($G$2:G111,G111,$E$2:E111,E111,$J$2:J111,J111)&gt;1,"Duplicate invoice",IF(COUNTIF($G$2:$G$1801,G111)&gt;1,"Duplicate ID - review",IF(AND(P111&lt;&gt;"Unmapped",P111&lt;&gt;F111),"Category mismatch","OK"))))))</f>
        <v>OK</v>
      </c>
      <c r="O111" s="125">
        <f t="shared" si="3"/>
        <v>13092.79</v>
      </c>
      <c r="P111" t="str">
        <f>IF(E111="","Unmapped",IFERROR(INDEX(Supplier_Lookup!$B$2:$B$25,MATCH(E111,Supplier_Lookup!$A$2:$A$25,0)),"Unmapped"))</f>
        <v>IT &amp; Telecoms</v>
      </c>
      <c r="Q111" s="76">
        <f>IFERROR(INDEX(Category_Targets!$B$2:$B$9,MATCH(F111,Category_Targets!$A$2:$A$9,0)),0)</f>
        <v>0.08</v>
      </c>
      <c r="R111" s="125">
        <f t="shared" si="4"/>
        <v>1047.4232000000002</v>
      </c>
      <c r="S111" s="78">
        <f t="shared" si="5"/>
        <v>45931</v>
      </c>
      <c r="T111" t="str">
        <f>IFERROR(VLOOKUP(B111,Sites!$A$2:$D$21,4,FALSE()),"Unknown")</f>
        <v>Wrexham</v>
      </c>
      <c r="U111" t="str">
        <f>IF(N111="OK","",COUNTIF($N$2:N111,"&lt;&gt;OK"))</f>
        <v/>
      </c>
      <c r="V111">
        <f>IF(OR(NOT(EXACT(E111,TRIM(Procurement_Raw!E111))),NOT(EXACT(F111,TRIM(Procurement_Raw!F111)))),1,0)</f>
        <v>0</v>
      </c>
    </row>
    <row r="112" spans="1:22" ht="15" customHeight="1" x14ac:dyDescent="0.25">
      <c r="A112" s="123">
        <f>Procurement_Raw!A112</f>
        <v>45783</v>
      </c>
      <c r="B112" t="str">
        <f>TRIM(Procurement_Raw!B112)</f>
        <v>S006</v>
      </c>
      <c r="C112" t="str">
        <f>Procurement_Raw!C112</f>
        <v>Birmingham Care &amp; Education Centre</v>
      </c>
      <c r="D112" t="str">
        <f>Procurement_Raw!D112</f>
        <v>Midlands</v>
      </c>
      <c r="E112" t="str">
        <f>IF(TRIM(Procurement_Raw!E112)="","",IFERROR(INDEX(Supplier_Lookup!$A$2:$A$25,MATCH(TRIM(Procurement_Raw!E112),Supplier_Lookup!$A$2:$A$25,0)),TRIM(Procurement_Raw!E112)))</f>
        <v>TeleCare IT</v>
      </c>
      <c r="F112" t="str">
        <f>IFERROR(INDEX(Category_Targets!$A$2:$A$9,MATCH(TRIM(Procurement_Raw!F112),Category_Targets!$A$2:$A$9,0)),"Unmapped")</f>
        <v>IT &amp; Telecoms</v>
      </c>
      <c r="G112" t="str">
        <f>TRIM(Procurement_Raw!G112)</f>
        <v>INV-2025-00111</v>
      </c>
      <c r="H112" s="77">
        <f>Procurement_Raw!H112</f>
        <v>12</v>
      </c>
      <c r="I112" s="124">
        <f>Procurement_Raw!I112</f>
        <v>76.58</v>
      </c>
      <c r="J112" s="125">
        <f>IF(Procurement_Raw!J112="","",Procurement_Raw!J112)</f>
        <v>918.93</v>
      </c>
      <c r="K112" s="77">
        <f>Procurement_Raw!K112</f>
        <v>45</v>
      </c>
      <c r="L112" t="str">
        <f>Procurement_Raw!L112</f>
        <v>Procurement Portal</v>
      </c>
      <c r="M112" t="str">
        <f>Procurement_Raw!O112</f>
        <v>N</v>
      </c>
      <c r="N112" t="str">
        <f>IF(E112="","Missing supplier",IF(B112="","Missing site",IF(J112="","Missing spend",IF(COUNTIFS($G$2:G112,G112,$E$2:E112,E112,$J$2:J112,J112)&gt;1,"Duplicate invoice",IF(COUNTIF($G$2:$G$1801,G112)&gt;1,"Duplicate ID - review",IF(AND(P112&lt;&gt;"Unmapped",P112&lt;&gt;F112),"Category mismatch","OK"))))))</f>
        <v>OK</v>
      </c>
      <c r="O112" s="125">
        <f t="shared" si="3"/>
        <v>918.93</v>
      </c>
      <c r="P112" t="str">
        <f>IF(E112="","Unmapped",IFERROR(INDEX(Supplier_Lookup!$B$2:$B$25,MATCH(E112,Supplier_Lookup!$A$2:$A$25,0)),"Unmapped"))</f>
        <v>IT &amp; Telecoms</v>
      </c>
      <c r="Q112" s="76">
        <f>IFERROR(INDEX(Category_Targets!$B$2:$B$9,MATCH(F112,Category_Targets!$A$2:$A$9,0)),0)</f>
        <v>0.08</v>
      </c>
      <c r="R112" s="125">
        <f t="shared" si="4"/>
        <v>73.514399999999995</v>
      </c>
      <c r="S112" s="78">
        <f t="shared" si="5"/>
        <v>45778</v>
      </c>
      <c r="T112" t="str">
        <f>IFERROR(VLOOKUP(B112,Sites!$A$2:$D$21,4,FALSE()),"Unknown")</f>
        <v>Birmingham</v>
      </c>
      <c r="U112" t="str">
        <f>IF(N112="OK","",COUNTIF($N$2:N112,"&lt;&gt;OK"))</f>
        <v/>
      </c>
      <c r="V112">
        <f>IF(OR(NOT(EXACT(E112,TRIM(Procurement_Raw!E112))),NOT(EXACT(F112,TRIM(Procurement_Raw!F112)))),1,0)</f>
        <v>0</v>
      </c>
    </row>
    <row r="113" spans="1:22" ht="15" customHeight="1" x14ac:dyDescent="0.25">
      <c r="A113" s="123">
        <f>Procurement_Raw!A113</f>
        <v>45970</v>
      </c>
      <c r="B113" t="str">
        <f>TRIM(Procurement_Raw!B113)</f>
        <v>S006</v>
      </c>
      <c r="C113" t="str">
        <f>Procurement_Raw!C113</f>
        <v>Birmingham Care &amp; Education Centre</v>
      </c>
      <c r="D113" t="str">
        <f>Procurement_Raw!D113</f>
        <v>Midlands</v>
      </c>
      <c r="E113" t="str">
        <f>IF(TRIM(Procurement_Raw!E113)="","",IFERROR(INDEX(Supplier_Lookup!$A$2:$A$25,MATCH(TRIM(Procurement_Raw!E113),Supplier_Lookup!$A$2:$A$25,0)),TRIM(Procurement_Raw!E113)))</f>
        <v>PrintCo</v>
      </c>
      <c r="F113" t="str">
        <f>IFERROR(INDEX(Category_Targets!$A$2:$A$9,MATCH(TRIM(Procurement_Raw!F113),Category_Targets!$A$2:$A$9,0)),"Unmapped")</f>
        <v>Office &amp; Training</v>
      </c>
      <c r="G113" t="str">
        <f>TRIM(Procurement_Raw!G113)</f>
        <v>INV-2025-00112</v>
      </c>
      <c r="H113" s="77">
        <f>Procurement_Raw!H113</f>
        <v>49</v>
      </c>
      <c r="I113" s="124">
        <f>Procurement_Raw!I113</f>
        <v>73.91</v>
      </c>
      <c r="J113" s="125">
        <f>IF(Procurement_Raw!J113="","",Procurement_Raw!J113)</f>
        <v>3621.8</v>
      </c>
      <c r="K113" s="77">
        <f>Procurement_Raw!K113</f>
        <v>45</v>
      </c>
      <c r="L113" t="str">
        <f>Procurement_Raw!L113</f>
        <v>ERP</v>
      </c>
      <c r="M113" t="str">
        <f>Procurement_Raw!O113</f>
        <v>N</v>
      </c>
      <c r="N113" t="str">
        <f>IF(E113="","Missing supplier",IF(B113="","Missing site",IF(J113="","Missing spend",IF(COUNTIFS($G$2:G113,G113,$E$2:E113,E113,$J$2:J113,J113)&gt;1,"Duplicate invoice",IF(COUNTIF($G$2:$G$1801,G113)&gt;1,"Duplicate ID - review",IF(AND(P113&lt;&gt;"Unmapped",P113&lt;&gt;F113),"Category mismatch","OK"))))))</f>
        <v>OK</v>
      </c>
      <c r="O113" s="125">
        <f t="shared" si="3"/>
        <v>3621.8</v>
      </c>
      <c r="P113" t="str">
        <f>IF(E113="","Unmapped",IFERROR(INDEX(Supplier_Lookup!$B$2:$B$25,MATCH(E113,Supplier_Lookup!$A$2:$A$25,0)),"Unmapped"))</f>
        <v>Office &amp; Training</v>
      </c>
      <c r="Q113" s="76">
        <f>IFERROR(INDEX(Category_Targets!$B$2:$B$9,MATCH(F113,Category_Targets!$A$2:$A$9,0)),0)</f>
        <v>0.04</v>
      </c>
      <c r="R113" s="125">
        <f t="shared" si="4"/>
        <v>144.87200000000001</v>
      </c>
      <c r="S113" s="78">
        <f t="shared" si="5"/>
        <v>45962</v>
      </c>
      <c r="T113" t="str">
        <f>IFERROR(VLOOKUP(B113,Sites!$A$2:$D$21,4,FALSE()),"Unknown")</f>
        <v>Birmingham</v>
      </c>
      <c r="U113" t="str">
        <f>IF(N113="OK","",COUNTIF($N$2:N113,"&lt;&gt;OK"))</f>
        <v/>
      </c>
      <c r="V113">
        <f>IF(OR(NOT(EXACT(E113,TRIM(Procurement_Raw!E113))),NOT(EXACT(F113,TRIM(Procurement_Raw!F113)))),1,0)</f>
        <v>0</v>
      </c>
    </row>
    <row r="114" spans="1:22" ht="15" customHeight="1" x14ac:dyDescent="0.25">
      <c r="A114" s="123">
        <f>Procurement_Raw!A114</f>
        <v>45907</v>
      </c>
      <c r="B114" t="str">
        <f>TRIM(Procurement_Raw!B114)</f>
        <v>S018</v>
      </c>
      <c r="C114" t="str">
        <f>Procurement_Raw!C114</f>
        <v>Newport Care &amp; Education Centre</v>
      </c>
      <c r="D114" t="str">
        <f>Procurement_Raw!D114</f>
        <v>Wales</v>
      </c>
      <c r="E114" t="str">
        <f>IF(TRIM(Procurement_Raw!E114)="","",IFERROR(INDEX(Supplier_Lookup!$A$2:$A$25,MATCH(TRIM(Procurement_Raw!E114),Supplier_Lookup!$A$2:$A$25,0)),TRIM(Procurement_Raw!E114)))</f>
        <v>FleetFuel</v>
      </c>
      <c r="F114" t="str">
        <f>IFERROR(INDEX(Category_Targets!$A$2:$A$9,MATCH(TRIM(Procurement_Raw!F114),Category_Targets!$A$2:$A$9,0)),"Unmapped")</f>
        <v>Vehicle &amp; Fuel</v>
      </c>
      <c r="G114" t="str">
        <f>TRIM(Procurement_Raw!G114)</f>
        <v>INV-2025-00113</v>
      </c>
      <c r="H114" s="77">
        <f>Procurement_Raw!H114</f>
        <v>28</v>
      </c>
      <c r="I114" s="124">
        <f>Procurement_Raw!I114</f>
        <v>98.2</v>
      </c>
      <c r="J114" s="125">
        <f>IF(Procurement_Raw!J114="","",Procurement_Raw!J114)</f>
        <v>2749.59</v>
      </c>
      <c r="K114" s="77">
        <f>Procurement_Raw!K114</f>
        <v>45</v>
      </c>
      <c r="L114" t="str">
        <f>Procurement_Raw!L114</f>
        <v>Procurement Portal</v>
      </c>
      <c r="M114" t="str">
        <f>Procurement_Raw!O114</f>
        <v>Y</v>
      </c>
      <c r="N114" t="str">
        <f>IF(E114="","Missing supplier",IF(B114="","Missing site",IF(J114="","Missing spend",IF(COUNTIFS($G$2:G114,G114,$E$2:E114,E114,$J$2:J114,J114)&gt;1,"Duplicate invoice",IF(COUNTIF($G$2:$G$1801,G114)&gt;1,"Duplicate ID - review",IF(AND(P114&lt;&gt;"Unmapped",P114&lt;&gt;F114),"Category mismatch","OK"))))))</f>
        <v>OK</v>
      </c>
      <c r="O114" s="125">
        <f t="shared" si="3"/>
        <v>2749.59</v>
      </c>
      <c r="P114" t="str">
        <f>IF(E114="","Unmapped",IFERROR(INDEX(Supplier_Lookup!$B$2:$B$25,MATCH(E114,Supplier_Lookup!$A$2:$A$25,0)),"Unmapped"))</f>
        <v>Vehicle &amp; Fuel</v>
      </c>
      <c r="Q114" s="76">
        <f>IFERROR(INDEX(Category_Targets!$B$2:$B$9,MATCH(F114,Category_Targets!$A$2:$A$9,0)),0)</f>
        <v>0.05</v>
      </c>
      <c r="R114" s="125">
        <f t="shared" si="4"/>
        <v>137.4795</v>
      </c>
      <c r="S114" s="78">
        <f t="shared" si="5"/>
        <v>45901</v>
      </c>
      <c r="T114" t="str">
        <f>IFERROR(VLOOKUP(B114,Sites!$A$2:$D$21,4,FALSE()),"Unknown")</f>
        <v>Newport</v>
      </c>
      <c r="U114" t="str">
        <f>IF(N114="OK","",COUNTIF($N$2:N114,"&lt;&gt;OK"))</f>
        <v/>
      </c>
      <c r="V114">
        <f>IF(OR(NOT(EXACT(E114,TRIM(Procurement_Raw!E114))),NOT(EXACT(F114,TRIM(Procurement_Raw!F114)))),1,0)</f>
        <v>0</v>
      </c>
    </row>
    <row r="115" spans="1:22" ht="15" customHeight="1" x14ac:dyDescent="0.25">
      <c r="A115" s="123">
        <f>Procurement_Raw!A115</f>
        <v>46017</v>
      </c>
      <c r="B115" t="str">
        <f>TRIM(Procurement_Raw!B115)</f>
        <v>S018</v>
      </c>
      <c r="C115" t="str">
        <f>Procurement_Raw!C115</f>
        <v>Newport Care &amp; Education Centre</v>
      </c>
      <c r="D115" t="str">
        <f>Procurement_Raw!D115</f>
        <v>Wales</v>
      </c>
      <c r="E115" t="str">
        <f>IF(TRIM(Procurement_Raw!E115)="","",IFERROR(INDEX(Supplier_Lookup!$A$2:$A$25,MATCH(TRIM(Procurement_Raw!E115),Supplier_Lookup!$A$2:$A$25,0)),TRIM(Procurement_Raw!E115)))</f>
        <v>NetServe</v>
      </c>
      <c r="F115" t="str">
        <f>IFERROR(INDEX(Category_Targets!$A$2:$A$9,MATCH(TRIM(Procurement_Raw!F115),Category_Targets!$A$2:$A$9,0)),"Unmapped")</f>
        <v>IT &amp; Telecoms</v>
      </c>
      <c r="G115" t="str">
        <f>TRIM(Procurement_Raw!G115)</f>
        <v>INV-2025-00114</v>
      </c>
      <c r="H115" s="77">
        <f>Procurement_Raw!H115</f>
        <v>36</v>
      </c>
      <c r="I115" s="124">
        <f>Procurement_Raw!I115</f>
        <v>852.7</v>
      </c>
      <c r="J115" s="125">
        <f>IF(Procurement_Raw!J115="","",Procurement_Raw!J115)</f>
        <v>30697.29</v>
      </c>
      <c r="K115" s="77">
        <f>Procurement_Raw!K115</f>
        <v>60</v>
      </c>
      <c r="L115" t="str">
        <f>Procurement_Raw!L115</f>
        <v>ERP</v>
      </c>
      <c r="M115" t="str">
        <f>Procurement_Raw!O115</f>
        <v>N</v>
      </c>
      <c r="N115" t="str">
        <f>IF(E115="","Missing supplier",IF(B115="","Missing site",IF(J115="","Missing spend",IF(COUNTIFS($G$2:G115,G115,$E$2:E115,E115,$J$2:J115,J115)&gt;1,"Duplicate invoice",IF(COUNTIF($G$2:$G$1801,G115)&gt;1,"Duplicate ID - review",IF(AND(P115&lt;&gt;"Unmapped",P115&lt;&gt;F115),"Category mismatch","OK"))))))</f>
        <v>OK</v>
      </c>
      <c r="O115" s="125">
        <f t="shared" si="3"/>
        <v>30697.29</v>
      </c>
      <c r="P115" t="str">
        <f>IF(E115="","Unmapped",IFERROR(INDEX(Supplier_Lookup!$B$2:$B$25,MATCH(E115,Supplier_Lookup!$A$2:$A$25,0)),"Unmapped"))</f>
        <v>IT &amp; Telecoms</v>
      </c>
      <c r="Q115" s="76">
        <f>IFERROR(INDEX(Category_Targets!$B$2:$B$9,MATCH(F115,Category_Targets!$A$2:$A$9,0)),0)</f>
        <v>0.08</v>
      </c>
      <c r="R115" s="125">
        <f t="shared" si="4"/>
        <v>2455.7832000000003</v>
      </c>
      <c r="S115" s="78">
        <f t="shared" si="5"/>
        <v>45992</v>
      </c>
      <c r="T115" t="str">
        <f>IFERROR(VLOOKUP(B115,Sites!$A$2:$D$21,4,FALSE()),"Unknown")</f>
        <v>Newport</v>
      </c>
      <c r="U115" t="str">
        <f>IF(N115="OK","",COUNTIF($N$2:N115,"&lt;&gt;OK"))</f>
        <v/>
      </c>
      <c r="V115">
        <f>IF(OR(NOT(EXACT(E115,TRIM(Procurement_Raw!E115))),NOT(EXACT(F115,TRIM(Procurement_Raw!F115)))),1,0)</f>
        <v>0</v>
      </c>
    </row>
    <row r="116" spans="1:22" ht="15" customHeight="1" x14ac:dyDescent="0.25">
      <c r="A116" s="123">
        <f>Procurement_Raw!A116</f>
        <v>45781</v>
      </c>
      <c r="B116" t="str">
        <f>TRIM(Procurement_Raw!B116)</f>
        <v>S015</v>
      </c>
      <c r="C116" t="str">
        <f>Procurement_Raw!C116</f>
        <v>Brighton Care &amp; Education Centre</v>
      </c>
      <c r="D116" t="str">
        <f>Procurement_Raw!D116</f>
        <v>South</v>
      </c>
      <c r="E116" t="str">
        <f>IF(TRIM(Procurement_Raw!E116)="","",IFERROR(INDEX(Supplier_Lookup!$A$2:$A$25,MATCH(TRIM(Procurement_Raw!E116),Supplier_Lookup!$A$2:$A$25,0)),TRIM(Procurement_Raw!E116)))</f>
        <v>UK Energy Partners</v>
      </c>
      <c r="F116" t="str">
        <f>IFERROR(INDEX(Category_Targets!$A$2:$A$9,MATCH(TRIM(Procurement_Raw!F116),Category_Targets!$A$2:$A$9,0)),"Unmapped")</f>
        <v>Utilities</v>
      </c>
      <c r="G116" t="str">
        <f>TRIM(Procurement_Raw!G116)</f>
        <v>INV-2025-00115</v>
      </c>
      <c r="H116" s="77">
        <f>Procurement_Raw!H116</f>
        <v>53</v>
      </c>
      <c r="I116" s="124">
        <f>Procurement_Raw!I116</f>
        <v>224.9</v>
      </c>
      <c r="J116" s="125">
        <f>IF(Procurement_Raw!J116="","",Procurement_Raw!J116)</f>
        <v>11919.78</v>
      </c>
      <c r="K116" s="77">
        <f>Procurement_Raw!K116</f>
        <v>45</v>
      </c>
      <c r="L116" t="str">
        <f>Procurement_Raw!L116</f>
        <v>Legacy Spend File</v>
      </c>
      <c r="M116" t="str">
        <f>Procurement_Raw!O116</f>
        <v>N</v>
      </c>
      <c r="N116" t="str">
        <f>IF(E116="","Missing supplier",IF(B116="","Missing site",IF(J116="","Missing spend",IF(COUNTIFS($G$2:G116,G116,$E$2:E116,E116,$J$2:J116,J116)&gt;1,"Duplicate invoice",IF(COUNTIF($G$2:$G$1801,G116)&gt;1,"Duplicate ID - review",IF(AND(P116&lt;&gt;"Unmapped",P116&lt;&gt;F116),"Category mismatch","OK"))))))</f>
        <v>OK</v>
      </c>
      <c r="O116" s="125">
        <f t="shared" si="3"/>
        <v>11919.78</v>
      </c>
      <c r="P116" t="str">
        <f>IF(E116="","Unmapped",IFERROR(INDEX(Supplier_Lookup!$B$2:$B$25,MATCH(E116,Supplier_Lookup!$A$2:$A$25,0)),"Unmapped"))</f>
        <v>Utilities</v>
      </c>
      <c r="Q116" s="76">
        <f>IFERROR(INDEX(Category_Targets!$B$2:$B$9,MATCH(F116,Category_Targets!$A$2:$A$9,0)),0)</f>
        <v>0.03</v>
      </c>
      <c r="R116" s="125">
        <f t="shared" si="4"/>
        <v>357.59340000000003</v>
      </c>
      <c r="S116" s="78">
        <f t="shared" si="5"/>
        <v>45778</v>
      </c>
      <c r="T116" t="str">
        <f>IFERROR(VLOOKUP(B116,Sites!$A$2:$D$21,4,FALSE()),"Unknown")</f>
        <v>Brighton</v>
      </c>
      <c r="U116" t="str">
        <f>IF(N116="OK","",COUNTIF($N$2:N116,"&lt;&gt;OK"))</f>
        <v/>
      </c>
      <c r="V116">
        <f>IF(OR(NOT(EXACT(E116,TRIM(Procurement_Raw!E116))),NOT(EXACT(F116,TRIM(Procurement_Raw!F116)))),1,0)</f>
        <v>0</v>
      </c>
    </row>
    <row r="117" spans="1:22" ht="15" customHeight="1" x14ac:dyDescent="0.25">
      <c r="A117" s="123">
        <f>Procurement_Raw!A117</f>
        <v>45901</v>
      </c>
      <c r="B117" t="str">
        <f>TRIM(Procurement_Raw!B117)</f>
        <v>S012</v>
      </c>
      <c r="C117" t="str">
        <f>Procurement_Raw!C117</f>
        <v>Bristol Care &amp; Education Centre</v>
      </c>
      <c r="D117" t="str">
        <f>Procurement_Raw!D117</f>
        <v>South</v>
      </c>
      <c r="E117" t="str">
        <f>IF(TRIM(Procurement_Raw!E117)="","",IFERROR(INDEX(Supplier_Lookup!$A$2:$A$25,MATCH(TRIM(Procurement_Raw!E117),Supplier_Lookup!$A$2:$A$25,0)),TRIM(Procurement_Raw!E117)))</f>
        <v>PowerDirect</v>
      </c>
      <c r="F117" t="str">
        <f>IFERROR(INDEX(Category_Targets!$A$2:$A$9,MATCH(TRIM(Procurement_Raw!F117),Category_Targets!$A$2:$A$9,0)),"Unmapped")</f>
        <v>Utilities</v>
      </c>
      <c r="G117" t="str">
        <f>TRIM(Procurement_Raw!G117)</f>
        <v>INV-2025-00116</v>
      </c>
      <c r="H117" s="77">
        <f>Procurement_Raw!H117</f>
        <v>63</v>
      </c>
      <c r="I117" s="124">
        <f>Procurement_Raw!I117</f>
        <v>295.10000000000002</v>
      </c>
      <c r="J117" s="125">
        <f>IF(Procurement_Raw!J117="","",Procurement_Raw!J117)</f>
        <v>18591.259999999998</v>
      </c>
      <c r="K117" s="77">
        <f>Procurement_Raw!K117</f>
        <v>45</v>
      </c>
      <c r="L117" t="str">
        <f>Procurement_Raw!L117</f>
        <v>ERP</v>
      </c>
      <c r="M117" t="str">
        <f>Procurement_Raw!O117</f>
        <v>N</v>
      </c>
      <c r="N117" t="str">
        <f>IF(E117="","Missing supplier",IF(B117="","Missing site",IF(J117="","Missing spend",IF(COUNTIFS($G$2:G117,G117,$E$2:E117,E117,$J$2:J117,J117)&gt;1,"Duplicate invoice",IF(COUNTIF($G$2:$G$1801,G117)&gt;1,"Duplicate ID - review",IF(AND(P117&lt;&gt;"Unmapped",P117&lt;&gt;F117),"Category mismatch","OK"))))))</f>
        <v>OK</v>
      </c>
      <c r="O117" s="125">
        <f t="shared" si="3"/>
        <v>18591.259999999998</v>
      </c>
      <c r="P117" t="str">
        <f>IF(E117="","Unmapped",IFERROR(INDEX(Supplier_Lookup!$B$2:$B$25,MATCH(E117,Supplier_Lookup!$A$2:$A$25,0)),"Unmapped"))</f>
        <v>Utilities</v>
      </c>
      <c r="Q117" s="76">
        <f>IFERROR(INDEX(Category_Targets!$B$2:$B$9,MATCH(F117,Category_Targets!$A$2:$A$9,0)),0)</f>
        <v>0.03</v>
      </c>
      <c r="R117" s="125">
        <f t="shared" si="4"/>
        <v>557.73779999999988</v>
      </c>
      <c r="S117" s="78">
        <f t="shared" si="5"/>
        <v>45901</v>
      </c>
      <c r="T117" t="str">
        <f>IFERROR(VLOOKUP(B117,Sites!$A$2:$D$21,4,FALSE()),"Unknown")</f>
        <v>Bristol</v>
      </c>
      <c r="U117" t="str">
        <f>IF(N117="OK","",COUNTIF($N$2:N117,"&lt;&gt;OK"))</f>
        <v/>
      </c>
      <c r="V117">
        <f>IF(OR(NOT(EXACT(E117,TRIM(Procurement_Raw!E117))),NOT(EXACT(F117,TRIM(Procurement_Raw!F117)))),1,0)</f>
        <v>0</v>
      </c>
    </row>
    <row r="118" spans="1:22" ht="15" customHeight="1" x14ac:dyDescent="0.25">
      <c r="A118" s="123">
        <f>Procurement_Raw!A118</f>
        <v>45865</v>
      </c>
      <c r="B118" t="str">
        <f>TRIM(Procurement_Raw!B118)</f>
        <v>S020</v>
      </c>
      <c r="C118" t="str">
        <f>Procurement_Raw!C118</f>
        <v>Bangor Care &amp; Education Centre</v>
      </c>
      <c r="D118" t="str">
        <f>Procurement_Raw!D118</f>
        <v>Wales</v>
      </c>
      <c r="E118" t="str">
        <f>IF(TRIM(Procurement_Raw!E118)="","",IFERROR(INDEX(Supplier_Lookup!$A$2:$A$25,MATCH(TRIM(Procurement_Raw!E118),Supplier_Lookup!$A$2:$A$25,0)),TRIM(Procurement_Raw!E118)))</f>
        <v>CloudLink</v>
      </c>
      <c r="F118" t="str">
        <f>IFERROR(INDEX(Category_Targets!$A$2:$A$9,MATCH(TRIM(Procurement_Raw!F118),Category_Targets!$A$2:$A$9,0)),"Unmapped")</f>
        <v>IT &amp; Telecoms</v>
      </c>
      <c r="G118" t="str">
        <f>TRIM(Procurement_Raw!G118)</f>
        <v>INV-2025-00117</v>
      </c>
      <c r="H118" s="77">
        <f>Procurement_Raw!H118</f>
        <v>32</v>
      </c>
      <c r="I118" s="124">
        <f>Procurement_Raw!I118</f>
        <v>215.84</v>
      </c>
      <c r="J118" s="125">
        <f>IF(Procurement_Raw!J118="","",Procurement_Raw!J118)</f>
        <v>6906.87</v>
      </c>
      <c r="K118" s="77">
        <f>Procurement_Raw!K118</f>
        <v>45</v>
      </c>
      <c r="L118" t="str">
        <f>Procurement_Raw!L118</f>
        <v>Legacy Spend File</v>
      </c>
      <c r="M118" t="str">
        <f>Procurement_Raw!O118</f>
        <v>Y</v>
      </c>
      <c r="N118" t="str">
        <f>IF(E118="","Missing supplier",IF(B118="","Missing site",IF(J118="","Missing spend",IF(COUNTIFS($G$2:G118,G118,$E$2:E118,E118,$J$2:J118,J118)&gt;1,"Duplicate invoice",IF(COUNTIF($G$2:$G$1801,G118)&gt;1,"Duplicate ID - review",IF(AND(P118&lt;&gt;"Unmapped",P118&lt;&gt;F118),"Category mismatch","OK"))))))</f>
        <v>OK</v>
      </c>
      <c r="O118" s="125">
        <f t="shared" si="3"/>
        <v>6906.87</v>
      </c>
      <c r="P118" t="str">
        <f>IF(E118="","Unmapped",IFERROR(INDEX(Supplier_Lookup!$B$2:$B$25,MATCH(E118,Supplier_Lookup!$A$2:$A$25,0)),"Unmapped"))</f>
        <v>IT &amp; Telecoms</v>
      </c>
      <c r="Q118" s="76">
        <f>IFERROR(INDEX(Category_Targets!$B$2:$B$9,MATCH(F118,Category_Targets!$A$2:$A$9,0)),0)</f>
        <v>0.08</v>
      </c>
      <c r="R118" s="125">
        <f t="shared" si="4"/>
        <v>552.54960000000005</v>
      </c>
      <c r="S118" s="78">
        <f t="shared" si="5"/>
        <v>45839</v>
      </c>
      <c r="T118" t="str">
        <f>IFERROR(VLOOKUP(B118,Sites!$A$2:$D$21,4,FALSE()),"Unknown")</f>
        <v>Bangor</v>
      </c>
      <c r="U118" t="str">
        <f>IF(N118="OK","",COUNTIF($N$2:N118,"&lt;&gt;OK"))</f>
        <v/>
      </c>
      <c r="V118">
        <f>IF(OR(NOT(EXACT(E118,TRIM(Procurement_Raw!E118))),NOT(EXACT(F118,TRIM(Procurement_Raw!F118)))),1,0)</f>
        <v>0</v>
      </c>
    </row>
    <row r="119" spans="1:22" ht="15" customHeight="1" x14ac:dyDescent="0.25">
      <c r="A119" s="123">
        <f>Procurement_Raw!A119</f>
        <v>45941</v>
      </c>
      <c r="B119" t="str">
        <f>TRIM(Procurement_Raw!B119)</f>
        <v>S015</v>
      </c>
      <c r="C119" t="str">
        <f>Procurement_Raw!C119</f>
        <v>Brighton Care &amp; Education Centre</v>
      </c>
      <c r="D119" t="str">
        <f>Procurement_Raw!D119</f>
        <v>South</v>
      </c>
      <c r="E119" t="str">
        <f>IF(TRIM(Procurement_Raw!E119)="","",IFERROR(INDEX(Supplier_Lookup!$A$2:$A$25,MATCH(TRIM(Procurement_Raw!E119),Supplier_Lookup!$A$2:$A$25,0)),TRIM(Procurement_Raw!E119)))</f>
        <v>RoadReady</v>
      </c>
      <c r="F119" t="str">
        <f>IFERROR(INDEX(Category_Targets!$A$2:$A$9,MATCH(TRIM(Procurement_Raw!F119),Category_Targets!$A$2:$A$9,0)),"Unmapped")</f>
        <v>Vehicle &amp; Fuel</v>
      </c>
      <c r="G119" t="str">
        <f>TRIM(Procurement_Raw!G119)</f>
        <v>INV-2025-00118</v>
      </c>
      <c r="H119" s="77">
        <f>Procurement_Raw!H119</f>
        <v>68</v>
      </c>
      <c r="I119" s="124">
        <f>Procurement_Raw!I119</f>
        <v>49.95</v>
      </c>
      <c r="J119" s="125">
        <f>IF(Procurement_Raw!J119="","",Procurement_Raw!J119)</f>
        <v>3396.88</v>
      </c>
      <c r="K119" s="77">
        <f>Procurement_Raw!K119</f>
        <v>45</v>
      </c>
      <c r="L119" t="str">
        <f>Procurement_Raw!L119</f>
        <v>Procurement Portal</v>
      </c>
      <c r="M119" t="str">
        <f>Procurement_Raw!O119</f>
        <v>N</v>
      </c>
      <c r="N119" t="str">
        <f>IF(E119="","Missing supplier",IF(B119="","Missing site",IF(J119="","Missing spend",IF(COUNTIFS($G$2:G119,G119,$E$2:E119,E119,$J$2:J119,J119)&gt;1,"Duplicate invoice",IF(COUNTIF($G$2:$G$1801,G119)&gt;1,"Duplicate ID - review",IF(AND(P119&lt;&gt;"Unmapped",P119&lt;&gt;F119),"Category mismatch","OK"))))))</f>
        <v>OK</v>
      </c>
      <c r="O119" s="125">
        <f t="shared" si="3"/>
        <v>3396.88</v>
      </c>
      <c r="P119" t="str">
        <f>IF(E119="","Unmapped",IFERROR(INDEX(Supplier_Lookup!$B$2:$B$25,MATCH(E119,Supplier_Lookup!$A$2:$A$25,0)),"Unmapped"))</f>
        <v>Vehicle &amp; Fuel</v>
      </c>
      <c r="Q119" s="76">
        <f>IFERROR(INDEX(Category_Targets!$B$2:$B$9,MATCH(F119,Category_Targets!$A$2:$A$9,0)),0)</f>
        <v>0.05</v>
      </c>
      <c r="R119" s="125">
        <f t="shared" si="4"/>
        <v>169.84400000000002</v>
      </c>
      <c r="S119" s="78">
        <f t="shared" si="5"/>
        <v>45931</v>
      </c>
      <c r="T119" t="str">
        <f>IFERROR(VLOOKUP(B119,Sites!$A$2:$D$21,4,FALSE()),"Unknown")</f>
        <v>Brighton</v>
      </c>
      <c r="U119" t="str">
        <f>IF(N119="OK","",COUNTIF($N$2:N119,"&lt;&gt;OK"))</f>
        <v/>
      </c>
      <c r="V119">
        <f>IF(OR(NOT(EXACT(E119,TRIM(Procurement_Raw!E119))),NOT(EXACT(F119,TRIM(Procurement_Raw!F119)))),1,0)</f>
        <v>0</v>
      </c>
    </row>
    <row r="120" spans="1:22" ht="15" customHeight="1" x14ac:dyDescent="0.25">
      <c r="A120" s="123">
        <f>Procurement_Raw!A120</f>
        <v>46017</v>
      </c>
      <c r="B120" t="str">
        <f>TRIM(Procurement_Raw!B120)</f>
        <v>S008</v>
      </c>
      <c r="C120" t="str">
        <f>Procurement_Raw!C120</f>
        <v>Leicester Care &amp; Education Centre</v>
      </c>
      <c r="D120" t="str">
        <f>Procurement_Raw!D120</f>
        <v>Midlands</v>
      </c>
      <c r="E120" t="str">
        <f>IF(TRIM(Procurement_Raw!E120)="","",IFERROR(INDEX(Supplier_Lookup!$A$2:$A$25,MATCH(TRIM(Procurement_Raw!E120),Supplier_Lookup!$A$2:$A$25,0)),TRIM(Procurement_Raw!E120)))</f>
        <v>RoadReady</v>
      </c>
      <c r="F120" t="str">
        <f>IFERROR(INDEX(Category_Targets!$A$2:$A$9,MATCH(TRIM(Procurement_Raw!F120),Category_Targets!$A$2:$A$9,0)),"Unmapped")</f>
        <v>Vehicle &amp; Fuel</v>
      </c>
      <c r="G120" t="str">
        <f>TRIM(Procurement_Raw!G120)</f>
        <v>INV-2025-00119</v>
      </c>
      <c r="H120" s="77">
        <f>Procurement_Raw!H120</f>
        <v>59</v>
      </c>
      <c r="I120" s="124">
        <f>Procurement_Raw!I120</f>
        <v>178.12</v>
      </c>
      <c r="J120" s="125">
        <f>IF(Procurement_Raw!J120="","",Procurement_Raw!J120)</f>
        <v>10508.79</v>
      </c>
      <c r="K120" s="77">
        <f>Procurement_Raw!K120</f>
        <v>45</v>
      </c>
      <c r="L120" t="str">
        <f>Procurement_Raw!L120</f>
        <v>Procurement Portal</v>
      </c>
      <c r="M120" t="str">
        <f>Procurement_Raw!O120</f>
        <v>N</v>
      </c>
      <c r="N120" t="str">
        <f>IF(E120="","Missing supplier",IF(B120="","Missing site",IF(J120="","Missing spend",IF(COUNTIFS($G$2:G120,G120,$E$2:E120,E120,$J$2:J120,J120)&gt;1,"Duplicate invoice",IF(COUNTIF($G$2:$G$1801,G120)&gt;1,"Duplicate ID - review",IF(AND(P120&lt;&gt;"Unmapped",P120&lt;&gt;F120),"Category mismatch","OK"))))))</f>
        <v>OK</v>
      </c>
      <c r="O120" s="125">
        <f t="shared" si="3"/>
        <v>10508.79</v>
      </c>
      <c r="P120" t="str">
        <f>IF(E120="","Unmapped",IFERROR(INDEX(Supplier_Lookup!$B$2:$B$25,MATCH(E120,Supplier_Lookup!$A$2:$A$25,0)),"Unmapped"))</f>
        <v>Vehicle &amp; Fuel</v>
      </c>
      <c r="Q120" s="76">
        <f>IFERROR(INDEX(Category_Targets!$B$2:$B$9,MATCH(F120,Category_Targets!$A$2:$A$9,0)),0)</f>
        <v>0.05</v>
      </c>
      <c r="R120" s="125">
        <f t="shared" si="4"/>
        <v>525.43950000000007</v>
      </c>
      <c r="S120" s="78">
        <f t="shared" si="5"/>
        <v>45992</v>
      </c>
      <c r="T120" t="str">
        <f>IFERROR(VLOOKUP(B120,Sites!$A$2:$D$21,4,FALSE()),"Unknown")</f>
        <v>Leicester</v>
      </c>
      <c r="U120" t="str">
        <f>IF(N120="OK","",COUNTIF($N$2:N120,"&lt;&gt;OK"))</f>
        <v/>
      </c>
      <c r="V120">
        <f>IF(OR(NOT(EXACT(E120,TRIM(Procurement_Raw!E120))),NOT(EXACT(F120,TRIM(Procurement_Raw!F120)))),1,0)</f>
        <v>0</v>
      </c>
    </row>
    <row r="121" spans="1:22" ht="15" customHeight="1" x14ac:dyDescent="0.25">
      <c r="A121" s="123">
        <f>Procurement_Raw!A121</f>
        <v>45756</v>
      </c>
      <c r="B121" t="str">
        <f>TRIM(Procurement_Raw!B121)</f>
        <v>S008</v>
      </c>
      <c r="C121" t="str">
        <f>Procurement_Raw!C121</f>
        <v>Leicester Care &amp; Education Centre</v>
      </c>
      <c r="D121" t="str">
        <f>Procurement_Raw!D121</f>
        <v>Midlands</v>
      </c>
      <c r="E121" t="str">
        <f>IF(TRIM(Procurement_Raw!E121)="","",IFERROR(INDEX(Supplier_Lookup!$A$2:$A$25,MATCH(TRIM(Procurement_Raw!E121),Supplier_Lookup!$A$2:$A$25,0)),TRIM(Procurement_Raw!E121)))</f>
        <v>UK Energy Partners</v>
      </c>
      <c r="F121" t="str">
        <f>IFERROR(INDEX(Category_Targets!$A$2:$A$9,MATCH(TRIM(Procurement_Raw!F121),Category_Targets!$A$2:$A$9,0)),"Unmapped")</f>
        <v>Utilities</v>
      </c>
      <c r="G121" t="str">
        <f>TRIM(Procurement_Raw!G121)</f>
        <v>INV-2025-00120</v>
      </c>
      <c r="H121" s="77">
        <f>Procurement_Raw!H121</f>
        <v>41</v>
      </c>
      <c r="I121" s="124">
        <f>Procurement_Raw!I121</f>
        <v>378.05</v>
      </c>
      <c r="J121" s="125">
        <f>IF(Procurement_Raw!J121="","",Procurement_Raw!J121)</f>
        <v>15500.01</v>
      </c>
      <c r="K121" s="77">
        <f>Procurement_Raw!K121</f>
        <v>30</v>
      </c>
      <c r="L121" t="str">
        <f>Procurement_Raw!L121</f>
        <v>Legacy Spend File</v>
      </c>
      <c r="M121" t="str">
        <f>Procurement_Raw!O121</f>
        <v>N</v>
      </c>
      <c r="N121" t="str">
        <f>IF(E121="","Missing supplier",IF(B121="","Missing site",IF(J121="","Missing spend",IF(COUNTIFS($G$2:G121,G121,$E$2:E121,E121,$J$2:J121,J121)&gt;1,"Duplicate invoice",IF(COUNTIF($G$2:$G$1801,G121)&gt;1,"Duplicate ID - review",IF(AND(P121&lt;&gt;"Unmapped",P121&lt;&gt;F121),"Category mismatch","OK"))))))</f>
        <v>OK</v>
      </c>
      <c r="O121" s="125">
        <f t="shared" si="3"/>
        <v>15500.01</v>
      </c>
      <c r="P121" t="str">
        <f>IF(E121="","Unmapped",IFERROR(INDEX(Supplier_Lookup!$B$2:$B$25,MATCH(E121,Supplier_Lookup!$A$2:$A$25,0)),"Unmapped"))</f>
        <v>Utilities</v>
      </c>
      <c r="Q121" s="76">
        <f>IFERROR(INDEX(Category_Targets!$B$2:$B$9,MATCH(F121,Category_Targets!$A$2:$A$9,0)),0)</f>
        <v>0.03</v>
      </c>
      <c r="R121" s="125">
        <f t="shared" si="4"/>
        <v>465.00029999999998</v>
      </c>
      <c r="S121" s="78">
        <f t="shared" si="5"/>
        <v>45748</v>
      </c>
      <c r="T121" t="str">
        <f>IFERROR(VLOOKUP(B121,Sites!$A$2:$D$21,4,FALSE()),"Unknown")</f>
        <v>Leicester</v>
      </c>
      <c r="U121" t="str">
        <f>IF(N121="OK","",COUNTIF($N$2:N121,"&lt;&gt;OK"))</f>
        <v/>
      </c>
      <c r="V121">
        <f>IF(OR(NOT(EXACT(E121,TRIM(Procurement_Raw!E121))),NOT(EXACT(F121,TRIM(Procurement_Raw!F121)))),1,0)</f>
        <v>0</v>
      </c>
    </row>
    <row r="122" spans="1:22" ht="15" customHeight="1" x14ac:dyDescent="0.25">
      <c r="A122" s="123">
        <f>Procurement_Raw!A122</f>
        <v>45768</v>
      </c>
      <c r="B122" t="str">
        <f>TRIM(Procurement_Raw!B122)</f>
        <v>S003</v>
      </c>
      <c r="C122" t="str">
        <f>Procurement_Raw!C122</f>
        <v>Leeds Care &amp; Education Centre</v>
      </c>
      <c r="D122" t="str">
        <f>Procurement_Raw!D122</f>
        <v>North</v>
      </c>
      <c r="E122" t="str">
        <f>IF(TRIM(Procurement_Raw!E122)="","",IFERROR(INDEX(Supplier_Lookup!$A$2:$A$25,MATCH(TRIM(Procurement_Raw!E122),Supplier_Lookup!$A$2:$A$25,0)),TRIM(Procurement_Raw!E122)))</f>
        <v>CleanWorks</v>
      </c>
      <c r="F122" t="str">
        <f>IFERROR(INDEX(Category_Targets!$A$2:$A$9,MATCH(TRIM(Procurement_Raw!F122),Category_Targets!$A$2:$A$9,0)),"Unmapped")</f>
        <v>Facilities</v>
      </c>
      <c r="G122" t="str">
        <f>TRIM(Procurement_Raw!G122)</f>
        <v>INV-2025-00121</v>
      </c>
      <c r="H122" s="77">
        <f>Procurement_Raw!H122</f>
        <v>62</v>
      </c>
      <c r="I122" s="124">
        <f>Procurement_Raw!I122</f>
        <v>278.11</v>
      </c>
      <c r="J122" s="125">
        <f>IF(Procurement_Raw!J122="","",Procurement_Raw!J122)</f>
        <v>17242.95</v>
      </c>
      <c r="K122" s="77">
        <f>Procurement_Raw!K122</f>
        <v>45</v>
      </c>
      <c r="L122" t="str">
        <f>Procurement_Raw!L122</f>
        <v>Legacy Spend File</v>
      </c>
      <c r="M122" t="str">
        <f>Procurement_Raw!O122</f>
        <v>Y</v>
      </c>
      <c r="N122" t="str">
        <f>IF(E122="","Missing supplier",IF(B122="","Missing site",IF(J122="","Missing spend",IF(COUNTIFS($G$2:G122,G122,$E$2:E122,E122,$J$2:J122,J122)&gt;1,"Duplicate invoice",IF(COUNTIF($G$2:$G$1801,G122)&gt;1,"Duplicate ID - review",IF(AND(P122&lt;&gt;"Unmapped",P122&lt;&gt;F122),"Category mismatch","OK"))))))</f>
        <v>OK</v>
      </c>
      <c r="O122" s="125">
        <f t="shared" si="3"/>
        <v>17242.95</v>
      </c>
      <c r="P122" t="str">
        <f>IF(E122="","Unmapped",IFERROR(INDEX(Supplier_Lookup!$B$2:$B$25,MATCH(E122,Supplier_Lookup!$A$2:$A$25,0)),"Unmapped"))</f>
        <v>Facilities</v>
      </c>
      <c r="Q122" s="76">
        <f>IFERROR(INDEX(Category_Targets!$B$2:$B$9,MATCH(F122,Category_Targets!$A$2:$A$9,0)),0)</f>
        <v>0.05</v>
      </c>
      <c r="R122" s="125">
        <f t="shared" si="4"/>
        <v>862.14750000000004</v>
      </c>
      <c r="S122" s="78">
        <f t="shared" si="5"/>
        <v>45748</v>
      </c>
      <c r="T122" t="str">
        <f>IFERROR(VLOOKUP(B122,Sites!$A$2:$D$21,4,FALSE()),"Unknown")</f>
        <v>Leeds</v>
      </c>
      <c r="U122" t="str">
        <f>IF(N122="OK","",COUNTIF($N$2:N122,"&lt;&gt;OK"))</f>
        <v/>
      </c>
      <c r="V122">
        <f>IF(OR(NOT(EXACT(E122,TRIM(Procurement_Raw!E122))),NOT(EXACT(F122,TRIM(Procurement_Raw!F122)))),1,0)</f>
        <v>0</v>
      </c>
    </row>
    <row r="123" spans="1:22" ht="15" customHeight="1" x14ac:dyDescent="0.25">
      <c r="A123" s="123">
        <f>Procurement_Raw!A123</f>
        <v>45757</v>
      </c>
      <c r="B123" t="str">
        <f>TRIM(Procurement_Raw!B123)</f>
        <v>S001</v>
      </c>
      <c r="C123" t="str">
        <f>Procurement_Raw!C123</f>
        <v>Preston Care &amp; Education Centre</v>
      </c>
      <c r="D123" t="str">
        <f>Procurement_Raw!D123</f>
        <v>North</v>
      </c>
      <c r="E123" t="str">
        <f>IF(TRIM(Procurement_Raw!E123)="","",IFERROR(INDEX(Supplier_Lookup!$A$2:$A$25,MATCH(TRIM(Procurement_Raw!E123),Supplier_Lookup!$A$2:$A$25,0)),TRIM(Procurement_Raw!E123)))</f>
        <v>CloudLink</v>
      </c>
      <c r="F123" t="str">
        <f>IFERROR(INDEX(Category_Targets!$A$2:$A$9,MATCH(TRIM(Procurement_Raw!F123),Category_Targets!$A$2:$A$9,0)),"Unmapped")</f>
        <v>IT &amp; Telecoms</v>
      </c>
      <c r="G123" t="str">
        <f>TRIM(Procurement_Raw!G123)</f>
        <v>INV-2025-00122</v>
      </c>
      <c r="H123" s="77">
        <f>Procurement_Raw!H123</f>
        <v>38</v>
      </c>
      <c r="I123" s="124">
        <f>Procurement_Raw!I123</f>
        <v>133.41</v>
      </c>
      <c r="J123" s="125">
        <f>IF(Procurement_Raw!J123="","",Procurement_Raw!J123)</f>
        <v>5069.7700000000004</v>
      </c>
      <c r="K123" s="77">
        <f>Procurement_Raw!K123</f>
        <v>30</v>
      </c>
      <c r="L123" t="str">
        <f>Procurement_Raw!L123</f>
        <v>Procurement Portal</v>
      </c>
      <c r="M123" t="str">
        <f>Procurement_Raw!O123</f>
        <v>Y</v>
      </c>
      <c r="N123" t="str">
        <f>IF(E123="","Missing supplier",IF(B123="","Missing site",IF(J123="","Missing spend",IF(COUNTIFS($G$2:G123,G123,$E$2:E123,E123,$J$2:J123,J123)&gt;1,"Duplicate invoice",IF(COUNTIF($G$2:$G$1801,G123)&gt;1,"Duplicate ID - review",IF(AND(P123&lt;&gt;"Unmapped",P123&lt;&gt;F123),"Category mismatch","OK"))))))</f>
        <v>OK</v>
      </c>
      <c r="O123" s="125">
        <f t="shared" si="3"/>
        <v>5069.7700000000004</v>
      </c>
      <c r="P123" t="str">
        <f>IF(E123="","Unmapped",IFERROR(INDEX(Supplier_Lookup!$B$2:$B$25,MATCH(E123,Supplier_Lookup!$A$2:$A$25,0)),"Unmapped"))</f>
        <v>IT &amp; Telecoms</v>
      </c>
      <c r="Q123" s="76">
        <f>IFERROR(INDEX(Category_Targets!$B$2:$B$9,MATCH(F123,Category_Targets!$A$2:$A$9,0)),0)</f>
        <v>0.08</v>
      </c>
      <c r="R123" s="125">
        <f t="shared" si="4"/>
        <v>405.58160000000004</v>
      </c>
      <c r="S123" s="78">
        <f t="shared" si="5"/>
        <v>45748</v>
      </c>
      <c r="T123" t="str">
        <f>IFERROR(VLOOKUP(B123,Sites!$A$2:$D$21,4,FALSE()),"Unknown")</f>
        <v>Preston</v>
      </c>
      <c r="U123" t="str">
        <f>IF(N123="OK","",COUNTIF($N$2:N123,"&lt;&gt;OK"))</f>
        <v/>
      </c>
      <c r="V123">
        <f>IF(OR(NOT(EXACT(E123,TRIM(Procurement_Raw!E123))),NOT(EXACT(F123,TRIM(Procurement_Raw!F123)))),1,0)</f>
        <v>0</v>
      </c>
    </row>
    <row r="124" spans="1:22" ht="15" customHeight="1" x14ac:dyDescent="0.25">
      <c r="A124" s="123">
        <f>Procurement_Raw!A124</f>
        <v>46020</v>
      </c>
      <c r="B124" t="str">
        <f>TRIM(Procurement_Raw!B124)</f>
        <v>S013</v>
      </c>
      <c r="C124" t="str">
        <f>Procurement_Raw!C124</f>
        <v>Reading Care &amp; Education Centre</v>
      </c>
      <c r="D124" t="str">
        <f>Procurement_Raw!D124</f>
        <v>South</v>
      </c>
      <c r="E124" t="str">
        <f>IF(TRIM(Procurement_Raw!E124)="","",IFERROR(INDEX(Supplier_Lookup!$A$2:$A$25,MATCH(TRIM(Procurement_Raw!E124),Supplier_Lookup!$A$2:$A$25,0)),TRIM(Procurement_Raw!E124)))</f>
        <v>CloudLink</v>
      </c>
      <c r="F124" t="str">
        <f>IFERROR(INDEX(Category_Targets!$A$2:$A$9,MATCH(TRIM(Procurement_Raw!F124),Category_Targets!$A$2:$A$9,0)),"Unmapped")</f>
        <v>IT &amp; Telecoms</v>
      </c>
      <c r="G124" t="str">
        <f>TRIM(Procurement_Raw!G124)</f>
        <v>INV-2025-00123</v>
      </c>
      <c r="H124" s="77">
        <f>Procurement_Raw!H124</f>
        <v>69</v>
      </c>
      <c r="I124" s="124">
        <f>Procurement_Raw!I124</f>
        <v>475.88</v>
      </c>
      <c r="J124" s="125">
        <f>IF(Procurement_Raw!J124="","",Procurement_Raw!J124)</f>
        <v>32835.68</v>
      </c>
      <c r="K124" s="77">
        <f>Procurement_Raw!K124</f>
        <v>30</v>
      </c>
      <c r="L124" t="str">
        <f>Procurement_Raw!L124</f>
        <v>Procurement Portal</v>
      </c>
      <c r="M124" t="str">
        <f>Procurement_Raw!O124</f>
        <v>Y</v>
      </c>
      <c r="N124" t="str">
        <f>IF(E124="","Missing supplier",IF(B124="","Missing site",IF(J124="","Missing spend",IF(COUNTIFS($G$2:G124,G124,$E$2:E124,E124,$J$2:J124,J124)&gt;1,"Duplicate invoice",IF(COUNTIF($G$2:$G$1801,G124)&gt;1,"Duplicate ID - review",IF(AND(P124&lt;&gt;"Unmapped",P124&lt;&gt;F124),"Category mismatch","OK"))))))</f>
        <v>OK</v>
      </c>
      <c r="O124" s="125">
        <f t="shared" si="3"/>
        <v>32835.68</v>
      </c>
      <c r="P124" t="str">
        <f>IF(E124="","Unmapped",IFERROR(INDEX(Supplier_Lookup!$B$2:$B$25,MATCH(E124,Supplier_Lookup!$A$2:$A$25,0)),"Unmapped"))</f>
        <v>IT &amp; Telecoms</v>
      </c>
      <c r="Q124" s="76">
        <f>IFERROR(INDEX(Category_Targets!$B$2:$B$9,MATCH(F124,Category_Targets!$A$2:$A$9,0)),0)</f>
        <v>0.08</v>
      </c>
      <c r="R124" s="125">
        <f t="shared" si="4"/>
        <v>2626.8544000000002</v>
      </c>
      <c r="S124" s="78">
        <f t="shared" si="5"/>
        <v>45992</v>
      </c>
      <c r="T124" t="str">
        <f>IFERROR(VLOOKUP(B124,Sites!$A$2:$D$21,4,FALSE()),"Unknown")</f>
        <v>Reading</v>
      </c>
      <c r="U124" t="str">
        <f>IF(N124="OK","",COUNTIF($N$2:N124,"&lt;&gt;OK"))</f>
        <v/>
      </c>
      <c r="V124">
        <f>IF(OR(NOT(EXACT(E124,TRIM(Procurement_Raw!E124))),NOT(EXACT(F124,TRIM(Procurement_Raw!F124)))),1,0)</f>
        <v>0</v>
      </c>
    </row>
    <row r="125" spans="1:22" ht="15" customHeight="1" x14ac:dyDescent="0.25">
      <c r="A125" s="123">
        <f>Procurement_Raw!A125</f>
        <v>45807</v>
      </c>
      <c r="B125" t="str">
        <f>TRIM(Procurement_Raw!B125)</f>
        <v>S006</v>
      </c>
      <c r="C125" t="str">
        <f>Procurement_Raw!C125</f>
        <v>Birmingham Care &amp; Education Centre</v>
      </c>
      <c r="D125" t="str">
        <f>Procurement_Raw!D125</f>
        <v>Midlands</v>
      </c>
      <c r="E125" t="str">
        <f>IF(TRIM(Procurement_Raw!E125)="","",IFERROR(INDEX(Supplier_Lookup!$A$2:$A$25,MATCH(TRIM(Procurement_Raw!E125),Supplier_Lookup!$A$2:$A$25,0)),TRIM(Procurement_Raw!E125)))</f>
        <v>ClinEquip</v>
      </c>
      <c r="F125" t="str">
        <f>IFERROR(INDEX(Category_Targets!$A$2:$A$9,MATCH(TRIM(Procurement_Raw!F125),Category_Targets!$A$2:$A$9,0)),"Unmapped")</f>
        <v>Medical Supplies</v>
      </c>
      <c r="G125" t="str">
        <f>TRIM(Procurement_Raw!G125)</f>
        <v>INV-2025-00124</v>
      </c>
      <c r="H125" s="77">
        <f>Procurement_Raw!H125</f>
        <v>17</v>
      </c>
      <c r="I125" s="124">
        <f>Procurement_Raw!I125</f>
        <v>55.51</v>
      </c>
      <c r="J125" s="125">
        <f>IF(Procurement_Raw!J125="","",Procurement_Raw!J125)</f>
        <v>943.59</v>
      </c>
      <c r="K125" s="77">
        <f>Procurement_Raw!K125</f>
        <v>60</v>
      </c>
      <c r="L125" t="str">
        <f>Procurement_Raw!L125</f>
        <v>Procurement Portal</v>
      </c>
      <c r="M125" t="str">
        <f>Procurement_Raw!O125</f>
        <v>N</v>
      </c>
      <c r="N125" t="str">
        <f>IF(E125="","Missing supplier",IF(B125="","Missing site",IF(J125="","Missing spend",IF(COUNTIFS($G$2:G125,G125,$E$2:E125,E125,$J$2:J125,J125)&gt;1,"Duplicate invoice",IF(COUNTIF($G$2:$G$1801,G125)&gt;1,"Duplicate ID - review",IF(AND(P125&lt;&gt;"Unmapped",P125&lt;&gt;F125),"Category mismatch","OK"))))))</f>
        <v>OK</v>
      </c>
      <c r="O125" s="125">
        <f t="shared" si="3"/>
        <v>943.59</v>
      </c>
      <c r="P125" t="str">
        <f>IF(E125="","Unmapped",IFERROR(INDEX(Supplier_Lookup!$B$2:$B$25,MATCH(E125,Supplier_Lookup!$A$2:$A$25,0)),"Unmapped"))</f>
        <v>Medical Supplies</v>
      </c>
      <c r="Q125" s="76">
        <f>IFERROR(INDEX(Category_Targets!$B$2:$B$9,MATCH(F125,Category_Targets!$A$2:$A$9,0)),0)</f>
        <v>0.06</v>
      </c>
      <c r="R125" s="125">
        <f t="shared" si="4"/>
        <v>56.615400000000001</v>
      </c>
      <c r="S125" s="78">
        <f t="shared" si="5"/>
        <v>45778</v>
      </c>
      <c r="T125" t="str">
        <f>IFERROR(VLOOKUP(B125,Sites!$A$2:$D$21,4,FALSE()),"Unknown")</f>
        <v>Birmingham</v>
      </c>
      <c r="U125" t="str">
        <f>IF(N125="OK","",COUNTIF($N$2:N125,"&lt;&gt;OK"))</f>
        <v/>
      </c>
      <c r="V125">
        <f>IF(OR(NOT(EXACT(E125,TRIM(Procurement_Raw!E125))),NOT(EXACT(F125,TRIM(Procurement_Raw!F125)))),1,0)</f>
        <v>0</v>
      </c>
    </row>
    <row r="126" spans="1:22" ht="15" customHeight="1" x14ac:dyDescent="0.25">
      <c r="A126" s="123">
        <f>Procurement_Raw!A126</f>
        <v>45803</v>
      </c>
      <c r="B126" t="str">
        <f>TRIM(Procurement_Raw!B126)</f>
        <v>S008</v>
      </c>
      <c r="C126" t="str">
        <f>Procurement_Raw!C126</f>
        <v>Leicester Care &amp; Education Centre</v>
      </c>
      <c r="D126" t="str">
        <f>Procurement_Raw!D126</f>
        <v>Midlands</v>
      </c>
      <c r="E126" t="str">
        <f>IF(TRIM(Procurement_Raw!E126)="","",IFERROR(INDEX(Supplier_Lookup!$A$2:$A$25,MATCH(TRIM(Procurement_Raw!E126),Supplier_Lookup!$A$2:$A$25,0)),TRIM(Procurement_Raw!E126)))</f>
        <v>ClinEquip</v>
      </c>
      <c r="F126" t="str">
        <f>IFERROR(INDEX(Category_Targets!$A$2:$A$9,MATCH(TRIM(Procurement_Raw!F126),Category_Targets!$A$2:$A$9,0)),"Unmapped")</f>
        <v>Medical Supplies</v>
      </c>
      <c r="G126" t="str">
        <f>TRIM(Procurement_Raw!G126)</f>
        <v>INV-2025-00125</v>
      </c>
      <c r="H126" s="77">
        <f>Procurement_Raw!H126</f>
        <v>61</v>
      </c>
      <c r="I126" s="124">
        <f>Procurement_Raw!I126</f>
        <v>165.71</v>
      </c>
      <c r="J126" s="125">
        <f>IF(Procurement_Raw!J126="","",Procurement_Raw!J126)</f>
        <v>10108.549999999999</v>
      </c>
      <c r="K126" s="77">
        <f>Procurement_Raw!K126</f>
        <v>45</v>
      </c>
      <c r="L126" t="str">
        <f>Procurement_Raw!L126</f>
        <v>Procurement Portal</v>
      </c>
      <c r="M126" t="str">
        <f>Procurement_Raw!O126</f>
        <v>N</v>
      </c>
      <c r="N126" t="str">
        <f>IF(E126="","Missing supplier",IF(B126="","Missing site",IF(J126="","Missing spend",IF(COUNTIFS($G$2:G126,G126,$E$2:E126,E126,$J$2:J126,J126)&gt;1,"Duplicate invoice",IF(COUNTIF($G$2:$G$1801,G126)&gt;1,"Duplicate ID - review",IF(AND(P126&lt;&gt;"Unmapped",P126&lt;&gt;F126),"Category mismatch","OK"))))))</f>
        <v>OK</v>
      </c>
      <c r="O126" s="125">
        <f t="shared" si="3"/>
        <v>10108.549999999999</v>
      </c>
      <c r="P126" t="str">
        <f>IF(E126="","Unmapped",IFERROR(INDEX(Supplier_Lookup!$B$2:$B$25,MATCH(E126,Supplier_Lookup!$A$2:$A$25,0)),"Unmapped"))</f>
        <v>Medical Supplies</v>
      </c>
      <c r="Q126" s="76">
        <f>IFERROR(INDEX(Category_Targets!$B$2:$B$9,MATCH(F126,Category_Targets!$A$2:$A$9,0)),0)</f>
        <v>0.06</v>
      </c>
      <c r="R126" s="125">
        <f t="shared" si="4"/>
        <v>606.51299999999992</v>
      </c>
      <c r="S126" s="78">
        <f t="shared" si="5"/>
        <v>45778</v>
      </c>
      <c r="T126" t="str">
        <f>IFERROR(VLOOKUP(B126,Sites!$A$2:$D$21,4,FALSE()),"Unknown")</f>
        <v>Leicester</v>
      </c>
      <c r="U126" t="str">
        <f>IF(N126="OK","",COUNTIF($N$2:N126,"&lt;&gt;OK"))</f>
        <v/>
      </c>
      <c r="V126">
        <f>IF(OR(NOT(EXACT(E126,TRIM(Procurement_Raw!E126))),NOT(EXACT(F126,TRIM(Procurement_Raw!F126)))),1,0)</f>
        <v>0</v>
      </c>
    </row>
    <row r="127" spans="1:22" ht="15" customHeight="1" x14ac:dyDescent="0.25">
      <c r="A127" s="123">
        <f>Procurement_Raw!A127</f>
        <v>45787</v>
      </c>
      <c r="B127" t="str">
        <f>TRIM(Procurement_Raw!B127)</f>
        <v>S003</v>
      </c>
      <c r="C127" t="str">
        <f>Procurement_Raw!C127</f>
        <v>Leeds Care &amp; Education Centre</v>
      </c>
      <c r="D127" t="str">
        <f>Procurement_Raw!D127</f>
        <v>North</v>
      </c>
      <c r="E127" t="str">
        <f>IF(TRIM(Procurement_Raw!E127)="","",IFERROR(INDEX(Supplier_Lookup!$A$2:$A$25,MATCH(TRIM(Procurement_Raw!E127),Supplier_Lookup!$A$2:$A$25,0)),TRIM(Procurement_Raw!E127)))</f>
        <v>CleanWorks</v>
      </c>
      <c r="F127" t="str">
        <f>IFERROR(INDEX(Category_Targets!$A$2:$A$9,MATCH(TRIM(Procurement_Raw!F127),Category_Targets!$A$2:$A$9,0)),"Unmapped")</f>
        <v>Facilities</v>
      </c>
      <c r="G127" t="str">
        <f>TRIM(Procurement_Raw!G127)</f>
        <v>INV-2025-00126</v>
      </c>
      <c r="H127" s="77">
        <f>Procurement_Raw!H127</f>
        <v>62</v>
      </c>
      <c r="I127" s="124">
        <f>Procurement_Raw!I127</f>
        <v>600.47</v>
      </c>
      <c r="J127" s="125">
        <f>IF(Procurement_Raw!J127="","",Procurement_Raw!J127)</f>
        <v>37228.949999999997</v>
      </c>
      <c r="K127" s="77">
        <f>Procurement_Raw!K127</f>
        <v>30</v>
      </c>
      <c r="L127" t="str">
        <f>Procurement_Raw!L127</f>
        <v>ERP</v>
      </c>
      <c r="M127" t="str">
        <f>Procurement_Raw!O127</f>
        <v>Y</v>
      </c>
      <c r="N127" t="str">
        <f>IF(E127="","Missing supplier",IF(B127="","Missing site",IF(J127="","Missing spend",IF(COUNTIFS($G$2:G127,G127,$E$2:E127,E127,$J$2:J127,J127)&gt;1,"Duplicate invoice",IF(COUNTIF($G$2:$G$1801,G127)&gt;1,"Duplicate ID - review",IF(AND(P127&lt;&gt;"Unmapped",P127&lt;&gt;F127),"Category mismatch","OK"))))))</f>
        <v>OK</v>
      </c>
      <c r="O127" s="125">
        <f t="shared" si="3"/>
        <v>37228.949999999997</v>
      </c>
      <c r="P127" t="str">
        <f>IF(E127="","Unmapped",IFERROR(INDEX(Supplier_Lookup!$B$2:$B$25,MATCH(E127,Supplier_Lookup!$A$2:$A$25,0)),"Unmapped"))</f>
        <v>Facilities</v>
      </c>
      <c r="Q127" s="76">
        <f>IFERROR(INDEX(Category_Targets!$B$2:$B$9,MATCH(F127,Category_Targets!$A$2:$A$9,0)),0)</f>
        <v>0.05</v>
      </c>
      <c r="R127" s="125">
        <f t="shared" si="4"/>
        <v>1861.4475</v>
      </c>
      <c r="S127" s="78">
        <f t="shared" si="5"/>
        <v>45778</v>
      </c>
      <c r="T127" t="str">
        <f>IFERROR(VLOOKUP(B127,Sites!$A$2:$D$21,4,FALSE()),"Unknown")</f>
        <v>Leeds</v>
      </c>
      <c r="U127" t="str">
        <f>IF(N127="OK","",COUNTIF($N$2:N127,"&lt;&gt;OK"))</f>
        <v/>
      </c>
      <c r="V127">
        <f>IF(OR(NOT(EXACT(E127,TRIM(Procurement_Raw!E127))),NOT(EXACT(F127,TRIM(Procurement_Raw!F127)))),1,0)</f>
        <v>0</v>
      </c>
    </row>
    <row r="128" spans="1:22" ht="15" customHeight="1" x14ac:dyDescent="0.25">
      <c r="A128" s="123">
        <f>Procurement_Raw!A128</f>
        <v>45953</v>
      </c>
      <c r="B128" t="str">
        <f>TRIM(Procurement_Raw!B128)</f>
        <v>S010</v>
      </c>
      <c r="C128" t="str">
        <f>Procurement_Raw!C128</f>
        <v>Coventry Care &amp; Education Centre</v>
      </c>
      <c r="D128" t="str">
        <f>Procurement_Raw!D128</f>
        <v>Midlands</v>
      </c>
      <c r="E128" t="str">
        <f>IF(TRIM(Procurement_Raw!E128)="","",IFERROR(INDEX(Supplier_Lookup!$A$2:$A$25,MATCH(TRIM(Procurement_Raw!E128),Supplier_Lookup!$A$2:$A$25,0)),TRIM(Procurement_Raw!E128)))</f>
        <v>OfficePlus</v>
      </c>
      <c r="F128" t="str">
        <f>IFERROR(INDEX(Category_Targets!$A$2:$A$9,MATCH(TRIM(Procurement_Raw!F128),Category_Targets!$A$2:$A$9,0)),"Unmapped")</f>
        <v>Office &amp; Training</v>
      </c>
      <c r="G128" t="str">
        <f>TRIM(Procurement_Raw!G128)</f>
        <v>INV-2025-00127</v>
      </c>
      <c r="H128" s="77">
        <f>Procurement_Raw!H128</f>
        <v>7</v>
      </c>
      <c r="I128" s="124">
        <f>Procurement_Raw!I128</f>
        <v>43.5</v>
      </c>
      <c r="J128" s="125">
        <f>IF(Procurement_Raw!J128="","",Procurement_Raw!J128)</f>
        <v>304.48</v>
      </c>
      <c r="K128" s="77">
        <f>Procurement_Raw!K128</f>
        <v>30</v>
      </c>
      <c r="L128" t="str">
        <f>Procurement_Raw!L128</f>
        <v>ERP</v>
      </c>
      <c r="M128" t="str">
        <f>Procurement_Raw!O128</f>
        <v>N</v>
      </c>
      <c r="N128" t="str">
        <f>IF(E128="","Missing supplier",IF(B128="","Missing site",IF(J128="","Missing spend",IF(COUNTIFS($G$2:G128,G128,$E$2:E128,E128,$J$2:J128,J128)&gt;1,"Duplicate invoice",IF(COUNTIF($G$2:$G$1801,G128)&gt;1,"Duplicate ID - review",IF(AND(P128&lt;&gt;"Unmapped",P128&lt;&gt;F128),"Category mismatch","OK"))))))</f>
        <v>OK</v>
      </c>
      <c r="O128" s="125">
        <f t="shared" si="3"/>
        <v>304.48</v>
      </c>
      <c r="P128" t="str">
        <f>IF(E128="","Unmapped",IFERROR(INDEX(Supplier_Lookup!$B$2:$B$25,MATCH(E128,Supplier_Lookup!$A$2:$A$25,0)),"Unmapped"))</f>
        <v>Office &amp; Training</v>
      </c>
      <c r="Q128" s="76">
        <f>IFERROR(INDEX(Category_Targets!$B$2:$B$9,MATCH(F128,Category_Targets!$A$2:$A$9,0)),0)</f>
        <v>0.04</v>
      </c>
      <c r="R128" s="125">
        <f t="shared" si="4"/>
        <v>12.179200000000002</v>
      </c>
      <c r="S128" s="78">
        <f t="shared" si="5"/>
        <v>45931</v>
      </c>
      <c r="T128" t="str">
        <f>IFERROR(VLOOKUP(B128,Sites!$A$2:$D$21,4,FALSE()),"Unknown")</f>
        <v>Coventry</v>
      </c>
      <c r="U128" t="str">
        <f>IF(N128="OK","",COUNTIF($N$2:N128,"&lt;&gt;OK"))</f>
        <v/>
      </c>
      <c r="V128">
        <f>IF(OR(NOT(EXACT(E128,TRIM(Procurement_Raw!E128))),NOT(EXACT(F128,TRIM(Procurement_Raw!F128)))),1,0)</f>
        <v>0</v>
      </c>
    </row>
    <row r="129" spans="1:22" ht="15" customHeight="1" x14ac:dyDescent="0.25">
      <c r="A129" s="123">
        <f>Procurement_Raw!A129</f>
        <v>45785</v>
      </c>
      <c r="B129" t="str">
        <f>TRIM(Procurement_Raw!B129)</f>
        <v>S011</v>
      </c>
      <c r="C129" t="str">
        <f>Procurement_Raw!C129</f>
        <v>London Care &amp; Education Centre</v>
      </c>
      <c r="D129" t="str">
        <f>Procurement_Raw!D129</f>
        <v>South</v>
      </c>
      <c r="E129" t="str">
        <f>IF(TRIM(Procurement_Raw!E129)="","",IFERROR(INDEX(Supplier_Lookup!$A$2:$A$25,MATCH(TRIM(Procurement_Raw!E129),Supplier_Lookup!$A$2:$A$25,0)),TRIM(Procurement_Raw!E129)))</f>
        <v>CloudLink</v>
      </c>
      <c r="F129" t="str">
        <f>IFERROR(INDEX(Category_Targets!$A$2:$A$9,MATCH(TRIM(Procurement_Raw!F129),Category_Targets!$A$2:$A$9,0)),"Unmapped")</f>
        <v>IT &amp; Telecoms</v>
      </c>
      <c r="G129" t="str">
        <f>TRIM(Procurement_Raw!G129)</f>
        <v>INV-2025-00128</v>
      </c>
      <c r="H129" s="77">
        <f>Procurement_Raw!H129</f>
        <v>16</v>
      </c>
      <c r="I129" s="124">
        <f>Procurement_Raw!I129</f>
        <v>161.12</v>
      </c>
      <c r="J129" s="125">
        <f>IF(Procurement_Raw!J129="","",Procurement_Raw!J129)</f>
        <v>2577.96</v>
      </c>
      <c r="K129" s="77">
        <f>Procurement_Raw!K129</f>
        <v>60</v>
      </c>
      <c r="L129" t="str">
        <f>Procurement_Raw!L129</f>
        <v>Procurement Portal</v>
      </c>
      <c r="M129" t="str">
        <f>Procurement_Raw!O129</f>
        <v>Y</v>
      </c>
      <c r="N129" t="str">
        <f>IF(E129="","Missing supplier",IF(B129="","Missing site",IF(J129="","Missing spend",IF(COUNTIFS($G$2:G129,G129,$E$2:E129,E129,$J$2:J129,J129)&gt;1,"Duplicate invoice",IF(COUNTIF($G$2:$G$1801,G129)&gt;1,"Duplicate ID - review",IF(AND(P129&lt;&gt;"Unmapped",P129&lt;&gt;F129),"Category mismatch","OK"))))))</f>
        <v>OK</v>
      </c>
      <c r="O129" s="125">
        <f t="shared" si="3"/>
        <v>2577.96</v>
      </c>
      <c r="P129" t="str">
        <f>IF(E129="","Unmapped",IFERROR(INDEX(Supplier_Lookup!$B$2:$B$25,MATCH(E129,Supplier_Lookup!$A$2:$A$25,0)),"Unmapped"))</f>
        <v>IT &amp; Telecoms</v>
      </c>
      <c r="Q129" s="76">
        <f>IFERROR(INDEX(Category_Targets!$B$2:$B$9,MATCH(F129,Category_Targets!$A$2:$A$9,0)),0)</f>
        <v>0.08</v>
      </c>
      <c r="R129" s="125">
        <f t="shared" si="4"/>
        <v>206.23680000000002</v>
      </c>
      <c r="S129" s="78">
        <f t="shared" si="5"/>
        <v>45778</v>
      </c>
      <c r="T129" t="str">
        <f>IFERROR(VLOOKUP(B129,Sites!$A$2:$D$21,4,FALSE()),"Unknown")</f>
        <v>London</v>
      </c>
      <c r="U129" t="str">
        <f>IF(N129="OK","",COUNTIF($N$2:N129,"&lt;&gt;OK"))</f>
        <v/>
      </c>
      <c r="V129">
        <f>IF(OR(NOT(EXACT(E129,TRIM(Procurement_Raw!E129))),NOT(EXACT(F129,TRIM(Procurement_Raw!F129)))),1,0)</f>
        <v>0</v>
      </c>
    </row>
    <row r="130" spans="1:22" ht="15" customHeight="1" x14ac:dyDescent="0.25">
      <c r="A130" s="123">
        <f>Procurement_Raw!A130</f>
        <v>45852</v>
      </c>
      <c r="B130" t="str">
        <f>TRIM(Procurement_Raw!B130)</f>
        <v>S008</v>
      </c>
      <c r="C130" t="str">
        <f>Procurement_Raw!C130</f>
        <v>Leicester Care &amp; Education Centre</v>
      </c>
      <c r="D130" t="str">
        <f>Procurement_Raw!D130</f>
        <v>Midlands</v>
      </c>
      <c r="E130" t="str">
        <f>IF(TRIM(Procurement_Raw!E130)="","",IFERROR(INDEX(Supplier_Lookup!$A$2:$A$25,MATCH(TRIM(Procurement_Raw!E130),Supplier_Lookup!$A$2:$A$25,0)),TRIM(Procurement_Raw!E130)))</f>
        <v>PowerDirect</v>
      </c>
      <c r="F130" t="str">
        <f>IFERROR(INDEX(Category_Targets!$A$2:$A$9,MATCH(TRIM(Procurement_Raw!F130),Category_Targets!$A$2:$A$9,0)),"Unmapped")</f>
        <v>Utilities</v>
      </c>
      <c r="G130" t="str">
        <f>TRIM(Procurement_Raw!G130)</f>
        <v>INV-2025-00129</v>
      </c>
      <c r="H130" s="77">
        <f>Procurement_Raw!H130</f>
        <v>58</v>
      </c>
      <c r="I130" s="124">
        <f>Procurement_Raw!I130</f>
        <v>264.08</v>
      </c>
      <c r="J130" s="125">
        <f>IF(Procurement_Raw!J130="","",Procurement_Raw!J130)</f>
        <v>15316.9</v>
      </c>
      <c r="K130" s="77">
        <f>Procurement_Raw!K130</f>
        <v>45</v>
      </c>
      <c r="L130" t="str">
        <f>Procurement_Raw!L130</f>
        <v>Procurement Portal</v>
      </c>
      <c r="M130" t="str">
        <f>Procurement_Raw!O130</f>
        <v>N</v>
      </c>
      <c r="N130" t="str">
        <f>IF(E130="","Missing supplier",IF(B130="","Missing site",IF(J130="","Missing spend",IF(COUNTIFS($G$2:G130,G130,$E$2:E130,E130,$J$2:J130,J130)&gt;1,"Duplicate invoice",IF(COUNTIF($G$2:$G$1801,G130)&gt;1,"Duplicate ID - review",IF(AND(P130&lt;&gt;"Unmapped",P130&lt;&gt;F130),"Category mismatch","OK"))))))</f>
        <v>OK</v>
      </c>
      <c r="O130" s="125">
        <f t="shared" ref="O130:O193" si="6">IF(OR(N130="Missing spend",N130="Duplicate invoice"),0,J130)</f>
        <v>15316.9</v>
      </c>
      <c r="P130" t="str">
        <f>IF(E130="","Unmapped",IFERROR(INDEX(Supplier_Lookup!$B$2:$B$25,MATCH(E130,Supplier_Lookup!$A$2:$A$25,0)),"Unmapped"))</f>
        <v>Utilities</v>
      </c>
      <c r="Q130" s="76">
        <f>IFERROR(INDEX(Category_Targets!$B$2:$B$9,MATCH(F130,Category_Targets!$A$2:$A$9,0)),0)</f>
        <v>0.03</v>
      </c>
      <c r="R130" s="125">
        <f t="shared" ref="R130:R193" si="7">O130*Q130</f>
        <v>459.50699999999995</v>
      </c>
      <c r="S130" s="78">
        <f t="shared" ref="S130:S193" si="8">DATE(YEAR(A130),MONTH(A130),1)</f>
        <v>45839</v>
      </c>
      <c r="T130" t="str">
        <f>IFERROR(VLOOKUP(B130,Sites!$A$2:$D$21,4,FALSE()),"Unknown")</f>
        <v>Leicester</v>
      </c>
      <c r="U130" t="str">
        <f>IF(N130="OK","",COUNTIF($N$2:N130,"&lt;&gt;OK"))</f>
        <v/>
      </c>
      <c r="V130">
        <f>IF(OR(NOT(EXACT(E130,TRIM(Procurement_Raw!E130))),NOT(EXACT(F130,TRIM(Procurement_Raw!F130)))),1,0)</f>
        <v>0</v>
      </c>
    </row>
    <row r="131" spans="1:22" ht="15" customHeight="1" x14ac:dyDescent="0.25">
      <c r="A131" s="123">
        <f>Procurement_Raw!A131</f>
        <v>45949</v>
      </c>
      <c r="B131" t="str">
        <f>TRIM(Procurement_Raw!B131)</f>
        <v>S018</v>
      </c>
      <c r="C131" t="str">
        <f>Procurement_Raw!C131</f>
        <v>Newport Care &amp; Education Centre</v>
      </c>
      <c r="D131" t="str">
        <f>Procurement_Raw!D131</f>
        <v>Wales</v>
      </c>
      <c r="E131" t="str">
        <f>IF(TRIM(Procurement_Raw!E131)="","",IFERROR(INDEX(Supplier_Lookup!$A$2:$A$25,MATCH(TRIM(Procurement_Raw!E131),Supplier_Lookup!$A$2:$A$25,0)),TRIM(Procurement_Raw!E131)))</f>
        <v>CareTemps</v>
      </c>
      <c r="F131" t="str">
        <f>IFERROR(INDEX(Category_Targets!$A$2:$A$9,MATCH(TRIM(Procurement_Raw!F131),Category_Targets!$A$2:$A$9,0)),"Unmapped")</f>
        <v>Agency Labour</v>
      </c>
      <c r="G131" t="str">
        <f>TRIM(Procurement_Raw!G131)</f>
        <v>INV-2025-00130</v>
      </c>
      <c r="H131" s="77">
        <f>Procurement_Raw!H131</f>
        <v>80</v>
      </c>
      <c r="I131" s="124">
        <f>Procurement_Raw!I131</f>
        <v>227.44</v>
      </c>
      <c r="J131" s="125">
        <f>IF(Procurement_Raw!J131="","",Procurement_Raw!J131)</f>
        <v>18194.919999999998</v>
      </c>
      <c r="K131" s="77">
        <f>Procurement_Raw!K131</f>
        <v>30</v>
      </c>
      <c r="L131" t="str">
        <f>Procurement_Raw!L131</f>
        <v>Legacy Spend File</v>
      </c>
      <c r="M131" t="str">
        <f>Procurement_Raw!O131</f>
        <v>N</v>
      </c>
      <c r="N131" t="str">
        <f>IF(E131="","Missing supplier",IF(B131="","Missing site",IF(J131="","Missing spend",IF(COUNTIFS($G$2:G131,G131,$E$2:E131,E131,$J$2:J131,J131)&gt;1,"Duplicate invoice",IF(COUNTIF($G$2:$G$1801,G131)&gt;1,"Duplicate ID - review",IF(AND(P131&lt;&gt;"Unmapped",P131&lt;&gt;F131),"Category mismatch","OK"))))))</f>
        <v>OK</v>
      </c>
      <c r="O131" s="125">
        <f t="shared" si="6"/>
        <v>18194.919999999998</v>
      </c>
      <c r="P131" t="str">
        <f>IF(E131="","Unmapped",IFERROR(INDEX(Supplier_Lookup!$B$2:$B$25,MATCH(E131,Supplier_Lookup!$A$2:$A$25,0)),"Unmapped"))</f>
        <v>Agency Labour</v>
      </c>
      <c r="Q131" s="76">
        <f>IFERROR(INDEX(Category_Targets!$B$2:$B$9,MATCH(F131,Category_Targets!$A$2:$A$9,0)),0)</f>
        <v>7.0000000000000007E-2</v>
      </c>
      <c r="R131" s="125">
        <f t="shared" si="7"/>
        <v>1273.6443999999999</v>
      </c>
      <c r="S131" s="78">
        <f t="shared" si="8"/>
        <v>45931</v>
      </c>
      <c r="T131" t="str">
        <f>IFERROR(VLOOKUP(B131,Sites!$A$2:$D$21,4,FALSE()),"Unknown")</f>
        <v>Newport</v>
      </c>
      <c r="U131" t="str">
        <f>IF(N131="OK","",COUNTIF($N$2:N131,"&lt;&gt;OK"))</f>
        <v/>
      </c>
      <c r="V131">
        <f>IF(OR(NOT(EXACT(E131,TRIM(Procurement_Raw!E131))),NOT(EXACT(F131,TRIM(Procurement_Raw!F131)))),1,0)</f>
        <v>0</v>
      </c>
    </row>
    <row r="132" spans="1:22" ht="15" customHeight="1" x14ac:dyDescent="0.25">
      <c r="A132" s="123">
        <f>Procurement_Raw!A132</f>
        <v>45978</v>
      </c>
      <c r="B132" t="str">
        <f>TRIM(Procurement_Raw!B132)</f>
        <v>S012</v>
      </c>
      <c r="C132" t="str">
        <f>Procurement_Raw!C132</f>
        <v>Bristol Care &amp; Education Centre</v>
      </c>
      <c r="D132" t="str">
        <f>Procurement_Raw!D132</f>
        <v>South</v>
      </c>
      <c r="E132" t="str">
        <f>IF(TRIM(Procurement_Raw!E132)="","",IFERROR(INDEX(Supplier_Lookup!$A$2:$A$25,MATCH(TRIM(Procurement_Raw!E132),Supplier_Lookup!$A$2:$A$25,0)),TRIM(Procurement_Raw!E132)))</f>
        <v>FreshServe</v>
      </c>
      <c r="F132" t="str">
        <f>IFERROR(INDEX(Category_Targets!$A$2:$A$9,MATCH(TRIM(Procurement_Raw!F132),Category_Targets!$A$2:$A$9,0)),"Unmapped")</f>
        <v>Food &amp; Catering</v>
      </c>
      <c r="G132" t="str">
        <f>TRIM(Procurement_Raw!G132)</f>
        <v>INV-2025-00131</v>
      </c>
      <c r="H132" s="77">
        <f>Procurement_Raw!H132</f>
        <v>28</v>
      </c>
      <c r="I132" s="124">
        <f>Procurement_Raw!I132</f>
        <v>27.7</v>
      </c>
      <c r="J132" s="125">
        <f>IF(Procurement_Raw!J132="","",Procurement_Raw!J132)</f>
        <v>775.67</v>
      </c>
      <c r="K132" s="77">
        <f>Procurement_Raw!K132</f>
        <v>45</v>
      </c>
      <c r="L132" t="str">
        <f>Procurement_Raw!L132</f>
        <v>Legacy Spend File</v>
      </c>
      <c r="M132" t="str">
        <f>Procurement_Raw!O132</f>
        <v>Y</v>
      </c>
      <c r="N132" t="str">
        <f>IF(E132="","Missing supplier",IF(B132="","Missing site",IF(J132="","Missing spend",IF(COUNTIFS($G$2:G132,G132,$E$2:E132,E132,$J$2:J132,J132)&gt;1,"Duplicate invoice",IF(COUNTIF($G$2:$G$1801,G132)&gt;1,"Duplicate ID - review",IF(AND(P132&lt;&gt;"Unmapped",P132&lt;&gt;F132),"Category mismatch","OK"))))))</f>
        <v>OK</v>
      </c>
      <c r="O132" s="125">
        <f t="shared" si="6"/>
        <v>775.67</v>
      </c>
      <c r="P132" t="str">
        <f>IF(E132="","Unmapped",IFERROR(INDEX(Supplier_Lookup!$B$2:$B$25,MATCH(E132,Supplier_Lookup!$A$2:$A$25,0)),"Unmapped"))</f>
        <v>Food &amp; Catering</v>
      </c>
      <c r="Q132" s="76">
        <f>IFERROR(INDEX(Category_Targets!$B$2:$B$9,MATCH(F132,Category_Targets!$A$2:$A$9,0)),0)</f>
        <v>0.04</v>
      </c>
      <c r="R132" s="125">
        <f t="shared" si="7"/>
        <v>31.026799999999998</v>
      </c>
      <c r="S132" s="78">
        <f t="shared" si="8"/>
        <v>45962</v>
      </c>
      <c r="T132" t="str">
        <f>IFERROR(VLOOKUP(B132,Sites!$A$2:$D$21,4,FALSE()),"Unknown")</f>
        <v>Bristol</v>
      </c>
      <c r="U132" t="str">
        <f>IF(N132="OK","",COUNTIF($N$2:N132,"&lt;&gt;OK"))</f>
        <v/>
      </c>
      <c r="V132">
        <f>IF(OR(NOT(EXACT(E132,TRIM(Procurement_Raw!E132))),NOT(EXACT(F132,TRIM(Procurement_Raw!F132)))),1,0)</f>
        <v>0</v>
      </c>
    </row>
    <row r="133" spans="1:22" ht="15" customHeight="1" x14ac:dyDescent="0.25">
      <c r="A133" s="123">
        <f>Procurement_Raw!A133</f>
        <v>45746</v>
      </c>
      <c r="B133" t="str">
        <f>TRIM(Procurement_Raw!B133)</f>
        <v>S002</v>
      </c>
      <c r="C133" t="str">
        <f>Procurement_Raw!C133</f>
        <v>Manchester Care &amp; Education Centre</v>
      </c>
      <c r="D133" t="str">
        <f>Procurement_Raw!D133</f>
        <v>North</v>
      </c>
      <c r="E133" t="str">
        <f>IF(TRIM(Procurement_Raw!E133)="","",IFERROR(INDEX(Supplier_Lookup!$A$2:$A$25,MATCH(TRIM(Procurement_Raw!E133),Supplier_Lookup!$A$2:$A$25,0)),TRIM(Procurement_Raw!E133)))</f>
        <v>CleanWorks</v>
      </c>
      <c r="F133" t="str">
        <f>IFERROR(INDEX(Category_Targets!$A$2:$A$9,MATCH(TRIM(Procurement_Raw!F133),Category_Targets!$A$2:$A$9,0)),"Unmapped")</f>
        <v>Facilities</v>
      </c>
      <c r="G133" t="str">
        <f>TRIM(Procurement_Raw!G133)</f>
        <v>INV-2025-00132</v>
      </c>
      <c r="H133" s="77">
        <f>Procurement_Raw!H133</f>
        <v>71</v>
      </c>
      <c r="I133" s="124">
        <f>Procurement_Raw!I133</f>
        <v>186.92</v>
      </c>
      <c r="J133" s="125">
        <f>IF(Procurement_Raw!J133="","",Procurement_Raw!J133)</f>
        <v>13271.13</v>
      </c>
      <c r="K133" s="77">
        <f>Procurement_Raw!K133</f>
        <v>30</v>
      </c>
      <c r="L133" t="str">
        <f>Procurement_Raw!L133</f>
        <v>ERP</v>
      </c>
      <c r="M133" t="str">
        <f>Procurement_Raw!O133</f>
        <v>Y</v>
      </c>
      <c r="N133" t="str">
        <f>IF(E133="","Missing supplier",IF(B133="","Missing site",IF(J133="","Missing spend",IF(COUNTIFS($G$2:G133,G133,$E$2:E133,E133,$J$2:J133,J133)&gt;1,"Duplicate invoice",IF(COUNTIF($G$2:$G$1801,G133)&gt;1,"Duplicate ID - review",IF(AND(P133&lt;&gt;"Unmapped",P133&lt;&gt;F133),"Category mismatch","OK"))))))</f>
        <v>OK</v>
      </c>
      <c r="O133" s="125">
        <f t="shared" si="6"/>
        <v>13271.13</v>
      </c>
      <c r="P133" t="str">
        <f>IF(E133="","Unmapped",IFERROR(INDEX(Supplier_Lookup!$B$2:$B$25,MATCH(E133,Supplier_Lookup!$A$2:$A$25,0)),"Unmapped"))</f>
        <v>Facilities</v>
      </c>
      <c r="Q133" s="76">
        <f>IFERROR(INDEX(Category_Targets!$B$2:$B$9,MATCH(F133,Category_Targets!$A$2:$A$9,0)),0)</f>
        <v>0.05</v>
      </c>
      <c r="R133" s="125">
        <f t="shared" si="7"/>
        <v>663.55650000000003</v>
      </c>
      <c r="S133" s="78">
        <f t="shared" si="8"/>
        <v>45717</v>
      </c>
      <c r="T133" t="str">
        <f>IFERROR(VLOOKUP(B133,Sites!$A$2:$D$21,4,FALSE()),"Unknown")</f>
        <v>Manchester</v>
      </c>
      <c r="U133" t="str">
        <f>IF(N133="OK","",COUNTIF($N$2:N133,"&lt;&gt;OK"))</f>
        <v/>
      </c>
      <c r="V133">
        <f>IF(OR(NOT(EXACT(E133,TRIM(Procurement_Raw!E133))),NOT(EXACT(F133,TRIM(Procurement_Raw!F133)))),1,0)</f>
        <v>0</v>
      </c>
    </row>
    <row r="134" spans="1:22" ht="15" customHeight="1" x14ac:dyDescent="0.25">
      <c r="A134" s="123">
        <f>Procurement_Raw!A134</f>
        <v>46010</v>
      </c>
      <c r="B134" t="str">
        <f>TRIM(Procurement_Raw!B134)</f>
        <v>S010</v>
      </c>
      <c r="C134" t="str">
        <f>Procurement_Raw!C134</f>
        <v>Coventry Care &amp; Education Centre</v>
      </c>
      <c r="D134" t="str">
        <f>Procurement_Raw!D134</f>
        <v>Midlands</v>
      </c>
      <c r="E134" t="str">
        <f>IF(TRIM(Procurement_Raw!E134)="","",IFERROR(INDEX(Supplier_Lookup!$A$2:$A$25,MATCH(TRIM(Procurement_Raw!E134),Supplier_Lookup!$A$2:$A$25,0)),TRIM(Procurement_Raw!E134)))</f>
        <v>CareTemps</v>
      </c>
      <c r="F134" t="str">
        <f>IFERROR(INDEX(Category_Targets!$A$2:$A$9,MATCH(TRIM(Procurement_Raw!F134),Category_Targets!$A$2:$A$9,0)),"Unmapped")</f>
        <v>Agency Labour</v>
      </c>
      <c r="G134" t="str">
        <f>TRIM(Procurement_Raw!G134)</f>
        <v>INV-2025-00133</v>
      </c>
      <c r="H134" s="77">
        <f>Procurement_Raw!H134</f>
        <v>77</v>
      </c>
      <c r="I134" s="124">
        <f>Procurement_Raw!I134</f>
        <v>167.25</v>
      </c>
      <c r="J134" s="125">
        <f>IF(Procurement_Raw!J134="","",Procurement_Raw!J134)</f>
        <v>12878.58</v>
      </c>
      <c r="K134" s="77">
        <f>Procurement_Raw!K134</f>
        <v>45</v>
      </c>
      <c r="L134" t="str">
        <f>Procurement_Raw!L134</f>
        <v>Procurement Portal</v>
      </c>
      <c r="M134" t="str">
        <f>Procurement_Raw!O134</f>
        <v>N</v>
      </c>
      <c r="N134" t="str">
        <f>IF(E134="","Missing supplier",IF(B134="","Missing site",IF(J134="","Missing spend",IF(COUNTIFS($G$2:G134,G134,$E$2:E134,E134,$J$2:J134,J134)&gt;1,"Duplicate invoice",IF(COUNTIF($G$2:$G$1801,G134)&gt;1,"Duplicate ID - review",IF(AND(P134&lt;&gt;"Unmapped",P134&lt;&gt;F134),"Category mismatch","OK"))))))</f>
        <v>OK</v>
      </c>
      <c r="O134" s="125">
        <f t="shared" si="6"/>
        <v>12878.58</v>
      </c>
      <c r="P134" t="str">
        <f>IF(E134="","Unmapped",IFERROR(INDEX(Supplier_Lookup!$B$2:$B$25,MATCH(E134,Supplier_Lookup!$A$2:$A$25,0)),"Unmapped"))</f>
        <v>Agency Labour</v>
      </c>
      <c r="Q134" s="76">
        <f>IFERROR(INDEX(Category_Targets!$B$2:$B$9,MATCH(F134,Category_Targets!$A$2:$A$9,0)),0)</f>
        <v>7.0000000000000007E-2</v>
      </c>
      <c r="R134" s="125">
        <f t="shared" si="7"/>
        <v>901.50060000000008</v>
      </c>
      <c r="S134" s="78">
        <f t="shared" si="8"/>
        <v>45992</v>
      </c>
      <c r="T134" t="str">
        <f>IFERROR(VLOOKUP(B134,Sites!$A$2:$D$21,4,FALSE()),"Unknown")</f>
        <v>Coventry</v>
      </c>
      <c r="U134" t="str">
        <f>IF(N134="OK","",COUNTIF($N$2:N134,"&lt;&gt;OK"))</f>
        <v/>
      </c>
      <c r="V134">
        <f>IF(OR(NOT(EXACT(E134,TRIM(Procurement_Raw!E134))),NOT(EXACT(F134,TRIM(Procurement_Raw!F134)))),1,0)</f>
        <v>0</v>
      </c>
    </row>
    <row r="135" spans="1:22" ht="15" customHeight="1" x14ac:dyDescent="0.25">
      <c r="A135" s="123">
        <f>Procurement_Raw!A135</f>
        <v>46019</v>
      </c>
      <c r="B135" t="str">
        <f>TRIM(Procurement_Raw!B135)</f>
        <v>S019</v>
      </c>
      <c r="C135" t="str">
        <f>Procurement_Raw!C135</f>
        <v>Wrexham Care &amp; Education Centre</v>
      </c>
      <c r="D135" t="str">
        <f>Procurement_Raw!D135</f>
        <v>Wales</v>
      </c>
      <c r="E135" t="str">
        <f>IF(TRIM(Procurement_Raw!E135)="","",IFERROR(INDEX(Supplier_Lookup!$A$2:$A$25,MATCH(TRIM(Procurement_Raw!E135),Supplier_Lookup!$A$2:$A$25,0)),TRIM(Procurement_Raw!E135)))</f>
        <v>WaterGrid</v>
      </c>
      <c r="F135" t="str">
        <f>IFERROR(INDEX(Category_Targets!$A$2:$A$9,MATCH(TRIM(Procurement_Raw!F135),Category_Targets!$A$2:$A$9,0)),"Unmapped")</f>
        <v>Utilities</v>
      </c>
      <c r="G135" t="str">
        <f>TRIM(Procurement_Raw!G135)</f>
        <v>INV-2025-00134</v>
      </c>
      <c r="H135" s="77">
        <f>Procurement_Raw!H135</f>
        <v>37</v>
      </c>
      <c r="I135" s="124">
        <f>Procurement_Raw!I135</f>
        <v>324.39</v>
      </c>
      <c r="J135" s="125">
        <f>IF(Procurement_Raw!J135="","",Procurement_Raw!J135)</f>
        <v>12002.31</v>
      </c>
      <c r="K135" s="77">
        <f>Procurement_Raw!K135</f>
        <v>60</v>
      </c>
      <c r="L135" t="str">
        <f>Procurement_Raw!L135</f>
        <v>Procurement Portal</v>
      </c>
      <c r="M135" t="str">
        <f>Procurement_Raw!O135</f>
        <v>N</v>
      </c>
      <c r="N135" t="str">
        <f>IF(E135="","Missing supplier",IF(B135="","Missing site",IF(J135="","Missing spend",IF(COUNTIFS($G$2:G135,G135,$E$2:E135,E135,$J$2:J135,J135)&gt;1,"Duplicate invoice",IF(COUNTIF($G$2:$G$1801,G135)&gt;1,"Duplicate ID - review",IF(AND(P135&lt;&gt;"Unmapped",P135&lt;&gt;F135),"Category mismatch","OK"))))))</f>
        <v>OK</v>
      </c>
      <c r="O135" s="125">
        <f t="shared" si="6"/>
        <v>12002.31</v>
      </c>
      <c r="P135" t="str">
        <f>IF(E135="","Unmapped",IFERROR(INDEX(Supplier_Lookup!$B$2:$B$25,MATCH(E135,Supplier_Lookup!$A$2:$A$25,0)),"Unmapped"))</f>
        <v>Utilities</v>
      </c>
      <c r="Q135" s="76">
        <f>IFERROR(INDEX(Category_Targets!$B$2:$B$9,MATCH(F135,Category_Targets!$A$2:$A$9,0)),0)</f>
        <v>0.03</v>
      </c>
      <c r="R135" s="125">
        <f t="shared" si="7"/>
        <v>360.0693</v>
      </c>
      <c r="S135" s="78">
        <f t="shared" si="8"/>
        <v>45992</v>
      </c>
      <c r="T135" t="str">
        <f>IFERROR(VLOOKUP(B135,Sites!$A$2:$D$21,4,FALSE()),"Unknown")</f>
        <v>Wrexham</v>
      </c>
      <c r="U135" t="str">
        <f>IF(N135="OK","",COUNTIF($N$2:N135,"&lt;&gt;OK"))</f>
        <v/>
      </c>
      <c r="V135">
        <f>IF(OR(NOT(EXACT(E135,TRIM(Procurement_Raw!E135))),NOT(EXACT(F135,TRIM(Procurement_Raw!F135)))),1,0)</f>
        <v>0</v>
      </c>
    </row>
    <row r="136" spans="1:22" ht="15" customHeight="1" x14ac:dyDescent="0.25">
      <c r="A136" s="123">
        <f>Procurement_Raw!A136</f>
        <v>45978</v>
      </c>
      <c r="B136" t="str">
        <f>TRIM(Procurement_Raw!B136)</f>
        <v>S017</v>
      </c>
      <c r="C136" t="str">
        <f>Procurement_Raw!C136</f>
        <v>Swansea Care &amp; Education Centre</v>
      </c>
      <c r="D136" t="str">
        <f>Procurement_Raw!D136</f>
        <v>Wales</v>
      </c>
      <c r="E136" t="str">
        <f>IF(TRIM(Procurement_Raw!E136)="","",IFERROR(INDEX(Supplier_Lookup!$A$2:$A$25,MATCH(TRIM(Procurement_Raw!E136),Supplier_Lookup!$A$2:$A$25,0)),TRIM(Procurement_Raw!E136)))</f>
        <v>WaterGrid</v>
      </c>
      <c r="F136" t="str">
        <f>IFERROR(INDEX(Category_Targets!$A$2:$A$9,MATCH(TRIM(Procurement_Raw!F136),Category_Targets!$A$2:$A$9,0)),"Unmapped")</f>
        <v>Utilities</v>
      </c>
      <c r="G136" t="str">
        <f>TRIM(Procurement_Raw!G136)</f>
        <v>INV-2025-00135</v>
      </c>
      <c r="H136" s="77">
        <f>Procurement_Raw!H136</f>
        <v>76</v>
      </c>
      <c r="I136" s="124">
        <f>Procurement_Raw!I136</f>
        <v>150.77000000000001</v>
      </c>
      <c r="J136" s="125">
        <f>IF(Procurement_Raw!J136="","",Procurement_Raw!J136)</f>
        <v>11458.77</v>
      </c>
      <c r="K136" s="77">
        <f>Procurement_Raw!K136</f>
        <v>60</v>
      </c>
      <c r="L136" t="str">
        <f>Procurement_Raw!L136</f>
        <v>ERP</v>
      </c>
      <c r="M136" t="str">
        <f>Procurement_Raw!O136</f>
        <v>N</v>
      </c>
      <c r="N136" t="str">
        <f>IF(E136="","Missing supplier",IF(B136="","Missing site",IF(J136="","Missing spend",IF(COUNTIFS($G$2:G136,G136,$E$2:E136,E136,$J$2:J136,J136)&gt;1,"Duplicate invoice",IF(COUNTIF($G$2:$G$1801,G136)&gt;1,"Duplicate ID - review",IF(AND(P136&lt;&gt;"Unmapped",P136&lt;&gt;F136),"Category mismatch","OK"))))))</f>
        <v>OK</v>
      </c>
      <c r="O136" s="125">
        <f t="shared" si="6"/>
        <v>11458.77</v>
      </c>
      <c r="P136" t="str">
        <f>IF(E136="","Unmapped",IFERROR(INDEX(Supplier_Lookup!$B$2:$B$25,MATCH(E136,Supplier_Lookup!$A$2:$A$25,0)),"Unmapped"))</f>
        <v>Utilities</v>
      </c>
      <c r="Q136" s="76">
        <f>IFERROR(INDEX(Category_Targets!$B$2:$B$9,MATCH(F136,Category_Targets!$A$2:$A$9,0)),0)</f>
        <v>0.03</v>
      </c>
      <c r="R136" s="125">
        <f t="shared" si="7"/>
        <v>343.76310000000001</v>
      </c>
      <c r="S136" s="78">
        <f t="shared" si="8"/>
        <v>45962</v>
      </c>
      <c r="T136" t="str">
        <f>IFERROR(VLOOKUP(B136,Sites!$A$2:$D$21,4,FALSE()),"Unknown")</f>
        <v>Swansea</v>
      </c>
      <c r="U136" t="str">
        <f>IF(N136="OK","",COUNTIF($N$2:N136,"&lt;&gt;OK"))</f>
        <v/>
      </c>
      <c r="V136">
        <f>IF(OR(NOT(EXACT(E136,TRIM(Procurement_Raw!E136))),NOT(EXACT(F136,TRIM(Procurement_Raw!F136)))),1,0)</f>
        <v>0</v>
      </c>
    </row>
    <row r="137" spans="1:22" ht="15" customHeight="1" x14ac:dyDescent="0.25">
      <c r="A137" s="123">
        <f>Procurement_Raw!A137</f>
        <v>45773</v>
      </c>
      <c r="B137" t="str">
        <f>TRIM(Procurement_Raw!B137)</f>
        <v>S012</v>
      </c>
      <c r="C137" t="str">
        <f>Procurement_Raw!C137</f>
        <v>Bristol Care &amp; Education Centre</v>
      </c>
      <c r="D137" t="str">
        <f>Procurement_Raw!D137</f>
        <v>South</v>
      </c>
      <c r="E137" t="str">
        <f>IF(TRIM(Procurement_Raw!E137)="","",IFERROR(INDEX(Supplier_Lookup!$A$2:$A$25,MATCH(TRIM(Procurement_Raw!E137),Supplier_Lookup!$A$2:$A$25,0)),TRIM(Procurement_Raw!E137)))</f>
        <v>KitchenPro</v>
      </c>
      <c r="F137" t="str">
        <f>IFERROR(INDEX(Category_Targets!$A$2:$A$9,MATCH(TRIM(Procurement_Raw!F137),Category_Targets!$A$2:$A$9,0)),"Unmapped")</f>
        <v>Food &amp; Catering</v>
      </c>
      <c r="G137" t="str">
        <f>TRIM(Procurement_Raw!G137)</f>
        <v>INV-2025-00136</v>
      </c>
      <c r="H137" s="77">
        <f>Procurement_Raw!H137</f>
        <v>20</v>
      </c>
      <c r="I137" s="124">
        <f>Procurement_Raw!I137</f>
        <v>152.44999999999999</v>
      </c>
      <c r="J137" s="125">
        <f>IF(Procurement_Raw!J137="","",Procurement_Raw!J137)</f>
        <v>3049.04</v>
      </c>
      <c r="K137" s="77">
        <f>Procurement_Raw!K137</f>
        <v>45</v>
      </c>
      <c r="L137" t="str">
        <f>Procurement_Raw!L137</f>
        <v>ERP</v>
      </c>
      <c r="M137" t="str">
        <f>Procurement_Raw!O137</f>
        <v>N</v>
      </c>
      <c r="N137" t="str">
        <f>IF(E137="","Missing supplier",IF(B137="","Missing site",IF(J137="","Missing spend",IF(COUNTIFS($G$2:G137,G137,$E$2:E137,E137,$J$2:J137,J137)&gt;1,"Duplicate invoice",IF(COUNTIF($G$2:$G$1801,G137)&gt;1,"Duplicate ID - review",IF(AND(P137&lt;&gt;"Unmapped",P137&lt;&gt;F137),"Category mismatch","OK"))))))</f>
        <v>OK</v>
      </c>
      <c r="O137" s="125">
        <f t="shared" si="6"/>
        <v>3049.04</v>
      </c>
      <c r="P137" t="str">
        <f>IF(E137="","Unmapped",IFERROR(INDEX(Supplier_Lookup!$B$2:$B$25,MATCH(E137,Supplier_Lookup!$A$2:$A$25,0)),"Unmapped"))</f>
        <v>Food &amp; Catering</v>
      </c>
      <c r="Q137" s="76">
        <f>IFERROR(INDEX(Category_Targets!$B$2:$B$9,MATCH(F137,Category_Targets!$A$2:$A$9,0)),0)</f>
        <v>0.04</v>
      </c>
      <c r="R137" s="125">
        <f t="shared" si="7"/>
        <v>121.9616</v>
      </c>
      <c r="S137" s="78">
        <f t="shared" si="8"/>
        <v>45748</v>
      </c>
      <c r="T137" t="str">
        <f>IFERROR(VLOOKUP(B137,Sites!$A$2:$D$21,4,FALSE()),"Unknown")</f>
        <v>Bristol</v>
      </c>
      <c r="U137" t="str">
        <f>IF(N137="OK","",COUNTIF($N$2:N137,"&lt;&gt;OK"))</f>
        <v/>
      </c>
      <c r="V137">
        <f>IF(OR(NOT(EXACT(E137,TRIM(Procurement_Raw!E137))),NOT(EXACT(F137,TRIM(Procurement_Raw!F137)))),1,0)</f>
        <v>0</v>
      </c>
    </row>
    <row r="138" spans="1:22" ht="15" customHeight="1" x14ac:dyDescent="0.25">
      <c r="A138" s="123">
        <f>Procurement_Raw!A138</f>
        <v>45815</v>
      </c>
      <c r="B138" t="str">
        <f>TRIM(Procurement_Raw!B138)</f>
        <v>S017</v>
      </c>
      <c r="C138" t="str">
        <f>Procurement_Raw!C138</f>
        <v>Swansea Care &amp; Education Centre</v>
      </c>
      <c r="D138" t="str">
        <f>Procurement_Raw!D138</f>
        <v>Wales</v>
      </c>
      <c r="E138" t="str">
        <f>IF(TRIM(Procurement_Raw!E138)="","",IFERROR(INDEX(Supplier_Lookup!$A$2:$A$25,MATCH(TRIM(Procurement_Raw!E138),Supplier_Lookup!$A$2:$A$25,0)),TRIM(Procurement_Raw!E138)))</f>
        <v>MediSure</v>
      </c>
      <c r="F138" t="str">
        <f>IFERROR(INDEX(Category_Targets!$A$2:$A$9,MATCH(TRIM(Procurement_Raw!F138),Category_Targets!$A$2:$A$9,0)),"Unmapped")</f>
        <v>Medical Supplies</v>
      </c>
      <c r="G138" t="str">
        <f>TRIM(Procurement_Raw!G138)</f>
        <v>INV-2025-00137</v>
      </c>
      <c r="H138" s="77">
        <f>Procurement_Raw!H138</f>
        <v>77</v>
      </c>
      <c r="I138" s="124">
        <f>Procurement_Raw!I138</f>
        <v>78</v>
      </c>
      <c r="J138" s="125">
        <f>IF(Procurement_Raw!J138="","",Procurement_Raw!J138)</f>
        <v>6005.96</v>
      </c>
      <c r="K138" s="77">
        <f>Procurement_Raw!K138</f>
        <v>60</v>
      </c>
      <c r="L138" t="str">
        <f>Procurement_Raw!L138</f>
        <v>Legacy Spend File</v>
      </c>
      <c r="M138" t="str">
        <f>Procurement_Raw!O138</f>
        <v>Y</v>
      </c>
      <c r="N138" t="str">
        <f>IF(E138="","Missing supplier",IF(B138="","Missing site",IF(J138="","Missing spend",IF(COUNTIFS($G$2:G138,G138,$E$2:E138,E138,$J$2:J138,J138)&gt;1,"Duplicate invoice",IF(COUNTIF($G$2:$G$1801,G138)&gt;1,"Duplicate ID - review",IF(AND(P138&lt;&gt;"Unmapped",P138&lt;&gt;F138),"Category mismatch","OK"))))))</f>
        <v>OK</v>
      </c>
      <c r="O138" s="125">
        <f t="shared" si="6"/>
        <v>6005.96</v>
      </c>
      <c r="P138" t="str">
        <f>IF(E138="","Unmapped",IFERROR(INDEX(Supplier_Lookup!$B$2:$B$25,MATCH(E138,Supplier_Lookup!$A$2:$A$25,0)),"Unmapped"))</f>
        <v>Medical Supplies</v>
      </c>
      <c r="Q138" s="76">
        <f>IFERROR(INDEX(Category_Targets!$B$2:$B$9,MATCH(F138,Category_Targets!$A$2:$A$9,0)),0)</f>
        <v>0.06</v>
      </c>
      <c r="R138" s="125">
        <f t="shared" si="7"/>
        <v>360.35759999999999</v>
      </c>
      <c r="S138" s="78">
        <f t="shared" si="8"/>
        <v>45809</v>
      </c>
      <c r="T138" t="str">
        <f>IFERROR(VLOOKUP(B138,Sites!$A$2:$D$21,4,FALSE()),"Unknown")</f>
        <v>Swansea</v>
      </c>
      <c r="U138" t="str">
        <f>IF(N138="OK","",COUNTIF($N$2:N138,"&lt;&gt;OK"))</f>
        <v/>
      </c>
      <c r="V138">
        <f>IF(OR(NOT(EXACT(E138,TRIM(Procurement_Raw!E138))),NOT(EXACT(F138,TRIM(Procurement_Raw!F138)))),1,0)</f>
        <v>0</v>
      </c>
    </row>
    <row r="139" spans="1:22" ht="15" customHeight="1" x14ac:dyDescent="0.25">
      <c r="A139" s="123">
        <f>Procurement_Raw!A139</f>
        <v>45897</v>
      </c>
      <c r="B139" t="str">
        <f>TRIM(Procurement_Raw!B139)</f>
        <v>S008</v>
      </c>
      <c r="C139" t="str">
        <f>Procurement_Raw!C139</f>
        <v>Leicester Care &amp; Education Centre</v>
      </c>
      <c r="D139" t="str">
        <f>Procurement_Raw!D139</f>
        <v>Midlands</v>
      </c>
      <c r="E139" t="str">
        <f>IF(TRIM(Procurement_Raw!E139)="","",IFERROR(INDEX(Supplier_Lookup!$A$2:$A$25,MATCH(TRIM(Procurement_Raw!E139),Supplier_Lookup!$A$2:$A$25,0)),TRIM(Procurement_Raw!E139)))</f>
        <v>OfficePlus</v>
      </c>
      <c r="F139" t="str">
        <f>IFERROR(INDEX(Category_Targets!$A$2:$A$9,MATCH(TRIM(Procurement_Raw!F139),Category_Targets!$A$2:$A$9,0)),"Unmapped")</f>
        <v>Office &amp; Training</v>
      </c>
      <c r="G139" t="str">
        <f>TRIM(Procurement_Raw!G139)</f>
        <v>INV-2025-00138</v>
      </c>
      <c r="H139" s="77">
        <f>Procurement_Raw!H139</f>
        <v>39</v>
      </c>
      <c r="I139" s="124">
        <f>Procurement_Raw!I139</f>
        <v>62.83</v>
      </c>
      <c r="J139" s="125">
        <f>IF(Procurement_Raw!J139="","",Procurement_Raw!J139)</f>
        <v>2450.1799999999998</v>
      </c>
      <c r="K139" s="77">
        <f>Procurement_Raw!K139</f>
        <v>60</v>
      </c>
      <c r="L139" t="str">
        <f>Procurement_Raw!L139</f>
        <v>Procurement Portal</v>
      </c>
      <c r="M139" t="str">
        <f>Procurement_Raw!O139</f>
        <v>N</v>
      </c>
      <c r="N139" t="str">
        <f>IF(E139="","Missing supplier",IF(B139="","Missing site",IF(J139="","Missing spend",IF(COUNTIFS($G$2:G139,G139,$E$2:E139,E139,$J$2:J139,J139)&gt;1,"Duplicate invoice",IF(COUNTIF($G$2:$G$1801,G139)&gt;1,"Duplicate ID - review",IF(AND(P139&lt;&gt;"Unmapped",P139&lt;&gt;F139),"Category mismatch","OK"))))))</f>
        <v>OK</v>
      </c>
      <c r="O139" s="125">
        <f t="shared" si="6"/>
        <v>2450.1799999999998</v>
      </c>
      <c r="P139" t="str">
        <f>IF(E139="","Unmapped",IFERROR(INDEX(Supplier_Lookup!$B$2:$B$25,MATCH(E139,Supplier_Lookup!$A$2:$A$25,0)),"Unmapped"))</f>
        <v>Office &amp; Training</v>
      </c>
      <c r="Q139" s="76">
        <f>IFERROR(INDEX(Category_Targets!$B$2:$B$9,MATCH(F139,Category_Targets!$A$2:$A$9,0)),0)</f>
        <v>0.04</v>
      </c>
      <c r="R139" s="125">
        <f t="shared" si="7"/>
        <v>98.007199999999997</v>
      </c>
      <c r="S139" s="78">
        <f t="shared" si="8"/>
        <v>45870</v>
      </c>
      <c r="T139" t="str">
        <f>IFERROR(VLOOKUP(B139,Sites!$A$2:$D$21,4,FALSE()),"Unknown")</f>
        <v>Leicester</v>
      </c>
      <c r="U139" t="str">
        <f>IF(N139="OK","",COUNTIF($N$2:N139,"&lt;&gt;OK"))</f>
        <v/>
      </c>
      <c r="V139">
        <f>IF(OR(NOT(EXACT(E139,TRIM(Procurement_Raw!E139))),NOT(EXACT(F139,TRIM(Procurement_Raw!F139)))),1,0)</f>
        <v>1</v>
      </c>
    </row>
    <row r="140" spans="1:22" ht="15" customHeight="1" x14ac:dyDescent="0.25">
      <c r="A140" s="123">
        <f>Procurement_Raw!A140</f>
        <v>45699</v>
      </c>
      <c r="B140" t="str">
        <f>TRIM(Procurement_Raw!B140)</f>
        <v>S003</v>
      </c>
      <c r="C140" t="str">
        <f>Procurement_Raw!C140</f>
        <v>Leeds Care &amp; Education Centre</v>
      </c>
      <c r="D140" t="str">
        <f>Procurement_Raw!D140</f>
        <v>North</v>
      </c>
      <c r="E140" t="str">
        <f>IF(TRIM(Procurement_Raw!E140)="","",IFERROR(INDEX(Supplier_Lookup!$A$2:$A$25,MATCH(TRIM(Procurement_Raw!E140),Supplier_Lookup!$A$2:$A$25,0)),TRIM(Procurement_Raw!E140)))</f>
        <v>LearnWell</v>
      </c>
      <c r="F140" t="str">
        <f>IFERROR(INDEX(Category_Targets!$A$2:$A$9,MATCH(TRIM(Procurement_Raw!F140),Category_Targets!$A$2:$A$9,0)),"Unmapped")</f>
        <v>Office &amp; Training</v>
      </c>
      <c r="G140" t="str">
        <f>TRIM(Procurement_Raw!G140)</f>
        <v>INV-2025-00139</v>
      </c>
      <c r="H140" s="77">
        <f>Procurement_Raw!H140</f>
        <v>77</v>
      </c>
      <c r="I140" s="124">
        <f>Procurement_Raw!I140</f>
        <v>117.32</v>
      </c>
      <c r="J140" s="125">
        <f>IF(Procurement_Raw!J140="","",Procurement_Raw!J140)</f>
        <v>9033.7999999999993</v>
      </c>
      <c r="K140" s="77">
        <f>Procurement_Raw!K140</f>
        <v>30</v>
      </c>
      <c r="L140" t="str">
        <f>Procurement_Raw!L140</f>
        <v>Procurement Portal</v>
      </c>
      <c r="M140" t="str">
        <f>Procurement_Raw!O140</f>
        <v>N</v>
      </c>
      <c r="N140" t="str">
        <f>IF(E140="","Missing supplier",IF(B140="","Missing site",IF(J140="","Missing spend",IF(COUNTIFS($G$2:G140,G140,$E$2:E140,E140,$J$2:J140,J140)&gt;1,"Duplicate invoice",IF(COUNTIF($G$2:$G$1801,G140)&gt;1,"Duplicate ID - review",IF(AND(P140&lt;&gt;"Unmapped",P140&lt;&gt;F140),"Category mismatch","OK"))))))</f>
        <v>OK</v>
      </c>
      <c r="O140" s="125">
        <f t="shared" si="6"/>
        <v>9033.7999999999993</v>
      </c>
      <c r="P140" t="str">
        <f>IF(E140="","Unmapped",IFERROR(INDEX(Supplier_Lookup!$B$2:$B$25,MATCH(E140,Supplier_Lookup!$A$2:$A$25,0)),"Unmapped"))</f>
        <v>Office &amp; Training</v>
      </c>
      <c r="Q140" s="76">
        <f>IFERROR(INDEX(Category_Targets!$B$2:$B$9,MATCH(F140,Category_Targets!$A$2:$A$9,0)),0)</f>
        <v>0.04</v>
      </c>
      <c r="R140" s="125">
        <f t="shared" si="7"/>
        <v>361.35199999999998</v>
      </c>
      <c r="S140" s="78">
        <f t="shared" si="8"/>
        <v>45689</v>
      </c>
      <c r="T140" t="str">
        <f>IFERROR(VLOOKUP(B140,Sites!$A$2:$D$21,4,FALSE()),"Unknown")</f>
        <v>Leeds</v>
      </c>
      <c r="U140" t="str">
        <f>IF(N140="OK","",COUNTIF($N$2:N140,"&lt;&gt;OK"))</f>
        <v/>
      </c>
      <c r="V140">
        <f>IF(OR(NOT(EXACT(E140,TRIM(Procurement_Raw!E140))),NOT(EXACT(F140,TRIM(Procurement_Raw!F140)))),1,0)</f>
        <v>0</v>
      </c>
    </row>
    <row r="141" spans="1:22" ht="15" customHeight="1" x14ac:dyDescent="0.25">
      <c r="A141" s="123">
        <f>Procurement_Raw!A141</f>
        <v>45786</v>
      </c>
      <c r="B141" t="str">
        <f>TRIM(Procurement_Raw!B141)</f>
        <v>S008</v>
      </c>
      <c r="C141" t="str">
        <f>Procurement_Raw!C141</f>
        <v>Leicester Care &amp; Education Centre</v>
      </c>
      <c r="D141" t="str">
        <f>Procurement_Raw!D141</f>
        <v>Midlands</v>
      </c>
      <c r="E141" t="str">
        <f>IF(TRIM(Procurement_Raw!E141)="","",IFERROR(INDEX(Supplier_Lookup!$A$2:$A$25,MATCH(TRIM(Procurement_Raw!E141),Supplier_Lookup!$A$2:$A$25,0)),TRIM(Procurement_Raw!E141)))</f>
        <v>AutoCare</v>
      </c>
      <c r="F141" t="str">
        <f>IFERROR(INDEX(Category_Targets!$A$2:$A$9,MATCH(TRIM(Procurement_Raw!F141),Category_Targets!$A$2:$A$9,0)),"Unmapped")</f>
        <v>Vehicle &amp; Fuel</v>
      </c>
      <c r="G141" t="str">
        <f>TRIM(Procurement_Raw!G141)</f>
        <v>INV-2025-00140</v>
      </c>
      <c r="H141" s="77">
        <f>Procurement_Raw!H141</f>
        <v>4</v>
      </c>
      <c r="I141" s="124">
        <f>Procurement_Raw!I141</f>
        <v>48.27</v>
      </c>
      <c r="J141" s="125">
        <f>IF(Procurement_Raw!J141="","",Procurement_Raw!J141)</f>
        <v>193.1</v>
      </c>
      <c r="K141" s="77">
        <f>Procurement_Raw!K141</f>
        <v>30</v>
      </c>
      <c r="L141" t="str">
        <f>Procurement_Raw!L141</f>
        <v>ERP</v>
      </c>
      <c r="M141" t="str">
        <f>Procurement_Raw!O141</f>
        <v>N</v>
      </c>
      <c r="N141" t="str">
        <f>IF(E141="","Missing supplier",IF(B141="","Missing site",IF(J141="","Missing spend",IF(COUNTIFS($G$2:G141,G141,$E$2:E141,E141,$J$2:J141,J141)&gt;1,"Duplicate invoice",IF(COUNTIF($G$2:$G$1801,G141)&gt;1,"Duplicate ID - review",IF(AND(P141&lt;&gt;"Unmapped",P141&lt;&gt;F141),"Category mismatch","OK"))))))</f>
        <v>OK</v>
      </c>
      <c r="O141" s="125">
        <f t="shared" si="6"/>
        <v>193.1</v>
      </c>
      <c r="P141" t="str">
        <f>IF(E141="","Unmapped",IFERROR(INDEX(Supplier_Lookup!$B$2:$B$25,MATCH(E141,Supplier_Lookup!$A$2:$A$25,0)),"Unmapped"))</f>
        <v>Vehicle &amp; Fuel</v>
      </c>
      <c r="Q141" s="76">
        <f>IFERROR(INDEX(Category_Targets!$B$2:$B$9,MATCH(F141,Category_Targets!$A$2:$A$9,0)),0)</f>
        <v>0.05</v>
      </c>
      <c r="R141" s="125">
        <f t="shared" si="7"/>
        <v>9.6550000000000011</v>
      </c>
      <c r="S141" s="78">
        <f t="shared" si="8"/>
        <v>45778</v>
      </c>
      <c r="T141" t="str">
        <f>IFERROR(VLOOKUP(B141,Sites!$A$2:$D$21,4,FALSE()),"Unknown")</f>
        <v>Leicester</v>
      </c>
      <c r="U141" t="str">
        <f>IF(N141="OK","",COUNTIF($N$2:N141,"&lt;&gt;OK"))</f>
        <v/>
      </c>
      <c r="V141">
        <f>IF(OR(NOT(EXACT(E141,TRIM(Procurement_Raw!E141))),NOT(EXACT(F141,TRIM(Procurement_Raw!F141)))),1,0)</f>
        <v>0</v>
      </c>
    </row>
    <row r="142" spans="1:22" ht="15" customHeight="1" x14ac:dyDescent="0.25">
      <c r="A142" s="123">
        <f>Procurement_Raw!A142</f>
        <v>45795</v>
      </c>
      <c r="B142" t="str">
        <f>TRIM(Procurement_Raw!B142)</f>
        <v>S015</v>
      </c>
      <c r="C142" t="str">
        <f>Procurement_Raw!C142</f>
        <v>Brighton Care &amp; Education Centre</v>
      </c>
      <c r="D142" t="str">
        <f>Procurement_Raw!D142</f>
        <v>South</v>
      </c>
      <c r="E142" t="str">
        <f>IF(TRIM(Procurement_Raw!E142)="","",IFERROR(INDEX(Supplier_Lookup!$A$2:$A$25,MATCH(TRIM(Procurement_Raw!E142),Supplier_Lookup!$A$2:$A$25,0)),TRIM(Procurement_Raw!E142)))</f>
        <v>ClinEquip</v>
      </c>
      <c r="F142" t="str">
        <f>IFERROR(INDEX(Category_Targets!$A$2:$A$9,MATCH(TRIM(Procurement_Raw!F142),Category_Targets!$A$2:$A$9,0)),"Unmapped")</f>
        <v>Medical Supplies</v>
      </c>
      <c r="G142" t="str">
        <f>TRIM(Procurement_Raw!G142)</f>
        <v>INV-2025-00141</v>
      </c>
      <c r="H142" s="77">
        <f>Procurement_Raw!H142</f>
        <v>74</v>
      </c>
      <c r="I142" s="124">
        <f>Procurement_Raw!I142</f>
        <v>135.99</v>
      </c>
      <c r="J142" s="125">
        <f>IF(Procurement_Raw!J142="","",Procurement_Raw!J142)</f>
        <v>10063.39</v>
      </c>
      <c r="K142" s="77">
        <f>Procurement_Raw!K142</f>
        <v>30</v>
      </c>
      <c r="L142" t="str">
        <f>Procurement_Raw!L142</f>
        <v>ERP</v>
      </c>
      <c r="M142" t="str">
        <f>Procurement_Raw!O142</f>
        <v>N</v>
      </c>
      <c r="N142" t="str">
        <f>IF(E142="","Missing supplier",IF(B142="","Missing site",IF(J142="","Missing spend",IF(COUNTIFS($G$2:G142,G142,$E$2:E142,E142,$J$2:J142,J142)&gt;1,"Duplicate invoice",IF(COUNTIF($G$2:$G$1801,G142)&gt;1,"Duplicate ID - review",IF(AND(P142&lt;&gt;"Unmapped",P142&lt;&gt;F142),"Category mismatch","OK"))))))</f>
        <v>OK</v>
      </c>
      <c r="O142" s="125">
        <f t="shared" si="6"/>
        <v>10063.39</v>
      </c>
      <c r="P142" t="str">
        <f>IF(E142="","Unmapped",IFERROR(INDEX(Supplier_Lookup!$B$2:$B$25,MATCH(E142,Supplier_Lookup!$A$2:$A$25,0)),"Unmapped"))</f>
        <v>Medical Supplies</v>
      </c>
      <c r="Q142" s="76">
        <f>IFERROR(INDEX(Category_Targets!$B$2:$B$9,MATCH(F142,Category_Targets!$A$2:$A$9,0)),0)</f>
        <v>0.06</v>
      </c>
      <c r="R142" s="125">
        <f t="shared" si="7"/>
        <v>603.8033999999999</v>
      </c>
      <c r="S142" s="78">
        <f t="shared" si="8"/>
        <v>45778</v>
      </c>
      <c r="T142" t="str">
        <f>IFERROR(VLOOKUP(B142,Sites!$A$2:$D$21,4,FALSE()),"Unknown")</f>
        <v>Brighton</v>
      </c>
      <c r="U142" t="str">
        <f>IF(N142="OK","",COUNTIF($N$2:N142,"&lt;&gt;OK"))</f>
        <v/>
      </c>
      <c r="V142">
        <f>IF(OR(NOT(EXACT(E142,TRIM(Procurement_Raw!E142))),NOT(EXACT(F142,TRIM(Procurement_Raw!F142)))),1,0)</f>
        <v>0</v>
      </c>
    </row>
    <row r="143" spans="1:22" ht="15" customHeight="1" x14ac:dyDescent="0.25">
      <c r="A143" s="123">
        <f>Procurement_Raw!A143</f>
        <v>45750</v>
      </c>
      <c r="B143" t="str">
        <f>TRIM(Procurement_Raw!B143)</f>
        <v>S005</v>
      </c>
      <c r="C143" t="str">
        <f>Procurement_Raw!C143</f>
        <v>Sheffield Care &amp; Education Centre</v>
      </c>
      <c r="D143" t="str">
        <f>Procurement_Raw!D143</f>
        <v>North</v>
      </c>
      <c r="E143" t="str">
        <f>IF(TRIM(Procurement_Raw!E143)="","",IFERROR(INDEX(Supplier_Lookup!$A$2:$A$25,MATCH(TRIM(Procurement_Raw!E143),Supplier_Lookup!$A$2:$A$25,0)),TRIM(Procurement_Raw!E143)))</f>
        <v>LearnWell</v>
      </c>
      <c r="F143" t="str">
        <f>IFERROR(INDEX(Category_Targets!$A$2:$A$9,MATCH(TRIM(Procurement_Raw!F143),Category_Targets!$A$2:$A$9,0)),"Unmapped")</f>
        <v>Office &amp; Training</v>
      </c>
      <c r="G143" t="str">
        <f>TRIM(Procurement_Raw!G143)</f>
        <v>INV-2025-00142</v>
      </c>
      <c r="H143" s="77">
        <f>Procurement_Raw!H143</f>
        <v>75</v>
      </c>
      <c r="I143" s="124">
        <f>Procurement_Raw!I143</f>
        <v>153.91999999999999</v>
      </c>
      <c r="J143" s="125">
        <f>IF(Procurement_Raw!J143="","",Procurement_Raw!J143)</f>
        <v>11543.81</v>
      </c>
      <c r="K143" s="77">
        <f>Procurement_Raw!K143</f>
        <v>45</v>
      </c>
      <c r="L143" t="str">
        <f>Procurement_Raw!L143</f>
        <v>Legacy Spend File</v>
      </c>
      <c r="M143" t="str">
        <f>Procurement_Raw!O143</f>
        <v>N</v>
      </c>
      <c r="N143" t="str">
        <f>IF(E143="","Missing supplier",IF(B143="","Missing site",IF(J143="","Missing spend",IF(COUNTIFS($G$2:G143,G143,$E$2:E143,E143,$J$2:J143,J143)&gt;1,"Duplicate invoice",IF(COUNTIF($G$2:$G$1801,G143)&gt;1,"Duplicate ID - review",IF(AND(P143&lt;&gt;"Unmapped",P143&lt;&gt;F143),"Category mismatch","OK"))))))</f>
        <v>OK</v>
      </c>
      <c r="O143" s="125">
        <f t="shared" si="6"/>
        <v>11543.81</v>
      </c>
      <c r="P143" t="str">
        <f>IF(E143="","Unmapped",IFERROR(INDEX(Supplier_Lookup!$B$2:$B$25,MATCH(E143,Supplier_Lookup!$A$2:$A$25,0)),"Unmapped"))</f>
        <v>Office &amp; Training</v>
      </c>
      <c r="Q143" s="76">
        <f>IFERROR(INDEX(Category_Targets!$B$2:$B$9,MATCH(F143,Category_Targets!$A$2:$A$9,0)),0)</f>
        <v>0.04</v>
      </c>
      <c r="R143" s="125">
        <f t="shared" si="7"/>
        <v>461.75239999999997</v>
      </c>
      <c r="S143" s="78">
        <f t="shared" si="8"/>
        <v>45748</v>
      </c>
      <c r="T143" t="str">
        <f>IFERROR(VLOOKUP(B143,Sites!$A$2:$D$21,4,FALSE()),"Unknown")</f>
        <v>Sheffield</v>
      </c>
      <c r="U143" t="str">
        <f>IF(N143="OK","",COUNTIF($N$2:N143,"&lt;&gt;OK"))</f>
        <v/>
      </c>
      <c r="V143">
        <f>IF(OR(NOT(EXACT(E143,TRIM(Procurement_Raw!E143))),NOT(EXACT(F143,TRIM(Procurement_Raw!F143)))),1,0)</f>
        <v>0</v>
      </c>
    </row>
    <row r="144" spans="1:22" ht="15" customHeight="1" x14ac:dyDescent="0.25">
      <c r="A144" s="123">
        <f>Procurement_Raw!A144</f>
        <v>45836</v>
      </c>
      <c r="B144" t="str">
        <f>TRIM(Procurement_Raw!B144)</f>
        <v>S016</v>
      </c>
      <c r="C144" t="str">
        <f>Procurement_Raw!C144</f>
        <v>Cardiff Care &amp; Education Centre</v>
      </c>
      <c r="D144" t="str">
        <f>Procurement_Raw!D144</f>
        <v>Wales</v>
      </c>
      <c r="E144" t="str">
        <f>IF(TRIM(Procurement_Raw!E144)="","",IFERROR(INDEX(Supplier_Lookup!$A$2:$A$25,MATCH(TRIM(Procurement_Raw!E144),Supplier_Lookup!$A$2:$A$25,0)),TRIM(Procurement_Raw!E144)))</f>
        <v>NourishCo</v>
      </c>
      <c r="F144" t="str">
        <f>IFERROR(INDEX(Category_Targets!$A$2:$A$9,MATCH(TRIM(Procurement_Raw!F144),Category_Targets!$A$2:$A$9,0)),"Unmapped")</f>
        <v>Food &amp; Catering</v>
      </c>
      <c r="G144" t="str">
        <f>TRIM(Procurement_Raw!G144)</f>
        <v>INV-2025-00143</v>
      </c>
      <c r="H144" s="77">
        <f>Procurement_Raw!H144</f>
        <v>53</v>
      </c>
      <c r="I144" s="124">
        <f>Procurement_Raw!I144</f>
        <v>26.85</v>
      </c>
      <c r="J144" s="125">
        <f>IF(Procurement_Raw!J144="","",Procurement_Raw!J144)</f>
        <v>1423.06</v>
      </c>
      <c r="K144" s="77">
        <f>Procurement_Raw!K144</f>
        <v>45</v>
      </c>
      <c r="L144" t="str">
        <f>Procurement_Raw!L144</f>
        <v>Procurement Portal</v>
      </c>
      <c r="M144" t="str">
        <f>Procurement_Raw!O144</f>
        <v>N</v>
      </c>
      <c r="N144" t="str">
        <f>IF(E144="","Missing supplier",IF(B144="","Missing site",IF(J144="","Missing spend",IF(COUNTIFS($G$2:G144,G144,$E$2:E144,E144,$J$2:J144,J144)&gt;1,"Duplicate invoice",IF(COUNTIF($G$2:$G$1801,G144)&gt;1,"Duplicate ID - review",IF(AND(P144&lt;&gt;"Unmapped",P144&lt;&gt;F144),"Category mismatch","OK"))))))</f>
        <v>OK</v>
      </c>
      <c r="O144" s="125">
        <f t="shared" si="6"/>
        <v>1423.06</v>
      </c>
      <c r="P144" t="str">
        <f>IF(E144="","Unmapped",IFERROR(INDEX(Supplier_Lookup!$B$2:$B$25,MATCH(E144,Supplier_Lookup!$A$2:$A$25,0)),"Unmapped"))</f>
        <v>Food &amp; Catering</v>
      </c>
      <c r="Q144" s="76">
        <f>IFERROR(INDEX(Category_Targets!$B$2:$B$9,MATCH(F144,Category_Targets!$A$2:$A$9,0)),0)</f>
        <v>0.04</v>
      </c>
      <c r="R144" s="125">
        <f t="shared" si="7"/>
        <v>56.922399999999996</v>
      </c>
      <c r="S144" s="78">
        <f t="shared" si="8"/>
        <v>45809</v>
      </c>
      <c r="T144" t="str">
        <f>IFERROR(VLOOKUP(B144,Sites!$A$2:$D$21,4,FALSE()),"Unknown")</f>
        <v>Cardiff</v>
      </c>
      <c r="U144" t="str">
        <f>IF(N144="OK","",COUNTIF($N$2:N144,"&lt;&gt;OK"))</f>
        <v/>
      </c>
      <c r="V144">
        <f>IF(OR(NOT(EXACT(E144,TRIM(Procurement_Raw!E144))),NOT(EXACT(F144,TRIM(Procurement_Raw!F144)))),1,0)</f>
        <v>0</v>
      </c>
    </row>
    <row r="145" spans="1:22" ht="15" customHeight="1" x14ac:dyDescent="0.25">
      <c r="A145" s="123">
        <f>Procurement_Raw!A145</f>
        <v>45826</v>
      </c>
      <c r="B145" t="str">
        <f>TRIM(Procurement_Raw!B145)</f>
        <v>S015</v>
      </c>
      <c r="C145" t="str">
        <f>Procurement_Raw!C145</f>
        <v>Brighton Care &amp; Education Centre</v>
      </c>
      <c r="D145" t="str">
        <f>Procurement_Raw!D145</f>
        <v>South</v>
      </c>
      <c r="E145" t="str">
        <f>IF(TRIM(Procurement_Raw!E145)="","",IFERROR(INDEX(Supplier_Lookup!$A$2:$A$25,MATCH(TRIM(Procurement_Raw!E145),Supplier_Lookup!$A$2:$A$25,0)),TRIM(Procurement_Raw!E145)))</f>
        <v>FreshServe</v>
      </c>
      <c r="F145" t="str">
        <f>IFERROR(INDEX(Category_Targets!$A$2:$A$9,MATCH(TRIM(Procurement_Raw!F145),Category_Targets!$A$2:$A$9,0)),"Unmapped")</f>
        <v>Food &amp; Catering</v>
      </c>
      <c r="G145" t="str">
        <f>TRIM(Procurement_Raw!G145)</f>
        <v>INV-2025-00144</v>
      </c>
      <c r="H145" s="77">
        <f>Procurement_Raw!H145</f>
        <v>53</v>
      </c>
      <c r="I145" s="124">
        <f>Procurement_Raw!I145</f>
        <v>71.95</v>
      </c>
      <c r="J145" s="125">
        <f>IF(Procurement_Raw!J145="","",Procurement_Raw!J145)</f>
        <v>3813.21</v>
      </c>
      <c r="K145" s="77">
        <f>Procurement_Raw!K145</f>
        <v>60</v>
      </c>
      <c r="L145" t="str">
        <f>Procurement_Raw!L145</f>
        <v>Procurement Portal</v>
      </c>
      <c r="M145" t="str">
        <f>Procurement_Raw!O145</f>
        <v>Y</v>
      </c>
      <c r="N145" t="str">
        <f>IF(E145="","Missing supplier",IF(B145="","Missing site",IF(J145="","Missing spend",IF(COUNTIFS($G$2:G145,G145,$E$2:E145,E145,$J$2:J145,J145)&gt;1,"Duplicate invoice",IF(COUNTIF($G$2:$G$1801,G145)&gt;1,"Duplicate ID - review",IF(AND(P145&lt;&gt;"Unmapped",P145&lt;&gt;F145),"Category mismatch","OK"))))))</f>
        <v>OK</v>
      </c>
      <c r="O145" s="125">
        <f t="shared" si="6"/>
        <v>3813.21</v>
      </c>
      <c r="P145" t="str">
        <f>IF(E145="","Unmapped",IFERROR(INDEX(Supplier_Lookup!$B$2:$B$25,MATCH(E145,Supplier_Lookup!$A$2:$A$25,0)),"Unmapped"))</f>
        <v>Food &amp; Catering</v>
      </c>
      <c r="Q145" s="76">
        <f>IFERROR(INDEX(Category_Targets!$B$2:$B$9,MATCH(F145,Category_Targets!$A$2:$A$9,0)),0)</f>
        <v>0.04</v>
      </c>
      <c r="R145" s="125">
        <f t="shared" si="7"/>
        <v>152.5284</v>
      </c>
      <c r="S145" s="78">
        <f t="shared" si="8"/>
        <v>45809</v>
      </c>
      <c r="T145" t="str">
        <f>IFERROR(VLOOKUP(B145,Sites!$A$2:$D$21,4,FALSE()),"Unknown")</f>
        <v>Brighton</v>
      </c>
      <c r="U145" t="str">
        <f>IF(N145="OK","",COUNTIF($N$2:N145,"&lt;&gt;OK"))</f>
        <v/>
      </c>
      <c r="V145">
        <f>IF(OR(NOT(EXACT(E145,TRIM(Procurement_Raw!E145))),NOT(EXACT(F145,TRIM(Procurement_Raw!F145)))),1,0)</f>
        <v>0</v>
      </c>
    </row>
    <row r="146" spans="1:22" ht="15" customHeight="1" x14ac:dyDescent="0.25">
      <c r="A146" s="123">
        <f>Procurement_Raw!A146</f>
        <v>45676</v>
      </c>
      <c r="B146" t="str">
        <f>TRIM(Procurement_Raw!B146)</f>
        <v>S012</v>
      </c>
      <c r="C146" t="str">
        <f>Procurement_Raw!C146</f>
        <v>Bristol Care &amp; Education Centre</v>
      </c>
      <c r="D146" t="str">
        <f>Procurement_Raw!D146</f>
        <v>South</v>
      </c>
      <c r="E146" t="str">
        <f>IF(TRIM(Procurement_Raw!E146)="","",IFERROR(INDEX(Supplier_Lookup!$A$2:$A$25,MATCH(TRIM(Procurement_Raw!E146),Supplier_Lookup!$A$2:$A$25,0)),TRIM(Procurement_Raw!E146)))</f>
        <v>NurseLink</v>
      </c>
      <c r="F146" t="str">
        <f>IFERROR(INDEX(Category_Targets!$A$2:$A$9,MATCH(TRIM(Procurement_Raw!F146),Category_Targets!$A$2:$A$9,0)),"Unmapped")</f>
        <v>Agency Labour</v>
      </c>
      <c r="G146" t="str">
        <f>TRIM(Procurement_Raw!G146)</f>
        <v>INV-2025-00145</v>
      </c>
      <c r="H146" s="77">
        <f>Procurement_Raw!H146</f>
        <v>59</v>
      </c>
      <c r="I146" s="124">
        <f>Procurement_Raw!I146</f>
        <v>346.1</v>
      </c>
      <c r="J146" s="125">
        <f>IF(Procurement_Raw!J146="","",Procurement_Raw!J146)</f>
        <v>20419.7</v>
      </c>
      <c r="K146" s="77">
        <f>Procurement_Raw!K146</f>
        <v>30</v>
      </c>
      <c r="L146" t="str">
        <f>Procurement_Raw!L146</f>
        <v>Procurement Portal</v>
      </c>
      <c r="M146" t="str">
        <f>Procurement_Raw!O146</f>
        <v>N</v>
      </c>
      <c r="N146" t="str">
        <f>IF(E146="","Missing supplier",IF(B146="","Missing site",IF(J146="","Missing spend",IF(COUNTIFS($G$2:G146,G146,$E$2:E146,E146,$J$2:J146,J146)&gt;1,"Duplicate invoice",IF(COUNTIF($G$2:$G$1801,G146)&gt;1,"Duplicate ID - review",IF(AND(P146&lt;&gt;"Unmapped",P146&lt;&gt;F146),"Category mismatch","OK"))))))</f>
        <v>OK</v>
      </c>
      <c r="O146" s="125">
        <f t="shared" si="6"/>
        <v>20419.7</v>
      </c>
      <c r="P146" t="str">
        <f>IF(E146="","Unmapped",IFERROR(INDEX(Supplier_Lookup!$B$2:$B$25,MATCH(E146,Supplier_Lookup!$A$2:$A$25,0)),"Unmapped"))</f>
        <v>Agency Labour</v>
      </c>
      <c r="Q146" s="76">
        <f>IFERROR(INDEX(Category_Targets!$B$2:$B$9,MATCH(F146,Category_Targets!$A$2:$A$9,0)),0)</f>
        <v>7.0000000000000007E-2</v>
      </c>
      <c r="R146" s="125">
        <f t="shared" si="7"/>
        <v>1429.3790000000001</v>
      </c>
      <c r="S146" s="78">
        <f t="shared" si="8"/>
        <v>45658</v>
      </c>
      <c r="T146" t="str">
        <f>IFERROR(VLOOKUP(B146,Sites!$A$2:$D$21,4,FALSE()),"Unknown")</f>
        <v>Bristol</v>
      </c>
      <c r="U146" t="str">
        <f>IF(N146="OK","",COUNTIF($N$2:N146,"&lt;&gt;OK"))</f>
        <v/>
      </c>
      <c r="V146">
        <f>IF(OR(NOT(EXACT(E146,TRIM(Procurement_Raw!E146))),NOT(EXACT(F146,TRIM(Procurement_Raw!F146)))),1,0)</f>
        <v>0</v>
      </c>
    </row>
    <row r="147" spans="1:22" ht="15" customHeight="1" x14ac:dyDescent="0.25">
      <c r="A147" s="123">
        <f>Procurement_Raw!A147</f>
        <v>45864</v>
      </c>
      <c r="B147" t="str">
        <f>TRIM(Procurement_Raw!B147)</f>
        <v>S009</v>
      </c>
      <c r="C147" t="str">
        <f>Procurement_Raw!C147</f>
        <v>Derby Care &amp; Education Centre</v>
      </c>
      <c r="D147" t="str">
        <f>Procurement_Raw!D147</f>
        <v>Midlands</v>
      </c>
      <c r="E147" t="str">
        <f>IF(TRIM(Procurement_Raw!E147)="","",IFERROR(INDEX(Supplier_Lookup!$A$2:$A$25,MATCH(TRIM(Procurement_Raw!E147),Supplier_Lookup!$A$2:$A$25,0)),TRIM(Procurement_Raw!E147)))</f>
        <v>FleetFuel</v>
      </c>
      <c r="F147" t="str">
        <f>IFERROR(INDEX(Category_Targets!$A$2:$A$9,MATCH(TRIM(Procurement_Raw!F147),Category_Targets!$A$2:$A$9,0)),"Unmapped")</f>
        <v>Vehicle &amp; Fuel</v>
      </c>
      <c r="G147" t="str">
        <f>TRIM(Procurement_Raw!G147)</f>
        <v>INV-2025-00146</v>
      </c>
      <c r="H147" s="77">
        <f>Procurement_Raw!H147</f>
        <v>66</v>
      </c>
      <c r="I147" s="124">
        <f>Procurement_Raw!I147</f>
        <v>146.04</v>
      </c>
      <c r="J147" s="125">
        <f>IF(Procurement_Raw!J147="","",Procurement_Raw!J147)</f>
        <v>9638.6299999999992</v>
      </c>
      <c r="K147" s="77">
        <f>Procurement_Raw!K147</f>
        <v>30</v>
      </c>
      <c r="L147" t="str">
        <f>Procurement_Raw!L147</f>
        <v>Legacy Spend File</v>
      </c>
      <c r="M147" t="str">
        <f>Procurement_Raw!O147</f>
        <v>Y</v>
      </c>
      <c r="N147" t="str">
        <f>IF(E147="","Missing supplier",IF(B147="","Missing site",IF(J147="","Missing spend",IF(COUNTIFS($G$2:G147,G147,$E$2:E147,E147,$J$2:J147,J147)&gt;1,"Duplicate invoice",IF(COUNTIF($G$2:$G$1801,G147)&gt;1,"Duplicate ID - review",IF(AND(P147&lt;&gt;"Unmapped",P147&lt;&gt;F147),"Category mismatch","OK"))))))</f>
        <v>OK</v>
      </c>
      <c r="O147" s="125">
        <f t="shared" si="6"/>
        <v>9638.6299999999992</v>
      </c>
      <c r="P147" t="str">
        <f>IF(E147="","Unmapped",IFERROR(INDEX(Supplier_Lookup!$B$2:$B$25,MATCH(E147,Supplier_Lookup!$A$2:$A$25,0)),"Unmapped"))</f>
        <v>Vehicle &amp; Fuel</v>
      </c>
      <c r="Q147" s="76">
        <f>IFERROR(INDEX(Category_Targets!$B$2:$B$9,MATCH(F147,Category_Targets!$A$2:$A$9,0)),0)</f>
        <v>0.05</v>
      </c>
      <c r="R147" s="125">
        <f t="shared" si="7"/>
        <v>481.93149999999997</v>
      </c>
      <c r="S147" s="78">
        <f t="shared" si="8"/>
        <v>45839</v>
      </c>
      <c r="T147" t="str">
        <f>IFERROR(VLOOKUP(B147,Sites!$A$2:$D$21,4,FALSE()),"Unknown")</f>
        <v>Derby</v>
      </c>
      <c r="U147" t="str">
        <f>IF(N147="OK","",COUNTIF($N$2:N147,"&lt;&gt;OK"))</f>
        <v/>
      </c>
      <c r="V147">
        <f>IF(OR(NOT(EXACT(E147,TRIM(Procurement_Raw!E147))),NOT(EXACT(F147,TRIM(Procurement_Raw!F147)))),1,0)</f>
        <v>0</v>
      </c>
    </row>
    <row r="148" spans="1:22" ht="15" customHeight="1" x14ac:dyDescent="0.25">
      <c r="A148" s="123">
        <f>Procurement_Raw!A148</f>
        <v>45685</v>
      </c>
      <c r="B148" t="str">
        <f>TRIM(Procurement_Raw!B148)</f>
        <v>S018</v>
      </c>
      <c r="C148" t="str">
        <f>Procurement_Raw!C148</f>
        <v>Newport Care &amp; Education Centre</v>
      </c>
      <c r="D148" t="str">
        <f>Procurement_Raw!D148</f>
        <v>Wales</v>
      </c>
      <c r="E148" t="str">
        <f>IF(TRIM(Procurement_Raw!E148)="","",IFERROR(INDEX(Supplier_Lookup!$A$2:$A$25,MATCH(TRIM(Procurement_Raw!E148),Supplier_Lookup!$A$2:$A$25,0)),TRIM(Procurement_Raw!E148)))</f>
        <v>LearnWell</v>
      </c>
      <c r="F148" t="str">
        <f>IFERROR(INDEX(Category_Targets!$A$2:$A$9,MATCH(TRIM(Procurement_Raw!F148),Category_Targets!$A$2:$A$9,0)),"Unmapped")</f>
        <v>Office &amp; Training</v>
      </c>
      <c r="G148" t="str">
        <f>TRIM(Procurement_Raw!G148)</f>
        <v>INV-2025-00147</v>
      </c>
      <c r="H148" s="77">
        <f>Procurement_Raw!H148</f>
        <v>25</v>
      </c>
      <c r="I148" s="124">
        <f>Procurement_Raw!I148</f>
        <v>37.979999999999997</v>
      </c>
      <c r="J148" s="125">
        <f>IF(Procurement_Raw!J148="","",Procurement_Raw!J148)</f>
        <v>949.6</v>
      </c>
      <c r="K148" s="77">
        <f>Procurement_Raw!K148</f>
        <v>60</v>
      </c>
      <c r="L148" t="str">
        <f>Procurement_Raw!L148</f>
        <v>Procurement Portal</v>
      </c>
      <c r="M148" t="str">
        <f>Procurement_Raw!O148</f>
        <v>N</v>
      </c>
      <c r="N148" t="str">
        <f>IF(E148="","Missing supplier",IF(B148="","Missing site",IF(J148="","Missing spend",IF(COUNTIFS($G$2:G148,G148,$E$2:E148,E148,$J$2:J148,J148)&gt;1,"Duplicate invoice",IF(COUNTIF($G$2:$G$1801,G148)&gt;1,"Duplicate ID - review",IF(AND(P148&lt;&gt;"Unmapped",P148&lt;&gt;F148),"Category mismatch","OK"))))))</f>
        <v>OK</v>
      </c>
      <c r="O148" s="125">
        <f t="shared" si="6"/>
        <v>949.6</v>
      </c>
      <c r="P148" t="str">
        <f>IF(E148="","Unmapped",IFERROR(INDEX(Supplier_Lookup!$B$2:$B$25,MATCH(E148,Supplier_Lookup!$A$2:$A$25,0)),"Unmapped"))</f>
        <v>Office &amp; Training</v>
      </c>
      <c r="Q148" s="76">
        <f>IFERROR(INDEX(Category_Targets!$B$2:$B$9,MATCH(F148,Category_Targets!$A$2:$A$9,0)),0)</f>
        <v>0.04</v>
      </c>
      <c r="R148" s="125">
        <f t="shared" si="7"/>
        <v>37.984000000000002</v>
      </c>
      <c r="S148" s="78">
        <f t="shared" si="8"/>
        <v>45658</v>
      </c>
      <c r="T148" t="str">
        <f>IFERROR(VLOOKUP(B148,Sites!$A$2:$D$21,4,FALSE()),"Unknown")</f>
        <v>Newport</v>
      </c>
      <c r="U148" t="str">
        <f>IF(N148="OK","",COUNTIF($N$2:N148,"&lt;&gt;OK"))</f>
        <v/>
      </c>
      <c r="V148">
        <f>IF(OR(NOT(EXACT(E148,TRIM(Procurement_Raw!E148))),NOT(EXACT(F148,TRIM(Procurement_Raw!F148)))),1,0)</f>
        <v>0</v>
      </c>
    </row>
    <row r="149" spans="1:22" ht="15" customHeight="1" x14ac:dyDescent="0.25">
      <c r="A149" s="123">
        <f>Procurement_Raw!A149</f>
        <v>45884</v>
      </c>
      <c r="B149" t="str">
        <f>TRIM(Procurement_Raw!B149)</f>
        <v>S015</v>
      </c>
      <c r="C149" t="str">
        <f>Procurement_Raw!C149</f>
        <v>Brighton Care &amp; Education Centre</v>
      </c>
      <c r="D149" t="str">
        <f>Procurement_Raw!D149</f>
        <v>South</v>
      </c>
      <c r="E149" t="str">
        <f>IF(TRIM(Procurement_Raw!E149)="","",IFERROR(INDEX(Supplier_Lookup!$A$2:$A$25,MATCH(TRIM(Procurement_Raw!E149),Supplier_Lookup!$A$2:$A$25,0)),TRIM(Procurement_Raw!E149)))</f>
        <v>PrintCo</v>
      </c>
      <c r="F149" t="str">
        <f>IFERROR(INDEX(Category_Targets!$A$2:$A$9,MATCH(TRIM(Procurement_Raw!F149),Category_Targets!$A$2:$A$9,0)),"Unmapped")</f>
        <v>Office &amp; Training</v>
      </c>
      <c r="G149" t="str">
        <f>TRIM(Procurement_Raw!G149)</f>
        <v>INV-2025-00148</v>
      </c>
      <c r="H149" s="77">
        <f>Procurement_Raw!H149</f>
        <v>7</v>
      </c>
      <c r="I149" s="124">
        <f>Procurement_Raw!I149</f>
        <v>36.28</v>
      </c>
      <c r="J149" s="125">
        <f>IF(Procurement_Raw!J149="","",Procurement_Raw!J149)</f>
        <v>253.95</v>
      </c>
      <c r="K149" s="77">
        <f>Procurement_Raw!K149</f>
        <v>30</v>
      </c>
      <c r="L149" t="str">
        <f>Procurement_Raw!L149</f>
        <v>Procurement Portal</v>
      </c>
      <c r="M149" t="str">
        <f>Procurement_Raw!O149</f>
        <v>N</v>
      </c>
      <c r="N149" t="str">
        <f>IF(E149="","Missing supplier",IF(B149="","Missing site",IF(J149="","Missing spend",IF(COUNTIFS($G$2:G149,G149,$E$2:E149,E149,$J$2:J149,J149)&gt;1,"Duplicate invoice",IF(COUNTIF($G$2:$G$1801,G149)&gt;1,"Duplicate ID - review",IF(AND(P149&lt;&gt;"Unmapped",P149&lt;&gt;F149),"Category mismatch","OK"))))))</f>
        <v>OK</v>
      </c>
      <c r="O149" s="125">
        <f t="shared" si="6"/>
        <v>253.95</v>
      </c>
      <c r="P149" t="str">
        <f>IF(E149="","Unmapped",IFERROR(INDEX(Supplier_Lookup!$B$2:$B$25,MATCH(E149,Supplier_Lookup!$A$2:$A$25,0)),"Unmapped"))</f>
        <v>Office &amp; Training</v>
      </c>
      <c r="Q149" s="76">
        <f>IFERROR(INDEX(Category_Targets!$B$2:$B$9,MATCH(F149,Category_Targets!$A$2:$A$9,0)),0)</f>
        <v>0.04</v>
      </c>
      <c r="R149" s="125">
        <f t="shared" si="7"/>
        <v>10.157999999999999</v>
      </c>
      <c r="S149" s="78">
        <f t="shared" si="8"/>
        <v>45870</v>
      </c>
      <c r="T149" t="str">
        <f>IFERROR(VLOOKUP(B149,Sites!$A$2:$D$21,4,FALSE()),"Unknown")</f>
        <v>Brighton</v>
      </c>
      <c r="U149" t="str">
        <f>IF(N149="OK","",COUNTIF($N$2:N149,"&lt;&gt;OK"))</f>
        <v/>
      </c>
      <c r="V149">
        <f>IF(OR(NOT(EXACT(E149,TRIM(Procurement_Raw!E149))),NOT(EXACT(F149,TRIM(Procurement_Raw!F149)))),1,0)</f>
        <v>0</v>
      </c>
    </row>
    <row r="150" spans="1:22" ht="15" customHeight="1" x14ac:dyDescent="0.25">
      <c r="A150" s="123">
        <f>Procurement_Raw!A150</f>
        <v>45882</v>
      </c>
      <c r="B150" t="str">
        <f>TRIM(Procurement_Raw!B150)</f>
        <v>S009</v>
      </c>
      <c r="C150" t="str">
        <f>Procurement_Raw!C150</f>
        <v>Derby Care &amp; Education Centre</v>
      </c>
      <c r="D150" t="str">
        <f>Procurement_Raw!D150</f>
        <v>Midlands</v>
      </c>
      <c r="E150" t="str">
        <f>IF(TRIM(Procurement_Raw!E150)="","",IFERROR(INDEX(Supplier_Lookup!$A$2:$A$25,MATCH(TRIM(Procurement_Raw!E150),Supplier_Lookup!$A$2:$A$25,0)),TRIM(Procurement_Raw!E150)))</f>
        <v>SafeGuard FM</v>
      </c>
      <c r="F150" t="str">
        <f>IFERROR(INDEX(Category_Targets!$A$2:$A$9,MATCH(TRIM(Procurement_Raw!F150),Category_Targets!$A$2:$A$9,0)),"Unmapped")</f>
        <v>Facilities</v>
      </c>
      <c r="G150" t="str">
        <f>TRIM(Procurement_Raw!G150)</f>
        <v>INV-2025-00149</v>
      </c>
      <c r="H150" s="77">
        <f>Procurement_Raw!H150</f>
        <v>63</v>
      </c>
      <c r="I150" s="124">
        <f>Procurement_Raw!I150</f>
        <v>239.85</v>
      </c>
      <c r="J150" s="125">
        <f>IF(Procurement_Raw!J150="","",Procurement_Raw!J150)</f>
        <v>15110.72</v>
      </c>
      <c r="K150" s="77">
        <f>Procurement_Raw!K150</f>
        <v>30</v>
      </c>
      <c r="L150" t="str">
        <f>Procurement_Raw!L150</f>
        <v>ERP</v>
      </c>
      <c r="M150" t="str">
        <f>Procurement_Raw!O150</f>
        <v>N</v>
      </c>
      <c r="N150" t="str">
        <f>IF(E150="","Missing supplier",IF(B150="","Missing site",IF(J150="","Missing spend",IF(COUNTIFS($G$2:G150,G150,$E$2:E150,E150,$J$2:J150,J150)&gt;1,"Duplicate invoice",IF(COUNTIF($G$2:$G$1801,G150)&gt;1,"Duplicate ID - review",IF(AND(P150&lt;&gt;"Unmapped",P150&lt;&gt;F150),"Category mismatch","OK"))))))</f>
        <v>OK</v>
      </c>
      <c r="O150" s="125">
        <f t="shared" si="6"/>
        <v>15110.72</v>
      </c>
      <c r="P150" t="str">
        <f>IF(E150="","Unmapped",IFERROR(INDEX(Supplier_Lookup!$B$2:$B$25,MATCH(E150,Supplier_Lookup!$A$2:$A$25,0)),"Unmapped"))</f>
        <v>Facilities</v>
      </c>
      <c r="Q150" s="76">
        <f>IFERROR(INDEX(Category_Targets!$B$2:$B$9,MATCH(F150,Category_Targets!$A$2:$A$9,0)),0)</f>
        <v>0.05</v>
      </c>
      <c r="R150" s="125">
        <f t="shared" si="7"/>
        <v>755.53600000000006</v>
      </c>
      <c r="S150" s="78">
        <f t="shared" si="8"/>
        <v>45870</v>
      </c>
      <c r="T150" t="str">
        <f>IFERROR(VLOOKUP(B150,Sites!$A$2:$D$21,4,FALSE()),"Unknown")</f>
        <v>Derby</v>
      </c>
      <c r="U150" t="str">
        <f>IF(N150="OK","",COUNTIF($N$2:N150,"&lt;&gt;OK"))</f>
        <v/>
      </c>
      <c r="V150">
        <f>IF(OR(NOT(EXACT(E150,TRIM(Procurement_Raw!E150))),NOT(EXACT(F150,TRIM(Procurement_Raw!F150)))),1,0)</f>
        <v>0</v>
      </c>
    </row>
    <row r="151" spans="1:22" ht="15" customHeight="1" x14ac:dyDescent="0.25">
      <c r="A151" s="123">
        <f>Procurement_Raw!A151</f>
        <v>45739</v>
      </c>
      <c r="B151" t="str">
        <f>TRIM(Procurement_Raw!B151)</f>
        <v>S005</v>
      </c>
      <c r="C151" t="str">
        <f>Procurement_Raw!C151</f>
        <v>Sheffield Care &amp; Education Centre</v>
      </c>
      <c r="D151" t="str">
        <f>Procurement_Raw!D151</f>
        <v>North</v>
      </c>
      <c r="E151" t="str">
        <f>IF(TRIM(Procurement_Raw!E151)="","",IFERROR(INDEX(Supplier_Lookup!$A$2:$A$25,MATCH(TRIM(Procurement_Raw!E151),Supplier_Lookup!$A$2:$A$25,0)),TRIM(Procurement_Raw!E151)))</f>
        <v>PowerDirect</v>
      </c>
      <c r="F151" t="str">
        <f>IFERROR(INDEX(Category_Targets!$A$2:$A$9,MATCH(TRIM(Procurement_Raw!F151),Category_Targets!$A$2:$A$9,0)),"Unmapped")</f>
        <v>Utilities</v>
      </c>
      <c r="G151" t="str">
        <f>TRIM(Procurement_Raw!G151)</f>
        <v>INV-2025-00150</v>
      </c>
      <c r="H151" s="77">
        <f>Procurement_Raw!H151</f>
        <v>40</v>
      </c>
      <c r="I151" s="124">
        <f>Procurement_Raw!I151</f>
        <v>294.36</v>
      </c>
      <c r="J151" s="125">
        <f>IF(Procurement_Raw!J151="","",Procurement_Raw!J151)</f>
        <v>11774.39</v>
      </c>
      <c r="K151" s="77">
        <f>Procurement_Raw!K151</f>
        <v>60</v>
      </c>
      <c r="L151" t="str">
        <f>Procurement_Raw!L151</f>
        <v>ERP</v>
      </c>
      <c r="M151" t="str">
        <f>Procurement_Raw!O151</f>
        <v>N</v>
      </c>
      <c r="N151" t="str">
        <f>IF(E151="","Missing supplier",IF(B151="","Missing site",IF(J151="","Missing spend",IF(COUNTIFS($G$2:G151,G151,$E$2:E151,E151,$J$2:J151,J151)&gt;1,"Duplicate invoice",IF(COUNTIF($G$2:$G$1801,G151)&gt;1,"Duplicate ID - review",IF(AND(P151&lt;&gt;"Unmapped",P151&lt;&gt;F151),"Category mismatch","OK"))))))</f>
        <v>OK</v>
      </c>
      <c r="O151" s="125">
        <f t="shared" si="6"/>
        <v>11774.39</v>
      </c>
      <c r="P151" t="str">
        <f>IF(E151="","Unmapped",IFERROR(INDEX(Supplier_Lookup!$B$2:$B$25,MATCH(E151,Supplier_Lookup!$A$2:$A$25,0)),"Unmapped"))</f>
        <v>Utilities</v>
      </c>
      <c r="Q151" s="76">
        <f>IFERROR(INDEX(Category_Targets!$B$2:$B$9,MATCH(F151,Category_Targets!$A$2:$A$9,0)),0)</f>
        <v>0.03</v>
      </c>
      <c r="R151" s="125">
        <f t="shared" si="7"/>
        <v>353.23169999999999</v>
      </c>
      <c r="S151" s="78">
        <f t="shared" si="8"/>
        <v>45717</v>
      </c>
      <c r="T151" t="str">
        <f>IFERROR(VLOOKUP(B151,Sites!$A$2:$D$21,4,FALSE()),"Unknown")</f>
        <v>Sheffield</v>
      </c>
      <c r="U151" t="str">
        <f>IF(N151="OK","",COUNTIF($N$2:N151,"&lt;&gt;OK"))</f>
        <v/>
      </c>
      <c r="V151">
        <f>IF(OR(NOT(EXACT(E151,TRIM(Procurement_Raw!E151))),NOT(EXACT(F151,TRIM(Procurement_Raw!F151)))),1,0)</f>
        <v>0</v>
      </c>
    </row>
    <row r="152" spans="1:22" ht="15" customHeight="1" x14ac:dyDescent="0.25">
      <c r="A152" s="123">
        <f>Procurement_Raw!A152</f>
        <v>45773</v>
      </c>
      <c r="B152" t="str">
        <f>TRIM(Procurement_Raw!B152)</f>
        <v>S005</v>
      </c>
      <c r="C152" t="str">
        <f>Procurement_Raw!C152</f>
        <v>Sheffield Care &amp; Education Centre</v>
      </c>
      <c r="D152" t="str">
        <f>Procurement_Raw!D152</f>
        <v>North</v>
      </c>
      <c r="E152" t="str">
        <f>IF(TRIM(Procurement_Raw!E152)="","",IFERROR(INDEX(Supplier_Lookup!$A$2:$A$25,MATCH(TRIM(Procurement_Raw!E152),Supplier_Lookup!$A$2:$A$25,0)),TRIM(Procurement_Raw!E152)))</f>
        <v>HealthStaffing</v>
      </c>
      <c r="F152" t="str">
        <f>IFERROR(INDEX(Category_Targets!$A$2:$A$9,MATCH(TRIM(Procurement_Raw!F152),Category_Targets!$A$2:$A$9,0)),"Unmapped")</f>
        <v>Agency Labour</v>
      </c>
      <c r="G152" t="str">
        <f>TRIM(Procurement_Raw!G152)</f>
        <v>INV-2025-00151</v>
      </c>
      <c r="H152" s="77">
        <f>Procurement_Raw!H152</f>
        <v>15</v>
      </c>
      <c r="I152" s="124">
        <f>Procurement_Raw!I152</f>
        <v>344.31</v>
      </c>
      <c r="J152" s="125">
        <f>IF(Procurement_Raw!J152="","",Procurement_Raw!J152)</f>
        <v>5164.71</v>
      </c>
      <c r="K152" s="77">
        <f>Procurement_Raw!K152</f>
        <v>45</v>
      </c>
      <c r="L152" t="str">
        <f>Procurement_Raw!L152</f>
        <v>ERP</v>
      </c>
      <c r="M152" t="str">
        <f>Procurement_Raw!O152</f>
        <v>N</v>
      </c>
      <c r="N152" t="str">
        <f>IF(E152="","Missing supplier",IF(B152="","Missing site",IF(J152="","Missing spend",IF(COUNTIFS($G$2:G152,G152,$E$2:E152,E152,$J$2:J152,J152)&gt;1,"Duplicate invoice",IF(COUNTIF($G$2:$G$1801,G152)&gt;1,"Duplicate ID - review",IF(AND(P152&lt;&gt;"Unmapped",P152&lt;&gt;F152),"Category mismatch","OK"))))))</f>
        <v>OK</v>
      </c>
      <c r="O152" s="125">
        <f t="shared" si="6"/>
        <v>5164.71</v>
      </c>
      <c r="P152" t="str">
        <f>IF(E152="","Unmapped",IFERROR(INDEX(Supplier_Lookup!$B$2:$B$25,MATCH(E152,Supplier_Lookup!$A$2:$A$25,0)),"Unmapped"))</f>
        <v>Agency Labour</v>
      </c>
      <c r="Q152" s="76">
        <f>IFERROR(INDEX(Category_Targets!$B$2:$B$9,MATCH(F152,Category_Targets!$A$2:$A$9,0)),0)</f>
        <v>7.0000000000000007E-2</v>
      </c>
      <c r="R152" s="125">
        <f t="shared" si="7"/>
        <v>361.52970000000005</v>
      </c>
      <c r="S152" s="78">
        <f t="shared" si="8"/>
        <v>45748</v>
      </c>
      <c r="T152" t="str">
        <f>IFERROR(VLOOKUP(B152,Sites!$A$2:$D$21,4,FALSE()),"Unknown")</f>
        <v>Sheffield</v>
      </c>
      <c r="U152" t="str">
        <f>IF(N152="OK","",COUNTIF($N$2:N152,"&lt;&gt;OK"))</f>
        <v/>
      </c>
      <c r="V152">
        <f>IF(OR(NOT(EXACT(E152,TRIM(Procurement_Raw!E152))),NOT(EXACT(F152,TRIM(Procurement_Raw!F152)))),1,0)</f>
        <v>0</v>
      </c>
    </row>
    <row r="153" spans="1:22" ht="15" customHeight="1" x14ac:dyDescent="0.25">
      <c r="A153" s="123">
        <f>Procurement_Raw!A153</f>
        <v>45807</v>
      </c>
      <c r="B153" t="str">
        <f>TRIM(Procurement_Raw!B153)</f>
        <v>S018</v>
      </c>
      <c r="C153" t="str">
        <f>Procurement_Raw!C153</f>
        <v>Newport Care &amp; Education Centre</v>
      </c>
      <c r="D153" t="str">
        <f>Procurement_Raw!D153</f>
        <v>Wales</v>
      </c>
      <c r="E153" t="str">
        <f>IF(TRIM(Procurement_Raw!E153)="","",IFERROR(INDEX(Supplier_Lookup!$A$2:$A$25,MATCH(TRIM(Procurement_Raw!E153),Supplier_Lookup!$A$2:$A$25,0)),TRIM(Procurement_Raw!E153)))</f>
        <v>SafeGuard FM</v>
      </c>
      <c r="F153" t="str">
        <f>IFERROR(INDEX(Category_Targets!$A$2:$A$9,MATCH(TRIM(Procurement_Raw!F153),Category_Targets!$A$2:$A$9,0)),"Unmapped")</f>
        <v>Facilities</v>
      </c>
      <c r="G153" t="str">
        <f>TRIM(Procurement_Raw!G153)</f>
        <v>INV-2025-00152</v>
      </c>
      <c r="H153" s="77">
        <f>Procurement_Raw!H153</f>
        <v>66</v>
      </c>
      <c r="I153" s="124">
        <f>Procurement_Raw!I153</f>
        <v>217.78</v>
      </c>
      <c r="J153" s="125">
        <f>IF(Procurement_Raw!J153="","",Procurement_Raw!J153)</f>
        <v>14373.74</v>
      </c>
      <c r="K153" s="77">
        <f>Procurement_Raw!K153</f>
        <v>60</v>
      </c>
      <c r="L153" t="str">
        <f>Procurement_Raw!L153</f>
        <v>Procurement Portal</v>
      </c>
      <c r="M153" t="str">
        <f>Procurement_Raw!O153</f>
        <v>N</v>
      </c>
      <c r="N153" t="str">
        <f>IF(E153="","Missing supplier",IF(B153="","Missing site",IF(J153="","Missing spend",IF(COUNTIFS($G$2:G153,G153,$E$2:E153,E153,$J$2:J153,J153)&gt;1,"Duplicate invoice",IF(COUNTIF($G$2:$G$1801,G153)&gt;1,"Duplicate ID - review",IF(AND(P153&lt;&gt;"Unmapped",P153&lt;&gt;F153),"Category mismatch","OK"))))))</f>
        <v>OK</v>
      </c>
      <c r="O153" s="125">
        <f t="shared" si="6"/>
        <v>14373.74</v>
      </c>
      <c r="P153" t="str">
        <f>IF(E153="","Unmapped",IFERROR(INDEX(Supplier_Lookup!$B$2:$B$25,MATCH(E153,Supplier_Lookup!$A$2:$A$25,0)),"Unmapped"))</f>
        <v>Facilities</v>
      </c>
      <c r="Q153" s="76">
        <f>IFERROR(INDEX(Category_Targets!$B$2:$B$9,MATCH(F153,Category_Targets!$A$2:$A$9,0)),0)</f>
        <v>0.05</v>
      </c>
      <c r="R153" s="125">
        <f t="shared" si="7"/>
        <v>718.68700000000001</v>
      </c>
      <c r="S153" s="78">
        <f t="shared" si="8"/>
        <v>45778</v>
      </c>
      <c r="T153" t="str">
        <f>IFERROR(VLOOKUP(B153,Sites!$A$2:$D$21,4,FALSE()),"Unknown")</f>
        <v>Newport</v>
      </c>
      <c r="U153" t="str">
        <f>IF(N153="OK","",COUNTIF($N$2:N153,"&lt;&gt;OK"))</f>
        <v/>
      </c>
      <c r="V153">
        <f>IF(OR(NOT(EXACT(E153,TRIM(Procurement_Raw!E153))),NOT(EXACT(F153,TRIM(Procurement_Raw!F153)))),1,0)</f>
        <v>0</v>
      </c>
    </row>
    <row r="154" spans="1:22" ht="15" customHeight="1" x14ac:dyDescent="0.25">
      <c r="A154" s="123">
        <f>Procurement_Raw!A154</f>
        <v>45782</v>
      </c>
      <c r="B154" t="str">
        <f>TRIM(Procurement_Raw!B154)</f>
        <v>S012</v>
      </c>
      <c r="C154" t="str">
        <f>Procurement_Raw!C154</f>
        <v>Bristol Care &amp; Education Centre</v>
      </c>
      <c r="D154" t="str">
        <f>Procurement_Raw!D154</f>
        <v>South</v>
      </c>
      <c r="E154" t="str">
        <f>IF(TRIM(Procurement_Raw!E154)="","",IFERROR(INDEX(Supplier_Lookup!$A$2:$A$25,MATCH(TRIM(Procurement_Raw!E154),Supplier_Lookup!$A$2:$A$25,0)),TRIM(Procurement_Raw!E154)))</f>
        <v>LearnWell</v>
      </c>
      <c r="F154" t="str">
        <f>IFERROR(INDEX(Category_Targets!$A$2:$A$9,MATCH(TRIM(Procurement_Raw!F154),Category_Targets!$A$2:$A$9,0)),"Unmapped")</f>
        <v>Office &amp; Training</v>
      </c>
      <c r="G154" t="str">
        <f>TRIM(Procurement_Raw!G154)</f>
        <v>INV-2025-00153</v>
      </c>
      <c r="H154" s="77">
        <f>Procurement_Raw!H154</f>
        <v>59</v>
      </c>
      <c r="I154" s="124">
        <f>Procurement_Raw!I154</f>
        <v>51.6</v>
      </c>
      <c r="J154" s="125">
        <f>IF(Procurement_Raw!J154="","",Procurement_Raw!J154)</f>
        <v>3044.26</v>
      </c>
      <c r="K154" s="77">
        <f>Procurement_Raw!K154</f>
        <v>60</v>
      </c>
      <c r="L154" t="str">
        <f>Procurement_Raw!L154</f>
        <v>ERP</v>
      </c>
      <c r="M154" t="str">
        <f>Procurement_Raw!O154</f>
        <v>N</v>
      </c>
      <c r="N154" t="str">
        <f>IF(E154="","Missing supplier",IF(B154="","Missing site",IF(J154="","Missing spend",IF(COUNTIFS($G$2:G154,G154,$E$2:E154,E154,$J$2:J154,J154)&gt;1,"Duplicate invoice",IF(COUNTIF($G$2:$G$1801,G154)&gt;1,"Duplicate ID - review",IF(AND(P154&lt;&gt;"Unmapped",P154&lt;&gt;F154),"Category mismatch","OK"))))))</f>
        <v>OK</v>
      </c>
      <c r="O154" s="125">
        <f t="shared" si="6"/>
        <v>3044.26</v>
      </c>
      <c r="P154" t="str">
        <f>IF(E154="","Unmapped",IFERROR(INDEX(Supplier_Lookup!$B$2:$B$25,MATCH(E154,Supplier_Lookup!$A$2:$A$25,0)),"Unmapped"))</f>
        <v>Office &amp; Training</v>
      </c>
      <c r="Q154" s="76">
        <f>IFERROR(INDEX(Category_Targets!$B$2:$B$9,MATCH(F154,Category_Targets!$A$2:$A$9,0)),0)</f>
        <v>0.04</v>
      </c>
      <c r="R154" s="125">
        <f t="shared" si="7"/>
        <v>121.77040000000001</v>
      </c>
      <c r="S154" s="78">
        <f t="shared" si="8"/>
        <v>45778</v>
      </c>
      <c r="T154" t="str">
        <f>IFERROR(VLOOKUP(B154,Sites!$A$2:$D$21,4,FALSE()),"Unknown")</f>
        <v>Bristol</v>
      </c>
      <c r="U154" t="str">
        <f>IF(N154="OK","",COUNTIF($N$2:N154,"&lt;&gt;OK"))</f>
        <v/>
      </c>
      <c r="V154">
        <f>IF(OR(NOT(EXACT(E154,TRIM(Procurement_Raw!E154))),NOT(EXACT(F154,TRIM(Procurement_Raw!F154)))),1,0)</f>
        <v>0</v>
      </c>
    </row>
    <row r="155" spans="1:22" ht="15" customHeight="1" x14ac:dyDescent="0.25">
      <c r="A155" s="123">
        <f>Procurement_Raw!A155</f>
        <v>45918</v>
      </c>
      <c r="B155" t="str">
        <f>TRIM(Procurement_Raw!B155)</f>
        <v>S005</v>
      </c>
      <c r="C155" t="str">
        <f>Procurement_Raw!C155</f>
        <v>Sheffield Care &amp; Education Centre</v>
      </c>
      <c r="D155" t="str">
        <f>Procurement_Raw!D155</f>
        <v>North</v>
      </c>
      <c r="E155" t="str">
        <f>IF(TRIM(Procurement_Raw!E155)="","",IFERROR(INDEX(Supplier_Lookup!$A$2:$A$25,MATCH(TRIM(Procurement_Raw!E155),Supplier_Lookup!$A$2:$A$25,0)),TRIM(Procurement_Raw!E155)))</f>
        <v>PowerDirect</v>
      </c>
      <c r="F155" t="str">
        <f>IFERROR(INDEX(Category_Targets!$A$2:$A$9,MATCH(TRIM(Procurement_Raw!F155),Category_Targets!$A$2:$A$9,0)),"Unmapped")</f>
        <v>Utilities</v>
      </c>
      <c r="G155" t="str">
        <f>TRIM(Procurement_Raw!G155)</f>
        <v>INV-2025-00154</v>
      </c>
      <c r="H155" s="77">
        <f>Procurement_Raw!H155</f>
        <v>18</v>
      </c>
      <c r="I155" s="124">
        <f>Procurement_Raw!I155</f>
        <v>284.06</v>
      </c>
      <c r="J155" s="125">
        <f>IF(Procurement_Raw!J155="","",Procurement_Raw!J155)</f>
        <v>5113.16</v>
      </c>
      <c r="K155" s="77">
        <f>Procurement_Raw!K155</f>
        <v>30</v>
      </c>
      <c r="L155" t="str">
        <f>Procurement_Raw!L155</f>
        <v>Procurement Portal</v>
      </c>
      <c r="M155" t="str">
        <f>Procurement_Raw!O155</f>
        <v>N</v>
      </c>
      <c r="N155" t="str">
        <f>IF(E155="","Missing supplier",IF(B155="","Missing site",IF(J155="","Missing spend",IF(COUNTIFS($G$2:G155,G155,$E$2:E155,E155,$J$2:J155,J155)&gt;1,"Duplicate invoice",IF(COUNTIF($G$2:$G$1801,G155)&gt;1,"Duplicate ID - review",IF(AND(P155&lt;&gt;"Unmapped",P155&lt;&gt;F155),"Category mismatch","OK"))))))</f>
        <v>OK</v>
      </c>
      <c r="O155" s="125">
        <f t="shared" si="6"/>
        <v>5113.16</v>
      </c>
      <c r="P155" t="str">
        <f>IF(E155="","Unmapped",IFERROR(INDEX(Supplier_Lookup!$B$2:$B$25,MATCH(E155,Supplier_Lookup!$A$2:$A$25,0)),"Unmapped"))</f>
        <v>Utilities</v>
      </c>
      <c r="Q155" s="76">
        <f>IFERROR(INDEX(Category_Targets!$B$2:$B$9,MATCH(F155,Category_Targets!$A$2:$A$9,0)),0)</f>
        <v>0.03</v>
      </c>
      <c r="R155" s="125">
        <f t="shared" si="7"/>
        <v>153.3948</v>
      </c>
      <c r="S155" s="78">
        <f t="shared" si="8"/>
        <v>45901</v>
      </c>
      <c r="T155" t="str">
        <f>IFERROR(VLOOKUP(B155,Sites!$A$2:$D$21,4,FALSE()),"Unknown")</f>
        <v>Sheffield</v>
      </c>
      <c r="U155" t="str">
        <f>IF(N155="OK","",COUNTIF($N$2:N155,"&lt;&gt;OK"))</f>
        <v/>
      </c>
      <c r="V155">
        <f>IF(OR(NOT(EXACT(E155,TRIM(Procurement_Raw!E155))),NOT(EXACT(F155,TRIM(Procurement_Raw!F155)))),1,0)</f>
        <v>0</v>
      </c>
    </row>
    <row r="156" spans="1:22" ht="15" customHeight="1" x14ac:dyDescent="0.25">
      <c r="A156" s="123">
        <f>Procurement_Raw!A156</f>
        <v>45794</v>
      </c>
      <c r="B156" t="str">
        <f>TRIM(Procurement_Raw!B156)</f>
        <v>S007</v>
      </c>
      <c r="C156" t="str">
        <f>Procurement_Raw!C156</f>
        <v>Nottingham Care &amp; Education Centre</v>
      </c>
      <c r="D156" t="str">
        <f>Procurement_Raw!D156</f>
        <v>Midlands</v>
      </c>
      <c r="E156" t="str">
        <f>IF(TRIM(Procurement_Raw!E156)="","",IFERROR(INDEX(Supplier_Lookup!$A$2:$A$25,MATCH(TRIM(Procurement_Raw!E156),Supplier_Lookup!$A$2:$A$25,0)),TRIM(Procurement_Raw!E156)))</f>
        <v>AutoCare</v>
      </c>
      <c r="F156" t="str">
        <f>IFERROR(INDEX(Category_Targets!$A$2:$A$9,MATCH(TRIM(Procurement_Raw!F156),Category_Targets!$A$2:$A$9,0)),"Unmapped")</f>
        <v>Vehicle &amp; Fuel</v>
      </c>
      <c r="G156" t="str">
        <f>TRIM(Procurement_Raw!G156)</f>
        <v>INV-2025-00155</v>
      </c>
      <c r="H156" s="77">
        <f>Procurement_Raw!H156</f>
        <v>1</v>
      </c>
      <c r="I156" s="124">
        <f>Procurement_Raw!I156</f>
        <v>111.62</v>
      </c>
      <c r="J156" s="125">
        <f>IF(Procurement_Raw!J156="","",Procurement_Raw!J156)</f>
        <v>111.62</v>
      </c>
      <c r="K156" s="77">
        <f>Procurement_Raw!K156</f>
        <v>45</v>
      </c>
      <c r="L156" t="str">
        <f>Procurement_Raw!L156</f>
        <v>Legacy Spend File</v>
      </c>
      <c r="M156" t="str">
        <f>Procurement_Raw!O156</f>
        <v>N</v>
      </c>
      <c r="N156" t="str">
        <f>IF(E156="","Missing supplier",IF(B156="","Missing site",IF(J156="","Missing spend",IF(COUNTIFS($G$2:G156,G156,$E$2:E156,E156,$J$2:J156,J156)&gt;1,"Duplicate invoice",IF(COUNTIF($G$2:$G$1801,G156)&gt;1,"Duplicate ID - review",IF(AND(P156&lt;&gt;"Unmapped",P156&lt;&gt;F156),"Category mismatch","OK"))))))</f>
        <v>OK</v>
      </c>
      <c r="O156" s="125">
        <f t="shared" si="6"/>
        <v>111.62</v>
      </c>
      <c r="P156" t="str">
        <f>IF(E156="","Unmapped",IFERROR(INDEX(Supplier_Lookup!$B$2:$B$25,MATCH(E156,Supplier_Lookup!$A$2:$A$25,0)),"Unmapped"))</f>
        <v>Vehicle &amp; Fuel</v>
      </c>
      <c r="Q156" s="76">
        <f>IFERROR(INDEX(Category_Targets!$B$2:$B$9,MATCH(F156,Category_Targets!$A$2:$A$9,0)),0)</f>
        <v>0.05</v>
      </c>
      <c r="R156" s="125">
        <f t="shared" si="7"/>
        <v>5.5810000000000004</v>
      </c>
      <c r="S156" s="78">
        <f t="shared" si="8"/>
        <v>45778</v>
      </c>
      <c r="T156" t="str">
        <f>IFERROR(VLOOKUP(B156,Sites!$A$2:$D$21,4,FALSE()),"Unknown")</f>
        <v>Nottingham</v>
      </c>
      <c r="U156" t="str">
        <f>IF(N156="OK","",COUNTIF($N$2:N156,"&lt;&gt;OK"))</f>
        <v/>
      </c>
      <c r="V156">
        <f>IF(OR(NOT(EXACT(E156,TRIM(Procurement_Raw!E156))),NOT(EXACT(F156,TRIM(Procurement_Raw!F156)))),1,0)</f>
        <v>0</v>
      </c>
    </row>
    <row r="157" spans="1:22" ht="15" customHeight="1" x14ac:dyDescent="0.25">
      <c r="A157" s="123">
        <f>Procurement_Raw!A157</f>
        <v>45886</v>
      </c>
      <c r="B157" t="str">
        <f>TRIM(Procurement_Raw!B157)</f>
        <v>S003</v>
      </c>
      <c r="C157" t="str">
        <f>Procurement_Raw!C157</f>
        <v>Leeds Care &amp; Education Centre</v>
      </c>
      <c r="D157" t="str">
        <f>Procurement_Raw!D157</f>
        <v>North</v>
      </c>
      <c r="E157" t="str">
        <f>IF(TRIM(Procurement_Raw!E157)="","",IFERROR(INDEX(Supplier_Lookup!$A$2:$A$25,MATCH(TRIM(Procurement_Raw!E157),Supplier_Lookup!$A$2:$A$25,0)),TRIM(Procurement_Raw!E157)))</f>
        <v>OfficePlus</v>
      </c>
      <c r="F157" t="str">
        <f>IFERROR(INDEX(Category_Targets!$A$2:$A$9,MATCH(TRIM(Procurement_Raw!F157),Category_Targets!$A$2:$A$9,0)),"Unmapped")</f>
        <v>Office &amp; Training</v>
      </c>
      <c r="G157" t="str">
        <f>TRIM(Procurement_Raw!G157)</f>
        <v>INV-2025-00156</v>
      </c>
      <c r="H157" s="77">
        <f>Procurement_Raw!H157</f>
        <v>69</v>
      </c>
      <c r="I157" s="124">
        <f>Procurement_Raw!I157</f>
        <v>50.63</v>
      </c>
      <c r="J157" s="125">
        <f>IF(Procurement_Raw!J157="","",Procurement_Raw!J157)</f>
        <v>3493.65</v>
      </c>
      <c r="K157" s="77">
        <f>Procurement_Raw!K157</f>
        <v>45</v>
      </c>
      <c r="L157" t="str">
        <f>Procurement_Raw!L157</f>
        <v>Procurement Portal</v>
      </c>
      <c r="M157" t="str">
        <f>Procurement_Raw!O157</f>
        <v>N</v>
      </c>
      <c r="N157" t="str">
        <f>IF(E157="","Missing supplier",IF(B157="","Missing site",IF(J157="","Missing spend",IF(COUNTIFS($G$2:G157,G157,$E$2:E157,E157,$J$2:J157,J157)&gt;1,"Duplicate invoice",IF(COUNTIF($G$2:$G$1801,G157)&gt;1,"Duplicate ID - review",IF(AND(P157&lt;&gt;"Unmapped",P157&lt;&gt;F157),"Category mismatch","OK"))))))</f>
        <v>OK</v>
      </c>
      <c r="O157" s="125">
        <f t="shared" si="6"/>
        <v>3493.65</v>
      </c>
      <c r="P157" t="str">
        <f>IF(E157="","Unmapped",IFERROR(INDEX(Supplier_Lookup!$B$2:$B$25,MATCH(E157,Supplier_Lookup!$A$2:$A$25,0)),"Unmapped"))</f>
        <v>Office &amp; Training</v>
      </c>
      <c r="Q157" s="76">
        <f>IFERROR(INDEX(Category_Targets!$B$2:$B$9,MATCH(F157,Category_Targets!$A$2:$A$9,0)),0)</f>
        <v>0.04</v>
      </c>
      <c r="R157" s="125">
        <f t="shared" si="7"/>
        <v>139.74600000000001</v>
      </c>
      <c r="S157" s="78">
        <f t="shared" si="8"/>
        <v>45870</v>
      </c>
      <c r="T157" t="str">
        <f>IFERROR(VLOOKUP(B157,Sites!$A$2:$D$21,4,FALSE()),"Unknown")</f>
        <v>Leeds</v>
      </c>
      <c r="U157" t="str">
        <f>IF(N157="OK","",COUNTIF($N$2:N157,"&lt;&gt;OK"))</f>
        <v/>
      </c>
      <c r="V157">
        <f>IF(OR(NOT(EXACT(E157,TRIM(Procurement_Raw!E157))),NOT(EXACT(F157,TRIM(Procurement_Raw!F157)))),1,0)</f>
        <v>0</v>
      </c>
    </row>
    <row r="158" spans="1:22" ht="15" customHeight="1" x14ac:dyDescent="0.25">
      <c r="A158" s="123">
        <f>Procurement_Raw!A158</f>
        <v>45822</v>
      </c>
      <c r="B158" t="str">
        <f>TRIM(Procurement_Raw!B158)</f>
        <v>S006</v>
      </c>
      <c r="C158" t="str">
        <f>Procurement_Raw!C158</f>
        <v>Birmingham Care &amp; Education Centre</v>
      </c>
      <c r="D158" t="str">
        <f>Procurement_Raw!D158</f>
        <v>Midlands</v>
      </c>
      <c r="E158" t="str">
        <f>IF(TRIM(Procurement_Raw!E158)="","",IFERROR(INDEX(Supplier_Lookup!$A$2:$A$25,MATCH(TRIM(Procurement_Raw!E158),Supplier_Lookup!$A$2:$A$25,0)),TRIM(Procurement_Raw!E158)))</f>
        <v>CareTemps</v>
      </c>
      <c r="F158" t="str">
        <f>IFERROR(INDEX(Category_Targets!$A$2:$A$9,MATCH(TRIM(Procurement_Raw!F158),Category_Targets!$A$2:$A$9,0)),"Unmapped")</f>
        <v>Agency Labour</v>
      </c>
      <c r="G158" t="str">
        <f>TRIM(Procurement_Raw!G158)</f>
        <v>INV-2025-00157</v>
      </c>
      <c r="H158" s="77">
        <f>Procurement_Raw!H158</f>
        <v>25</v>
      </c>
      <c r="I158" s="124">
        <f>Procurement_Raw!I158</f>
        <v>837.11</v>
      </c>
      <c r="J158" s="125">
        <f>IF(Procurement_Raw!J158="","",Procurement_Raw!J158)</f>
        <v>20927.810000000001</v>
      </c>
      <c r="K158" s="77">
        <f>Procurement_Raw!K158</f>
        <v>60</v>
      </c>
      <c r="L158" t="str">
        <f>Procurement_Raw!L158</f>
        <v>ERP</v>
      </c>
      <c r="M158" t="str">
        <f>Procurement_Raw!O158</f>
        <v>N</v>
      </c>
      <c r="N158" t="str">
        <f>IF(E158="","Missing supplier",IF(B158="","Missing site",IF(J158="","Missing spend",IF(COUNTIFS($G$2:G158,G158,$E$2:E158,E158,$J$2:J158,J158)&gt;1,"Duplicate invoice",IF(COUNTIF($G$2:$G$1801,G158)&gt;1,"Duplicate ID - review",IF(AND(P158&lt;&gt;"Unmapped",P158&lt;&gt;F158),"Category mismatch","OK"))))))</f>
        <v>OK</v>
      </c>
      <c r="O158" s="125">
        <f t="shared" si="6"/>
        <v>20927.810000000001</v>
      </c>
      <c r="P158" t="str">
        <f>IF(E158="","Unmapped",IFERROR(INDEX(Supplier_Lookup!$B$2:$B$25,MATCH(E158,Supplier_Lookup!$A$2:$A$25,0)),"Unmapped"))</f>
        <v>Agency Labour</v>
      </c>
      <c r="Q158" s="76">
        <f>IFERROR(INDEX(Category_Targets!$B$2:$B$9,MATCH(F158,Category_Targets!$A$2:$A$9,0)),0)</f>
        <v>7.0000000000000007E-2</v>
      </c>
      <c r="R158" s="125">
        <f t="shared" si="7"/>
        <v>1464.9467000000002</v>
      </c>
      <c r="S158" s="78">
        <f t="shared" si="8"/>
        <v>45809</v>
      </c>
      <c r="T158" t="str">
        <f>IFERROR(VLOOKUP(B158,Sites!$A$2:$D$21,4,FALSE()),"Unknown")</f>
        <v>Birmingham</v>
      </c>
      <c r="U158" t="str">
        <f>IF(N158="OK","",COUNTIF($N$2:N158,"&lt;&gt;OK"))</f>
        <v/>
      </c>
      <c r="V158">
        <f>IF(OR(NOT(EXACT(E158,TRIM(Procurement_Raw!E158))),NOT(EXACT(F158,TRIM(Procurement_Raw!F158)))),1,0)</f>
        <v>0</v>
      </c>
    </row>
    <row r="159" spans="1:22" ht="15" customHeight="1" x14ac:dyDescent="0.25">
      <c r="A159" s="123">
        <f>Procurement_Raw!A159</f>
        <v>45868</v>
      </c>
      <c r="B159" t="str">
        <f>TRIM(Procurement_Raw!B159)</f>
        <v>S001</v>
      </c>
      <c r="C159" t="str">
        <f>Procurement_Raw!C159</f>
        <v>Preston Care &amp; Education Centre</v>
      </c>
      <c r="D159" t="str">
        <f>Procurement_Raw!D159</f>
        <v>North</v>
      </c>
      <c r="E159" t="str">
        <f>IF(TRIM(Procurement_Raw!E159)="","",IFERROR(INDEX(Supplier_Lookup!$A$2:$A$25,MATCH(TRIM(Procurement_Raw!E159),Supplier_Lookup!$A$2:$A$25,0)),TRIM(Procurement_Raw!E159)))</f>
        <v>HealthStaffing</v>
      </c>
      <c r="F159" t="str">
        <f>IFERROR(INDEX(Category_Targets!$A$2:$A$9,MATCH(TRIM(Procurement_Raw!F159),Category_Targets!$A$2:$A$9,0)),"Unmapped")</f>
        <v>Agency Labour</v>
      </c>
      <c r="G159" t="str">
        <f>TRIM(Procurement_Raw!G159)</f>
        <v>INV-2025-00158</v>
      </c>
      <c r="H159" s="77">
        <f>Procurement_Raw!H159</f>
        <v>6</v>
      </c>
      <c r="I159" s="124">
        <f>Procurement_Raw!I159</f>
        <v>389.32</v>
      </c>
      <c r="J159" s="125">
        <f>IF(Procurement_Raw!J159="","",Procurement_Raw!J159)</f>
        <v>2335.89</v>
      </c>
      <c r="K159" s="77">
        <f>Procurement_Raw!K159</f>
        <v>45</v>
      </c>
      <c r="L159" t="str">
        <f>Procurement_Raw!L159</f>
        <v>Legacy Spend File</v>
      </c>
      <c r="M159" t="str">
        <f>Procurement_Raw!O159</f>
        <v>N</v>
      </c>
      <c r="N159" t="str">
        <f>IF(E159="","Missing supplier",IF(B159="","Missing site",IF(J159="","Missing spend",IF(COUNTIFS($G$2:G159,G159,$E$2:E159,E159,$J$2:J159,J159)&gt;1,"Duplicate invoice",IF(COUNTIF($G$2:$G$1801,G159)&gt;1,"Duplicate ID - review",IF(AND(P159&lt;&gt;"Unmapped",P159&lt;&gt;F159),"Category mismatch","OK"))))))</f>
        <v>OK</v>
      </c>
      <c r="O159" s="125">
        <f t="shared" si="6"/>
        <v>2335.89</v>
      </c>
      <c r="P159" t="str">
        <f>IF(E159="","Unmapped",IFERROR(INDEX(Supplier_Lookup!$B$2:$B$25,MATCH(E159,Supplier_Lookup!$A$2:$A$25,0)),"Unmapped"))</f>
        <v>Agency Labour</v>
      </c>
      <c r="Q159" s="76">
        <f>IFERROR(INDEX(Category_Targets!$B$2:$B$9,MATCH(F159,Category_Targets!$A$2:$A$9,0)),0)</f>
        <v>7.0000000000000007E-2</v>
      </c>
      <c r="R159" s="125">
        <f t="shared" si="7"/>
        <v>163.51230000000001</v>
      </c>
      <c r="S159" s="78">
        <f t="shared" si="8"/>
        <v>45839</v>
      </c>
      <c r="T159" t="str">
        <f>IFERROR(VLOOKUP(B159,Sites!$A$2:$D$21,4,FALSE()),"Unknown")</f>
        <v>Preston</v>
      </c>
      <c r="U159" t="str">
        <f>IF(N159="OK","",COUNTIF($N$2:N159,"&lt;&gt;OK"))</f>
        <v/>
      </c>
      <c r="V159">
        <f>IF(OR(NOT(EXACT(E159,TRIM(Procurement_Raw!E159))),NOT(EXACT(F159,TRIM(Procurement_Raw!F159)))),1,0)</f>
        <v>0</v>
      </c>
    </row>
    <row r="160" spans="1:22" ht="15" customHeight="1" x14ac:dyDescent="0.25">
      <c r="A160" s="123">
        <f>Procurement_Raw!A160</f>
        <v>45997</v>
      </c>
      <c r="B160" t="str">
        <f>TRIM(Procurement_Raw!B160)</f>
        <v>S017</v>
      </c>
      <c r="C160" t="str">
        <f>Procurement_Raw!C160</f>
        <v>Swansea Care &amp; Education Centre</v>
      </c>
      <c r="D160" t="str">
        <f>Procurement_Raw!D160</f>
        <v>Wales</v>
      </c>
      <c r="E160" t="str">
        <f>IF(TRIM(Procurement_Raw!E160)="","",IFERROR(INDEX(Supplier_Lookup!$A$2:$A$25,MATCH(TRIM(Procurement_Raw!E160),Supplier_Lookup!$A$2:$A$25,0)),TRIM(Procurement_Raw!E160)))</f>
        <v>CareTemps</v>
      </c>
      <c r="F160" t="str">
        <f>IFERROR(INDEX(Category_Targets!$A$2:$A$9,MATCH(TRIM(Procurement_Raw!F160),Category_Targets!$A$2:$A$9,0)),"Unmapped")</f>
        <v>Agency Labour</v>
      </c>
      <c r="G160" t="str">
        <f>TRIM(Procurement_Raw!G160)</f>
        <v>INV-2025-00159</v>
      </c>
      <c r="H160" s="77">
        <f>Procurement_Raw!H160</f>
        <v>20</v>
      </c>
      <c r="I160" s="124">
        <f>Procurement_Raw!I160</f>
        <v>155.80000000000001</v>
      </c>
      <c r="J160" s="125">
        <f>IF(Procurement_Raw!J160="","",Procurement_Raw!J160)</f>
        <v>3115.98</v>
      </c>
      <c r="K160" s="77">
        <f>Procurement_Raw!K160</f>
        <v>45</v>
      </c>
      <c r="L160" t="str">
        <f>Procurement_Raw!L160</f>
        <v>ERP</v>
      </c>
      <c r="M160" t="str">
        <f>Procurement_Raw!O160</f>
        <v>N</v>
      </c>
      <c r="N160" t="str">
        <f>IF(E160="","Missing supplier",IF(B160="","Missing site",IF(J160="","Missing spend",IF(COUNTIFS($G$2:G160,G160,$E$2:E160,E160,$J$2:J160,J160)&gt;1,"Duplicate invoice",IF(COUNTIF($G$2:$G$1801,G160)&gt;1,"Duplicate ID - review",IF(AND(P160&lt;&gt;"Unmapped",P160&lt;&gt;F160),"Category mismatch","OK"))))))</f>
        <v>OK</v>
      </c>
      <c r="O160" s="125">
        <f t="shared" si="6"/>
        <v>3115.98</v>
      </c>
      <c r="P160" t="str">
        <f>IF(E160="","Unmapped",IFERROR(INDEX(Supplier_Lookup!$B$2:$B$25,MATCH(E160,Supplier_Lookup!$A$2:$A$25,0)),"Unmapped"))</f>
        <v>Agency Labour</v>
      </c>
      <c r="Q160" s="76">
        <f>IFERROR(INDEX(Category_Targets!$B$2:$B$9,MATCH(F160,Category_Targets!$A$2:$A$9,0)),0)</f>
        <v>7.0000000000000007E-2</v>
      </c>
      <c r="R160" s="125">
        <f t="shared" si="7"/>
        <v>218.11860000000001</v>
      </c>
      <c r="S160" s="78">
        <f t="shared" si="8"/>
        <v>45992</v>
      </c>
      <c r="T160" t="str">
        <f>IFERROR(VLOOKUP(B160,Sites!$A$2:$D$21,4,FALSE()),"Unknown")</f>
        <v>Swansea</v>
      </c>
      <c r="U160" t="str">
        <f>IF(N160="OK","",COUNTIF($N$2:N160,"&lt;&gt;OK"))</f>
        <v/>
      </c>
      <c r="V160">
        <f>IF(OR(NOT(EXACT(E160,TRIM(Procurement_Raw!E160))),NOT(EXACT(F160,TRIM(Procurement_Raw!F160)))),1,0)</f>
        <v>0</v>
      </c>
    </row>
    <row r="161" spans="1:22" ht="15" customHeight="1" x14ac:dyDescent="0.25">
      <c r="A161" s="123">
        <f>Procurement_Raw!A161</f>
        <v>45883</v>
      </c>
      <c r="B161" t="str">
        <f>TRIM(Procurement_Raw!B161)</f>
        <v>S014</v>
      </c>
      <c r="C161" t="str">
        <f>Procurement_Raw!C161</f>
        <v>Southampton Care &amp; Education Centre</v>
      </c>
      <c r="D161" t="str">
        <f>Procurement_Raw!D161</f>
        <v>South</v>
      </c>
      <c r="E161" t="str">
        <f>IF(TRIM(Procurement_Raw!E161)="","",IFERROR(INDEX(Supplier_Lookup!$A$2:$A$25,MATCH(TRIM(Procurement_Raw!E161),Supplier_Lookup!$A$2:$A$25,0)),TRIM(Procurement_Raw!E161)))</f>
        <v>FleetFuel</v>
      </c>
      <c r="F161" t="str">
        <f>IFERROR(INDEX(Category_Targets!$A$2:$A$9,MATCH(TRIM(Procurement_Raw!F161),Category_Targets!$A$2:$A$9,0)),"Unmapped")</f>
        <v>Vehicle &amp; Fuel</v>
      </c>
      <c r="G161" t="str">
        <f>TRIM(Procurement_Raw!G161)</f>
        <v>INV-2025-00160</v>
      </c>
      <c r="H161" s="77">
        <f>Procurement_Raw!H161</f>
        <v>13</v>
      </c>
      <c r="I161" s="124">
        <f>Procurement_Raw!I161</f>
        <v>136.32</v>
      </c>
      <c r="J161" s="125">
        <f>IF(Procurement_Raw!J161="","",Procurement_Raw!J161)</f>
        <v>1772.12</v>
      </c>
      <c r="K161" s="77">
        <f>Procurement_Raw!K161</f>
        <v>60</v>
      </c>
      <c r="L161" t="str">
        <f>Procurement_Raw!L161</f>
        <v>Procurement Portal</v>
      </c>
      <c r="M161" t="str">
        <f>Procurement_Raw!O161</f>
        <v>Y</v>
      </c>
      <c r="N161" t="str">
        <f>IF(E161="","Missing supplier",IF(B161="","Missing site",IF(J161="","Missing spend",IF(COUNTIFS($G$2:G161,G161,$E$2:E161,E161,$J$2:J161,J161)&gt;1,"Duplicate invoice",IF(COUNTIF($G$2:$G$1801,G161)&gt;1,"Duplicate ID - review",IF(AND(P161&lt;&gt;"Unmapped",P161&lt;&gt;F161),"Category mismatch","OK"))))))</f>
        <v>OK</v>
      </c>
      <c r="O161" s="125">
        <f t="shared" si="6"/>
        <v>1772.12</v>
      </c>
      <c r="P161" t="str">
        <f>IF(E161="","Unmapped",IFERROR(INDEX(Supplier_Lookup!$B$2:$B$25,MATCH(E161,Supplier_Lookup!$A$2:$A$25,0)),"Unmapped"))</f>
        <v>Vehicle &amp; Fuel</v>
      </c>
      <c r="Q161" s="76">
        <f>IFERROR(INDEX(Category_Targets!$B$2:$B$9,MATCH(F161,Category_Targets!$A$2:$A$9,0)),0)</f>
        <v>0.05</v>
      </c>
      <c r="R161" s="125">
        <f t="shared" si="7"/>
        <v>88.605999999999995</v>
      </c>
      <c r="S161" s="78">
        <f t="shared" si="8"/>
        <v>45870</v>
      </c>
      <c r="T161" t="str">
        <f>IFERROR(VLOOKUP(B161,Sites!$A$2:$D$21,4,FALSE()),"Unknown")</f>
        <v>Southampton</v>
      </c>
      <c r="U161" t="str">
        <f>IF(N161="OK","",COUNTIF($N$2:N161,"&lt;&gt;OK"))</f>
        <v/>
      </c>
      <c r="V161">
        <f>IF(OR(NOT(EXACT(E161,TRIM(Procurement_Raw!E161))),NOT(EXACT(F161,TRIM(Procurement_Raw!F161)))),1,0)</f>
        <v>0</v>
      </c>
    </row>
    <row r="162" spans="1:22" ht="15" customHeight="1" x14ac:dyDescent="0.25">
      <c r="A162" s="123">
        <f>Procurement_Raw!A162</f>
        <v>45993</v>
      </c>
      <c r="B162" t="str">
        <f>TRIM(Procurement_Raw!B162)</f>
        <v>S012</v>
      </c>
      <c r="C162" t="str">
        <f>Procurement_Raw!C162</f>
        <v>Bristol Care &amp; Education Centre</v>
      </c>
      <c r="D162" t="str">
        <f>Procurement_Raw!D162</f>
        <v>South</v>
      </c>
      <c r="E162" t="str">
        <f>IF(TRIM(Procurement_Raw!E162)="","",IFERROR(INDEX(Supplier_Lookup!$A$2:$A$25,MATCH(TRIM(Procurement_Raw!E162),Supplier_Lookup!$A$2:$A$25,0)),TRIM(Procurement_Raw!E162)))</f>
        <v>SafeGuard FM</v>
      </c>
      <c r="F162" t="str">
        <f>IFERROR(INDEX(Category_Targets!$A$2:$A$9,MATCH(TRIM(Procurement_Raw!F162),Category_Targets!$A$2:$A$9,0)),"Unmapped")</f>
        <v>Facilities</v>
      </c>
      <c r="G162" t="str">
        <f>TRIM(Procurement_Raw!G162)</f>
        <v>INV-2025-00161</v>
      </c>
      <c r="H162" s="77">
        <f>Procurement_Raw!H162</f>
        <v>20</v>
      </c>
      <c r="I162" s="124">
        <f>Procurement_Raw!I162</f>
        <v>105.31</v>
      </c>
      <c r="J162" s="125">
        <f>IF(Procurement_Raw!J162="","",Procurement_Raw!J162)</f>
        <v>2106.14</v>
      </c>
      <c r="K162" s="77">
        <f>Procurement_Raw!K162</f>
        <v>30</v>
      </c>
      <c r="L162" t="str">
        <f>Procurement_Raw!L162</f>
        <v>Procurement Portal</v>
      </c>
      <c r="M162" t="str">
        <f>Procurement_Raw!O162</f>
        <v>N</v>
      </c>
      <c r="N162" t="str">
        <f>IF(E162="","Missing supplier",IF(B162="","Missing site",IF(J162="","Missing spend",IF(COUNTIFS($G$2:G162,G162,$E$2:E162,E162,$J$2:J162,J162)&gt;1,"Duplicate invoice",IF(COUNTIF($G$2:$G$1801,G162)&gt;1,"Duplicate ID - review",IF(AND(P162&lt;&gt;"Unmapped",P162&lt;&gt;F162),"Category mismatch","OK"))))))</f>
        <v>OK</v>
      </c>
      <c r="O162" s="125">
        <f t="shared" si="6"/>
        <v>2106.14</v>
      </c>
      <c r="P162" t="str">
        <f>IF(E162="","Unmapped",IFERROR(INDEX(Supplier_Lookup!$B$2:$B$25,MATCH(E162,Supplier_Lookup!$A$2:$A$25,0)),"Unmapped"))</f>
        <v>Facilities</v>
      </c>
      <c r="Q162" s="76">
        <f>IFERROR(INDEX(Category_Targets!$B$2:$B$9,MATCH(F162,Category_Targets!$A$2:$A$9,0)),0)</f>
        <v>0.05</v>
      </c>
      <c r="R162" s="125">
        <f t="shared" si="7"/>
        <v>105.307</v>
      </c>
      <c r="S162" s="78">
        <f t="shared" si="8"/>
        <v>45992</v>
      </c>
      <c r="T162" t="str">
        <f>IFERROR(VLOOKUP(B162,Sites!$A$2:$D$21,4,FALSE()),"Unknown")</f>
        <v>Bristol</v>
      </c>
      <c r="U162" t="str">
        <f>IF(N162="OK","",COUNTIF($N$2:N162,"&lt;&gt;OK"))</f>
        <v/>
      </c>
      <c r="V162">
        <f>IF(OR(NOT(EXACT(E162,TRIM(Procurement_Raw!E162))),NOT(EXACT(F162,TRIM(Procurement_Raw!F162)))),1,0)</f>
        <v>0</v>
      </c>
    </row>
    <row r="163" spans="1:22" ht="15" customHeight="1" x14ac:dyDescent="0.25">
      <c r="A163" s="123">
        <f>Procurement_Raw!A163</f>
        <v>46012</v>
      </c>
      <c r="B163" t="str">
        <f>TRIM(Procurement_Raw!B163)</f>
        <v>S013</v>
      </c>
      <c r="C163" t="str">
        <f>Procurement_Raw!C163</f>
        <v>Reading Care &amp; Education Centre</v>
      </c>
      <c r="D163" t="str">
        <f>Procurement_Raw!D163</f>
        <v>South</v>
      </c>
      <c r="E163" t="str">
        <f>IF(TRIM(Procurement_Raw!E163)="","",IFERROR(INDEX(Supplier_Lookup!$A$2:$A$25,MATCH(TRIM(Procurement_Raw!E163),Supplier_Lookup!$A$2:$A$25,0)),TRIM(Procurement_Raw!E163)))</f>
        <v>AutoCare</v>
      </c>
      <c r="F163" t="str">
        <f>IFERROR(INDEX(Category_Targets!$A$2:$A$9,MATCH(TRIM(Procurement_Raw!F163),Category_Targets!$A$2:$A$9,0)),"Unmapped")</f>
        <v>Vehicle &amp; Fuel</v>
      </c>
      <c r="G163" t="str">
        <f>TRIM(Procurement_Raw!G163)</f>
        <v>INV-2025-00162</v>
      </c>
      <c r="H163" s="77">
        <f>Procurement_Raw!H163</f>
        <v>51</v>
      </c>
      <c r="I163" s="124">
        <f>Procurement_Raw!I163</f>
        <v>146.46</v>
      </c>
      <c r="J163" s="125">
        <f>IF(Procurement_Raw!J163="","",Procurement_Raw!J163)</f>
        <v>7469.62</v>
      </c>
      <c r="K163" s="77">
        <f>Procurement_Raw!K163</f>
        <v>60</v>
      </c>
      <c r="L163" t="str">
        <f>Procurement_Raw!L163</f>
        <v>ERP</v>
      </c>
      <c r="M163" t="str">
        <f>Procurement_Raw!O163</f>
        <v>N</v>
      </c>
      <c r="N163" t="str">
        <f>IF(E163="","Missing supplier",IF(B163="","Missing site",IF(J163="","Missing spend",IF(COUNTIFS($G$2:G163,G163,$E$2:E163,E163,$J$2:J163,J163)&gt;1,"Duplicate invoice",IF(COUNTIF($G$2:$G$1801,G163)&gt;1,"Duplicate ID - review",IF(AND(P163&lt;&gt;"Unmapped",P163&lt;&gt;F163),"Category mismatch","OK"))))))</f>
        <v>OK</v>
      </c>
      <c r="O163" s="125">
        <f t="shared" si="6"/>
        <v>7469.62</v>
      </c>
      <c r="P163" t="str">
        <f>IF(E163="","Unmapped",IFERROR(INDEX(Supplier_Lookup!$B$2:$B$25,MATCH(E163,Supplier_Lookup!$A$2:$A$25,0)),"Unmapped"))</f>
        <v>Vehicle &amp; Fuel</v>
      </c>
      <c r="Q163" s="76">
        <f>IFERROR(INDEX(Category_Targets!$B$2:$B$9,MATCH(F163,Category_Targets!$A$2:$A$9,0)),0)</f>
        <v>0.05</v>
      </c>
      <c r="R163" s="125">
        <f t="shared" si="7"/>
        <v>373.48099999999999</v>
      </c>
      <c r="S163" s="78">
        <f t="shared" si="8"/>
        <v>45992</v>
      </c>
      <c r="T163" t="str">
        <f>IFERROR(VLOOKUP(B163,Sites!$A$2:$D$21,4,FALSE()),"Unknown")</f>
        <v>Reading</v>
      </c>
      <c r="U163" t="str">
        <f>IF(N163="OK","",COUNTIF($N$2:N163,"&lt;&gt;OK"))</f>
        <v/>
      </c>
      <c r="V163">
        <f>IF(OR(NOT(EXACT(E163,TRIM(Procurement_Raw!E163))),NOT(EXACT(F163,TRIM(Procurement_Raw!F163)))),1,0)</f>
        <v>0</v>
      </c>
    </row>
    <row r="164" spans="1:22" ht="15" customHeight="1" x14ac:dyDescent="0.25">
      <c r="A164" s="123">
        <f>Procurement_Raw!A164</f>
        <v>45978</v>
      </c>
      <c r="B164" t="str">
        <f>TRIM(Procurement_Raw!B164)</f>
        <v>S013</v>
      </c>
      <c r="C164" t="str">
        <f>Procurement_Raw!C164</f>
        <v>Reading Care &amp; Education Centre</v>
      </c>
      <c r="D164" t="str">
        <f>Procurement_Raw!D164</f>
        <v>South</v>
      </c>
      <c r="E164" t="str">
        <f>IF(TRIM(Procurement_Raw!E164)="","",IFERROR(INDEX(Supplier_Lookup!$A$2:$A$25,MATCH(TRIM(Procurement_Raw!E164),Supplier_Lookup!$A$2:$A$25,0)),TRIM(Procurement_Raw!E164)))</f>
        <v>CareTemps</v>
      </c>
      <c r="F164" t="str">
        <f>IFERROR(INDEX(Category_Targets!$A$2:$A$9,MATCH(TRIM(Procurement_Raw!F164),Category_Targets!$A$2:$A$9,0)),"Unmapped")</f>
        <v>Agency Labour</v>
      </c>
      <c r="G164" t="str">
        <f>TRIM(Procurement_Raw!G164)</f>
        <v>INV-2025-00163</v>
      </c>
      <c r="H164" s="77">
        <f>Procurement_Raw!H164</f>
        <v>63</v>
      </c>
      <c r="I164" s="124">
        <f>Procurement_Raw!I164</f>
        <v>567.37</v>
      </c>
      <c r="J164" s="125">
        <f>IF(Procurement_Raw!J164="","",Procurement_Raw!J164)</f>
        <v>35744.25</v>
      </c>
      <c r="K164" s="77">
        <f>Procurement_Raw!K164</f>
        <v>60</v>
      </c>
      <c r="L164" t="str">
        <f>Procurement_Raw!L164</f>
        <v>ERP</v>
      </c>
      <c r="M164" t="str">
        <f>Procurement_Raw!O164</f>
        <v>N</v>
      </c>
      <c r="N164" t="str">
        <f>IF(E164="","Missing supplier",IF(B164="","Missing site",IF(J164="","Missing spend",IF(COUNTIFS($G$2:G164,G164,$E$2:E164,E164,$J$2:J164,J164)&gt;1,"Duplicate invoice",IF(COUNTIF($G$2:$G$1801,G164)&gt;1,"Duplicate ID - review",IF(AND(P164&lt;&gt;"Unmapped",P164&lt;&gt;F164),"Category mismatch","OK"))))))</f>
        <v>OK</v>
      </c>
      <c r="O164" s="125">
        <f t="shared" si="6"/>
        <v>35744.25</v>
      </c>
      <c r="P164" t="str">
        <f>IF(E164="","Unmapped",IFERROR(INDEX(Supplier_Lookup!$B$2:$B$25,MATCH(E164,Supplier_Lookup!$A$2:$A$25,0)),"Unmapped"))</f>
        <v>Agency Labour</v>
      </c>
      <c r="Q164" s="76">
        <f>IFERROR(INDEX(Category_Targets!$B$2:$B$9,MATCH(F164,Category_Targets!$A$2:$A$9,0)),0)</f>
        <v>7.0000000000000007E-2</v>
      </c>
      <c r="R164" s="125">
        <f t="shared" si="7"/>
        <v>2502.0975000000003</v>
      </c>
      <c r="S164" s="78">
        <f t="shared" si="8"/>
        <v>45962</v>
      </c>
      <c r="T164" t="str">
        <f>IFERROR(VLOOKUP(B164,Sites!$A$2:$D$21,4,FALSE()),"Unknown")</f>
        <v>Reading</v>
      </c>
      <c r="U164" t="str">
        <f>IF(N164="OK","",COUNTIF($N$2:N164,"&lt;&gt;OK"))</f>
        <v/>
      </c>
      <c r="V164">
        <f>IF(OR(NOT(EXACT(E164,TRIM(Procurement_Raw!E164))),NOT(EXACT(F164,TRIM(Procurement_Raw!F164)))),1,0)</f>
        <v>0</v>
      </c>
    </row>
    <row r="165" spans="1:22" ht="15" customHeight="1" x14ac:dyDescent="0.25">
      <c r="A165" s="123">
        <f>Procurement_Raw!A165</f>
        <v>45981</v>
      </c>
      <c r="B165" t="str">
        <f>TRIM(Procurement_Raw!B165)</f>
        <v>S005</v>
      </c>
      <c r="C165" t="str">
        <f>Procurement_Raw!C165</f>
        <v>Sheffield Care &amp; Education Centre</v>
      </c>
      <c r="D165" t="str">
        <f>Procurement_Raw!D165</f>
        <v>North</v>
      </c>
      <c r="E165" t="str">
        <f>IF(TRIM(Procurement_Raw!E165)="","",IFERROR(INDEX(Supplier_Lookup!$A$2:$A$25,MATCH(TRIM(Procurement_Raw!E165),Supplier_Lookup!$A$2:$A$25,0)),TRIM(Procurement_Raw!E165)))</f>
        <v>FreshServe</v>
      </c>
      <c r="F165" t="str">
        <f>IFERROR(INDEX(Category_Targets!$A$2:$A$9,MATCH(TRIM(Procurement_Raw!F165),Category_Targets!$A$2:$A$9,0)),"Unmapped")</f>
        <v>Food &amp; Catering</v>
      </c>
      <c r="G165" t="str">
        <f>TRIM(Procurement_Raw!G165)</f>
        <v>INV-2025-00164</v>
      </c>
      <c r="H165" s="77">
        <f>Procurement_Raw!H165</f>
        <v>37</v>
      </c>
      <c r="I165" s="124">
        <f>Procurement_Raw!I165</f>
        <v>41.39</v>
      </c>
      <c r="J165" s="125">
        <f>IF(Procurement_Raw!J165="","",Procurement_Raw!J165)</f>
        <v>1531.39</v>
      </c>
      <c r="K165" s="77">
        <f>Procurement_Raw!K165</f>
        <v>30</v>
      </c>
      <c r="L165" t="str">
        <f>Procurement_Raw!L165</f>
        <v>Legacy Spend File</v>
      </c>
      <c r="M165" t="str">
        <f>Procurement_Raw!O165</f>
        <v>Y</v>
      </c>
      <c r="N165" t="str">
        <f>IF(E165="","Missing supplier",IF(B165="","Missing site",IF(J165="","Missing spend",IF(COUNTIFS($G$2:G165,G165,$E$2:E165,E165,$J$2:J165,J165)&gt;1,"Duplicate invoice",IF(COUNTIF($G$2:$G$1801,G165)&gt;1,"Duplicate ID - review",IF(AND(P165&lt;&gt;"Unmapped",P165&lt;&gt;F165),"Category mismatch","OK"))))))</f>
        <v>OK</v>
      </c>
      <c r="O165" s="125">
        <f t="shared" si="6"/>
        <v>1531.39</v>
      </c>
      <c r="P165" t="str">
        <f>IF(E165="","Unmapped",IFERROR(INDEX(Supplier_Lookup!$B$2:$B$25,MATCH(E165,Supplier_Lookup!$A$2:$A$25,0)),"Unmapped"))</f>
        <v>Food &amp; Catering</v>
      </c>
      <c r="Q165" s="76">
        <f>IFERROR(INDEX(Category_Targets!$B$2:$B$9,MATCH(F165,Category_Targets!$A$2:$A$9,0)),0)</f>
        <v>0.04</v>
      </c>
      <c r="R165" s="125">
        <f t="shared" si="7"/>
        <v>61.255600000000008</v>
      </c>
      <c r="S165" s="78">
        <f t="shared" si="8"/>
        <v>45962</v>
      </c>
      <c r="T165" t="str">
        <f>IFERROR(VLOOKUP(B165,Sites!$A$2:$D$21,4,FALSE()),"Unknown")</f>
        <v>Sheffield</v>
      </c>
      <c r="U165" t="str">
        <f>IF(N165="OK","",COUNTIF($N$2:N165,"&lt;&gt;OK"))</f>
        <v/>
      </c>
      <c r="V165">
        <f>IF(OR(NOT(EXACT(E165,TRIM(Procurement_Raw!E165))),NOT(EXACT(F165,TRIM(Procurement_Raw!F165)))),1,0)</f>
        <v>0</v>
      </c>
    </row>
    <row r="166" spans="1:22" ht="15" customHeight="1" x14ac:dyDescent="0.25">
      <c r="A166" s="123">
        <f>Procurement_Raw!A166</f>
        <v>45982</v>
      </c>
      <c r="B166" t="str">
        <f>TRIM(Procurement_Raw!B166)</f>
        <v>S007</v>
      </c>
      <c r="C166" t="str">
        <f>Procurement_Raw!C166</f>
        <v>Nottingham Care &amp; Education Centre</v>
      </c>
      <c r="D166" t="str">
        <f>Procurement_Raw!D166</f>
        <v>Midlands</v>
      </c>
      <c r="E166" t="str">
        <f>IF(TRIM(Procurement_Raw!E166)="","",IFERROR(INDEX(Supplier_Lookup!$A$2:$A$25,MATCH(TRIM(Procurement_Raw!E166),Supplier_Lookup!$A$2:$A$25,0)),TRIM(Procurement_Raw!E166)))</f>
        <v>HealthStaffing</v>
      </c>
      <c r="F166" t="str">
        <f>IFERROR(INDEX(Category_Targets!$A$2:$A$9,MATCH(TRIM(Procurement_Raw!F166),Category_Targets!$A$2:$A$9,0)),"Unmapped")</f>
        <v>Agency Labour</v>
      </c>
      <c r="G166" t="str">
        <f>TRIM(Procurement_Raw!G166)</f>
        <v>INV-2025-00165</v>
      </c>
      <c r="H166" s="77">
        <f>Procurement_Raw!H166</f>
        <v>13</v>
      </c>
      <c r="I166" s="124">
        <f>Procurement_Raw!I166</f>
        <v>509.61</v>
      </c>
      <c r="J166" s="125">
        <f>IF(Procurement_Raw!J166="","",Procurement_Raw!J166)</f>
        <v>6624.89</v>
      </c>
      <c r="K166" s="77">
        <f>Procurement_Raw!K166</f>
        <v>45</v>
      </c>
      <c r="L166" t="str">
        <f>Procurement_Raw!L166</f>
        <v>ERP</v>
      </c>
      <c r="M166" t="str">
        <f>Procurement_Raw!O166</f>
        <v>N</v>
      </c>
      <c r="N166" t="str">
        <f>IF(E166="","Missing supplier",IF(B166="","Missing site",IF(J166="","Missing spend",IF(COUNTIFS($G$2:G166,G166,$E$2:E166,E166,$J$2:J166,J166)&gt;1,"Duplicate invoice",IF(COUNTIF($G$2:$G$1801,G166)&gt;1,"Duplicate ID - review",IF(AND(P166&lt;&gt;"Unmapped",P166&lt;&gt;F166),"Category mismatch","OK"))))))</f>
        <v>OK</v>
      </c>
      <c r="O166" s="125">
        <f t="shared" si="6"/>
        <v>6624.89</v>
      </c>
      <c r="P166" t="str">
        <f>IF(E166="","Unmapped",IFERROR(INDEX(Supplier_Lookup!$B$2:$B$25,MATCH(E166,Supplier_Lookup!$A$2:$A$25,0)),"Unmapped"))</f>
        <v>Agency Labour</v>
      </c>
      <c r="Q166" s="76">
        <f>IFERROR(INDEX(Category_Targets!$B$2:$B$9,MATCH(F166,Category_Targets!$A$2:$A$9,0)),0)</f>
        <v>7.0000000000000007E-2</v>
      </c>
      <c r="R166" s="125">
        <f t="shared" si="7"/>
        <v>463.74230000000006</v>
      </c>
      <c r="S166" s="78">
        <f t="shared" si="8"/>
        <v>45962</v>
      </c>
      <c r="T166" t="str">
        <f>IFERROR(VLOOKUP(B166,Sites!$A$2:$D$21,4,FALSE()),"Unknown")</f>
        <v>Nottingham</v>
      </c>
      <c r="U166" t="str">
        <f>IF(N166="OK","",COUNTIF($N$2:N166,"&lt;&gt;OK"))</f>
        <v/>
      </c>
      <c r="V166">
        <f>IF(OR(NOT(EXACT(E166,TRIM(Procurement_Raw!E166))),NOT(EXACT(F166,TRIM(Procurement_Raw!F166)))),1,0)</f>
        <v>0</v>
      </c>
    </row>
    <row r="167" spans="1:22" ht="15" customHeight="1" x14ac:dyDescent="0.25">
      <c r="A167" s="123">
        <f>Procurement_Raw!A167</f>
        <v>45681</v>
      </c>
      <c r="B167" t="str">
        <f>TRIM(Procurement_Raw!B167)</f>
        <v>S011</v>
      </c>
      <c r="C167" t="str">
        <f>Procurement_Raw!C167</f>
        <v>London Care &amp; Education Centre</v>
      </c>
      <c r="D167" t="str">
        <f>Procurement_Raw!D167</f>
        <v>South</v>
      </c>
      <c r="E167" t="str">
        <f>IF(TRIM(Procurement_Raw!E167)="","",IFERROR(INDEX(Supplier_Lookup!$A$2:$A$25,MATCH(TRIM(Procurement_Raw!E167),Supplier_Lookup!$A$2:$A$25,0)),TRIM(Procurement_Raw!E167)))</f>
        <v>CloudLink</v>
      </c>
      <c r="F167" t="str">
        <f>IFERROR(INDEX(Category_Targets!$A$2:$A$9,MATCH(TRIM(Procurement_Raw!F167),Category_Targets!$A$2:$A$9,0)),"Unmapped")</f>
        <v>IT &amp; Telecoms</v>
      </c>
      <c r="G167" t="str">
        <f>TRIM(Procurement_Raw!G167)</f>
        <v>INV-2025-00166</v>
      </c>
      <c r="H167" s="77">
        <f>Procurement_Raw!H167</f>
        <v>42</v>
      </c>
      <c r="I167" s="124">
        <f>Procurement_Raw!I167</f>
        <v>276.07</v>
      </c>
      <c r="J167" s="125">
        <f>IF(Procurement_Raw!J167="","",Procurement_Raw!J167)</f>
        <v>11594.97</v>
      </c>
      <c r="K167" s="77">
        <f>Procurement_Raw!K167</f>
        <v>30</v>
      </c>
      <c r="L167" t="str">
        <f>Procurement_Raw!L167</f>
        <v>Procurement Portal</v>
      </c>
      <c r="M167" t="str">
        <f>Procurement_Raw!O167</f>
        <v>Y</v>
      </c>
      <c r="N167" t="str">
        <f>IF(E167="","Missing supplier",IF(B167="","Missing site",IF(J167="","Missing spend",IF(COUNTIFS($G$2:G167,G167,$E$2:E167,E167,$J$2:J167,J167)&gt;1,"Duplicate invoice",IF(COUNTIF($G$2:$G$1801,G167)&gt;1,"Duplicate ID - review",IF(AND(P167&lt;&gt;"Unmapped",P167&lt;&gt;F167),"Category mismatch","OK"))))))</f>
        <v>OK</v>
      </c>
      <c r="O167" s="125">
        <f t="shared" si="6"/>
        <v>11594.97</v>
      </c>
      <c r="P167" t="str">
        <f>IF(E167="","Unmapped",IFERROR(INDEX(Supplier_Lookup!$B$2:$B$25,MATCH(E167,Supplier_Lookup!$A$2:$A$25,0)),"Unmapped"))</f>
        <v>IT &amp; Telecoms</v>
      </c>
      <c r="Q167" s="76">
        <f>IFERROR(INDEX(Category_Targets!$B$2:$B$9,MATCH(F167,Category_Targets!$A$2:$A$9,0)),0)</f>
        <v>0.08</v>
      </c>
      <c r="R167" s="125">
        <f t="shared" si="7"/>
        <v>927.59759999999994</v>
      </c>
      <c r="S167" s="78">
        <f t="shared" si="8"/>
        <v>45658</v>
      </c>
      <c r="T167" t="str">
        <f>IFERROR(VLOOKUP(B167,Sites!$A$2:$D$21,4,FALSE()),"Unknown")</f>
        <v>London</v>
      </c>
      <c r="U167" t="str">
        <f>IF(N167="OK","",COUNTIF($N$2:N167,"&lt;&gt;OK"))</f>
        <v/>
      </c>
      <c r="V167">
        <f>IF(OR(NOT(EXACT(E167,TRIM(Procurement_Raw!E167))),NOT(EXACT(F167,TRIM(Procurement_Raw!F167)))),1,0)</f>
        <v>0</v>
      </c>
    </row>
    <row r="168" spans="1:22" ht="15" customHeight="1" x14ac:dyDescent="0.25">
      <c r="A168" s="123">
        <f>Procurement_Raw!A168</f>
        <v>45732</v>
      </c>
      <c r="B168" t="str">
        <f>TRIM(Procurement_Raw!B168)</f>
        <v>S009</v>
      </c>
      <c r="C168" t="str">
        <f>Procurement_Raw!C168</f>
        <v>Derby Care &amp; Education Centre</v>
      </c>
      <c r="D168" t="str">
        <f>Procurement_Raw!D168</f>
        <v>Midlands</v>
      </c>
      <c r="E168" t="str">
        <f>IF(TRIM(Procurement_Raw!E168)="","",IFERROR(INDEX(Supplier_Lookup!$A$2:$A$25,MATCH(TRIM(Procurement_Raw!E168),Supplier_Lookup!$A$2:$A$25,0)),TRIM(Procurement_Raw!E168)))</f>
        <v>RoadReady</v>
      </c>
      <c r="F168" t="str">
        <f>IFERROR(INDEX(Category_Targets!$A$2:$A$9,MATCH(TRIM(Procurement_Raw!F168),Category_Targets!$A$2:$A$9,0)),"Unmapped")</f>
        <v>Vehicle &amp; Fuel</v>
      </c>
      <c r="G168" t="str">
        <f>TRIM(Procurement_Raw!G168)</f>
        <v>INV-2025-00167</v>
      </c>
      <c r="H168" s="77">
        <f>Procurement_Raw!H168</f>
        <v>32</v>
      </c>
      <c r="I168" s="124">
        <f>Procurement_Raw!I168</f>
        <v>149.31</v>
      </c>
      <c r="J168" s="125">
        <f>IF(Procurement_Raw!J168="","",Procurement_Raw!J168)</f>
        <v>4777.8500000000004</v>
      </c>
      <c r="K168" s="77">
        <f>Procurement_Raw!K168</f>
        <v>60</v>
      </c>
      <c r="L168" t="str">
        <f>Procurement_Raw!L168</f>
        <v>Procurement Portal</v>
      </c>
      <c r="M168" t="str">
        <f>Procurement_Raw!O168</f>
        <v>N</v>
      </c>
      <c r="N168" t="str">
        <f>IF(E168="","Missing supplier",IF(B168="","Missing site",IF(J168="","Missing spend",IF(COUNTIFS($G$2:G168,G168,$E$2:E168,E168,$J$2:J168,J168)&gt;1,"Duplicate invoice",IF(COUNTIF($G$2:$G$1801,G168)&gt;1,"Duplicate ID - review",IF(AND(P168&lt;&gt;"Unmapped",P168&lt;&gt;F168),"Category mismatch","OK"))))))</f>
        <v>OK</v>
      </c>
      <c r="O168" s="125">
        <f t="shared" si="6"/>
        <v>4777.8500000000004</v>
      </c>
      <c r="P168" t="str">
        <f>IF(E168="","Unmapped",IFERROR(INDEX(Supplier_Lookup!$B$2:$B$25,MATCH(E168,Supplier_Lookup!$A$2:$A$25,0)),"Unmapped"))</f>
        <v>Vehicle &amp; Fuel</v>
      </c>
      <c r="Q168" s="76">
        <f>IFERROR(INDEX(Category_Targets!$B$2:$B$9,MATCH(F168,Category_Targets!$A$2:$A$9,0)),0)</f>
        <v>0.05</v>
      </c>
      <c r="R168" s="125">
        <f t="shared" si="7"/>
        <v>238.89250000000004</v>
      </c>
      <c r="S168" s="78">
        <f t="shared" si="8"/>
        <v>45717</v>
      </c>
      <c r="T168" t="str">
        <f>IFERROR(VLOOKUP(B168,Sites!$A$2:$D$21,4,FALSE()),"Unknown")</f>
        <v>Derby</v>
      </c>
      <c r="U168" t="str">
        <f>IF(N168="OK","",COUNTIF($N$2:N168,"&lt;&gt;OK"))</f>
        <v/>
      </c>
      <c r="V168">
        <f>IF(OR(NOT(EXACT(E168,TRIM(Procurement_Raw!E168))),NOT(EXACT(F168,TRIM(Procurement_Raw!F168)))),1,0)</f>
        <v>0</v>
      </c>
    </row>
    <row r="169" spans="1:22" ht="15" customHeight="1" x14ac:dyDescent="0.25">
      <c r="A169" s="123">
        <f>Procurement_Raw!A169</f>
        <v>45747</v>
      </c>
      <c r="B169" t="str">
        <f>TRIM(Procurement_Raw!B169)</f>
        <v>S017</v>
      </c>
      <c r="C169" t="str">
        <f>Procurement_Raw!C169</f>
        <v>Swansea Care &amp; Education Centre</v>
      </c>
      <c r="D169" t="str">
        <f>Procurement_Raw!D169</f>
        <v>Wales</v>
      </c>
      <c r="E169" t="str">
        <f>IF(TRIM(Procurement_Raw!E169)="","",IFERROR(INDEX(Supplier_Lookup!$A$2:$A$25,MATCH(TRIM(Procurement_Raw!E169),Supplier_Lookup!$A$2:$A$25,0)),TRIM(Procurement_Raw!E169)))</f>
        <v>CleanWorks</v>
      </c>
      <c r="F169" t="str">
        <f>IFERROR(INDEX(Category_Targets!$A$2:$A$9,MATCH(TRIM(Procurement_Raw!F169),Category_Targets!$A$2:$A$9,0)),"Unmapped")</f>
        <v>Facilities</v>
      </c>
      <c r="G169" t="str">
        <f>TRIM(Procurement_Raw!G169)</f>
        <v>INV-2025-00168</v>
      </c>
      <c r="H169" s="77">
        <f>Procurement_Raw!H169</f>
        <v>11</v>
      </c>
      <c r="I169" s="124">
        <f>Procurement_Raw!I169</f>
        <v>510.91</v>
      </c>
      <c r="J169" s="125">
        <f>IF(Procurement_Raw!J169="","",Procurement_Raw!J169)</f>
        <v>5620.01</v>
      </c>
      <c r="K169" s="77">
        <f>Procurement_Raw!K169</f>
        <v>60</v>
      </c>
      <c r="L169" t="str">
        <f>Procurement_Raw!L169</f>
        <v>Procurement Portal</v>
      </c>
      <c r="M169" t="str">
        <f>Procurement_Raw!O169</f>
        <v>Y</v>
      </c>
      <c r="N169" t="str">
        <f>IF(E169="","Missing supplier",IF(B169="","Missing site",IF(J169="","Missing spend",IF(COUNTIFS($G$2:G169,G169,$E$2:E169,E169,$J$2:J169,J169)&gt;1,"Duplicate invoice",IF(COUNTIF($G$2:$G$1801,G169)&gt;1,"Duplicate ID - review",IF(AND(P169&lt;&gt;"Unmapped",P169&lt;&gt;F169),"Category mismatch","OK"))))))</f>
        <v>OK</v>
      </c>
      <c r="O169" s="125">
        <f t="shared" si="6"/>
        <v>5620.01</v>
      </c>
      <c r="P169" t="str">
        <f>IF(E169="","Unmapped",IFERROR(INDEX(Supplier_Lookup!$B$2:$B$25,MATCH(E169,Supplier_Lookup!$A$2:$A$25,0)),"Unmapped"))</f>
        <v>Facilities</v>
      </c>
      <c r="Q169" s="76">
        <f>IFERROR(INDEX(Category_Targets!$B$2:$B$9,MATCH(F169,Category_Targets!$A$2:$A$9,0)),0)</f>
        <v>0.05</v>
      </c>
      <c r="R169" s="125">
        <f t="shared" si="7"/>
        <v>281.00050000000005</v>
      </c>
      <c r="S169" s="78">
        <f t="shared" si="8"/>
        <v>45717</v>
      </c>
      <c r="T169" t="str">
        <f>IFERROR(VLOOKUP(B169,Sites!$A$2:$D$21,4,FALSE()),"Unknown")</f>
        <v>Swansea</v>
      </c>
      <c r="U169" t="str">
        <f>IF(N169="OK","",COUNTIF($N$2:N169,"&lt;&gt;OK"))</f>
        <v/>
      </c>
      <c r="V169">
        <f>IF(OR(NOT(EXACT(E169,TRIM(Procurement_Raw!E169))),NOT(EXACT(F169,TRIM(Procurement_Raw!F169)))),1,0)</f>
        <v>0</v>
      </c>
    </row>
    <row r="170" spans="1:22" ht="15" customHeight="1" x14ac:dyDescent="0.25">
      <c r="A170" s="123">
        <f>Procurement_Raw!A170</f>
        <v>45956</v>
      </c>
      <c r="B170" t="str">
        <f>TRIM(Procurement_Raw!B170)</f>
        <v>S006</v>
      </c>
      <c r="C170" t="str">
        <f>Procurement_Raw!C170</f>
        <v>Birmingham Care &amp; Education Centre</v>
      </c>
      <c r="D170" t="str">
        <f>Procurement_Raw!D170</f>
        <v>Midlands</v>
      </c>
      <c r="E170" t="str">
        <f>IF(TRIM(Procurement_Raw!E170)="","",IFERROR(INDEX(Supplier_Lookup!$A$2:$A$25,MATCH(TRIM(Procurement_Raw!E170),Supplier_Lookup!$A$2:$A$25,0)),TRIM(Procurement_Raw!E170)))</f>
        <v>WaterGrid</v>
      </c>
      <c r="F170" t="str">
        <f>IFERROR(INDEX(Category_Targets!$A$2:$A$9,MATCH(TRIM(Procurement_Raw!F170),Category_Targets!$A$2:$A$9,0)),"Unmapped")</f>
        <v>Utilities</v>
      </c>
      <c r="G170" t="str">
        <f>TRIM(Procurement_Raw!G170)</f>
        <v>INV-2025-00169</v>
      </c>
      <c r="H170" s="77">
        <f>Procurement_Raw!H170</f>
        <v>19</v>
      </c>
      <c r="I170" s="124">
        <f>Procurement_Raw!I170</f>
        <v>218.44</v>
      </c>
      <c r="J170" s="125">
        <f>IF(Procurement_Raw!J170="","",Procurement_Raw!J170)</f>
        <v>4150.3</v>
      </c>
      <c r="K170" s="77">
        <f>Procurement_Raw!K170</f>
        <v>30</v>
      </c>
      <c r="L170" t="str">
        <f>Procurement_Raw!L170</f>
        <v>Procurement Portal</v>
      </c>
      <c r="M170" t="str">
        <f>Procurement_Raw!O170</f>
        <v>N</v>
      </c>
      <c r="N170" t="str">
        <f>IF(E170="","Missing supplier",IF(B170="","Missing site",IF(J170="","Missing spend",IF(COUNTIFS($G$2:G170,G170,$E$2:E170,E170,$J$2:J170,J170)&gt;1,"Duplicate invoice",IF(COUNTIF($G$2:$G$1801,G170)&gt;1,"Duplicate ID - review",IF(AND(P170&lt;&gt;"Unmapped",P170&lt;&gt;F170),"Category mismatch","OK"))))))</f>
        <v>OK</v>
      </c>
      <c r="O170" s="125">
        <f t="shared" si="6"/>
        <v>4150.3</v>
      </c>
      <c r="P170" t="str">
        <f>IF(E170="","Unmapped",IFERROR(INDEX(Supplier_Lookup!$B$2:$B$25,MATCH(E170,Supplier_Lookup!$A$2:$A$25,0)),"Unmapped"))</f>
        <v>Utilities</v>
      </c>
      <c r="Q170" s="76">
        <f>IFERROR(INDEX(Category_Targets!$B$2:$B$9,MATCH(F170,Category_Targets!$A$2:$A$9,0)),0)</f>
        <v>0.03</v>
      </c>
      <c r="R170" s="125">
        <f t="shared" si="7"/>
        <v>124.509</v>
      </c>
      <c r="S170" s="78">
        <f t="shared" si="8"/>
        <v>45931</v>
      </c>
      <c r="T170" t="str">
        <f>IFERROR(VLOOKUP(B170,Sites!$A$2:$D$21,4,FALSE()),"Unknown")</f>
        <v>Birmingham</v>
      </c>
      <c r="U170" t="str">
        <f>IF(N170="OK","",COUNTIF($N$2:N170,"&lt;&gt;OK"))</f>
        <v/>
      </c>
      <c r="V170">
        <f>IF(OR(NOT(EXACT(E170,TRIM(Procurement_Raw!E170))),NOT(EXACT(F170,TRIM(Procurement_Raw!F170)))),1,0)</f>
        <v>0</v>
      </c>
    </row>
    <row r="171" spans="1:22" ht="15" customHeight="1" x14ac:dyDescent="0.25">
      <c r="A171" s="123">
        <f>Procurement_Raw!A171</f>
        <v>45788</v>
      </c>
      <c r="B171" t="str">
        <f>TRIM(Procurement_Raw!B171)</f>
        <v>S001</v>
      </c>
      <c r="C171" t="str">
        <f>Procurement_Raw!C171</f>
        <v>Preston Care &amp; Education Centre</v>
      </c>
      <c r="D171" t="str">
        <f>Procurement_Raw!D171</f>
        <v>North</v>
      </c>
      <c r="E171" t="str">
        <f>IF(TRIM(Procurement_Raw!E171)="","",IFERROR(INDEX(Supplier_Lookup!$A$2:$A$25,MATCH(TRIM(Procurement_Raw!E171),Supplier_Lookup!$A$2:$A$25,0)),TRIM(Procurement_Raw!E171)))</f>
        <v>TeleCare IT</v>
      </c>
      <c r="F171" t="str">
        <f>IFERROR(INDEX(Category_Targets!$A$2:$A$9,MATCH(TRIM(Procurement_Raw!F171),Category_Targets!$A$2:$A$9,0)),"Unmapped")</f>
        <v>IT &amp; Telecoms</v>
      </c>
      <c r="G171" t="str">
        <f>TRIM(Procurement_Raw!G171)</f>
        <v>INV-2025-00170</v>
      </c>
      <c r="H171" s="77">
        <f>Procurement_Raw!H171</f>
        <v>2</v>
      </c>
      <c r="I171" s="124">
        <f>Procurement_Raw!I171</f>
        <v>145.34</v>
      </c>
      <c r="J171" s="125">
        <f>IF(Procurement_Raw!J171="","",Procurement_Raw!J171)</f>
        <v>290.68</v>
      </c>
      <c r="K171" s="77">
        <f>Procurement_Raw!K171</f>
        <v>45</v>
      </c>
      <c r="L171" t="str">
        <f>Procurement_Raw!L171</f>
        <v>Procurement Portal</v>
      </c>
      <c r="M171" t="str">
        <f>Procurement_Raw!O171</f>
        <v>N</v>
      </c>
      <c r="N171" t="str">
        <f>IF(E171="","Missing supplier",IF(B171="","Missing site",IF(J171="","Missing spend",IF(COUNTIFS($G$2:G171,G171,$E$2:E171,E171,$J$2:J171,J171)&gt;1,"Duplicate invoice",IF(COUNTIF($G$2:$G$1801,G171)&gt;1,"Duplicate ID - review",IF(AND(P171&lt;&gt;"Unmapped",P171&lt;&gt;F171),"Category mismatch","OK"))))))</f>
        <v>OK</v>
      </c>
      <c r="O171" s="125">
        <f t="shared" si="6"/>
        <v>290.68</v>
      </c>
      <c r="P171" t="str">
        <f>IF(E171="","Unmapped",IFERROR(INDEX(Supplier_Lookup!$B$2:$B$25,MATCH(E171,Supplier_Lookup!$A$2:$A$25,0)),"Unmapped"))</f>
        <v>IT &amp; Telecoms</v>
      </c>
      <c r="Q171" s="76">
        <f>IFERROR(INDEX(Category_Targets!$B$2:$B$9,MATCH(F171,Category_Targets!$A$2:$A$9,0)),0)</f>
        <v>0.08</v>
      </c>
      <c r="R171" s="125">
        <f t="shared" si="7"/>
        <v>23.2544</v>
      </c>
      <c r="S171" s="78">
        <f t="shared" si="8"/>
        <v>45778</v>
      </c>
      <c r="T171" t="str">
        <f>IFERROR(VLOOKUP(B171,Sites!$A$2:$D$21,4,FALSE()),"Unknown")</f>
        <v>Preston</v>
      </c>
      <c r="U171" t="str">
        <f>IF(N171="OK","",COUNTIF($N$2:N171,"&lt;&gt;OK"))</f>
        <v/>
      </c>
      <c r="V171">
        <f>IF(OR(NOT(EXACT(E171,TRIM(Procurement_Raw!E171))),NOT(EXACT(F171,TRIM(Procurement_Raw!F171)))),1,0)</f>
        <v>0</v>
      </c>
    </row>
    <row r="172" spans="1:22" ht="15" customHeight="1" x14ac:dyDescent="0.25">
      <c r="A172" s="123">
        <f>Procurement_Raw!A172</f>
        <v>45884</v>
      </c>
      <c r="B172" t="str">
        <f>TRIM(Procurement_Raw!B172)</f>
        <v>S010</v>
      </c>
      <c r="C172" t="str">
        <f>Procurement_Raw!C172</f>
        <v>Coventry Care &amp; Education Centre</v>
      </c>
      <c r="D172" t="str">
        <f>Procurement_Raw!D172</f>
        <v>Midlands</v>
      </c>
      <c r="E172" t="str">
        <f>IF(TRIM(Procurement_Raw!E172)="","",IFERROR(INDEX(Supplier_Lookup!$A$2:$A$25,MATCH(TRIM(Procurement_Raw!E172),Supplier_Lookup!$A$2:$A$25,0)),TRIM(Procurement_Raw!E172)))</f>
        <v>CleanWorks</v>
      </c>
      <c r="F172" t="str">
        <f>IFERROR(INDEX(Category_Targets!$A$2:$A$9,MATCH(TRIM(Procurement_Raw!F172),Category_Targets!$A$2:$A$9,0)),"Unmapped")</f>
        <v>Facilities</v>
      </c>
      <c r="G172" t="str">
        <f>TRIM(Procurement_Raw!G172)</f>
        <v>INV-2025-00171</v>
      </c>
      <c r="H172" s="77">
        <f>Procurement_Raw!H172</f>
        <v>45</v>
      </c>
      <c r="I172" s="124">
        <f>Procurement_Raw!I172</f>
        <v>110.36</v>
      </c>
      <c r="J172" s="125">
        <f>IF(Procurement_Raw!J172="","",Procurement_Raw!J172)</f>
        <v>4966.08</v>
      </c>
      <c r="K172" s="77">
        <f>Procurement_Raw!K172</f>
        <v>60</v>
      </c>
      <c r="L172" t="str">
        <f>Procurement_Raw!L172</f>
        <v>Procurement Portal</v>
      </c>
      <c r="M172" t="str">
        <f>Procurement_Raw!O172</f>
        <v>Y</v>
      </c>
      <c r="N172" t="str">
        <f>IF(E172="","Missing supplier",IF(B172="","Missing site",IF(J172="","Missing spend",IF(COUNTIFS($G$2:G172,G172,$E$2:E172,E172,$J$2:J172,J172)&gt;1,"Duplicate invoice",IF(COUNTIF($G$2:$G$1801,G172)&gt;1,"Duplicate ID - review",IF(AND(P172&lt;&gt;"Unmapped",P172&lt;&gt;F172),"Category mismatch","OK"))))))</f>
        <v>OK</v>
      </c>
      <c r="O172" s="125">
        <f t="shared" si="6"/>
        <v>4966.08</v>
      </c>
      <c r="P172" t="str">
        <f>IF(E172="","Unmapped",IFERROR(INDEX(Supplier_Lookup!$B$2:$B$25,MATCH(E172,Supplier_Lookup!$A$2:$A$25,0)),"Unmapped"))</f>
        <v>Facilities</v>
      </c>
      <c r="Q172" s="76">
        <f>IFERROR(INDEX(Category_Targets!$B$2:$B$9,MATCH(F172,Category_Targets!$A$2:$A$9,0)),0)</f>
        <v>0.05</v>
      </c>
      <c r="R172" s="125">
        <f t="shared" si="7"/>
        <v>248.304</v>
      </c>
      <c r="S172" s="78">
        <f t="shared" si="8"/>
        <v>45870</v>
      </c>
      <c r="T172" t="str">
        <f>IFERROR(VLOOKUP(B172,Sites!$A$2:$D$21,4,FALSE()),"Unknown")</f>
        <v>Coventry</v>
      </c>
      <c r="U172" t="str">
        <f>IF(N172="OK","",COUNTIF($N$2:N172,"&lt;&gt;OK"))</f>
        <v/>
      </c>
      <c r="V172">
        <f>IF(OR(NOT(EXACT(E172,TRIM(Procurement_Raw!E172))),NOT(EXACT(F172,TRIM(Procurement_Raw!F172)))),1,0)</f>
        <v>0</v>
      </c>
    </row>
    <row r="173" spans="1:22" ht="15" customHeight="1" x14ac:dyDescent="0.25">
      <c r="A173" s="123">
        <f>Procurement_Raw!A173</f>
        <v>45786</v>
      </c>
      <c r="B173" t="str">
        <f>TRIM(Procurement_Raw!B173)</f>
        <v>S019</v>
      </c>
      <c r="C173" t="str">
        <f>Procurement_Raw!C173</f>
        <v>Wrexham Care &amp; Education Centre</v>
      </c>
      <c r="D173" t="str">
        <f>Procurement_Raw!D173</f>
        <v>Wales</v>
      </c>
      <c r="E173" t="str">
        <f>IF(TRIM(Procurement_Raw!E173)="","",IFERROR(INDEX(Supplier_Lookup!$A$2:$A$25,MATCH(TRIM(Procurement_Raw!E173),Supplier_Lookup!$A$2:$A$25,0)),TRIM(Procurement_Raw!E173)))</f>
        <v>NurseLink</v>
      </c>
      <c r="F173" t="str">
        <f>IFERROR(INDEX(Category_Targets!$A$2:$A$9,MATCH(TRIM(Procurement_Raw!F173),Category_Targets!$A$2:$A$9,0)),"Unmapped")</f>
        <v>Agency Labour</v>
      </c>
      <c r="G173" t="str">
        <f>TRIM(Procurement_Raw!G173)</f>
        <v>INV-2025-00172</v>
      </c>
      <c r="H173" s="77">
        <f>Procurement_Raw!H173</f>
        <v>59</v>
      </c>
      <c r="I173" s="124">
        <f>Procurement_Raw!I173</f>
        <v>191.54</v>
      </c>
      <c r="J173" s="125">
        <f>IF(Procurement_Raw!J173="","",Procurement_Raw!J173)</f>
        <v>11300.75</v>
      </c>
      <c r="K173" s="77">
        <f>Procurement_Raw!K173</f>
        <v>45</v>
      </c>
      <c r="L173" t="str">
        <f>Procurement_Raw!L173</f>
        <v>ERP</v>
      </c>
      <c r="M173" t="str">
        <f>Procurement_Raw!O173</f>
        <v>N</v>
      </c>
      <c r="N173" t="str">
        <f>IF(E173="","Missing supplier",IF(B173="","Missing site",IF(J173="","Missing spend",IF(COUNTIFS($G$2:G173,G173,$E$2:E173,E173,$J$2:J173,J173)&gt;1,"Duplicate invoice",IF(COUNTIF($G$2:$G$1801,G173)&gt;1,"Duplicate ID - review",IF(AND(P173&lt;&gt;"Unmapped",P173&lt;&gt;F173),"Category mismatch","OK"))))))</f>
        <v>OK</v>
      </c>
      <c r="O173" s="125">
        <f t="shared" si="6"/>
        <v>11300.75</v>
      </c>
      <c r="P173" t="str">
        <f>IF(E173="","Unmapped",IFERROR(INDEX(Supplier_Lookup!$B$2:$B$25,MATCH(E173,Supplier_Lookup!$A$2:$A$25,0)),"Unmapped"))</f>
        <v>Agency Labour</v>
      </c>
      <c r="Q173" s="76">
        <f>IFERROR(INDEX(Category_Targets!$B$2:$B$9,MATCH(F173,Category_Targets!$A$2:$A$9,0)),0)</f>
        <v>7.0000000000000007E-2</v>
      </c>
      <c r="R173" s="125">
        <f t="shared" si="7"/>
        <v>791.05250000000012</v>
      </c>
      <c r="S173" s="78">
        <f t="shared" si="8"/>
        <v>45778</v>
      </c>
      <c r="T173" t="str">
        <f>IFERROR(VLOOKUP(B173,Sites!$A$2:$D$21,4,FALSE()),"Unknown")</f>
        <v>Wrexham</v>
      </c>
      <c r="U173" t="str">
        <f>IF(N173="OK","",COUNTIF($N$2:N173,"&lt;&gt;OK"))</f>
        <v/>
      </c>
      <c r="V173">
        <f>IF(OR(NOT(EXACT(E173,TRIM(Procurement_Raw!E173))),NOT(EXACT(F173,TRIM(Procurement_Raw!F173)))),1,0)</f>
        <v>0</v>
      </c>
    </row>
    <row r="174" spans="1:22" ht="15" customHeight="1" x14ac:dyDescent="0.25">
      <c r="A174" s="123">
        <f>Procurement_Raw!A174</f>
        <v>45779</v>
      </c>
      <c r="B174" t="str">
        <f>TRIM(Procurement_Raw!B174)</f>
        <v>S020</v>
      </c>
      <c r="C174" t="str">
        <f>Procurement_Raw!C174</f>
        <v>Bangor Care &amp; Education Centre</v>
      </c>
      <c r="D174" t="str">
        <f>Procurement_Raw!D174</f>
        <v>Wales</v>
      </c>
      <c r="E174" t="str">
        <f>IF(TRIM(Procurement_Raw!E174)="","",IFERROR(INDEX(Supplier_Lookup!$A$2:$A$25,MATCH(TRIM(Procurement_Raw!E174),Supplier_Lookup!$A$2:$A$25,0)),TRIM(Procurement_Raw!E174)))</f>
        <v>OfficePlus</v>
      </c>
      <c r="F174" t="str">
        <f>IFERROR(INDEX(Category_Targets!$A$2:$A$9,MATCH(TRIM(Procurement_Raw!F174),Category_Targets!$A$2:$A$9,0)),"Unmapped")</f>
        <v>Office &amp; Training</v>
      </c>
      <c r="G174" t="str">
        <f>TRIM(Procurement_Raw!G174)</f>
        <v>INV-2025-00173</v>
      </c>
      <c r="H174" s="77">
        <f>Procurement_Raw!H174</f>
        <v>49</v>
      </c>
      <c r="I174" s="124">
        <f>Procurement_Raw!I174</f>
        <v>71.89</v>
      </c>
      <c r="J174" s="125">
        <f>IF(Procurement_Raw!J174="","",Procurement_Raw!J174)</f>
        <v>3522.42</v>
      </c>
      <c r="K174" s="77">
        <f>Procurement_Raw!K174</f>
        <v>60</v>
      </c>
      <c r="L174" t="str">
        <f>Procurement_Raw!L174</f>
        <v>Procurement Portal</v>
      </c>
      <c r="M174" t="str">
        <f>Procurement_Raw!O174</f>
        <v>N</v>
      </c>
      <c r="N174" t="str">
        <f>IF(E174="","Missing supplier",IF(B174="","Missing site",IF(J174="","Missing spend",IF(COUNTIFS($G$2:G174,G174,$E$2:E174,E174,$J$2:J174,J174)&gt;1,"Duplicate invoice",IF(COUNTIF($G$2:$G$1801,G174)&gt;1,"Duplicate ID - review",IF(AND(P174&lt;&gt;"Unmapped",P174&lt;&gt;F174),"Category mismatch","OK"))))))</f>
        <v>OK</v>
      </c>
      <c r="O174" s="125">
        <f t="shared" si="6"/>
        <v>3522.42</v>
      </c>
      <c r="P174" t="str">
        <f>IF(E174="","Unmapped",IFERROR(INDEX(Supplier_Lookup!$B$2:$B$25,MATCH(E174,Supplier_Lookup!$A$2:$A$25,0)),"Unmapped"))</f>
        <v>Office &amp; Training</v>
      </c>
      <c r="Q174" s="76">
        <f>IFERROR(INDEX(Category_Targets!$B$2:$B$9,MATCH(F174,Category_Targets!$A$2:$A$9,0)),0)</f>
        <v>0.04</v>
      </c>
      <c r="R174" s="125">
        <f t="shared" si="7"/>
        <v>140.89680000000001</v>
      </c>
      <c r="S174" s="78">
        <f t="shared" si="8"/>
        <v>45778</v>
      </c>
      <c r="T174" t="str">
        <f>IFERROR(VLOOKUP(B174,Sites!$A$2:$D$21,4,FALSE()),"Unknown")</f>
        <v>Bangor</v>
      </c>
      <c r="U174" t="str">
        <f>IF(N174="OK","",COUNTIF($N$2:N174,"&lt;&gt;OK"))</f>
        <v/>
      </c>
      <c r="V174">
        <f>IF(OR(NOT(EXACT(E174,TRIM(Procurement_Raw!E174))),NOT(EXACT(F174,TRIM(Procurement_Raw!F174)))),1,0)</f>
        <v>0</v>
      </c>
    </row>
    <row r="175" spans="1:22" ht="15" customHeight="1" x14ac:dyDescent="0.25">
      <c r="A175" s="123">
        <f>Procurement_Raw!A175</f>
        <v>45809</v>
      </c>
      <c r="B175" t="str">
        <f>TRIM(Procurement_Raw!B175)</f>
        <v>S015</v>
      </c>
      <c r="C175" t="str">
        <f>Procurement_Raw!C175</f>
        <v>Brighton Care &amp; Education Centre</v>
      </c>
      <c r="D175" t="str">
        <f>Procurement_Raw!D175</f>
        <v>South</v>
      </c>
      <c r="E175" t="str">
        <f>IF(TRIM(Procurement_Raw!E175)="","",IFERROR(INDEX(Supplier_Lookup!$A$2:$A$25,MATCH(TRIM(Procurement_Raw!E175),Supplier_Lookup!$A$2:$A$25,0)),TRIM(Procurement_Raw!E175)))</f>
        <v>NetServe</v>
      </c>
      <c r="F175" t="str">
        <f>IFERROR(INDEX(Category_Targets!$A$2:$A$9,MATCH(TRIM(Procurement_Raw!F175),Category_Targets!$A$2:$A$9,0)),"Unmapped")</f>
        <v>IT &amp; Telecoms</v>
      </c>
      <c r="G175" t="str">
        <f>TRIM(Procurement_Raw!G175)</f>
        <v>INV-2025-00174</v>
      </c>
      <c r="H175" s="77">
        <f>Procurement_Raw!H175</f>
        <v>3</v>
      </c>
      <c r="I175" s="124">
        <f>Procurement_Raw!I175</f>
        <v>265.41000000000003</v>
      </c>
      <c r="J175" s="125">
        <f>IF(Procurement_Raw!J175="","",Procurement_Raw!J175)</f>
        <v>796.22</v>
      </c>
      <c r="K175" s="77">
        <f>Procurement_Raw!K175</f>
        <v>60</v>
      </c>
      <c r="L175" t="str">
        <f>Procurement_Raw!L175</f>
        <v>Procurement Portal</v>
      </c>
      <c r="M175" t="str">
        <f>Procurement_Raw!O175</f>
        <v>N</v>
      </c>
      <c r="N175" t="str">
        <f>IF(E175="","Missing supplier",IF(B175="","Missing site",IF(J175="","Missing spend",IF(COUNTIFS($G$2:G175,G175,$E$2:E175,E175,$J$2:J175,J175)&gt;1,"Duplicate invoice",IF(COUNTIF($G$2:$G$1801,G175)&gt;1,"Duplicate ID - review",IF(AND(P175&lt;&gt;"Unmapped",P175&lt;&gt;F175),"Category mismatch","OK"))))))</f>
        <v>OK</v>
      </c>
      <c r="O175" s="125">
        <f t="shared" si="6"/>
        <v>796.22</v>
      </c>
      <c r="P175" t="str">
        <f>IF(E175="","Unmapped",IFERROR(INDEX(Supplier_Lookup!$B$2:$B$25,MATCH(E175,Supplier_Lookup!$A$2:$A$25,0)),"Unmapped"))</f>
        <v>IT &amp; Telecoms</v>
      </c>
      <c r="Q175" s="76">
        <f>IFERROR(INDEX(Category_Targets!$B$2:$B$9,MATCH(F175,Category_Targets!$A$2:$A$9,0)),0)</f>
        <v>0.08</v>
      </c>
      <c r="R175" s="125">
        <f t="shared" si="7"/>
        <v>63.697600000000001</v>
      </c>
      <c r="S175" s="78">
        <f t="shared" si="8"/>
        <v>45809</v>
      </c>
      <c r="T175" t="str">
        <f>IFERROR(VLOOKUP(B175,Sites!$A$2:$D$21,4,FALSE()),"Unknown")</f>
        <v>Brighton</v>
      </c>
      <c r="U175" t="str">
        <f>IF(N175="OK","",COUNTIF($N$2:N175,"&lt;&gt;OK"))</f>
        <v/>
      </c>
      <c r="V175">
        <f>IF(OR(NOT(EXACT(E175,TRIM(Procurement_Raw!E175))),NOT(EXACT(F175,TRIM(Procurement_Raw!F175)))),1,0)</f>
        <v>0</v>
      </c>
    </row>
    <row r="176" spans="1:22" ht="15" customHeight="1" x14ac:dyDescent="0.25">
      <c r="A176" s="123">
        <f>Procurement_Raw!A176</f>
        <v>46009</v>
      </c>
      <c r="B176" t="str">
        <f>TRIM(Procurement_Raw!B176)</f>
        <v>S016</v>
      </c>
      <c r="C176" t="str">
        <f>Procurement_Raw!C176</f>
        <v>Cardiff Care &amp; Education Centre</v>
      </c>
      <c r="D176" t="str">
        <f>Procurement_Raw!D176</f>
        <v>Wales</v>
      </c>
      <c r="E176" t="str">
        <f>IF(TRIM(Procurement_Raw!E176)="","",IFERROR(INDEX(Supplier_Lookup!$A$2:$A$25,MATCH(TRIM(Procurement_Raw!E176),Supplier_Lookup!$A$2:$A$25,0)),TRIM(Procurement_Raw!E176)))</f>
        <v>ClinEquip</v>
      </c>
      <c r="F176" t="str">
        <f>IFERROR(INDEX(Category_Targets!$A$2:$A$9,MATCH(TRIM(Procurement_Raw!F176),Category_Targets!$A$2:$A$9,0)),"Unmapped")</f>
        <v>Medical Supplies</v>
      </c>
      <c r="G176" t="str">
        <f>TRIM(Procurement_Raw!G176)</f>
        <v>INV-2025-00175</v>
      </c>
      <c r="H176" s="77">
        <f>Procurement_Raw!H176</f>
        <v>7</v>
      </c>
      <c r="I176" s="124">
        <f>Procurement_Raw!I176</f>
        <v>139.72</v>
      </c>
      <c r="J176" s="125">
        <f>IF(Procurement_Raw!J176="","",Procurement_Raw!J176)</f>
        <v>978.07</v>
      </c>
      <c r="K176" s="77">
        <f>Procurement_Raw!K176</f>
        <v>60</v>
      </c>
      <c r="L176" t="str">
        <f>Procurement_Raw!L176</f>
        <v>Legacy Spend File</v>
      </c>
      <c r="M176" t="str">
        <f>Procurement_Raw!O176</f>
        <v>N</v>
      </c>
      <c r="N176" t="str">
        <f>IF(E176="","Missing supplier",IF(B176="","Missing site",IF(J176="","Missing spend",IF(COUNTIFS($G$2:G176,G176,$E$2:E176,E176,$J$2:J176,J176)&gt;1,"Duplicate invoice",IF(COUNTIF($G$2:$G$1801,G176)&gt;1,"Duplicate ID - review",IF(AND(P176&lt;&gt;"Unmapped",P176&lt;&gt;F176),"Category mismatch","OK"))))))</f>
        <v>OK</v>
      </c>
      <c r="O176" s="125">
        <f t="shared" si="6"/>
        <v>978.07</v>
      </c>
      <c r="P176" t="str">
        <f>IF(E176="","Unmapped",IFERROR(INDEX(Supplier_Lookup!$B$2:$B$25,MATCH(E176,Supplier_Lookup!$A$2:$A$25,0)),"Unmapped"))</f>
        <v>Medical Supplies</v>
      </c>
      <c r="Q176" s="76">
        <f>IFERROR(INDEX(Category_Targets!$B$2:$B$9,MATCH(F176,Category_Targets!$A$2:$A$9,0)),0)</f>
        <v>0.06</v>
      </c>
      <c r="R176" s="125">
        <f t="shared" si="7"/>
        <v>58.684200000000004</v>
      </c>
      <c r="S176" s="78">
        <f t="shared" si="8"/>
        <v>45992</v>
      </c>
      <c r="T176" t="str">
        <f>IFERROR(VLOOKUP(B176,Sites!$A$2:$D$21,4,FALSE()),"Unknown")</f>
        <v>Cardiff</v>
      </c>
      <c r="U176" t="str">
        <f>IF(N176="OK","",COUNTIF($N$2:N176,"&lt;&gt;OK"))</f>
        <v/>
      </c>
      <c r="V176">
        <f>IF(OR(NOT(EXACT(E176,TRIM(Procurement_Raw!E176))),NOT(EXACT(F176,TRIM(Procurement_Raw!F176)))),1,0)</f>
        <v>0</v>
      </c>
    </row>
    <row r="177" spans="1:22" ht="15" customHeight="1" x14ac:dyDescent="0.25">
      <c r="A177" s="123">
        <f>Procurement_Raw!A177</f>
        <v>45968</v>
      </c>
      <c r="B177" t="str">
        <f>TRIM(Procurement_Raw!B177)</f>
        <v>S006</v>
      </c>
      <c r="C177" t="str">
        <f>Procurement_Raw!C177</f>
        <v>Birmingham Care &amp; Education Centre</v>
      </c>
      <c r="D177" t="str">
        <f>Procurement_Raw!D177</f>
        <v>Midlands</v>
      </c>
      <c r="E177" t="str">
        <f>IF(TRIM(Procurement_Raw!E177)="","",IFERROR(INDEX(Supplier_Lookup!$A$2:$A$25,MATCH(TRIM(Procurement_Raw!E177),Supplier_Lookup!$A$2:$A$25,0)),TRIM(Procurement_Raw!E177)))</f>
        <v>CloudLink</v>
      </c>
      <c r="F177" t="str">
        <f>IFERROR(INDEX(Category_Targets!$A$2:$A$9,MATCH(TRIM(Procurement_Raw!F177),Category_Targets!$A$2:$A$9,0)),"Unmapped")</f>
        <v>IT &amp; Telecoms</v>
      </c>
      <c r="G177" t="str">
        <f>TRIM(Procurement_Raw!G177)</f>
        <v>INV-2025-00176</v>
      </c>
      <c r="H177" s="77">
        <f>Procurement_Raw!H177</f>
        <v>46</v>
      </c>
      <c r="I177" s="124">
        <f>Procurement_Raw!I177</f>
        <v>346.74</v>
      </c>
      <c r="J177" s="125">
        <f>IF(Procurement_Raw!J177="","",Procurement_Raw!J177)</f>
        <v>15950.09</v>
      </c>
      <c r="K177" s="77">
        <f>Procurement_Raw!K177</f>
        <v>30</v>
      </c>
      <c r="L177" t="str">
        <f>Procurement_Raw!L177</f>
        <v>Legacy Spend File</v>
      </c>
      <c r="M177" t="str">
        <f>Procurement_Raw!O177</f>
        <v>Y</v>
      </c>
      <c r="N177" t="str">
        <f>IF(E177="","Missing supplier",IF(B177="","Missing site",IF(J177="","Missing spend",IF(COUNTIFS($G$2:G177,G177,$E$2:E177,E177,$J$2:J177,J177)&gt;1,"Duplicate invoice",IF(COUNTIF($G$2:$G$1801,G177)&gt;1,"Duplicate ID - review",IF(AND(P177&lt;&gt;"Unmapped",P177&lt;&gt;F177),"Category mismatch","OK"))))))</f>
        <v>OK</v>
      </c>
      <c r="O177" s="125">
        <f t="shared" si="6"/>
        <v>15950.09</v>
      </c>
      <c r="P177" t="str">
        <f>IF(E177="","Unmapped",IFERROR(INDEX(Supplier_Lookup!$B$2:$B$25,MATCH(E177,Supplier_Lookup!$A$2:$A$25,0)),"Unmapped"))</f>
        <v>IT &amp; Telecoms</v>
      </c>
      <c r="Q177" s="76">
        <f>IFERROR(INDEX(Category_Targets!$B$2:$B$9,MATCH(F177,Category_Targets!$A$2:$A$9,0)),0)</f>
        <v>0.08</v>
      </c>
      <c r="R177" s="125">
        <f t="shared" si="7"/>
        <v>1276.0072</v>
      </c>
      <c r="S177" s="78">
        <f t="shared" si="8"/>
        <v>45962</v>
      </c>
      <c r="T177" t="str">
        <f>IFERROR(VLOOKUP(B177,Sites!$A$2:$D$21,4,FALSE()),"Unknown")</f>
        <v>Birmingham</v>
      </c>
      <c r="U177" t="str">
        <f>IF(N177="OK","",COUNTIF($N$2:N177,"&lt;&gt;OK"))</f>
        <v/>
      </c>
      <c r="V177">
        <f>IF(OR(NOT(EXACT(E177,TRIM(Procurement_Raw!E177))),NOT(EXACT(F177,TRIM(Procurement_Raw!F177)))),1,0)</f>
        <v>0</v>
      </c>
    </row>
    <row r="178" spans="1:22" ht="15" customHeight="1" x14ac:dyDescent="0.25">
      <c r="A178" s="123">
        <f>Procurement_Raw!A178</f>
        <v>45995</v>
      </c>
      <c r="B178" t="str">
        <f>TRIM(Procurement_Raw!B178)</f>
        <v>S002</v>
      </c>
      <c r="C178" t="str">
        <f>Procurement_Raw!C178</f>
        <v>Manchester Care &amp; Education Centre</v>
      </c>
      <c r="D178" t="str">
        <f>Procurement_Raw!D178</f>
        <v>North</v>
      </c>
      <c r="E178" t="str">
        <f>IF(TRIM(Procurement_Raw!E178)="","",IFERROR(INDEX(Supplier_Lookup!$A$2:$A$25,MATCH(TRIM(Procurement_Raw!E178),Supplier_Lookup!$A$2:$A$25,0)),TRIM(Procurement_Raw!E178)))</f>
        <v>NetServe</v>
      </c>
      <c r="F178" t="str">
        <f>IFERROR(INDEX(Category_Targets!$A$2:$A$9,MATCH(TRIM(Procurement_Raw!F178),Category_Targets!$A$2:$A$9,0)),"Unmapped")</f>
        <v>IT &amp; Telecoms</v>
      </c>
      <c r="G178" t="str">
        <f>TRIM(Procurement_Raw!G178)</f>
        <v>INV-2025-00177</v>
      </c>
      <c r="H178" s="77">
        <f>Procurement_Raw!H178</f>
        <v>18</v>
      </c>
      <c r="I178" s="124">
        <f>Procurement_Raw!I178</f>
        <v>221.58</v>
      </c>
      <c r="J178" s="125">
        <f>IF(Procurement_Raw!J178="","",Procurement_Raw!J178)</f>
        <v>3988.42</v>
      </c>
      <c r="K178" s="77">
        <f>Procurement_Raw!K178</f>
        <v>60</v>
      </c>
      <c r="L178" t="str">
        <f>Procurement_Raw!L178</f>
        <v>ERP</v>
      </c>
      <c r="M178" t="str">
        <f>Procurement_Raw!O178</f>
        <v>N</v>
      </c>
      <c r="N178" t="str">
        <f>IF(E178="","Missing supplier",IF(B178="","Missing site",IF(J178="","Missing spend",IF(COUNTIFS($G$2:G178,G178,$E$2:E178,E178,$J$2:J178,J178)&gt;1,"Duplicate invoice",IF(COUNTIF($G$2:$G$1801,G178)&gt;1,"Duplicate ID - review",IF(AND(P178&lt;&gt;"Unmapped",P178&lt;&gt;F178),"Category mismatch","OK"))))))</f>
        <v>OK</v>
      </c>
      <c r="O178" s="125">
        <f t="shared" si="6"/>
        <v>3988.42</v>
      </c>
      <c r="P178" t="str">
        <f>IF(E178="","Unmapped",IFERROR(INDEX(Supplier_Lookup!$B$2:$B$25,MATCH(E178,Supplier_Lookup!$A$2:$A$25,0)),"Unmapped"))</f>
        <v>IT &amp; Telecoms</v>
      </c>
      <c r="Q178" s="76">
        <f>IFERROR(INDEX(Category_Targets!$B$2:$B$9,MATCH(F178,Category_Targets!$A$2:$A$9,0)),0)</f>
        <v>0.08</v>
      </c>
      <c r="R178" s="125">
        <f t="shared" si="7"/>
        <v>319.0736</v>
      </c>
      <c r="S178" s="78">
        <f t="shared" si="8"/>
        <v>45992</v>
      </c>
      <c r="T178" t="str">
        <f>IFERROR(VLOOKUP(B178,Sites!$A$2:$D$21,4,FALSE()),"Unknown")</f>
        <v>Manchester</v>
      </c>
      <c r="U178" t="str">
        <f>IF(N178="OK","",COUNTIF($N$2:N178,"&lt;&gt;OK"))</f>
        <v/>
      </c>
      <c r="V178">
        <f>IF(OR(NOT(EXACT(E178,TRIM(Procurement_Raw!E178))),NOT(EXACT(F178,TRIM(Procurement_Raw!F178)))),1,0)</f>
        <v>0</v>
      </c>
    </row>
    <row r="179" spans="1:22" ht="15" customHeight="1" x14ac:dyDescent="0.25">
      <c r="A179" s="123">
        <f>Procurement_Raw!A179</f>
        <v>45883</v>
      </c>
      <c r="B179" t="str">
        <f>TRIM(Procurement_Raw!B179)</f>
        <v>S012</v>
      </c>
      <c r="C179" t="str">
        <f>Procurement_Raw!C179</f>
        <v>Bristol Care &amp; Education Centre</v>
      </c>
      <c r="D179" t="str">
        <f>Procurement_Raw!D179</f>
        <v>South</v>
      </c>
      <c r="E179" t="str">
        <f>IF(TRIM(Procurement_Raw!E179)="","",IFERROR(INDEX(Supplier_Lookup!$A$2:$A$25,MATCH(TRIM(Procurement_Raw!E179),Supplier_Lookup!$A$2:$A$25,0)),TRIM(Procurement_Raw!E179)))</f>
        <v>CareMed</v>
      </c>
      <c r="F179" t="str">
        <f>IFERROR(INDEX(Category_Targets!$A$2:$A$9,MATCH(TRIM(Procurement_Raw!F179),Category_Targets!$A$2:$A$9,0)),"Unmapped")</f>
        <v>Medical Supplies</v>
      </c>
      <c r="G179" t="str">
        <f>TRIM(Procurement_Raw!G179)</f>
        <v>INV-2025-00178</v>
      </c>
      <c r="H179" s="77">
        <f>Procurement_Raw!H179</f>
        <v>5</v>
      </c>
      <c r="I179" s="124">
        <f>Procurement_Raw!I179</f>
        <v>266.92</v>
      </c>
      <c r="J179" s="125">
        <f>IF(Procurement_Raw!J179="","",Procurement_Raw!J179)</f>
        <v>1334.58</v>
      </c>
      <c r="K179" s="77">
        <f>Procurement_Raw!K179</f>
        <v>60</v>
      </c>
      <c r="L179" t="str">
        <f>Procurement_Raw!L179</f>
        <v>Procurement Portal</v>
      </c>
      <c r="M179" t="str">
        <f>Procurement_Raw!O179</f>
        <v>N</v>
      </c>
      <c r="N179" t="str">
        <f>IF(E179="","Missing supplier",IF(B179="","Missing site",IF(J179="","Missing spend",IF(COUNTIFS($G$2:G179,G179,$E$2:E179,E179,$J$2:J179,J179)&gt;1,"Duplicate invoice",IF(COUNTIF($G$2:$G$1801,G179)&gt;1,"Duplicate ID - review",IF(AND(P179&lt;&gt;"Unmapped",P179&lt;&gt;F179),"Category mismatch","OK"))))))</f>
        <v>OK</v>
      </c>
      <c r="O179" s="125">
        <f t="shared" si="6"/>
        <v>1334.58</v>
      </c>
      <c r="P179" t="str">
        <f>IF(E179="","Unmapped",IFERROR(INDEX(Supplier_Lookup!$B$2:$B$25,MATCH(E179,Supplier_Lookup!$A$2:$A$25,0)),"Unmapped"))</f>
        <v>Medical Supplies</v>
      </c>
      <c r="Q179" s="76">
        <f>IFERROR(INDEX(Category_Targets!$B$2:$B$9,MATCH(F179,Category_Targets!$A$2:$A$9,0)),0)</f>
        <v>0.06</v>
      </c>
      <c r="R179" s="125">
        <f t="shared" si="7"/>
        <v>80.074799999999996</v>
      </c>
      <c r="S179" s="78">
        <f t="shared" si="8"/>
        <v>45870</v>
      </c>
      <c r="T179" t="str">
        <f>IFERROR(VLOOKUP(B179,Sites!$A$2:$D$21,4,FALSE()),"Unknown")</f>
        <v>Bristol</v>
      </c>
      <c r="U179" t="str">
        <f>IF(N179="OK","",COUNTIF($N$2:N179,"&lt;&gt;OK"))</f>
        <v/>
      </c>
      <c r="V179">
        <f>IF(OR(NOT(EXACT(E179,TRIM(Procurement_Raw!E179))),NOT(EXACT(F179,TRIM(Procurement_Raw!F179)))),1,0)</f>
        <v>0</v>
      </c>
    </row>
    <row r="180" spans="1:22" ht="15" customHeight="1" x14ac:dyDescent="0.25">
      <c r="A180" s="123">
        <f>Procurement_Raw!A180</f>
        <v>45809</v>
      </c>
      <c r="B180" t="str">
        <f>TRIM(Procurement_Raw!B180)</f>
        <v>S005</v>
      </c>
      <c r="C180" t="str">
        <f>Procurement_Raw!C180</f>
        <v>Sheffield Care &amp; Education Centre</v>
      </c>
      <c r="D180" t="str">
        <f>Procurement_Raw!D180</f>
        <v>North</v>
      </c>
      <c r="E180" t="str">
        <f>IF(TRIM(Procurement_Raw!E180)="","",IFERROR(INDEX(Supplier_Lookup!$A$2:$A$25,MATCH(TRIM(Procurement_Raw!E180),Supplier_Lookup!$A$2:$A$25,0)),TRIM(Procurement_Raw!E180)))</f>
        <v>CleanWorks</v>
      </c>
      <c r="F180" t="str">
        <f>IFERROR(INDEX(Category_Targets!$A$2:$A$9,MATCH(TRIM(Procurement_Raw!F180),Category_Targets!$A$2:$A$9,0)),"Unmapped")</f>
        <v>Facilities</v>
      </c>
      <c r="G180" t="str">
        <f>TRIM(Procurement_Raw!G180)</f>
        <v>INV-2025-00179</v>
      </c>
      <c r="H180" s="77">
        <f>Procurement_Raw!H180</f>
        <v>42</v>
      </c>
      <c r="I180" s="124">
        <f>Procurement_Raw!I180</f>
        <v>155.62</v>
      </c>
      <c r="J180" s="125">
        <f>IF(Procurement_Raw!J180="","",Procurement_Raw!J180)</f>
        <v>6535.9</v>
      </c>
      <c r="K180" s="77">
        <f>Procurement_Raw!K180</f>
        <v>60</v>
      </c>
      <c r="L180" t="str">
        <f>Procurement_Raw!L180</f>
        <v>Procurement Portal</v>
      </c>
      <c r="M180" t="str">
        <f>Procurement_Raw!O180</f>
        <v>Y</v>
      </c>
      <c r="N180" t="str">
        <f>IF(E180="","Missing supplier",IF(B180="","Missing site",IF(J180="","Missing spend",IF(COUNTIFS($G$2:G180,G180,$E$2:E180,E180,$J$2:J180,J180)&gt;1,"Duplicate invoice",IF(COUNTIF($G$2:$G$1801,G180)&gt;1,"Duplicate ID - review",IF(AND(P180&lt;&gt;"Unmapped",P180&lt;&gt;F180),"Category mismatch","OK"))))))</f>
        <v>OK</v>
      </c>
      <c r="O180" s="125">
        <f t="shared" si="6"/>
        <v>6535.9</v>
      </c>
      <c r="P180" t="str">
        <f>IF(E180="","Unmapped",IFERROR(INDEX(Supplier_Lookup!$B$2:$B$25,MATCH(E180,Supplier_Lookup!$A$2:$A$25,0)),"Unmapped"))</f>
        <v>Facilities</v>
      </c>
      <c r="Q180" s="76">
        <f>IFERROR(INDEX(Category_Targets!$B$2:$B$9,MATCH(F180,Category_Targets!$A$2:$A$9,0)),0)</f>
        <v>0.05</v>
      </c>
      <c r="R180" s="125">
        <f t="shared" si="7"/>
        <v>326.79500000000002</v>
      </c>
      <c r="S180" s="78">
        <f t="shared" si="8"/>
        <v>45809</v>
      </c>
      <c r="T180" t="str">
        <f>IFERROR(VLOOKUP(B180,Sites!$A$2:$D$21,4,FALSE()),"Unknown")</f>
        <v>Sheffield</v>
      </c>
      <c r="U180" t="str">
        <f>IF(N180="OK","",COUNTIF($N$2:N180,"&lt;&gt;OK"))</f>
        <v/>
      </c>
      <c r="V180">
        <f>IF(OR(NOT(EXACT(E180,TRIM(Procurement_Raw!E180))),NOT(EXACT(F180,TRIM(Procurement_Raw!F180)))),1,0)</f>
        <v>0</v>
      </c>
    </row>
    <row r="181" spans="1:22" ht="15" customHeight="1" x14ac:dyDescent="0.25">
      <c r="A181" s="123">
        <f>Procurement_Raw!A181</f>
        <v>45934</v>
      </c>
      <c r="B181" t="str">
        <f>TRIM(Procurement_Raw!B181)</f>
        <v>S018</v>
      </c>
      <c r="C181" t="str">
        <f>Procurement_Raw!C181</f>
        <v>Newport Care &amp; Education Centre</v>
      </c>
      <c r="D181" t="str">
        <f>Procurement_Raw!D181</f>
        <v>Wales</v>
      </c>
      <c r="E181" t="str">
        <f>IF(TRIM(Procurement_Raw!E181)="","",IFERROR(INDEX(Supplier_Lookup!$A$2:$A$25,MATCH(TRIM(Procurement_Raw!E181),Supplier_Lookup!$A$2:$A$25,0)),TRIM(Procurement_Raw!E181)))</f>
        <v>UK Energy Partners</v>
      </c>
      <c r="F181" t="str">
        <f>IFERROR(INDEX(Category_Targets!$A$2:$A$9,MATCH(TRIM(Procurement_Raw!F181),Category_Targets!$A$2:$A$9,0)),"Unmapped")</f>
        <v>Utilities</v>
      </c>
      <c r="G181" t="str">
        <f>TRIM(Procurement_Raw!G181)</f>
        <v>INV-2025-00180</v>
      </c>
      <c r="H181" s="77">
        <f>Procurement_Raw!H181</f>
        <v>47</v>
      </c>
      <c r="I181" s="124">
        <f>Procurement_Raw!I181</f>
        <v>1116.05</v>
      </c>
      <c r="J181" s="125">
        <f>IF(Procurement_Raw!J181="","",Procurement_Raw!J181)</f>
        <v>52454.51</v>
      </c>
      <c r="K181" s="77">
        <f>Procurement_Raw!K181</f>
        <v>60</v>
      </c>
      <c r="L181" t="str">
        <f>Procurement_Raw!L181</f>
        <v>Legacy Spend File</v>
      </c>
      <c r="M181" t="str">
        <f>Procurement_Raw!O181</f>
        <v>N</v>
      </c>
      <c r="N181" t="str">
        <f>IF(E181="","Missing supplier",IF(B181="","Missing site",IF(J181="","Missing spend",IF(COUNTIFS($G$2:G181,G181,$E$2:E181,E181,$J$2:J181,J181)&gt;1,"Duplicate invoice",IF(COUNTIF($G$2:$G$1801,G181)&gt;1,"Duplicate ID - review",IF(AND(P181&lt;&gt;"Unmapped",P181&lt;&gt;F181),"Category mismatch","OK"))))))</f>
        <v>OK</v>
      </c>
      <c r="O181" s="125">
        <f t="shared" si="6"/>
        <v>52454.51</v>
      </c>
      <c r="P181" t="str">
        <f>IF(E181="","Unmapped",IFERROR(INDEX(Supplier_Lookup!$B$2:$B$25,MATCH(E181,Supplier_Lookup!$A$2:$A$25,0)),"Unmapped"))</f>
        <v>Utilities</v>
      </c>
      <c r="Q181" s="76">
        <f>IFERROR(INDEX(Category_Targets!$B$2:$B$9,MATCH(F181,Category_Targets!$A$2:$A$9,0)),0)</f>
        <v>0.03</v>
      </c>
      <c r="R181" s="125">
        <f t="shared" si="7"/>
        <v>1573.6352999999999</v>
      </c>
      <c r="S181" s="78">
        <f t="shared" si="8"/>
        <v>45931</v>
      </c>
      <c r="T181" t="str">
        <f>IFERROR(VLOOKUP(B181,Sites!$A$2:$D$21,4,FALSE()),"Unknown")</f>
        <v>Newport</v>
      </c>
      <c r="U181" t="str">
        <f>IF(N181="OK","",COUNTIF($N$2:N181,"&lt;&gt;OK"))</f>
        <v/>
      </c>
      <c r="V181">
        <f>IF(OR(NOT(EXACT(E181,TRIM(Procurement_Raw!E181))),NOT(EXACT(F181,TRIM(Procurement_Raw!F181)))),1,0)</f>
        <v>0</v>
      </c>
    </row>
    <row r="182" spans="1:22" ht="15" customHeight="1" x14ac:dyDescent="0.25">
      <c r="A182" s="123">
        <f>Procurement_Raw!A182</f>
        <v>45904</v>
      </c>
      <c r="B182" t="str">
        <f>TRIM(Procurement_Raw!B182)</f>
        <v>S007</v>
      </c>
      <c r="C182" t="str">
        <f>Procurement_Raw!C182</f>
        <v>Nottingham Care &amp; Education Centre</v>
      </c>
      <c r="D182" t="str">
        <f>Procurement_Raw!D182</f>
        <v>Midlands</v>
      </c>
      <c r="E182" t="str">
        <f>IF(TRIM(Procurement_Raw!E182)="","",IFERROR(INDEX(Supplier_Lookup!$A$2:$A$25,MATCH(TRIM(Procurement_Raw!E182),Supplier_Lookup!$A$2:$A$25,0)),TRIM(Procurement_Raw!E182)))</f>
        <v>SafeGuard FM</v>
      </c>
      <c r="F182" t="str">
        <f>IFERROR(INDEX(Category_Targets!$A$2:$A$9,MATCH(TRIM(Procurement_Raw!F182),Category_Targets!$A$2:$A$9,0)),"Unmapped")</f>
        <v>Facilities</v>
      </c>
      <c r="G182" t="str">
        <f>TRIM(Procurement_Raw!G182)</f>
        <v>INV-2025-00181</v>
      </c>
      <c r="H182" s="77">
        <f>Procurement_Raw!H182</f>
        <v>38</v>
      </c>
      <c r="I182" s="124">
        <f>Procurement_Raw!I182</f>
        <v>253.93</v>
      </c>
      <c r="J182" s="125">
        <f>IF(Procurement_Raw!J182="","",Procurement_Raw!J182)</f>
        <v>9649.49</v>
      </c>
      <c r="K182" s="77">
        <f>Procurement_Raw!K182</f>
        <v>60</v>
      </c>
      <c r="L182" t="str">
        <f>Procurement_Raw!L182</f>
        <v>Procurement Portal</v>
      </c>
      <c r="M182" t="str">
        <f>Procurement_Raw!O182</f>
        <v>N</v>
      </c>
      <c r="N182" t="str">
        <f>IF(E182="","Missing supplier",IF(B182="","Missing site",IF(J182="","Missing spend",IF(COUNTIFS($G$2:G182,G182,$E$2:E182,E182,$J$2:J182,J182)&gt;1,"Duplicate invoice",IF(COUNTIF($G$2:$G$1801,G182)&gt;1,"Duplicate ID - review",IF(AND(P182&lt;&gt;"Unmapped",P182&lt;&gt;F182),"Category mismatch","OK"))))))</f>
        <v>OK</v>
      </c>
      <c r="O182" s="125">
        <f t="shared" si="6"/>
        <v>9649.49</v>
      </c>
      <c r="P182" t="str">
        <f>IF(E182="","Unmapped",IFERROR(INDEX(Supplier_Lookup!$B$2:$B$25,MATCH(E182,Supplier_Lookup!$A$2:$A$25,0)),"Unmapped"))</f>
        <v>Facilities</v>
      </c>
      <c r="Q182" s="76">
        <f>IFERROR(INDEX(Category_Targets!$B$2:$B$9,MATCH(F182,Category_Targets!$A$2:$A$9,0)),0)</f>
        <v>0.05</v>
      </c>
      <c r="R182" s="125">
        <f t="shared" si="7"/>
        <v>482.47450000000003</v>
      </c>
      <c r="S182" s="78">
        <f t="shared" si="8"/>
        <v>45901</v>
      </c>
      <c r="T182" t="str">
        <f>IFERROR(VLOOKUP(B182,Sites!$A$2:$D$21,4,FALSE()),"Unknown")</f>
        <v>Nottingham</v>
      </c>
      <c r="U182" t="str">
        <f>IF(N182="OK","",COUNTIF($N$2:N182,"&lt;&gt;OK"))</f>
        <v/>
      </c>
      <c r="V182">
        <f>IF(OR(NOT(EXACT(E182,TRIM(Procurement_Raw!E182))),NOT(EXACT(F182,TRIM(Procurement_Raw!F182)))),1,0)</f>
        <v>0</v>
      </c>
    </row>
    <row r="183" spans="1:22" ht="15" customHeight="1" x14ac:dyDescent="0.25">
      <c r="A183" s="123">
        <f>Procurement_Raw!A183</f>
        <v>45730</v>
      </c>
      <c r="B183" t="str">
        <f>TRIM(Procurement_Raw!B183)</f>
        <v>S018</v>
      </c>
      <c r="C183" t="str">
        <f>Procurement_Raw!C183</f>
        <v>Newport Care &amp; Education Centre</v>
      </c>
      <c r="D183" t="str">
        <f>Procurement_Raw!D183</f>
        <v>Wales</v>
      </c>
      <c r="E183" t="str">
        <f>IF(TRIM(Procurement_Raw!E183)="","",IFERROR(INDEX(Supplier_Lookup!$A$2:$A$25,MATCH(TRIM(Procurement_Raw!E183),Supplier_Lookup!$A$2:$A$25,0)),TRIM(Procurement_Raw!E183)))</f>
        <v>OfficePlus</v>
      </c>
      <c r="F183" t="str">
        <f>IFERROR(INDEX(Category_Targets!$A$2:$A$9,MATCH(TRIM(Procurement_Raw!F183),Category_Targets!$A$2:$A$9,0)),"Unmapped")</f>
        <v>Office &amp; Training</v>
      </c>
      <c r="G183" t="str">
        <f>TRIM(Procurement_Raw!G183)</f>
        <v>INV-2025-00182</v>
      </c>
      <c r="H183" s="77">
        <f>Procurement_Raw!H183</f>
        <v>29</v>
      </c>
      <c r="I183" s="124">
        <f>Procurement_Raw!I183</f>
        <v>46.81</v>
      </c>
      <c r="J183" s="125">
        <f>IF(Procurement_Raw!J183="","",Procurement_Raw!J183)</f>
        <v>1357.43</v>
      </c>
      <c r="K183" s="77">
        <f>Procurement_Raw!K183</f>
        <v>60</v>
      </c>
      <c r="L183" t="str">
        <f>Procurement_Raw!L183</f>
        <v>Legacy Spend File</v>
      </c>
      <c r="M183" t="str">
        <f>Procurement_Raw!O183</f>
        <v>N</v>
      </c>
      <c r="N183" t="str">
        <f>IF(E183="","Missing supplier",IF(B183="","Missing site",IF(J183="","Missing spend",IF(COUNTIFS($G$2:G183,G183,$E$2:E183,E183,$J$2:J183,J183)&gt;1,"Duplicate invoice",IF(COUNTIF($G$2:$G$1801,G183)&gt;1,"Duplicate ID - review",IF(AND(P183&lt;&gt;"Unmapped",P183&lt;&gt;F183),"Category mismatch","OK"))))))</f>
        <v>OK</v>
      </c>
      <c r="O183" s="125">
        <f t="shared" si="6"/>
        <v>1357.43</v>
      </c>
      <c r="P183" t="str">
        <f>IF(E183="","Unmapped",IFERROR(INDEX(Supplier_Lookup!$B$2:$B$25,MATCH(E183,Supplier_Lookup!$A$2:$A$25,0)),"Unmapped"))</f>
        <v>Office &amp; Training</v>
      </c>
      <c r="Q183" s="76">
        <f>IFERROR(INDEX(Category_Targets!$B$2:$B$9,MATCH(F183,Category_Targets!$A$2:$A$9,0)),0)</f>
        <v>0.04</v>
      </c>
      <c r="R183" s="125">
        <f t="shared" si="7"/>
        <v>54.297200000000004</v>
      </c>
      <c r="S183" s="78">
        <f t="shared" si="8"/>
        <v>45717</v>
      </c>
      <c r="T183" t="str">
        <f>IFERROR(VLOOKUP(B183,Sites!$A$2:$D$21,4,FALSE()),"Unknown")</f>
        <v>Newport</v>
      </c>
      <c r="U183" t="str">
        <f>IF(N183="OK","",COUNTIF($N$2:N183,"&lt;&gt;OK"))</f>
        <v/>
      </c>
      <c r="V183">
        <f>IF(OR(NOT(EXACT(E183,TRIM(Procurement_Raw!E183))),NOT(EXACT(F183,TRIM(Procurement_Raw!F183)))),1,0)</f>
        <v>0</v>
      </c>
    </row>
    <row r="184" spans="1:22" ht="15" customHeight="1" x14ac:dyDescent="0.25">
      <c r="A184" s="123">
        <f>Procurement_Raw!A184</f>
        <v>45845</v>
      </c>
      <c r="B184" t="str">
        <f>TRIM(Procurement_Raw!B184)</f>
        <v>S014</v>
      </c>
      <c r="C184" t="str">
        <f>Procurement_Raw!C184</f>
        <v>Southampton Care &amp; Education Centre</v>
      </c>
      <c r="D184" t="str">
        <f>Procurement_Raw!D184</f>
        <v>South</v>
      </c>
      <c r="E184" t="str">
        <f>IF(TRIM(Procurement_Raw!E184)="","",IFERROR(INDEX(Supplier_Lookup!$A$2:$A$25,MATCH(TRIM(Procurement_Raw!E184),Supplier_Lookup!$A$2:$A$25,0)),TRIM(Procurement_Raw!E184)))</f>
        <v>NurseLink</v>
      </c>
      <c r="F184" t="str">
        <f>IFERROR(INDEX(Category_Targets!$A$2:$A$9,MATCH(TRIM(Procurement_Raw!F184),Category_Targets!$A$2:$A$9,0)),"Unmapped")</f>
        <v>Agency Labour</v>
      </c>
      <c r="G184" t="str">
        <f>TRIM(Procurement_Raw!G184)</f>
        <v>INV-2025-00183</v>
      </c>
      <c r="H184" s="77">
        <f>Procurement_Raw!H184</f>
        <v>12</v>
      </c>
      <c r="I184" s="124">
        <f>Procurement_Raw!I184</f>
        <v>166.47</v>
      </c>
      <c r="J184" s="125">
        <f>IF(Procurement_Raw!J184="","",Procurement_Raw!J184)</f>
        <v>1997.59</v>
      </c>
      <c r="K184" s="77">
        <f>Procurement_Raw!K184</f>
        <v>45</v>
      </c>
      <c r="L184" t="str">
        <f>Procurement_Raw!L184</f>
        <v>ERP</v>
      </c>
      <c r="M184" t="str">
        <f>Procurement_Raw!O184</f>
        <v>N</v>
      </c>
      <c r="N184" t="str">
        <f>IF(E184="","Missing supplier",IF(B184="","Missing site",IF(J184="","Missing spend",IF(COUNTIFS($G$2:G184,G184,$E$2:E184,E184,$J$2:J184,J184)&gt;1,"Duplicate invoice",IF(COUNTIF($G$2:$G$1801,G184)&gt;1,"Duplicate ID - review",IF(AND(P184&lt;&gt;"Unmapped",P184&lt;&gt;F184),"Category mismatch","OK"))))))</f>
        <v>OK</v>
      </c>
      <c r="O184" s="125">
        <f t="shared" si="6"/>
        <v>1997.59</v>
      </c>
      <c r="P184" t="str">
        <f>IF(E184="","Unmapped",IFERROR(INDEX(Supplier_Lookup!$B$2:$B$25,MATCH(E184,Supplier_Lookup!$A$2:$A$25,0)),"Unmapped"))</f>
        <v>Agency Labour</v>
      </c>
      <c r="Q184" s="76">
        <f>IFERROR(INDEX(Category_Targets!$B$2:$B$9,MATCH(F184,Category_Targets!$A$2:$A$9,0)),0)</f>
        <v>7.0000000000000007E-2</v>
      </c>
      <c r="R184" s="125">
        <f t="shared" si="7"/>
        <v>139.8313</v>
      </c>
      <c r="S184" s="78">
        <f t="shared" si="8"/>
        <v>45839</v>
      </c>
      <c r="T184" t="str">
        <f>IFERROR(VLOOKUP(B184,Sites!$A$2:$D$21,4,FALSE()),"Unknown")</f>
        <v>Southampton</v>
      </c>
      <c r="U184" t="str">
        <f>IF(N184="OK","",COUNTIF($N$2:N184,"&lt;&gt;OK"))</f>
        <v/>
      </c>
      <c r="V184">
        <f>IF(OR(NOT(EXACT(E184,TRIM(Procurement_Raw!E184))),NOT(EXACT(F184,TRIM(Procurement_Raw!F184)))),1,0)</f>
        <v>0</v>
      </c>
    </row>
    <row r="185" spans="1:22" ht="15" customHeight="1" x14ac:dyDescent="0.25">
      <c r="A185" s="123">
        <f>Procurement_Raw!A185</f>
        <v>45846</v>
      </c>
      <c r="B185" t="str">
        <f>TRIM(Procurement_Raw!B185)</f>
        <v>S019</v>
      </c>
      <c r="C185" t="str">
        <f>Procurement_Raw!C185</f>
        <v>Wrexham Care &amp; Education Centre</v>
      </c>
      <c r="D185" t="str">
        <f>Procurement_Raw!D185</f>
        <v>Wales</v>
      </c>
      <c r="E185" t="str">
        <f>IF(TRIM(Procurement_Raw!E185)="","",IFERROR(INDEX(Supplier_Lookup!$A$2:$A$25,MATCH(TRIM(Procurement_Raw!E185),Supplier_Lookup!$A$2:$A$25,0)),TRIM(Procurement_Raw!E185)))</f>
        <v>NourishCo</v>
      </c>
      <c r="F185" t="str">
        <f>IFERROR(INDEX(Category_Targets!$A$2:$A$9,MATCH(TRIM(Procurement_Raw!F185),Category_Targets!$A$2:$A$9,0)),"Unmapped")</f>
        <v>Food &amp; Catering</v>
      </c>
      <c r="G185" t="str">
        <f>TRIM(Procurement_Raw!G185)</f>
        <v>INV-2025-00184</v>
      </c>
      <c r="H185" s="77">
        <f>Procurement_Raw!H185</f>
        <v>34</v>
      </c>
      <c r="I185" s="124">
        <f>Procurement_Raw!I185</f>
        <v>84.75</v>
      </c>
      <c r="J185" s="125">
        <f>IF(Procurement_Raw!J185="","",Procurement_Raw!J185)</f>
        <v>2881.62</v>
      </c>
      <c r="K185" s="77">
        <f>Procurement_Raw!K185</f>
        <v>60</v>
      </c>
      <c r="L185" t="str">
        <f>Procurement_Raw!L185</f>
        <v>Procurement Portal</v>
      </c>
      <c r="M185" t="str">
        <f>Procurement_Raw!O185</f>
        <v>N</v>
      </c>
      <c r="N185" t="str">
        <f>IF(E185="","Missing supplier",IF(B185="","Missing site",IF(J185="","Missing spend",IF(COUNTIFS($G$2:G185,G185,$E$2:E185,E185,$J$2:J185,J185)&gt;1,"Duplicate invoice",IF(COUNTIF($G$2:$G$1801,G185)&gt;1,"Duplicate ID - review",IF(AND(P185&lt;&gt;"Unmapped",P185&lt;&gt;F185),"Category mismatch","OK"))))))</f>
        <v>OK</v>
      </c>
      <c r="O185" s="125">
        <f t="shared" si="6"/>
        <v>2881.62</v>
      </c>
      <c r="P185" t="str">
        <f>IF(E185="","Unmapped",IFERROR(INDEX(Supplier_Lookup!$B$2:$B$25,MATCH(E185,Supplier_Lookup!$A$2:$A$25,0)),"Unmapped"))</f>
        <v>Food &amp; Catering</v>
      </c>
      <c r="Q185" s="76">
        <f>IFERROR(INDEX(Category_Targets!$B$2:$B$9,MATCH(F185,Category_Targets!$A$2:$A$9,0)),0)</f>
        <v>0.04</v>
      </c>
      <c r="R185" s="125">
        <f t="shared" si="7"/>
        <v>115.26479999999999</v>
      </c>
      <c r="S185" s="78">
        <f t="shared" si="8"/>
        <v>45839</v>
      </c>
      <c r="T185" t="str">
        <f>IFERROR(VLOOKUP(B185,Sites!$A$2:$D$21,4,FALSE()),"Unknown")</f>
        <v>Wrexham</v>
      </c>
      <c r="U185" t="str">
        <f>IF(N185="OK","",COUNTIF($N$2:N185,"&lt;&gt;OK"))</f>
        <v/>
      </c>
      <c r="V185">
        <f>IF(OR(NOT(EXACT(E185,TRIM(Procurement_Raw!E185))),NOT(EXACT(F185,TRIM(Procurement_Raw!F185)))),1,0)</f>
        <v>0</v>
      </c>
    </row>
    <row r="186" spans="1:22" ht="15" customHeight="1" x14ac:dyDescent="0.25">
      <c r="A186" s="123">
        <f>Procurement_Raw!A186</f>
        <v>46003</v>
      </c>
      <c r="B186" t="str">
        <f>TRIM(Procurement_Raw!B186)</f>
        <v>S018</v>
      </c>
      <c r="C186" t="str">
        <f>Procurement_Raw!C186</f>
        <v>Newport Care &amp; Education Centre</v>
      </c>
      <c r="D186" t="str">
        <f>Procurement_Raw!D186</f>
        <v>Wales</v>
      </c>
      <c r="E186" t="str">
        <f>IF(TRIM(Procurement_Raw!E186)="","",IFERROR(INDEX(Supplier_Lookup!$A$2:$A$25,MATCH(TRIM(Procurement_Raw!E186),Supplier_Lookup!$A$2:$A$25,0)),TRIM(Procurement_Raw!E186)))</f>
        <v>FleetFuel</v>
      </c>
      <c r="F186" t="str">
        <f>IFERROR(INDEX(Category_Targets!$A$2:$A$9,MATCH(TRIM(Procurement_Raw!F186),Category_Targets!$A$2:$A$9,0)),"Unmapped")</f>
        <v>Vehicle &amp; Fuel</v>
      </c>
      <c r="G186" t="str">
        <f>TRIM(Procurement_Raw!G186)</f>
        <v>INV-2025-00185</v>
      </c>
      <c r="H186" s="77">
        <f>Procurement_Raw!H186</f>
        <v>30</v>
      </c>
      <c r="I186" s="124">
        <f>Procurement_Raw!I186</f>
        <v>84.01</v>
      </c>
      <c r="J186" s="125">
        <f>IF(Procurement_Raw!J186="","",Procurement_Raw!J186)</f>
        <v>2520.39</v>
      </c>
      <c r="K186" s="77">
        <f>Procurement_Raw!K186</f>
        <v>45</v>
      </c>
      <c r="L186" t="str">
        <f>Procurement_Raw!L186</f>
        <v>ERP</v>
      </c>
      <c r="M186" t="str">
        <f>Procurement_Raw!O186</f>
        <v>Y</v>
      </c>
      <c r="N186" t="str">
        <f>IF(E186="","Missing supplier",IF(B186="","Missing site",IF(J186="","Missing spend",IF(COUNTIFS($G$2:G186,G186,$E$2:E186,E186,$J$2:J186,J186)&gt;1,"Duplicate invoice",IF(COUNTIF($G$2:$G$1801,G186)&gt;1,"Duplicate ID - review",IF(AND(P186&lt;&gt;"Unmapped",P186&lt;&gt;F186),"Category mismatch","OK"))))))</f>
        <v>OK</v>
      </c>
      <c r="O186" s="125">
        <f t="shared" si="6"/>
        <v>2520.39</v>
      </c>
      <c r="P186" t="str">
        <f>IF(E186="","Unmapped",IFERROR(INDEX(Supplier_Lookup!$B$2:$B$25,MATCH(E186,Supplier_Lookup!$A$2:$A$25,0)),"Unmapped"))</f>
        <v>Vehicle &amp; Fuel</v>
      </c>
      <c r="Q186" s="76">
        <f>IFERROR(INDEX(Category_Targets!$B$2:$B$9,MATCH(F186,Category_Targets!$A$2:$A$9,0)),0)</f>
        <v>0.05</v>
      </c>
      <c r="R186" s="125">
        <f t="shared" si="7"/>
        <v>126.01949999999999</v>
      </c>
      <c r="S186" s="78">
        <f t="shared" si="8"/>
        <v>45992</v>
      </c>
      <c r="T186" t="str">
        <f>IFERROR(VLOOKUP(B186,Sites!$A$2:$D$21,4,FALSE()),"Unknown")</f>
        <v>Newport</v>
      </c>
      <c r="U186" t="str">
        <f>IF(N186="OK","",COUNTIF($N$2:N186,"&lt;&gt;OK"))</f>
        <v/>
      </c>
      <c r="V186">
        <f>IF(OR(NOT(EXACT(E186,TRIM(Procurement_Raw!E186))),NOT(EXACT(F186,TRIM(Procurement_Raw!F186)))),1,0)</f>
        <v>0</v>
      </c>
    </row>
    <row r="187" spans="1:22" ht="15" customHeight="1" x14ac:dyDescent="0.25">
      <c r="A187" s="123">
        <f>Procurement_Raw!A187</f>
        <v>45771</v>
      </c>
      <c r="B187" t="str">
        <f>TRIM(Procurement_Raw!B187)</f>
        <v>S018</v>
      </c>
      <c r="C187" t="str">
        <f>Procurement_Raw!C187</f>
        <v>Newport Care &amp; Education Centre</v>
      </c>
      <c r="D187" t="str">
        <f>Procurement_Raw!D187</f>
        <v>Wales</v>
      </c>
      <c r="E187" t="str">
        <f>IF(TRIM(Procurement_Raw!E187)="","",IFERROR(INDEX(Supplier_Lookup!$A$2:$A$25,MATCH(TRIM(Procurement_Raw!E187),Supplier_Lookup!$A$2:$A$25,0)),TRIM(Procurement_Raw!E187)))</f>
        <v>AutoCare</v>
      </c>
      <c r="F187" t="str">
        <f>IFERROR(INDEX(Category_Targets!$A$2:$A$9,MATCH(TRIM(Procurement_Raw!F187),Category_Targets!$A$2:$A$9,0)),"Unmapped")</f>
        <v>Vehicle &amp; Fuel</v>
      </c>
      <c r="G187" t="str">
        <f>TRIM(Procurement_Raw!G187)</f>
        <v>INV-2025-00186</v>
      </c>
      <c r="H187" s="77">
        <f>Procurement_Raw!H187</f>
        <v>9</v>
      </c>
      <c r="I187" s="124">
        <f>Procurement_Raw!I187</f>
        <v>140.69</v>
      </c>
      <c r="J187" s="125">
        <f>IF(Procurement_Raw!J187="","",Procurement_Raw!J187)</f>
        <v>1266.23</v>
      </c>
      <c r="K187" s="77">
        <f>Procurement_Raw!K187</f>
        <v>60</v>
      </c>
      <c r="L187" t="str">
        <f>Procurement_Raw!L187</f>
        <v>Procurement Portal</v>
      </c>
      <c r="M187" t="str">
        <f>Procurement_Raw!O187</f>
        <v>N</v>
      </c>
      <c r="N187" t="str">
        <f>IF(E187="","Missing supplier",IF(B187="","Missing site",IF(J187="","Missing spend",IF(COUNTIFS($G$2:G187,G187,$E$2:E187,E187,$J$2:J187,J187)&gt;1,"Duplicate invoice",IF(COUNTIF($G$2:$G$1801,G187)&gt;1,"Duplicate ID - review",IF(AND(P187&lt;&gt;"Unmapped",P187&lt;&gt;F187),"Category mismatch","OK"))))))</f>
        <v>OK</v>
      </c>
      <c r="O187" s="125">
        <f t="shared" si="6"/>
        <v>1266.23</v>
      </c>
      <c r="P187" t="str">
        <f>IF(E187="","Unmapped",IFERROR(INDEX(Supplier_Lookup!$B$2:$B$25,MATCH(E187,Supplier_Lookup!$A$2:$A$25,0)),"Unmapped"))</f>
        <v>Vehicle &amp; Fuel</v>
      </c>
      <c r="Q187" s="76">
        <f>IFERROR(INDEX(Category_Targets!$B$2:$B$9,MATCH(F187,Category_Targets!$A$2:$A$9,0)),0)</f>
        <v>0.05</v>
      </c>
      <c r="R187" s="125">
        <f t="shared" si="7"/>
        <v>63.311500000000002</v>
      </c>
      <c r="S187" s="78">
        <f t="shared" si="8"/>
        <v>45748</v>
      </c>
      <c r="T187" t="str">
        <f>IFERROR(VLOOKUP(B187,Sites!$A$2:$D$21,4,FALSE()),"Unknown")</f>
        <v>Newport</v>
      </c>
      <c r="U187" t="str">
        <f>IF(N187="OK","",COUNTIF($N$2:N187,"&lt;&gt;OK"))</f>
        <v/>
      </c>
      <c r="V187">
        <f>IF(OR(NOT(EXACT(E187,TRIM(Procurement_Raw!E187))),NOT(EXACT(F187,TRIM(Procurement_Raw!F187)))),1,0)</f>
        <v>0</v>
      </c>
    </row>
    <row r="188" spans="1:22" ht="15" customHeight="1" x14ac:dyDescent="0.25">
      <c r="A188" s="123">
        <f>Procurement_Raw!A188</f>
        <v>45867</v>
      </c>
      <c r="B188" t="str">
        <f>TRIM(Procurement_Raw!B188)</f>
        <v>S015</v>
      </c>
      <c r="C188" t="str">
        <f>Procurement_Raw!C188</f>
        <v>Brighton Care &amp; Education Centre</v>
      </c>
      <c r="D188" t="str">
        <f>Procurement_Raw!D188</f>
        <v>South</v>
      </c>
      <c r="E188" t="str">
        <f>IF(TRIM(Procurement_Raw!E188)="","",IFERROR(INDEX(Supplier_Lookup!$A$2:$A$25,MATCH(TRIM(Procurement_Raw!E188),Supplier_Lookup!$A$2:$A$25,0)),TRIM(Procurement_Raw!E188)))</f>
        <v>NetServe</v>
      </c>
      <c r="F188" t="str">
        <f>IFERROR(INDEX(Category_Targets!$A$2:$A$9,MATCH(TRIM(Procurement_Raw!F188),Category_Targets!$A$2:$A$9,0)),"Unmapped")</f>
        <v>IT &amp; Telecoms</v>
      </c>
      <c r="G188" t="str">
        <f>TRIM(Procurement_Raw!G188)</f>
        <v>INV-2025-00187</v>
      </c>
      <c r="H188" s="77">
        <f>Procurement_Raw!H188</f>
        <v>15</v>
      </c>
      <c r="I188" s="124">
        <f>Procurement_Raw!I188</f>
        <v>285.39999999999998</v>
      </c>
      <c r="J188" s="125">
        <f>IF(Procurement_Raw!J188="","",Procurement_Raw!J188)</f>
        <v>4281.07</v>
      </c>
      <c r="K188" s="77">
        <f>Procurement_Raw!K188</f>
        <v>30</v>
      </c>
      <c r="L188" t="str">
        <f>Procurement_Raw!L188</f>
        <v>ERP</v>
      </c>
      <c r="M188" t="str">
        <f>Procurement_Raw!O188</f>
        <v>N</v>
      </c>
      <c r="N188" t="str">
        <f>IF(E188="","Missing supplier",IF(B188="","Missing site",IF(J188="","Missing spend",IF(COUNTIFS($G$2:G188,G188,$E$2:E188,E188,$J$2:J188,J188)&gt;1,"Duplicate invoice",IF(COUNTIF($G$2:$G$1801,G188)&gt;1,"Duplicate ID - review",IF(AND(P188&lt;&gt;"Unmapped",P188&lt;&gt;F188),"Category mismatch","OK"))))))</f>
        <v>OK</v>
      </c>
      <c r="O188" s="125">
        <f t="shared" si="6"/>
        <v>4281.07</v>
      </c>
      <c r="P188" t="str">
        <f>IF(E188="","Unmapped",IFERROR(INDEX(Supplier_Lookup!$B$2:$B$25,MATCH(E188,Supplier_Lookup!$A$2:$A$25,0)),"Unmapped"))</f>
        <v>IT &amp; Telecoms</v>
      </c>
      <c r="Q188" s="76">
        <f>IFERROR(INDEX(Category_Targets!$B$2:$B$9,MATCH(F188,Category_Targets!$A$2:$A$9,0)),0)</f>
        <v>0.08</v>
      </c>
      <c r="R188" s="125">
        <f t="shared" si="7"/>
        <v>342.48559999999998</v>
      </c>
      <c r="S188" s="78">
        <f t="shared" si="8"/>
        <v>45839</v>
      </c>
      <c r="T188" t="str">
        <f>IFERROR(VLOOKUP(B188,Sites!$A$2:$D$21,4,FALSE()),"Unknown")</f>
        <v>Brighton</v>
      </c>
      <c r="U188" t="str">
        <f>IF(N188="OK","",COUNTIF($N$2:N188,"&lt;&gt;OK"))</f>
        <v/>
      </c>
      <c r="V188">
        <f>IF(OR(NOT(EXACT(E188,TRIM(Procurement_Raw!E188))),NOT(EXACT(F188,TRIM(Procurement_Raw!F188)))),1,0)</f>
        <v>0</v>
      </c>
    </row>
    <row r="189" spans="1:22" ht="15" customHeight="1" x14ac:dyDescent="0.25">
      <c r="A189" s="123">
        <f>Procurement_Raw!A189</f>
        <v>45717</v>
      </c>
      <c r="B189" t="str">
        <f>TRIM(Procurement_Raw!B189)</f>
        <v>S014</v>
      </c>
      <c r="C189" t="str">
        <f>Procurement_Raw!C189</f>
        <v>Southampton Care &amp; Education Centre</v>
      </c>
      <c r="D189" t="str">
        <f>Procurement_Raw!D189</f>
        <v>South</v>
      </c>
      <c r="E189" t="str">
        <f>IF(TRIM(Procurement_Raw!E189)="","",IFERROR(INDEX(Supplier_Lookup!$A$2:$A$25,MATCH(TRIM(Procurement_Raw!E189),Supplier_Lookup!$A$2:$A$25,0)),TRIM(Procurement_Raw!E189)))</f>
        <v>TeleCare IT</v>
      </c>
      <c r="F189" t="str">
        <f>IFERROR(INDEX(Category_Targets!$A$2:$A$9,MATCH(TRIM(Procurement_Raw!F189),Category_Targets!$A$2:$A$9,0)),"Unmapped")</f>
        <v>IT &amp; Telecoms</v>
      </c>
      <c r="G189" t="str">
        <f>TRIM(Procurement_Raw!G189)</f>
        <v>INV-2025-00188</v>
      </c>
      <c r="H189" s="77">
        <f>Procurement_Raw!H189</f>
        <v>13</v>
      </c>
      <c r="I189" s="124">
        <f>Procurement_Raw!I189</f>
        <v>211.36</v>
      </c>
      <c r="J189" s="125">
        <f>IF(Procurement_Raw!J189="","",Procurement_Raw!J189)</f>
        <v>2747.7</v>
      </c>
      <c r="K189" s="77">
        <f>Procurement_Raw!K189</f>
        <v>30</v>
      </c>
      <c r="L189" t="str">
        <f>Procurement_Raw!L189</f>
        <v>Legacy Spend File</v>
      </c>
      <c r="M189" t="str">
        <f>Procurement_Raw!O189</f>
        <v>N</v>
      </c>
      <c r="N189" t="str">
        <f>IF(E189="","Missing supplier",IF(B189="","Missing site",IF(J189="","Missing spend",IF(COUNTIFS($G$2:G189,G189,$E$2:E189,E189,$J$2:J189,J189)&gt;1,"Duplicate invoice",IF(COUNTIF($G$2:$G$1801,G189)&gt;1,"Duplicate ID - review",IF(AND(P189&lt;&gt;"Unmapped",P189&lt;&gt;F189),"Category mismatch","OK"))))))</f>
        <v>OK</v>
      </c>
      <c r="O189" s="125">
        <f t="shared" si="6"/>
        <v>2747.7</v>
      </c>
      <c r="P189" t="str">
        <f>IF(E189="","Unmapped",IFERROR(INDEX(Supplier_Lookup!$B$2:$B$25,MATCH(E189,Supplier_Lookup!$A$2:$A$25,0)),"Unmapped"))</f>
        <v>IT &amp; Telecoms</v>
      </c>
      <c r="Q189" s="76">
        <f>IFERROR(INDEX(Category_Targets!$B$2:$B$9,MATCH(F189,Category_Targets!$A$2:$A$9,0)),0)</f>
        <v>0.08</v>
      </c>
      <c r="R189" s="125">
        <f t="shared" si="7"/>
        <v>219.816</v>
      </c>
      <c r="S189" s="78">
        <f t="shared" si="8"/>
        <v>45717</v>
      </c>
      <c r="T189" t="str">
        <f>IFERROR(VLOOKUP(B189,Sites!$A$2:$D$21,4,FALSE()),"Unknown")</f>
        <v>Southampton</v>
      </c>
      <c r="U189" t="str">
        <f>IF(N189="OK","",COUNTIF($N$2:N189,"&lt;&gt;OK"))</f>
        <v/>
      </c>
      <c r="V189">
        <f>IF(OR(NOT(EXACT(E189,TRIM(Procurement_Raw!E189))),NOT(EXACT(F189,TRIM(Procurement_Raw!F189)))),1,0)</f>
        <v>0</v>
      </c>
    </row>
    <row r="190" spans="1:22" ht="15" customHeight="1" x14ac:dyDescent="0.25">
      <c r="A190" s="123">
        <f>Procurement_Raw!A190</f>
        <v>45847</v>
      </c>
      <c r="B190" t="str">
        <f>TRIM(Procurement_Raw!B190)</f>
        <v>S003</v>
      </c>
      <c r="C190" t="str">
        <f>Procurement_Raw!C190</f>
        <v>Leeds Care &amp; Education Centre</v>
      </c>
      <c r="D190" t="str">
        <f>Procurement_Raw!D190</f>
        <v>North</v>
      </c>
      <c r="E190" t="str">
        <f>IF(TRIM(Procurement_Raw!E190)="","",IFERROR(INDEX(Supplier_Lookup!$A$2:$A$25,MATCH(TRIM(Procurement_Raw!E190),Supplier_Lookup!$A$2:$A$25,0)),TRIM(Procurement_Raw!E190)))</f>
        <v>CareTemps</v>
      </c>
      <c r="F190" t="str">
        <f>IFERROR(INDEX(Category_Targets!$A$2:$A$9,MATCH(TRIM(Procurement_Raw!F190),Category_Targets!$A$2:$A$9,0)),"Unmapped")</f>
        <v>Agency Labour</v>
      </c>
      <c r="G190" t="str">
        <f>TRIM(Procurement_Raw!G190)</f>
        <v>INV-2025-00189</v>
      </c>
      <c r="H190" s="77">
        <f>Procurement_Raw!H190</f>
        <v>70</v>
      </c>
      <c r="I190" s="124">
        <f>Procurement_Raw!I190</f>
        <v>188.3</v>
      </c>
      <c r="J190" s="125">
        <f>IF(Procurement_Raw!J190="","",Procurement_Raw!J190)</f>
        <v>13181.13</v>
      </c>
      <c r="K190" s="77">
        <f>Procurement_Raw!K190</f>
        <v>45</v>
      </c>
      <c r="L190" t="str">
        <f>Procurement_Raw!L190</f>
        <v>Legacy Spend File</v>
      </c>
      <c r="M190" t="str">
        <f>Procurement_Raw!O190</f>
        <v>N</v>
      </c>
      <c r="N190" t="str">
        <f>IF(E190="","Missing supplier",IF(B190="","Missing site",IF(J190="","Missing spend",IF(COUNTIFS($G$2:G190,G190,$E$2:E190,E190,$J$2:J190,J190)&gt;1,"Duplicate invoice",IF(COUNTIF($G$2:$G$1801,G190)&gt;1,"Duplicate ID - review",IF(AND(P190&lt;&gt;"Unmapped",P190&lt;&gt;F190),"Category mismatch","OK"))))))</f>
        <v>OK</v>
      </c>
      <c r="O190" s="125">
        <f t="shared" si="6"/>
        <v>13181.13</v>
      </c>
      <c r="P190" t="str">
        <f>IF(E190="","Unmapped",IFERROR(INDEX(Supplier_Lookup!$B$2:$B$25,MATCH(E190,Supplier_Lookup!$A$2:$A$25,0)),"Unmapped"))</f>
        <v>Agency Labour</v>
      </c>
      <c r="Q190" s="76">
        <f>IFERROR(INDEX(Category_Targets!$B$2:$B$9,MATCH(F190,Category_Targets!$A$2:$A$9,0)),0)</f>
        <v>7.0000000000000007E-2</v>
      </c>
      <c r="R190" s="125">
        <f t="shared" si="7"/>
        <v>922.67910000000006</v>
      </c>
      <c r="S190" s="78">
        <f t="shared" si="8"/>
        <v>45839</v>
      </c>
      <c r="T190" t="str">
        <f>IFERROR(VLOOKUP(B190,Sites!$A$2:$D$21,4,FALSE()),"Unknown")</f>
        <v>Leeds</v>
      </c>
      <c r="U190" t="str">
        <f>IF(N190="OK","",COUNTIF($N$2:N190,"&lt;&gt;OK"))</f>
        <v/>
      </c>
      <c r="V190">
        <f>IF(OR(NOT(EXACT(E190,TRIM(Procurement_Raw!E190))),NOT(EXACT(F190,TRIM(Procurement_Raw!F190)))),1,0)</f>
        <v>0</v>
      </c>
    </row>
    <row r="191" spans="1:22" ht="15" customHeight="1" x14ac:dyDescent="0.25">
      <c r="A191" s="123">
        <f>Procurement_Raw!A191</f>
        <v>45993</v>
      </c>
      <c r="B191" t="str">
        <f>TRIM(Procurement_Raw!B191)</f>
        <v>S010</v>
      </c>
      <c r="C191" t="str">
        <f>Procurement_Raw!C191</f>
        <v>Coventry Care &amp; Education Centre</v>
      </c>
      <c r="D191" t="str">
        <f>Procurement_Raw!D191</f>
        <v>Midlands</v>
      </c>
      <c r="E191" t="str">
        <f>IF(TRIM(Procurement_Raw!E191)="","",IFERROR(INDEX(Supplier_Lookup!$A$2:$A$25,MATCH(TRIM(Procurement_Raw!E191),Supplier_Lookup!$A$2:$A$25,0)),TRIM(Procurement_Raw!E191)))</f>
        <v>SafeGuard FM</v>
      </c>
      <c r="F191" t="str">
        <f>IFERROR(INDEX(Category_Targets!$A$2:$A$9,MATCH(TRIM(Procurement_Raw!F191),Category_Targets!$A$2:$A$9,0)),"Unmapped")</f>
        <v>Facilities</v>
      </c>
      <c r="G191" t="str">
        <f>TRIM(Procurement_Raw!G191)</f>
        <v>INV-2025-00190</v>
      </c>
      <c r="H191" s="77">
        <f>Procurement_Raw!H191</f>
        <v>13</v>
      </c>
      <c r="I191" s="124">
        <f>Procurement_Raw!I191</f>
        <v>78.239999999999995</v>
      </c>
      <c r="J191" s="125">
        <f>IF(Procurement_Raw!J191="","",Procurement_Raw!J191)</f>
        <v>1017.13</v>
      </c>
      <c r="K191" s="77">
        <f>Procurement_Raw!K191</f>
        <v>45</v>
      </c>
      <c r="L191" t="str">
        <f>Procurement_Raw!L191</f>
        <v>Legacy Spend File</v>
      </c>
      <c r="M191" t="str">
        <f>Procurement_Raw!O191</f>
        <v>N</v>
      </c>
      <c r="N191" t="str">
        <f>IF(E191="","Missing supplier",IF(B191="","Missing site",IF(J191="","Missing spend",IF(COUNTIFS($G$2:G191,G191,$E$2:E191,E191,$J$2:J191,J191)&gt;1,"Duplicate invoice",IF(COUNTIF($G$2:$G$1801,G191)&gt;1,"Duplicate ID - review",IF(AND(P191&lt;&gt;"Unmapped",P191&lt;&gt;F191),"Category mismatch","OK"))))))</f>
        <v>OK</v>
      </c>
      <c r="O191" s="125">
        <f t="shared" si="6"/>
        <v>1017.13</v>
      </c>
      <c r="P191" t="str">
        <f>IF(E191="","Unmapped",IFERROR(INDEX(Supplier_Lookup!$B$2:$B$25,MATCH(E191,Supplier_Lookup!$A$2:$A$25,0)),"Unmapped"))</f>
        <v>Facilities</v>
      </c>
      <c r="Q191" s="76">
        <f>IFERROR(INDEX(Category_Targets!$B$2:$B$9,MATCH(F191,Category_Targets!$A$2:$A$9,0)),0)</f>
        <v>0.05</v>
      </c>
      <c r="R191" s="125">
        <f t="shared" si="7"/>
        <v>50.856500000000004</v>
      </c>
      <c r="S191" s="78">
        <f t="shared" si="8"/>
        <v>45992</v>
      </c>
      <c r="T191" t="str">
        <f>IFERROR(VLOOKUP(B191,Sites!$A$2:$D$21,4,FALSE()),"Unknown")</f>
        <v>Coventry</v>
      </c>
      <c r="U191" t="str">
        <f>IF(N191="OK","",COUNTIF($N$2:N191,"&lt;&gt;OK"))</f>
        <v/>
      </c>
      <c r="V191">
        <f>IF(OR(NOT(EXACT(E191,TRIM(Procurement_Raw!E191))),NOT(EXACT(F191,TRIM(Procurement_Raw!F191)))),1,0)</f>
        <v>0</v>
      </c>
    </row>
    <row r="192" spans="1:22" ht="15" customHeight="1" x14ac:dyDescent="0.25">
      <c r="A192" s="123">
        <f>Procurement_Raw!A192</f>
        <v>46011</v>
      </c>
      <c r="B192" t="str">
        <f>TRIM(Procurement_Raw!B192)</f>
        <v>S007</v>
      </c>
      <c r="C192" t="str">
        <f>Procurement_Raw!C192</f>
        <v>Nottingham Care &amp; Education Centre</v>
      </c>
      <c r="D192" t="str">
        <f>Procurement_Raw!D192</f>
        <v>Midlands</v>
      </c>
      <c r="E192" t="str">
        <f>IF(TRIM(Procurement_Raw!E192)="","",IFERROR(INDEX(Supplier_Lookup!$A$2:$A$25,MATCH(TRIM(Procurement_Raw!E192),Supplier_Lookup!$A$2:$A$25,0)),TRIM(Procurement_Raw!E192)))</f>
        <v>CloudLink</v>
      </c>
      <c r="F192" t="str">
        <f>IFERROR(INDEX(Category_Targets!$A$2:$A$9,MATCH(TRIM(Procurement_Raw!F192),Category_Targets!$A$2:$A$9,0)),"Unmapped")</f>
        <v>IT &amp; Telecoms</v>
      </c>
      <c r="G192" t="str">
        <f>TRIM(Procurement_Raw!G192)</f>
        <v>INV-2025-00191</v>
      </c>
      <c r="H192" s="77">
        <f>Procurement_Raw!H192</f>
        <v>48</v>
      </c>
      <c r="I192" s="124">
        <f>Procurement_Raw!I192</f>
        <v>172.09</v>
      </c>
      <c r="J192" s="125">
        <f>IF(Procurement_Raw!J192="","",Procurement_Raw!J192)</f>
        <v>8260.5400000000009</v>
      </c>
      <c r="K192" s="77">
        <f>Procurement_Raw!K192</f>
        <v>30</v>
      </c>
      <c r="L192" t="str">
        <f>Procurement_Raw!L192</f>
        <v>Procurement Portal</v>
      </c>
      <c r="M192" t="str">
        <f>Procurement_Raw!O192</f>
        <v>Y</v>
      </c>
      <c r="N192" t="str">
        <f>IF(E192="","Missing supplier",IF(B192="","Missing site",IF(J192="","Missing spend",IF(COUNTIFS($G$2:G192,G192,$E$2:E192,E192,$J$2:J192,J192)&gt;1,"Duplicate invoice",IF(COUNTIF($G$2:$G$1801,G192)&gt;1,"Duplicate ID - review",IF(AND(P192&lt;&gt;"Unmapped",P192&lt;&gt;F192),"Category mismatch","OK"))))))</f>
        <v>OK</v>
      </c>
      <c r="O192" s="125">
        <f t="shared" si="6"/>
        <v>8260.5400000000009</v>
      </c>
      <c r="P192" t="str">
        <f>IF(E192="","Unmapped",IFERROR(INDEX(Supplier_Lookup!$B$2:$B$25,MATCH(E192,Supplier_Lookup!$A$2:$A$25,0)),"Unmapped"))</f>
        <v>IT &amp; Telecoms</v>
      </c>
      <c r="Q192" s="76">
        <f>IFERROR(INDEX(Category_Targets!$B$2:$B$9,MATCH(F192,Category_Targets!$A$2:$A$9,0)),0)</f>
        <v>0.08</v>
      </c>
      <c r="R192" s="125">
        <f t="shared" si="7"/>
        <v>660.84320000000014</v>
      </c>
      <c r="S192" s="78">
        <f t="shared" si="8"/>
        <v>45992</v>
      </c>
      <c r="T192" t="str">
        <f>IFERROR(VLOOKUP(B192,Sites!$A$2:$D$21,4,FALSE()),"Unknown")</f>
        <v>Nottingham</v>
      </c>
      <c r="U192" t="str">
        <f>IF(N192="OK","",COUNTIF($N$2:N192,"&lt;&gt;OK"))</f>
        <v/>
      </c>
      <c r="V192">
        <f>IF(OR(NOT(EXACT(E192,TRIM(Procurement_Raw!E192))),NOT(EXACT(F192,TRIM(Procurement_Raw!F192)))),1,0)</f>
        <v>0</v>
      </c>
    </row>
    <row r="193" spans="1:22" ht="15" customHeight="1" x14ac:dyDescent="0.25">
      <c r="A193" s="123">
        <f>Procurement_Raw!A193</f>
        <v>45708</v>
      </c>
      <c r="B193" t="str">
        <f>TRIM(Procurement_Raw!B193)</f>
        <v>S011</v>
      </c>
      <c r="C193" t="str">
        <f>Procurement_Raw!C193</f>
        <v>London Care &amp; Education Centre</v>
      </c>
      <c r="D193" t="str">
        <f>Procurement_Raw!D193</f>
        <v>South</v>
      </c>
      <c r="E193" t="str">
        <f>IF(TRIM(Procurement_Raw!E193)="","",IFERROR(INDEX(Supplier_Lookup!$A$2:$A$25,MATCH(TRIM(Procurement_Raw!E193),Supplier_Lookup!$A$2:$A$25,0)),TRIM(Procurement_Raw!E193)))</f>
        <v>WaterGrid</v>
      </c>
      <c r="F193" t="str">
        <f>IFERROR(INDEX(Category_Targets!$A$2:$A$9,MATCH(TRIM(Procurement_Raw!F193),Category_Targets!$A$2:$A$9,0)),"Unmapped")</f>
        <v>Utilities</v>
      </c>
      <c r="G193" t="str">
        <f>TRIM(Procurement_Raw!G193)</f>
        <v>INV-2025-00192</v>
      </c>
      <c r="H193" s="77">
        <f>Procurement_Raw!H193</f>
        <v>48</v>
      </c>
      <c r="I193" s="124">
        <f>Procurement_Raw!I193</f>
        <v>400.41</v>
      </c>
      <c r="J193" s="125">
        <f>IF(Procurement_Raw!J193="","",Procurement_Raw!J193)</f>
        <v>19219.509999999998</v>
      </c>
      <c r="K193" s="77">
        <f>Procurement_Raw!K193</f>
        <v>60</v>
      </c>
      <c r="L193" t="str">
        <f>Procurement_Raw!L193</f>
        <v>Legacy Spend File</v>
      </c>
      <c r="M193" t="str">
        <f>Procurement_Raw!O193</f>
        <v>N</v>
      </c>
      <c r="N193" t="str">
        <f>IF(E193="","Missing supplier",IF(B193="","Missing site",IF(J193="","Missing spend",IF(COUNTIFS($G$2:G193,G193,$E$2:E193,E193,$J$2:J193,J193)&gt;1,"Duplicate invoice",IF(COUNTIF($G$2:$G$1801,G193)&gt;1,"Duplicate ID - review",IF(AND(P193&lt;&gt;"Unmapped",P193&lt;&gt;F193),"Category mismatch","OK"))))))</f>
        <v>OK</v>
      </c>
      <c r="O193" s="125">
        <f t="shared" si="6"/>
        <v>19219.509999999998</v>
      </c>
      <c r="P193" t="str">
        <f>IF(E193="","Unmapped",IFERROR(INDEX(Supplier_Lookup!$B$2:$B$25,MATCH(E193,Supplier_Lookup!$A$2:$A$25,0)),"Unmapped"))</f>
        <v>Utilities</v>
      </c>
      <c r="Q193" s="76">
        <f>IFERROR(INDEX(Category_Targets!$B$2:$B$9,MATCH(F193,Category_Targets!$A$2:$A$9,0)),0)</f>
        <v>0.03</v>
      </c>
      <c r="R193" s="125">
        <f t="shared" si="7"/>
        <v>576.58529999999996</v>
      </c>
      <c r="S193" s="78">
        <f t="shared" si="8"/>
        <v>45689</v>
      </c>
      <c r="T193" t="str">
        <f>IFERROR(VLOOKUP(B193,Sites!$A$2:$D$21,4,FALSE()),"Unknown")</f>
        <v>London</v>
      </c>
      <c r="U193" t="str">
        <f>IF(N193="OK","",COUNTIF($N$2:N193,"&lt;&gt;OK"))</f>
        <v/>
      </c>
      <c r="V193">
        <f>IF(OR(NOT(EXACT(E193,TRIM(Procurement_Raw!E193))),NOT(EXACT(F193,TRIM(Procurement_Raw!F193)))),1,0)</f>
        <v>0</v>
      </c>
    </row>
    <row r="194" spans="1:22" ht="15" customHeight="1" x14ac:dyDescent="0.25">
      <c r="A194" s="123">
        <f>Procurement_Raw!A194</f>
        <v>45799</v>
      </c>
      <c r="B194" t="str">
        <f>TRIM(Procurement_Raw!B194)</f>
        <v>S017</v>
      </c>
      <c r="C194" t="str">
        <f>Procurement_Raw!C194</f>
        <v>Swansea Care &amp; Education Centre</v>
      </c>
      <c r="D194" t="str">
        <f>Procurement_Raw!D194</f>
        <v>Wales</v>
      </c>
      <c r="E194" t="str">
        <f>IF(TRIM(Procurement_Raw!E194)="","",IFERROR(INDEX(Supplier_Lookup!$A$2:$A$25,MATCH(TRIM(Procurement_Raw!E194),Supplier_Lookup!$A$2:$A$25,0)),TRIM(Procurement_Raw!E194)))</f>
        <v>CareMed</v>
      </c>
      <c r="F194" t="str">
        <f>IFERROR(INDEX(Category_Targets!$A$2:$A$9,MATCH(TRIM(Procurement_Raw!F194),Category_Targets!$A$2:$A$9,0)),"Unmapped")</f>
        <v>Medical Supplies</v>
      </c>
      <c r="G194" t="str">
        <f>TRIM(Procurement_Raw!G194)</f>
        <v>INV-2025-00193</v>
      </c>
      <c r="H194" s="77">
        <f>Procurement_Raw!H194</f>
        <v>25</v>
      </c>
      <c r="I194" s="124">
        <f>Procurement_Raw!I194</f>
        <v>135</v>
      </c>
      <c r="J194" s="125">
        <f>IF(Procurement_Raw!J194="","",Procurement_Raw!J194)</f>
        <v>3374.89</v>
      </c>
      <c r="K194" s="77">
        <f>Procurement_Raw!K194</f>
        <v>30</v>
      </c>
      <c r="L194" t="str">
        <f>Procurement_Raw!L194</f>
        <v>Procurement Portal</v>
      </c>
      <c r="M194" t="str">
        <f>Procurement_Raw!O194</f>
        <v>N</v>
      </c>
      <c r="N194" t="str">
        <f>IF(E194="","Missing supplier",IF(B194="","Missing site",IF(J194="","Missing spend",IF(COUNTIFS($G$2:G194,G194,$E$2:E194,E194,$J$2:J194,J194)&gt;1,"Duplicate invoice",IF(COUNTIF($G$2:$G$1801,G194)&gt;1,"Duplicate ID - review",IF(AND(P194&lt;&gt;"Unmapped",P194&lt;&gt;F194),"Category mismatch","OK"))))))</f>
        <v>OK</v>
      </c>
      <c r="O194" s="125">
        <f t="shared" ref="O194:O257" si="9">IF(OR(N194="Missing spend",N194="Duplicate invoice"),0,J194)</f>
        <v>3374.89</v>
      </c>
      <c r="P194" t="str">
        <f>IF(E194="","Unmapped",IFERROR(INDEX(Supplier_Lookup!$B$2:$B$25,MATCH(E194,Supplier_Lookup!$A$2:$A$25,0)),"Unmapped"))</f>
        <v>Medical Supplies</v>
      </c>
      <c r="Q194" s="76">
        <f>IFERROR(INDEX(Category_Targets!$B$2:$B$9,MATCH(F194,Category_Targets!$A$2:$A$9,0)),0)</f>
        <v>0.06</v>
      </c>
      <c r="R194" s="125">
        <f t="shared" ref="R194:R257" si="10">O194*Q194</f>
        <v>202.49339999999998</v>
      </c>
      <c r="S194" s="78">
        <f t="shared" ref="S194:S257" si="11">DATE(YEAR(A194),MONTH(A194),1)</f>
        <v>45778</v>
      </c>
      <c r="T194" t="str">
        <f>IFERROR(VLOOKUP(B194,Sites!$A$2:$D$21,4,FALSE()),"Unknown")</f>
        <v>Swansea</v>
      </c>
      <c r="U194" t="str">
        <f>IF(N194="OK","",COUNTIF($N$2:N194,"&lt;&gt;OK"))</f>
        <v/>
      </c>
      <c r="V194">
        <f>IF(OR(NOT(EXACT(E194,TRIM(Procurement_Raw!E194))),NOT(EXACT(F194,TRIM(Procurement_Raw!F194)))),1,0)</f>
        <v>0</v>
      </c>
    </row>
    <row r="195" spans="1:22" ht="15" customHeight="1" x14ac:dyDescent="0.25">
      <c r="A195" s="123">
        <f>Procurement_Raw!A195</f>
        <v>45985</v>
      </c>
      <c r="B195" t="str">
        <f>TRIM(Procurement_Raw!B195)</f>
        <v>S017</v>
      </c>
      <c r="C195" t="str">
        <f>Procurement_Raw!C195</f>
        <v>Swansea Care &amp; Education Centre</v>
      </c>
      <c r="D195" t="str">
        <f>Procurement_Raw!D195</f>
        <v>Wales</v>
      </c>
      <c r="E195" t="str">
        <f>IF(TRIM(Procurement_Raw!E195)="","",IFERROR(INDEX(Supplier_Lookup!$A$2:$A$25,MATCH(TRIM(Procurement_Raw!E195),Supplier_Lookup!$A$2:$A$25,0)),TRIM(Procurement_Raw!E195)))</f>
        <v>PowerDirect</v>
      </c>
      <c r="F195" t="str">
        <f>IFERROR(INDEX(Category_Targets!$A$2:$A$9,MATCH(TRIM(Procurement_Raw!F195),Category_Targets!$A$2:$A$9,0)),"Unmapped")</f>
        <v>Utilities</v>
      </c>
      <c r="G195" t="str">
        <f>TRIM(Procurement_Raw!G195)</f>
        <v>INV-2025-00194</v>
      </c>
      <c r="H195" s="77">
        <f>Procurement_Raw!H195</f>
        <v>77</v>
      </c>
      <c r="I195" s="124">
        <f>Procurement_Raw!I195</f>
        <v>126</v>
      </c>
      <c r="J195" s="125">
        <f>IF(Procurement_Raw!J195="","",Procurement_Raw!J195)</f>
        <v>9702.2199999999993</v>
      </c>
      <c r="K195" s="77">
        <f>Procurement_Raw!K195</f>
        <v>30</v>
      </c>
      <c r="L195" t="str">
        <f>Procurement_Raw!L195</f>
        <v>ERP</v>
      </c>
      <c r="M195" t="str">
        <f>Procurement_Raw!O195</f>
        <v>N</v>
      </c>
      <c r="N195" t="str">
        <f>IF(E195="","Missing supplier",IF(B195="","Missing site",IF(J195="","Missing spend",IF(COUNTIFS($G$2:G195,G195,$E$2:E195,E195,$J$2:J195,J195)&gt;1,"Duplicate invoice",IF(COUNTIF($G$2:$G$1801,G195)&gt;1,"Duplicate ID - review",IF(AND(P195&lt;&gt;"Unmapped",P195&lt;&gt;F195),"Category mismatch","OK"))))))</f>
        <v>OK</v>
      </c>
      <c r="O195" s="125">
        <f t="shared" si="9"/>
        <v>9702.2199999999993</v>
      </c>
      <c r="P195" t="str">
        <f>IF(E195="","Unmapped",IFERROR(INDEX(Supplier_Lookup!$B$2:$B$25,MATCH(E195,Supplier_Lookup!$A$2:$A$25,0)),"Unmapped"))</f>
        <v>Utilities</v>
      </c>
      <c r="Q195" s="76">
        <f>IFERROR(INDEX(Category_Targets!$B$2:$B$9,MATCH(F195,Category_Targets!$A$2:$A$9,0)),0)</f>
        <v>0.03</v>
      </c>
      <c r="R195" s="125">
        <f t="shared" si="10"/>
        <v>291.06659999999999</v>
      </c>
      <c r="S195" s="78">
        <f t="shared" si="11"/>
        <v>45962</v>
      </c>
      <c r="T195" t="str">
        <f>IFERROR(VLOOKUP(B195,Sites!$A$2:$D$21,4,FALSE()),"Unknown")</f>
        <v>Swansea</v>
      </c>
      <c r="U195" t="str">
        <f>IF(N195="OK","",COUNTIF($N$2:N195,"&lt;&gt;OK"))</f>
        <v/>
      </c>
      <c r="V195">
        <f>IF(OR(NOT(EXACT(E195,TRIM(Procurement_Raw!E195))),NOT(EXACT(F195,TRIM(Procurement_Raw!F195)))),1,0)</f>
        <v>0</v>
      </c>
    </row>
    <row r="196" spans="1:22" ht="15" customHeight="1" x14ac:dyDescent="0.25">
      <c r="A196" s="123">
        <f>Procurement_Raw!A196</f>
        <v>45947</v>
      </c>
      <c r="B196" t="str">
        <f>TRIM(Procurement_Raw!B196)</f>
        <v>S004</v>
      </c>
      <c r="C196" t="str">
        <f>Procurement_Raw!C196</f>
        <v>Newcastle Care &amp; Education Centre</v>
      </c>
      <c r="D196" t="str">
        <f>Procurement_Raw!D196</f>
        <v>North</v>
      </c>
      <c r="E196" t="str">
        <f>IF(TRIM(Procurement_Raw!E196)="","",IFERROR(INDEX(Supplier_Lookup!$A$2:$A$25,MATCH(TRIM(Procurement_Raw!E196),Supplier_Lookup!$A$2:$A$25,0)),TRIM(Procurement_Raw!E196)))</f>
        <v>UK Energy Partners</v>
      </c>
      <c r="F196" t="str">
        <f>IFERROR(INDEX(Category_Targets!$A$2:$A$9,MATCH(TRIM(Procurement_Raw!F196),Category_Targets!$A$2:$A$9,0)),"Unmapped")</f>
        <v>Utilities</v>
      </c>
      <c r="G196" t="str">
        <f>TRIM(Procurement_Raw!G196)</f>
        <v>INV-2025-00195</v>
      </c>
      <c r="H196" s="77">
        <f>Procurement_Raw!H196</f>
        <v>27</v>
      </c>
      <c r="I196" s="124">
        <f>Procurement_Raw!I196</f>
        <v>274.98</v>
      </c>
      <c r="J196" s="125">
        <f>IF(Procurement_Raw!J196="","",Procurement_Raw!J196)</f>
        <v>7424.55</v>
      </c>
      <c r="K196" s="77">
        <f>Procurement_Raw!K196</f>
        <v>30</v>
      </c>
      <c r="L196" t="str">
        <f>Procurement_Raw!L196</f>
        <v>Legacy Spend File</v>
      </c>
      <c r="M196" t="str">
        <f>Procurement_Raw!O196</f>
        <v>N</v>
      </c>
      <c r="N196" t="str">
        <f>IF(E196="","Missing supplier",IF(B196="","Missing site",IF(J196="","Missing spend",IF(COUNTIFS($G$2:G196,G196,$E$2:E196,E196,$J$2:J196,J196)&gt;1,"Duplicate invoice",IF(COUNTIF($G$2:$G$1801,G196)&gt;1,"Duplicate ID - review",IF(AND(P196&lt;&gt;"Unmapped",P196&lt;&gt;F196),"Category mismatch","OK"))))))</f>
        <v>OK</v>
      </c>
      <c r="O196" s="125">
        <f t="shared" si="9"/>
        <v>7424.55</v>
      </c>
      <c r="P196" t="str">
        <f>IF(E196="","Unmapped",IFERROR(INDEX(Supplier_Lookup!$B$2:$B$25,MATCH(E196,Supplier_Lookup!$A$2:$A$25,0)),"Unmapped"))</f>
        <v>Utilities</v>
      </c>
      <c r="Q196" s="76">
        <f>IFERROR(INDEX(Category_Targets!$B$2:$B$9,MATCH(F196,Category_Targets!$A$2:$A$9,0)),0)</f>
        <v>0.03</v>
      </c>
      <c r="R196" s="125">
        <f t="shared" si="10"/>
        <v>222.73650000000001</v>
      </c>
      <c r="S196" s="78">
        <f t="shared" si="11"/>
        <v>45931</v>
      </c>
      <c r="T196" t="str">
        <f>IFERROR(VLOOKUP(B196,Sites!$A$2:$D$21,4,FALSE()),"Unknown")</f>
        <v>Newcastle</v>
      </c>
      <c r="U196" t="str">
        <f>IF(N196="OK","",COUNTIF($N$2:N196,"&lt;&gt;OK"))</f>
        <v/>
      </c>
      <c r="V196">
        <f>IF(OR(NOT(EXACT(E196,TRIM(Procurement_Raw!E196))),NOT(EXACT(F196,TRIM(Procurement_Raw!F196)))),1,0)</f>
        <v>0</v>
      </c>
    </row>
    <row r="197" spans="1:22" ht="15" customHeight="1" x14ac:dyDescent="0.25">
      <c r="A197" s="123">
        <f>Procurement_Raw!A197</f>
        <v>45826</v>
      </c>
      <c r="B197" t="str">
        <f>TRIM(Procurement_Raw!B197)</f>
        <v>S016</v>
      </c>
      <c r="C197" t="str">
        <f>Procurement_Raw!C197</f>
        <v>Cardiff Care &amp; Education Centre</v>
      </c>
      <c r="D197" t="str">
        <f>Procurement_Raw!D197</f>
        <v>Wales</v>
      </c>
      <c r="E197" t="str">
        <f>IF(TRIM(Procurement_Raw!E197)="","",IFERROR(INDEX(Supplier_Lookup!$A$2:$A$25,MATCH(TRIM(Procurement_Raw!E197),Supplier_Lookup!$A$2:$A$25,0)),TRIM(Procurement_Raw!E197)))</f>
        <v>UK Energy Partners</v>
      </c>
      <c r="F197" t="str">
        <f>IFERROR(INDEX(Category_Targets!$A$2:$A$9,MATCH(TRIM(Procurement_Raw!F197),Category_Targets!$A$2:$A$9,0)),"Unmapped")</f>
        <v>Utilities</v>
      </c>
      <c r="G197" t="str">
        <f>TRIM(Procurement_Raw!G197)</f>
        <v>INV-2025-00196</v>
      </c>
      <c r="H197" s="77">
        <f>Procurement_Raw!H197</f>
        <v>19</v>
      </c>
      <c r="I197" s="124">
        <f>Procurement_Raw!I197</f>
        <v>309.01</v>
      </c>
      <c r="J197" s="125">
        <f>IF(Procurement_Raw!J197="","",Procurement_Raw!J197)</f>
        <v>5871.26</v>
      </c>
      <c r="K197" s="77">
        <f>Procurement_Raw!K197</f>
        <v>60</v>
      </c>
      <c r="L197" t="str">
        <f>Procurement_Raw!L197</f>
        <v>ERP</v>
      </c>
      <c r="M197" t="str">
        <f>Procurement_Raw!O197</f>
        <v>N</v>
      </c>
      <c r="N197" t="str">
        <f>IF(E197="","Missing supplier",IF(B197="","Missing site",IF(J197="","Missing spend",IF(COUNTIFS($G$2:G197,G197,$E$2:E197,E197,$J$2:J197,J197)&gt;1,"Duplicate invoice",IF(COUNTIF($G$2:$G$1801,G197)&gt;1,"Duplicate ID - review",IF(AND(P197&lt;&gt;"Unmapped",P197&lt;&gt;F197),"Category mismatch","OK"))))))</f>
        <v>OK</v>
      </c>
      <c r="O197" s="125">
        <f t="shared" si="9"/>
        <v>5871.26</v>
      </c>
      <c r="P197" t="str">
        <f>IF(E197="","Unmapped",IFERROR(INDEX(Supplier_Lookup!$B$2:$B$25,MATCH(E197,Supplier_Lookup!$A$2:$A$25,0)),"Unmapped"))</f>
        <v>Utilities</v>
      </c>
      <c r="Q197" s="76">
        <f>IFERROR(INDEX(Category_Targets!$B$2:$B$9,MATCH(F197,Category_Targets!$A$2:$A$9,0)),0)</f>
        <v>0.03</v>
      </c>
      <c r="R197" s="125">
        <f t="shared" si="10"/>
        <v>176.1378</v>
      </c>
      <c r="S197" s="78">
        <f t="shared" si="11"/>
        <v>45809</v>
      </c>
      <c r="T197" t="str">
        <f>IFERROR(VLOOKUP(B197,Sites!$A$2:$D$21,4,FALSE()),"Unknown")</f>
        <v>Cardiff</v>
      </c>
      <c r="U197" t="str">
        <f>IF(N197="OK","",COUNTIF($N$2:N197,"&lt;&gt;OK"))</f>
        <v/>
      </c>
      <c r="V197">
        <f>IF(OR(NOT(EXACT(E197,TRIM(Procurement_Raw!E197))),NOT(EXACT(F197,TRIM(Procurement_Raw!F197)))),1,0)</f>
        <v>0</v>
      </c>
    </row>
    <row r="198" spans="1:22" ht="15" customHeight="1" x14ac:dyDescent="0.25">
      <c r="A198" s="123">
        <f>Procurement_Raw!A198</f>
        <v>45934</v>
      </c>
      <c r="B198" t="str">
        <f>TRIM(Procurement_Raw!B198)</f>
        <v>S004</v>
      </c>
      <c r="C198" t="str">
        <f>Procurement_Raw!C198</f>
        <v>Newcastle Care &amp; Education Centre</v>
      </c>
      <c r="D198" t="str">
        <f>Procurement_Raw!D198</f>
        <v>North</v>
      </c>
      <c r="E198" t="str">
        <f>IF(TRIM(Procurement_Raw!E198)="","",IFERROR(INDEX(Supplier_Lookup!$A$2:$A$25,MATCH(TRIM(Procurement_Raw!E198),Supplier_Lookup!$A$2:$A$25,0)),TRIM(Procurement_Raw!E198)))</f>
        <v>CleanWorks</v>
      </c>
      <c r="F198" t="str">
        <f>IFERROR(INDEX(Category_Targets!$A$2:$A$9,MATCH(TRIM(Procurement_Raw!F198),Category_Targets!$A$2:$A$9,0)),"Unmapped")</f>
        <v>Facilities</v>
      </c>
      <c r="G198" t="str">
        <f>TRIM(Procurement_Raw!G198)</f>
        <v>INV-2025-00197</v>
      </c>
      <c r="H198" s="77">
        <f>Procurement_Raw!H198</f>
        <v>33</v>
      </c>
      <c r="I198" s="124">
        <f>Procurement_Raw!I198</f>
        <v>110.7</v>
      </c>
      <c r="J198" s="125">
        <f>IF(Procurement_Raw!J198="","",Procurement_Raw!J198)</f>
        <v>3653.14</v>
      </c>
      <c r="K198" s="77">
        <f>Procurement_Raw!K198</f>
        <v>30</v>
      </c>
      <c r="L198" t="str">
        <f>Procurement_Raw!L198</f>
        <v>ERP</v>
      </c>
      <c r="M198" t="str">
        <f>Procurement_Raw!O198</f>
        <v>Y</v>
      </c>
      <c r="N198" t="str">
        <f>IF(E198="","Missing supplier",IF(B198="","Missing site",IF(J198="","Missing spend",IF(COUNTIFS($G$2:G198,G198,$E$2:E198,E198,$J$2:J198,J198)&gt;1,"Duplicate invoice",IF(COUNTIF($G$2:$G$1801,G198)&gt;1,"Duplicate ID - review",IF(AND(P198&lt;&gt;"Unmapped",P198&lt;&gt;F198),"Category mismatch","OK"))))))</f>
        <v>OK</v>
      </c>
      <c r="O198" s="125">
        <f t="shared" si="9"/>
        <v>3653.14</v>
      </c>
      <c r="P198" t="str">
        <f>IF(E198="","Unmapped",IFERROR(INDEX(Supplier_Lookup!$B$2:$B$25,MATCH(E198,Supplier_Lookup!$A$2:$A$25,0)),"Unmapped"))</f>
        <v>Facilities</v>
      </c>
      <c r="Q198" s="76">
        <f>IFERROR(INDEX(Category_Targets!$B$2:$B$9,MATCH(F198,Category_Targets!$A$2:$A$9,0)),0)</f>
        <v>0.05</v>
      </c>
      <c r="R198" s="125">
        <f t="shared" si="10"/>
        <v>182.65700000000001</v>
      </c>
      <c r="S198" s="78">
        <f t="shared" si="11"/>
        <v>45931</v>
      </c>
      <c r="T198" t="str">
        <f>IFERROR(VLOOKUP(B198,Sites!$A$2:$D$21,4,FALSE()),"Unknown")</f>
        <v>Newcastle</v>
      </c>
      <c r="U198" t="str">
        <f>IF(N198="OK","",COUNTIF($N$2:N198,"&lt;&gt;OK"))</f>
        <v/>
      </c>
      <c r="V198">
        <f>IF(OR(NOT(EXACT(E198,TRIM(Procurement_Raw!E198))),NOT(EXACT(F198,TRIM(Procurement_Raw!F198)))),1,0)</f>
        <v>0</v>
      </c>
    </row>
    <row r="199" spans="1:22" ht="15" customHeight="1" x14ac:dyDescent="0.25">
      <c r="A199" s="123">
        <f>Procurement_Raw!A199</f>
        <v>45665</v>
      </c>
      <c r="B199" t="str">
        <f>TRIM(Procurement_Raw!B199)</f>
        <v>S001</v>
      </c>
      <c r="C199" t="str">
        <f>Procurement_Raw!C199</f>
        <v>Preston Care &amp; Education Centre</v>
      </c>
      <c r="D199" t="str">
        <f>Procurement_Raw!D199</f>
        <v>North</v>
      </c>
      <c r="E199" t="str">
        <f>IF(TRIM(Procurement_Raw!E199)="","",IFERROR(INDEX(Supplier_Lookup!$A$2:$A$25,MATCH(TRIM(Procurement_Raw!E199),Supplier_Lookup!$A$2:$A$25,0)),TRIM(Procurement_Raw!E199)))</f>
        <v>MediSure</v>
      </c>
      <c r="F199" t="str">
        <f>IFERROR(INDEX(Category_Targets!$A$2:$A$9,MATCH(TRIM(Procurement_Raw!F199),Category_Targets!$A$2:$A$9,0)),"Unmapped")</f>
        <v>Medical Supplies</v>
      </c>
      <c r="G199" t="str">
        <f>TRIM(Procurement_Raw!G199)</f>
        <v>INV-2025-00198</v>
      </c>
      <c r="H199" s="77">
        <f>Procurement_Raw!H199</f>
        <v>46</v>
      </c>
      <c r="I199" s="124">
        <f>Procurement_Raw!I199</f>
        <v>130.59</v>
      </c>
      <c r="J199" s="125">
        <f>IF(Procurement_Raw!J199="","",Procurement_Raw!J199)</f>
        <v>6007.01</v>
      </c>
      <c r="K199" s="77">
        <f>Procurement_Raw!K199</f>
        <v>30</v>
      </c>
      <c r="L199" t="str">
        <f>Procurement_Raw!L199</f>
        <v>Legacy Spend File</v>
      </c>
      <c r="M199" t="str">
        <f>Procurement_Raw!O199</f>
        <v>Y</v>
      </c>
      <c r="N199" t="str">
        <f>IF(E199="","Missing supplier",IF(B199="","Missing site",IF(J199="","Missing spend",IF(COUNTIFS($G$2:G199,G199,$E$2:E199,E199,$J$2:J199,J199)&gt;1,"Duplicate invoice",IF(COUNTIF($G$2:$G$1801,G199)&gt;1,"Duplicate ID - review",IF(AND(P199&lt;&gt;"Unmapped",P199&lt;&gt;F199),"Category mismatch","OK"))))))</f>
        <v>OK</v>
      </c>
      <c r="O199" s="125">
        <f t="shared" si="9"/>
        <v>6007.01</v>
      </c>
      <c r="P199" t="str">
        <f>IF(E199="","Unmapped",IFERROR(INDEX(Supplier_Lookup!$B$2:$B$25,MATCH(E199,Supplier_Lookup!$A$2:$A$25,0)),"Unmapped"))</f>
        <v>Medical Supplies</v>
      </c>
      <c r="Q199" s="76">
        <f>IFERROR(INDEX(Category_Targets!$B$2:$B$9,MATCH(F199,Category_Targets!$A$2:$A$9,0)),0)</f>
        <v>0.06</v>
      </c>
      <c r="R199" s="125">
        <f t="shared" si="10"/>
        <v>360.42059999999998</v>
      </c>
      <c r="S199" s="78">
        <f t="shared" si="11"/>
        <v>45658</v>
      </c>
      <c r="T199" t="str">
        <f>IFERROR(VLOOKUP(B199,Sites!$A$2:$D$21,4,FALSE()),"Unknown")</f>
        <v>Preston</v>
      </c>
      <c r="U199" t="str">
        <f>IF(N199="OK","",COUNTIF($N$2:N199,"&lt;&gt;OK"))</f>
        <v/>
      </c>
      <c r="V199">
        <f>IF(OR(NOT(EXACT(E199,TRIM(Procurement_Raw!E199))),NOT(EXACT(F199,TRIM(Procurement_Raw!F199)))),1,0)</f>
        <v>0</v>
      </c>
    </row>
    <row r="200" spans="1:22" ht="15" customHeight="1" x14ac:dyDescent="0.25">
      <c r="A200" s="123">
        <f>Procurement_Raw!A200</f>
        <v>45793</v>
      </c>
      <c r="B200" t="str">
        <f>TRIM(Procurement_Raw!B200)</f>
        <v>S004</v>
      </c>
      <c r="C200" t="str">
        <f>Procurement_Raw!C200</f>
        <v>Newcastle Care &amp; Education Centre</v>
      </c>
      <c r="D200" t="str">
        <f>Procurement_Raw!D200</f>
        <v>North</v>
      </c>
      <c r="E200" t="str">
        <f>IF(TRIM(Procurement_Raw!E200)="","",IFERROR(INDEX(Supplier_Lookup!$A$2:$A$25,MATCH(TRIM(Procurement_Raw!E200),Supplier_Lookup!$A$2:$A$25,0)),TRIM(Procurement_Raw!E200)))</f>
        <v>MediSure</v>
      </c>
      <c r="F200" t="str">
        <f>IFERROR(INDEX(Category_Targets!$A$2:$A$9,MATCH(TRIM(Procurement_Raw!F200),Category_Targets!$A$2:$A$9,0)),"Unmapped")</f>
        <v>Medical Supplies</v>
      </c>
      <c r="G200" t="str">
        <f>TRIM(Procurement_Raw!G200)</f>
        <v>INV-2025-00199</v>
      </c>
      <c r="H200" s="77">
        <f>Procurement_Raw!H200</f>
        <v>7</v>
      </c>
      <c r="I200" s="124">
        <f>Procurement_Raw!I200</f>
        <v>123.9</v>
      </c>
      <c r="J200" s="125">
        <f>IF(Procurement_Raw!J200="","",Procurement_Raw!J200)</f>
        <v>867.33</v>
      </c>
      <c r="K200" s="77">
        <f>Procurement_Raw!K200</f>
        <v>30</v>
      </c>
      <c r="L200" t="str">
        <f>Procurement_Raw!L200</f>
        <v>Legacy Spend File</v>
      </c>
      <c r="M200" t="str">
        <f>Procurement_Raw!O200</f>
        <v>Y</v>
      </c>
      <c r="N200" t="str">
        <f>IF(E200="","Missing supplier",IF(B200="","Missing site",IF(J200="","Missing spend",IF(COUNTIFS($G$2:G200,G200,$E$2:E200,E200,$J$2:J200,J200)&gt;1,"Duplicate invoice",IF(COUNTIF($G$2:$G$1801,G200)&gt;1,"Duplicate ID - review",IF(AND(P200&lt;&gt;"Unmapped",P200&lt;&gt;F200),"Category mismatch","OK"))))))</f>
        <v>OK</v>
      </c>
      <c r="O200" s="125">
        <f t="shared" si="9"/>
        <v>867.33</v>
      </c>
      <c r="P200" t="str">
        <f>IF(E200="","Unmapped",IFERROR(INDEX(Supplier_Lookup!$B$2:$B$25,MATCH(E200,Supplier_Lookup!$A$2:$A$25,0)),"Unmapped"))</f>
        <v>Medical Supplies</v>
      </c>
      <c r="Q200" s="76">
        <f>IFERROR(INDEX(Category_Targets!$B$2:$B$9,MATCH(F200,Category_Targets!$A$2:$A$9,0)),0)</f>
        <v>0.06</v>
      </c>
      <c r="R200" s="125">
        <f t="shared" si="10"/>
        <v>52.0398</v>
      </c>
      <c r="S200" s="78">
        <f t="shared" si="11"/>
        <v>45778</v>
      </c>
      <c r="T200" t="str">
        <f>IFERROR(VLOOKUP(B200,Sites!$A$2:$D$21,4,FALSE()),"Unknown")</f>
        <v>Newcastle</v>
      </c>
      <c r="U200" t="str">
        <f>IF(N200="OK","",COUNTIF($N$2:N200,"&lt;&gt;OK"))</f>
        <v/>
      </c>
      <c r="V200">
        <f>IF(OR(NOT(EXACT(E200,TRIM(Procurement_Raw!E200))),NOT(EXACT(F200,TRIM(Procurement_Raw!F200)))),1,0)</f>
        <v>0</v>
      </c>
    </row>
    <row r="201" spans="1:22" ht="15" customHeight="1" x14ac:dyDescent="0.25">
      <c r="A201" s="123">
        <f>Procurement_Raw!A201</f>
        <v>45690</v>
      </c>
      <c r="B201" t="str">
        <f>TRIM(Procurement_Raw!B201)</f>
        <v>S002</v>
      </c>
      <c r="C201" t="str">
        <f>Procurement_Raw!C201</f>
        <v>Manchester Care &amp; Education Centre</v>
      </c>
      <c r="D201" t="str">
        <f>Procurement_Raw!D201</f>
        <v>North</v>
      </c>
      <c r="E201" t="str">
        <f>IF(TRIM(Procurement_Raw!E201)="","",IFERROR(INDEX(Supplier_Lookup!$A$2:$A$25,MATCH(TRIM(Procurement_Raw!E201),Supplier_Lookup!$A$2:$A$25,0)),TRIM(Procurement_Raw!E201)))</f>
        <v>KitchenPro</v>
      </c>
      <c r="F201" t="str">
        <f>IFERROR(INDEX(Category_Targets!$A$2:$A$9,MATCH(TRIM(Procurement_Raw!F201),Category_Targets!$A$2:$A$9,0)),"Unmapped")</f>
        <v>Food &amp; Catering</v>
      </c>
      <c r="G201" t="str">
        <f>TRIM(Procurement_Raw!G201)</f>
        <v>INV-2025-00200</v>
      </c>
      <c r="H201" s="77">
        <f>Procurement_Raw!H201</f>
        <v>61</v>
      </c>
      <c r="I201" s="124">
        <f>Procurement_Raw!I201</f>
        <v>34.67</v>
      </c>
      <c r="J201" s="125">
        <f>IF(Procurement_Raw!J201="","",Procurement_Raw!J201)</f>
        <v>2114.61</v>
      </c>
      <c r="K201" s="77">
        <f>Procurement_Raw!K201</f>
        <v>45</v>
      </c>
      <c r="L201" t="str">
        <f>Procurement_Raw!L201</f>
        <v>Procurement Portal</v>
      </c>
      <c r="M201" t="str">
        <f>Procurement_Raw!O201</f>
        <v>N</v>
      </c>
      <c r="N201" t="str">
        <f>IF(E201="","Missing supplier",IF(B201="","Missing site",IF(J201="","Missing spend",IF(COUNTIFS($G$2:G201,G201,$E$2:E201,E201,$J$2:J201,J201)&gt;1,"Duplicate invoice",IF(COUNTIF($G$2:$G$1801,G201)&gt;1,"Duplicate ID - review",IF(AND(P201&lt;&gt;"Unmapped",P201&lt;&gt;F201),"Category mismatch","OK"))))))</f>
        <v>OK</v>
      </c>
      <c r="O201" s="125">
        <f t="shared" si="9"/>
        <v>2114.61</v>
      </c>
      <c r="P201" t="str">
        <f>IF(E201="","Unmapped",IFERROR(INDEX(Supplier_Lookup!$B$2:$B$25,MATCH(E201,Supplier_Lookup!$A$2:$A$25,0)),"Unmapped"))</f>
        <v>Food &amp; Catering</v>
      </c>
      <c r="Q201" s="76">
        <f>IFERROR(INDEX(Category_Targets!$B$2:$B$9,MATCH(F201,Category_Targets!$A$2:$A$9,0)),0)</f>
        <v>0.04</v>
      </c>
      <c r="R201" s="125">
        <f t="shared" si="10"/>
        <v>84.584400000000002</v>
      </c>
      <c r="S201" s="78">
        <f t="shared" si="11"/>
        <v>45689</v>
      </c>
      <c r="T201" t="str">
        <f>IFERROR(VLOOKUP(B201,Sites!$A$2:$D$21,4,FALSE()),"Unknown")</f>
        <v>Manchester</v>
      </c>
      <c r="U201" t="str">
        <f>IF(N201="OK","",COUNTIF($N$2:N201,"&lt;&gt;OK"))</f>
        <v/>
      </c>
      <c r="V201">
        <f>IF(OR(NOT(EXACT(E201,TRIM(Procurement_Raw!E201))),NOT(EXACT(F201,TRIM(Procurement_Raw!F201)))),1,0)</f>
        <v>0</v>
      </c>
    </row>
    <row r="202" spans="1:22" ht="15" customHeight="1" x14ac:dyDescent="0.25">
      <c r="A202" s="123">
        <f>Procurement_Raw!A202</f>
        <v>45915</v>
      </c>
      <c r="B202" t="str">
        <f>TRIM(Procurement_Raw!B202)</f>
        <v>S013</v>
      </c>
      <c r="C202" t="str">
        <f>Procurement_Raw!C202</f>
        <v>Reading Care &amp; Education Centre</v>
      </c>
      <c r="D202" t="str">
        <f>Procurement_Raw!D202</f>
        <v>South</v>
      </c>
      <c r="E202" t="str">
        <f>IF(TRIM(Procurement_Raw!E202)="","",IFERROR(INDEX(Supplier_Lookup!$A$2:$A$25,MATCH(TRIM(Procurement_Raw!E202),Supplier_Lookup!$A$2:$A$25,0)),TRIM(Procurement_Raw!E202)))</f>
        <v>NourishCo</v>
      </c>
      <c r="F202" t="str">
        <f>IFERROR(INDEX(Category_Targets!$A$2:$A$9,MATCH(TRIM(Procurement_Raw!F202),Category_Targets!$A$2:$A$9,0)),"Unmapped")</f>
        <v>Food &amp; Catering</v>
      </c>
      <c r="G202" t="str">
        <f>TRIM(Procurement_Raw!G202)</f>
        <v>INV-2025-00201</v>
      </c>
      <c r="H202" s="77">
        <f>Procurement_Raw!H202</f>
        <v>29</v>
      </c>
      <c r="I202" s="124">
        <f>Procurement_Raw!I202</f>
        <v>79.14</v>
      </c>
      <c r="J202" s="125">
        <f>IF(Procurement_Raw!J202="","",Procurement_Raw!J202)</f>
        <v>2294.9499999999998</v>
      </c>
      <c r="K202" s="77">
        <f>Procurement_Raw!K202</f>
        <v>60</v>
      </c>
      <c r="L202" t="str">
        <f>Procurement_Raw!L202</f>
        <v>ERP</v>
      </c>
      <c r="M202" t="str">
        <f>Procurement_Raw!O202</f>
        <v>N</v>
      </c>
      <c r="N202" t="str">
        <f>IF(E202="","Missing supplier",IF(B202="","Missing site",IF(J202="","Missing spend",IF(COUNTIFS($G$2:G202,G202,$E$2:E202,E202,$J$2:J202,J202)&gt;1,"Duplicate invoice",IF(COUNTIF($G$2:$G$1801,G202)&gt;1,"Duplicate ID - review",IF(AND(P202&lt;&gt;"Unmapped",P202&lt;&gt;F202),"Category mismatch","OK"))))))</f>
        <v>OK</v>
      </c>
      <c r="O202" s="125">
        <f t="shared" si="9"/>
        <v>2294.9499999999998</v>
      </c>
      <c r="P202" t="str">
        <f>IF(E202="","Unmapped",IFERROR(INDEX(Supplier_Lookup!$B$2:$B$25,MATCH(E202,Supplier_Lookup!$A$2:$A$25,0)),"Unmapped"))</f>
        <v>Food &amp; Catering</v>
      </c>
      <c r="Q202" s="76">
        <f>IFERROR(INDEX(Category_Targets!$B$2:$B$9,MATCH(F202,Category_Targets!$A$2:$A$9,0)),0)</f>
        <v>0.04</v>
      </c>
      <c r="R202" s="125">
        <f t="shared" si="10"/>
        <v>91.797999999999988</v>
      </c>
      <c r="S202" s="78">
        <f t="shared" si="11"/>
        <v>45901</v>
      </c>
      <c r="T202" t="str">
        <f>IFERROR(VLOOKUP(B202,Sites!$A$2:$D$21,4,FALSE()),"Unknown")</f>
        <v>Reading</v>
      </c>
      <c r="U202" t="str">
        <f>IF(N202="OK","",COUNTIF($N$2:N202,"&lt;&gt;OK"))</f>
        <v/>
      </c>
      <c r="V202">
        <f>IF(OR(NOT(EXACT(E202,TRIM(Procurement_Raw!E202))),NOT(EXACT(F202,TRIM(Procurement_Raw!F202)))),1,0)</f>
        <v>0</v>
      </c>
    </row>
    <row r="203" spans="1:22" ht="15" customHeight="1" x14ac:dyDescent="0.25">
      <c r="A203" s="123">
        <f>Procurement_Raw!A203</f>
        <v>45987</v>
      </c>
      <c r="B203" t="str">
        <f>TRIM(Procurement_Raw!B203)</f>
        <v>S017</v>
      </c>
      <c r="C203" t="str">
        <f>Procurement_Raw!C203</f>
        <v>Swansea Care &amp; Education Centre</v>
      </c>
      <c r="D203" t="str">
        <f>Procurement_Raw!D203</f>
        <v>Wales</v>
      </c>
      <c r="E203" t="str">
        <f>IF(TRIM(Procurement_Raw!E203)="","",IFERROR(INDEX(Supplier_Lookup!$A$2:$A$25,MATCH(TRIM(Procurement_Raw!E203),Supplier_Lookup!$A$2:$A$25,0)),TRIM(Procurement_Raw!E203)))</f>
        <v>TeleCare IT</v>
      </c>
      <c r="F203" t="str">
        <f>IFERROR(INDEX(Category_Targets!$A$2:$A$9,MATCH(TRIM(Procurement_Raw!F203),Category_Targets!$A$2:$A$9,0)),"Unmapped")</f>
        <v>IT &amp; Telecoms</v>
      </c>
      <c r="G203" t="str">
        <f>TRIM(Procurement_Raw!G203)</f>
        <v>INV-2025-00202</v>
      </c>
      <c r="H203" s="77">
        <f>Procurement_Raw!H203</f>
        <v>4</v>
      </c>
      <c r="I203" s="124">
        <f>Procurement_Raw!I203</f>
        <v>299.48</v>
      </c>
      <c r="J203" s="125">
        <f>IF(Procurement_Raw!J203="","",Procurement_Raw!J203)</f>
        <v>1197.93</v>
      </c>
      <c r="K203" s="77">
        <f>Procurement_Raw!K203</f>
        <v>30</v>
      </c>
      <c r="L203" t="str">
        <f>Procurement_Raw!L203</f>
        <v>Procurement Portal</v>
      </c>
      <c r="M203" t="str">
        <f>Procurement_Raw!O203</f>
        <v>N</v>
      </c>
      <c r="N203" t="str">
        <f>IF(E203="","Missing supplier",IF(B203="","Missing site",IF(J203="","Missing spend",IF(COUNTIFS($G$2:G203,G203,$E$2:E203,E203,$J$2:J203,J203)&gt;1,"Duplicate invoice",IF(COUNTIF($G$2:$G$1801,G203)&gt;1,"Duplicate ID - review",IF(AND(P203&lt;&gt;"Unmapped",P203&lt;&gt;F203),"Category mismatch","OK"))))))</f>
        <v>OK</v>
      </c>
      <c r="O203" s="125">
        <f t="shared" si="9"/>
        <v>1197.93</v>
      </c>
      <c r="P203" t="str">
        <f>IF(E203="","Unmapped",IFERROR(INDEX(Supplier_Lookup!$B$2:$B$25,MATCH(E203,Supplier_Lookup!$A$2:$A$25,0)),"Unmapped"))</f>
        <v>IT &amp; Telecoms</v>
      </c>
      <c r="Q203" s="76">
        <f>IFERROR(INDEX(Category_Targets!$B$2:$B$9,MATCH(F203,Category_Targets!$A$2:$A$9,0)),0)</f>
        <v>0.08</v>
      </c>
      <c r="R203" s="125">
        <f t="shared" si="10"/>
        <v>95.834400000000002</v>
      </c>
      <c r="S203" s="78">
        <f t="shared" si="11"/>
        <v>45962</v>
      </c>
      <c r="T203" t="str">
        <f>IFERROR(VLOOKUP(B203,Sites!$A$2:$D$21,4,FALSE()),"Unknown")</f>
        <v>Swansea</v>
      </c>
      <c r="U203" t="str">
        <f>IF(N203="OK","",COUNTIF($N$2:N203,"&lt;&gt;OK"))</f>
        <v/>
      </c>
      <c r="V203">
        <f>IF(OR(NOT(EXACT(E203,TRIM(Procurement_Raw!E203))),NOT(EXACT(F203,TRIM(Procurement_Raw!F203)))),1,0)</f>
        <v>0</v>
      </c>
    </row>
    <row r="204" spans="1:22" ht="15" customHeight="1" x14ac:dyDescent="0.25">
      <c r="A204" s="123">
        <f>Procurement_Raw!A204</f>
        <v>45713</v>
      </c>
      <c r="B204" t="str">
        <f>TRIM(Procurement_Raw!B204)</f>
        <v>S012</v>
      </c>
      <c r="C204" t="str">
        <f>Procurement_Raw!C204</f>
        <v>Bristol Care &amp; Education Centre</v>
      </c>
      <c r="D204" t="str">
        <f>Procurement_Raw!D204</f>
        <v>South</v>
      </c>
      <c r="E204" t="str">
        <f>IF(TRIM(Procurement_Raw!E204)="","",IFERROR(INDEX(Supplier_Lookup!$A$2:$A$25,MATCH(TRIM(Procurement_Raw!E204),Supplier_Lookup!$A$2:$A$25,0)),TRIM(Procurement_Raw!E204)))</f>
        <v>NurseLink</v>
      </c>
      <c r="F204" t="str">
        <f>IFERROR(INDEX(Category_Targets!$A$2:$A$9,MATCH(TRIM(Procurement_Raw!F204),Category_Targets!$A$2:$A$9,0)),"Unmapped")</f>
        <v>Agency Labour</v>
      </c>
      <c r="G204" t="str">
        <f>TRIM(Procurement_Raw!G204)</f>
        <v>INV-2025-00203</v>
      </c>
      <c r="H204" s="77">
        <f>Procurement_Raw!H204</f>
        <v>63</v>
      </c>
      <c r="I204" s="124">
        <f>Procurement_Raw!I204</f>
        <v>544.28</v>
      </c>
      <c r="J204" s="125">
        <f>IF(Procurement_Raw!J204="","",Procurement_Raw!J204)</f>
        <v>34289.53</v>
      </c>
      <c r="K204" s="77">
        <f>Procurement_Raw!K204</f>
        <v>60</v>
      </c>
      <c r="L204" t="str">
        <f>Procurement_Raw!L204</f>
        <v>Procurement Portal</v>
      </c>
      <c r="M204" t="str">
        <f>Procurement_Raw!O204</f>
        <v>N</v>
      </c>
      <c r="N204" t="str">
        <f>IF(E204="","Missing supplier",IF(B204="","Missing site",IF(J204="","Missing spend",IF(COUNTIFS($G$2:G204,G204,$E$2:E204,E204,$J$2:J204,J204)&gt;1,"Duplicate invoice",IF(COUNTIF($G$2:$G$1801,G204)&gt;1,"Duplicate ID - review",IF(AND(P204&lt;&gt;"Unmapped",P204&lt;&gt;F204),"Category mismatch","OK"))))))</f>
        <v>OK</v>
      </c>
      <c r="O204" s="125">
        <f t="shared" si="9"/>
        <v>34289.53</v>
      </c>
      <c r="P204" t="str">
        <f>IF(E204="","Unmapped",IFERROR(INDEX(Supplier_Lookup!$B$2:$B$25,MATCH(E204,Supplier_Lookup!$A$2:$A$25,0)),"Unmapped"))</f>
        <v>Agency Labour</v>
      </c>
      <c r="Q204" s="76">
        <f>IFERROR(INDEX(Category_Targets!$B$2:$B$9,MATCH(F204,Category_Targets!$A$2:$A$9,0)),0)</f>
        <v>7.0000000000000007E-2</v>
      </c>
      <c r="R204" s="125">
        <f t="shared" si="10"/>
        <v>2400.2671</v>
      </c>
      <c r="S204" s="78">
        <f t="shared" si="11"/>
        <v>45689</v>
      </c>
      <c r="T204" t="str">
        <f>IFERROR(VLOOKUP(B204,Sites!$A$2:$D$21,4,FALSE()),"Unknown")</f>
        <v>Bristol</v>
      </c>
      <c r="U204" t="str">
        <f>IF(N204="OK","",COUNTIF($N$2:N204,"&lt;&gt;OK"))</f>
        <v/>
      </c>
      <c r="V204">
        <f>IF(OR(NOT(EXACT(E204,TRIM(Procurement_Raw!E204))),NOT(EXACT(F204,TRIM(Procurement_Raw!F204)))),1,0)</f>
        <v>0</v>
      </c>
    </row>
    <row r="205" spans="1:22" ht="15" customHeight="1" x14ac:dyDescent="0.25">
      <c r="A205" s="123">
        <f>Procurement_Raw!A205</f>
        <v>45969</v>
      </c>
      <c r="B205" t="str">
        <f>TRIM(Procurement_Raw!B205)</f>
        <v>S016</v>
      </c>
      <c r="C205" t="str">
        <f>Procurement_Raw!C205</f>
        <v>Cardiff Care &amp; Education Centre</v>
      </c>
      <c r="D205" t="str">
        <f>Procurement_Raw!D205</f>
        <v>Wales</v>
      </c>
      <c r="E205" t="str">
        <f>IF(TRIM(Procurement_Raw!E205)="","",IFERROR(INDEX(Supplier_Lookup!$A$2:$A$25,MATCH(TRIM(Procurement_Raw!E205),Supplier_Lookup!$A$2:$A$25,0)),TRIM(Procurement_Raw!E205)))</f>
        <v>NourishCo</v>
      </c>
      <c r="F205" t="str">
        <f>IFERROR(INDEX(Category_Targets!$A$2:$A$9,MATCH(TRIM(Procurement_Raw!F205),Category_Targets!$A$2:$A$9,0)),"Unmapped")</f>
        <v>Food &amp; Catering</v>
      </c>
      <c r="G205" t="str">
        <f>TRIM(Procurement_Raw!G205)</f>
        <v>INV-2025-00204</v>
      </c>
      <c r="H205" s="77">
        <f>Procurement_Raw!H205</f>
        <v>19</v>
      </c>
      <c r="I205" s="124">
        <f>Procurement_Raw!I205</f>
        <v>116.05</v>
      </c>
      <c r="J205" s="125">
        <f>IF(Procurement_Raw!J205="","",Procurement_Raw!J205)</f>
        <v>2204.86</v>
      </c>
      <c r="K205" s="77">
        <f>Procurement_Raw!K205</f>
        <v>30</v>
      </c>
      <c r="L205" t="str">
        <f>Procurement_Raw!L205</f>
        <v>ERP</v>
      </c>
      <c r="M205" t="str">
        <f>Procurement_Raw!O205</f>
        <v>N</v>
      </c>
      <c r="N205" t="str">
        <f>IF(E205="","Missing supplier",IF(B205="","Missing site",IF(J205="","Missing spend",IF(COUNTIFS($G$2:G205,G205,$E$2:E205,E205,$J$2:J205,J205)&gt;1,"Duplicate invoice",IF(COUNTIF($G$2:$G$1801,G205)&gt;1,"Duplicate ID - review",IF(AND(P205&lt;&gt;"Unmapped",P205&lt;&gt;F205),"Category mismatch","OK"))))))</f>
        <v>OK</v>
      </c>
      <c r="O205" s="125">
        <f t="shared" si="9"/>
        <v>2204.86</v>
      </c>
      <c r="P205" t="str">
        <f>IF(E205="","Unmapped",IFERROR(INDEX(Supplier_Lookup!$B$2:$B$25,MATCH(E205,Supplier_Lookup!$A$2:$A$25,0)),"Unmapped"))</f>
        <v>Food &amp; Catering</v>
      </c>
      <c r="Q205" s="76">
        <f>IFERROR(INDEX(Category_Targets!$B$2:$B$9,MATCH(F205,Category_Targets!$A$2:$A$9,0)),0)</f>
        <v>0.04</v>
      </c>
      <c r="R205" s="125">
        <f t="shared" si="10"/>
        <v>88.194400000000002</v>
      </c>
      <c r="S205" s="78">
        <f t="shared" si="11"/>
        <v>45962</v>
      </c>
      <c r="T205" t="str">
        <f>IFERROR(VLOOKUP(B205,Sites!$A$2:$D$21,4,FALSE()),"Unknown")</f>
        <v>Cardiff</v>
      </c>
      <c r="U205" t="str">
        <f>IF(N205="OK","",COUNTIF($N$2:N205,"&lt;&gt;OK"))</f>
        <v/>
      </c>
      <c r="V205">
        <f>IF(OR(NOT(EXACT(E205,TRIM(Procurement_Raw!E205))),NOT(EXACT(F205,TRIM(Procurement_Raw!F205)))),1,0)</f>
        <v>0</v>
      </c>
    </row>
    <row r="206" spans="1:22" ht="15" customHeight="1" x14ac:dyDescent="0.25">
      <c r="A206" s="123">
        <f>Procurement_Raw!A206</f>
        <v>45963</v>
      </c>
      <c r="B206" t="str">
        <f>TRIM(Procurement_Raw!B206)</f>
        <v>S006</v>
      </c>
      <c r="C206" t="str">
        <f>Procurement_Raw!C206</f>
        <v>Birmingham Care &amp; Education Centre</v>
      </c>
      <c r="D206" t="str">
        <f>Procurement_Raw!D206</f>
        <v>Midlands</v>
      </c>
      <c r="E206" t="str">
        <f>IF(TRIM(Procurement_Raw!E206)="","",IFERROR(INDEX(Supplier_Lookup!$A$2:$A$25,MATCH(TRIM(Procurement_Raw!E206),Supplier_Lookup!$A$2:$A$25,0)),TRIM(Procurement_Raw!E206)))</f>
        <v>RoadReady</v>
      </c>
      <c r="F206" t="str">
        <f>IFERROR(INDEX(Category_Targets!$A$2:$A$9,MATCH(TRIM(Procurement_Raw!F206),Category_Targets!$A$2:$A$9,0)),"Unmapped")</f>
        <v>Vehicle &amp; Fuel</v>
      </c>
      <c r="G206" t="str">
        <f>TRIM(Procurement_Raw!G206)</f>
        <v>INV-2025-00205</v>
      </c>
      <c r="H206" s="77">
        <f>Procurement_Raw!H206</f>
        <v>68</v>
      </c>
      <c r="I206" s="124">
        <f>Procurement_Raw!I206</f>
        <v>44.53</v>
      </c>
      <c r="J206" s="125">
        <f>IF(Procurement_Raw!J206="","",Procurement_Raw!J206)</f>
        <v>3028.03</v>
      </c>
      <c r="K206" s="77">
        <f>Procurement_Raw!K206</f>
        <v>45</v>
      </c>
      <c r="L206" t="str">
        <f>Procurement_Raw!L206</f>
        <v>Procurement Portal</v>
      </c>
      <c r="M206" t="str">
        <f>Procurement_Raw!O206</f>
        <v>N</v>
      </c>
      <c r="N206" t="str">
        <f>IF(E206="","Missing supplier",IF(B206="","Missing site",IF(J206="","Missing spend",IF(COUNTIFS($G$2:G206,G206,$E$2:E206,E206,$J$2:J206,J206)&gt;1,"Duplicate invoice",IF(COUNTIF($G$2:$G$1801,G206)&gt;1,"Duplicate ID - review",IF(AND(P206&lt;&gt;"Unmapped",P206&lt;&gt;F206),"Category mismatch","OK"))))))</f>
        <v>OK</v>
      </c>
      <c r="O206" s="125">
        <f t="shared" si="9"/>
        <v>3028.03</v>
      </c>
      <c r="P206" t="str">
        <f>IF(E206="","Unmapped",IFERROR(INDEX(Supplier_Lookup!$B$2:$B$25,MATCH(E206,Supplier_Lookup!$A$2:$A$25,0)),"Unmapped"))</f>
        <v>Vehicle &amp; Fuel</v>
      </c>
      <c r="Q206" s="76">
        <f>IFERROR(INDEX(Category_Targets!$B$2:$B$9,MATCH(F206,Category_Targets!$A$2:$A$9,0)),0)</f>
        <v>0.05</v>
      </c>
      <c r="R206" s="125">
        <f t="shared" si="10"/>
        <v>151.40150000000003</v>
      </c>
      <c r="S206" s="78">
        <f t="shared" si="11"/>
        <v>45962</v>
      </c>
      <c r="T206" t="str">
        <f>IFERROR(VLOOKUP(B206,Sites!$A$2:$D$21,4,FALSE()),"Unknown")</f>
        <v>Birmingham</v>
      </c>
      <c r="U206" t="str">
        <f>IF(N206="OK","",COUNTIF($N$2:N206,"&lt;&gt;OK"))</f>
        <v/>
      </c>
      <c r="V206">
        <f>IF(OR(NOT(EXACT(E206,TRIM(Procurement_Raw!E206))),NOT(EXACT(F206,TRIM(Procurement_Raw!F206)))),1,0)</f>
        <v>0</v>
      </c>
    </row>
    <row r="207" spans="1:22" ht="15" customHeight="1" x14ac:dyDescent="0.25">
      <c r="A207" s="123">
        <f>Procurement_Raw!A207</f>
        <v>46017</v>
      </c>
      <c r="B207" t="str">
        <f>TRIM(Procurement_Raw!B207)</f>
        <v>S015</v>
      </c>
      <c r="C207" t="str">
        <f>Procurement_Raw!C207</f>
        <v>Brighton Care &amp; Education Centre</v>
      </c>
      <c r="D207" t="str">
        <f>Procurement_Raw!D207</f>
        <v>South</v>
      </c>
      <c r="E207" t="str">
        <f>IF(TRIM(Procurement_Raw!E207)="","",IFERROR(INDEX(Supplier_Lookup!$A$2:$A$25,MATCH(TRIM(Procurement_Raw!E207),Supplier_Lookup!$A$2:$A$25,0)),TRIM(Procurement_Raw!E207)))</f>
        <v>HealthStaffing</v>
      </c>
      <c r="F207" t="str">
        <f>IFERROR(INDEX(Category_Targets!$A$2:$A$9,MATCH(TRIM(Procurement_Raw!F207),Category_Targets!$A$2:$A$9,0)),"Unmapped")</f>
        <v>Agency Labour</v>
      </c>
      <c r="G207" t="str">
        <f>TRIM(Procurement_Raw!G207)</f>
        <v>INV-2025-00206</v>
      </c>
      <c r="H207" s="77">
        <f>Procurement_Raw!H207</f>
        <v>15</v>
      </c>
      <c r="I207" s="124">
        <f>Procurement_Raw!I207</f>
        <v>179.11</v>
      </c>
      <c r="J207" s="125">
        <f>IF(Procurement_Raw!J207="","",Procurement_Raw!J207)</f>
        <v>2686.59</v>
      </c>
      <c r="K207" s="77">
        <f>Procurement_Raw!K207</f>
        <v>60</v>
      </c>
      <c r="L207" t="str">
        <f>Procurement_Raw!L207</f>
        <v>Legacy Spend File</v>
      </c>
      <c r="M207" t="str">
        <f>Procurement_Raw!O207</f>
        <v>N</v>
      </c>
      <c r="N207" t="str">
        <f>IF(E207="","Missing supplier",IF(B207="","Missing site",IF(J207="","Missing spend",IF(COUNTIFS($G$2:G207,G207,$E$2:E207,E207,$J$2:J207,J207)&gt;1,"Duplicate invoice",IF(COUNTIF($G$2:$G$1801,G207)&gt;1,"Duplicate ID - review",IF(AND(P207&lt;&gt;"Unmapped",P207&lt;&gt;F207),"Category mismatch","OK"))))))</f>
        <v>OK</v>
      </c>
      <c r="O207" s="125">
        <f t="shared" si="9"/>
        <v>2686.59</v>
      </c>
      <c r="P207" t="str">
        <f>IF(E207="","Unmapped",IFERROR(INDEX(Supplier_Lookup!$B$2:$B$25,MATCH(E207,Supplier_Lookup!$A$2:$A$25,0)),"Unmapped"))</f>
        <v>Agency Labour</v>
      </c>
      <c r="Q207" s="76">
        <f>IFERROR(INDEX(Category_Targets!$B$2:$B$9,MATCH(F207,Category_Targets!$A$2:$A$9,0)),0)</f>
        <v>7.0000000000000007E-2</v>
      </c>
      <c r="R207" s="125">
        <f t="shared" si="10"/>
        <v>188.06130000000002</v>
      </c>
      <c r="S207" s="78">
        <f t="shared" si="11"/>
        <v>45992</v>
      </c>
      <c r="T207" t="str">
        <f>IFERROR(VLOOKUP(B207,Sites!$A$2:$D$21,4,FALSE()),"Unknown")</f>
        <v>Brighton</v>
      </c>
      <c r="U207" t="str">
        <f>IF(N207="OK","",COUNTIF($N$2:N207,"&lt;&gt;OK"))</f>
        <v/>
      </c>
      <c r="V207">
        <f>IF(OR(NOT(EXACT(E207,TRIM(Procurement_Raw!E207))),NOT(EXACT(F207,TRIM(Procurement_Raw!F207)))),1,0)</f>
        <v>0</v>
      </c>
    </row>
    <row r="208" spans="1:22" ht="15" customHeight="1" x14ac:dyDescent="0.25">
      <c r="A208" s="123">
        <f>Procurement_Raw!A208</f>
        <v>45889</v>
      </c>
      <c r="B208" t="str">
        <f>TRIM(Procurement_Raw!B208)</f>
        <v>S001</v>
      </c>
      <c r="C208" t="str">
        <f>Procurement_Raw!C208</f>
        <v>Preston Care &amp; Education Centre</v>
      </c>
      <c r="D208" t="str">
        <f>Procurement_Raw!D208</f>
        <v>North</v>
      </c>
      <c r="E208" t="str">
        <f>IF(TRIM(Procurement_Raw!E208)="","",IFERROR(INDEX(Supplier_Lookup!$A$2:$A$25,MATCH(TRIM(Procurement_Raw!E208),Supplier_Lookup!$A$2:$A$25,0)),TRIM(Procurement_Raw!E208)))</f>
        <v>WaterGrid</v>
      </c>
      <c r="F208" t="str">
        <f>IFERROR(INDEX(Category_Targets!$A$2:$A$9,MATCH(TRIM(Procurement_Raw!F208),Category_Targets!$A$2:$A$9,0)),"Unmapped")</f>
        <v>Utilities</v>
      </c>
      <c r="G208" t="str">
        <f>TRIM(Procurement_Raw!G208)</f>
        <v>INV-2025-00207</v>
      </c>
      <c r="H208" s="77">
        <f>Procurement_Raw!H208</f>
        <v>30</v>
      </c>
      <c r="I208" s="124">
        <f>Procurement_Raw!I208</f>
        <v>331.87</v>
      </c>
      <c r="J208" s="125">
        <f>IF(Procurement_Raw!J208="","",Procurement_Raw!J208)</f>
        <v>9955.9699999999993</v>
      </c>
      <c r="K208" s="77">
        <f>Procurement_Raw!K208</f>
        <v>45</v>
      </c>
      <c r="L208" t="str">
        <f>Procurement_Raw!L208</f>
        <v>Procurement Portal</v>
      </c>
      <c r="M208" t="str">
        <f>Procurement_Raw!O208</f>
        <v>N</v>
      </c>
      <c r="N208" t="str">
        <f>IF(E208="","Missing supplier",IF(B208="","Missing site",IF(J208="","Missing spend",IF(COUNTIFS($G$2:G208,G208,$E$2:E208,E208,$J$2:J208,J208)&gt;1,"Duplicate invoice",IF(COUNTIF($G$2:$G$1801,G208)&gt;1,"Duplicate ID - review",IF(AND(P208&lt;&gt;"Unmapped",P208&lt;&gt;F208),"Category mismatch","OK"))))))</f>
        <v>OK</v>
      </c>
      <c r="O208" s="125">
        <f t="shared" si="9"/>
        <v>9955.9699999999993</v>
      </c>
      <c r="P208" t="str">
        <f>IF(E208="","Unmapped",IFERROR(INDEX(Supplier_Lookup!$B$2:$B$25,MATCH(E208,Supplier_Lookup!$A$2:$A$25,0)),"Unmapped"))</f>
        <v>Utilities</v>
      </c>
      <c r="Q208" s="76">
        <f>IFERROR(INDEX(Category_Targets!$B$2:$B$9,MATCH(F208,Category_Targets!$A$2:$A$9,0)),0)</f>
        <v>0.03</v>
      </c>
      <c r="R208" s="125">
        <f t="shared" si="10"/>
        <v>298.67909999999995</v>
      </c>
      <c r="S208" s="78">
        <f t="shared" si="11"/>
        <v>45870</v>
      </c>
      <c r="T208" t="str">
        <f>IFERROR(VLOOKUP(B208,Sites!$A$2:$D$21,4,FALSE()),"Unknown")</f>
        <v>Preston</v>
      </c>
      <c r="U208" t="str">
        <f>IF(N208="OK","",COUNTIF($N$2:N208,"&lt;&gt;OK"))</f>
        <v/>
      </c>
      <c r="V208">
        <f>IF(OR(NOT(EXACT(E208,TRIM(Procurement_Raw!E208))),NOT(EXACT(F208,TRIM(Procurement_Raw!F208)))),1,0)</f>
        <v>0</v>
      </c>
    </row>
    <row r="209" spans="1:22" ht="15" customHeight="1" x14ac:dyDescent="0.25">
      <c r="A209" s="123">
        <f>Procurement_Raw!A209</f>
        <v>45706</v>
      </c>
      <c r="B209" t="str">
        <f>TRIM(Procurement_Raw!B209)</f>
        <v>S010</v>
      </c>
      <c r="C209" t="str">
        <f>Procurement_Raw!C209</f>
        <v>Coventry Care &amp; Education Centre</v>
      </c>
      <c r="D209" t="str">
        <f>Procurement_Raw!D209</f>
        <v>Midlands</v>
      </c>
      <c r="E209" t="str">
        <f>IF(TRIM(Procurement_Raw!E209)="","",IFERROR(INDEX(Supplier_Lookup!$A$2:$A$25,MATCH(TRIM(Procurement_Raw!E209),Supplier_Lookup!$A$2:$A$25,0)),TRIM(Procurement_Raw!E209)))</f>
        <v>CareTemps</v>
      </c>
      <c r="F209" t="str">
        <f>IFERROR(INDEX(Category_Targets!$A$2:$A$9,MATCH(TRIM(Procurement_Raw!F209),Category_Targets!$A$2:$A$9,0)),"Unmapped")</f>
        <v>Agency Labour</v>
      </c>
      <c r="G209" t="str">
        <f>TRIM(Procurement_Raw!G209)</f>
        <v>INV-2025-00208</v>
      </c>
      <c r="H209" s="77">
        <f>Procurement_Raw!H209</f>
        <v>41</v>
      </c>
      <c r="I209" s="124">
        <f>Procurement_Raw!I209</f>
        <v>397.97</v>
      </c>
      <c r="J209" s="125">
        <f>IF(Procurement_Raw!J209="","",Procurement_Raw!J209)</f>
        <v>16316.58</v>
      </c>
      <c r="K209" s="77">
        <f>Procurement_Raw!K209</f>
        <v>45</v>
      </c>
      <c r="L209" t="str">
        <f>Procurement_Raw!L209</f>
        <v>Procurement Portal</v>
      </c>
      <c r="M209" t="str">
        <f>Procurement_Raw!O209</f>
        <v>N</v>
      </c>
      <c r="N209" t="str">
        <f>IF(E209="","Missing supplier",IF(B209="","Missing site",IF(J209="","Missing spend",IF(COUNTIFS($G$2:G209,G209,$E$2:E209,E209,$J$2:J209,J209)&gt;1,"Duplicate invoice",IF(COUNTIF($G$2:$G$1801,G209)&gt;1,"Duplicate ID - review",IF(AND(P209&lt;&gt;"Unmapped",P209&lt;&gt;F209),"Category mismatch","OK"))))))</f>
        <v>OK</v>
      </c>
      <c r="O209" s="125">
        <f t="shared" si="9"/>
        <v>16316.58</v>
      </c>
      <c r="P209" t="str">
        <f>IF(E209="","Unmapped",IFERROR(INDEX(Supplier_Lookup!$B$2:$B$25,MATCH(E209,Supplier_Lookup!$A$2:$A$25,0)),"Unmapped"))</f>
        <v>Agency Labour</v>
      </c>
      <c r="Q209" s="76">
        <f>IFERROR(INDEX(Category_Targets!$B$2:$B$9,MATCH(F209,Category_Targets!$A$2:$A$9,0)),0)</f>
        <v>7.0000000000000007E-2</v>
      </c>
      <c r="R209" s="125">
        <f t="shared" si="10"/>
        <v>1142.1606000000002</v>
      </c>
      <c r="S209" s="78">
        <f t="shared" si="11"/>
        <v>45689</v>
      </c>
      <c r="T209" t="str">
        <f>IFERROR(VLOOKUP(B209,Sites!$A$2:$D$21,4,FALSE()),"Unknown")</f>
        <v>Coventry</v>
      </c>
      <c r="U209" t="str">
        <f>IF(N209="OK","",COUNTIF($N$2:N209,"&lt;&gt;OK"))</f>
        <v/>
      </c>
      <c r="V209">
        <f>IF(OR(NOT(EXACT(E209,TRIM(Procurement_Raw!E209))),NOT(EXACT(F209,TRIM(Procurement_Raw!F209)))),1,0)</f>
        <v>0</v>
      </c>
    </row>
    <row r="210" spans="1:22" ht="15" customHeight="1" x14ac:dyDescent="0.25">
      <c r="A210" s="123">
        <f>Procurement_Raw!A210</f>
        <v>45736</v>
      </c>
      <c r="B210" t="str">
        <f>TRIM(Procurement_Raw!B210)</f>
        <v>S020</v>
      </c>
      <c r="C210" t="str">
        <f>Procurement_Raw!C210</f>
        <v>Bangor Care &amp; Education Centre</v>
      </c>
      <c r="D210" t="str">
        <f>Procurement_Raw!D210</f>
        <v>Wales</v>
      </c>
      <c r="E210" t="str">
        <f>IF(TRIM(Procurement_Raw!E210)="","",IFERROR(INDEX(Supplier_Lookup!$A$2:$A$25,MATCH(TRIM(Procurement_Raw!E210),Supplier_Lookup!$A$2:$A$25,0)),TRIM(Procurement_Raw!E210)))</f>
        <v>TeleCare IT</v>
      </c>
      <c r="F210" t="str">
        <f>IFERROR(INDEX(Category_Targets!$A$2:$A$9,MATCH(TRIM(Procurement_Raw!F210),Category_Targets!$A$2:$A$9,0)),"Unmapped")</f>
        <v>IT &amp; Telecoms</v>
      </c>
      <c r="G210" t="str">
        <f>TRIM(Procurement_Raw!G210)</f>
        <v>INV-2025-00209</v>
      </c>
      <c r="H210" s="77">
        <f>Procurement_Raw!H210</f>
        <v>61</v>
      </c>
      <c r="I210" s="124">
        <f>Procurement_Raw!I210</f>
        <v>292.04000000000002</v>
      </c>
      <c r="J210" s="125">
        <f>IF(Procurement_Raw!J210="","",Procurement_Raw!J210)</f>
        <v>17814.669999999998</v>
      </c>
      <c r="K210" s="77">
        <f>Procurement_Raw!K210</f>
        <v>30</v>
      </c>
      <c r="L210" t="str">
        <f>Procurement_Raw!L210</f>
        <v>ERP</v>
      </c>
      <c r="M210" t="str">
        <f>Procurement_Raw!O210</f>
        <v>N</v>
      </c>
      <c r="N210" t="str">
        <f>IF(E210="","Missing supplier",IF(B210="","Missing site",IF(J210="","Missing spend",IF(COUNTIFS($G$2:G210,G210,$E$2:E210,E210,$J$2:J210,J210)&gt;1,"Duplicate invoice",IF(COUNTIF($G$2:$G$1801,G210)&gt;1,"Duplicate ID - review",IF(AND(P210&lt;&gt;"Unmapped",P210&lt;&gt;F210),"Category mismatch","OK"))))))</f>
        <v>OK</v>
      </c>
      <c r="O210" s="125">
        <f t="shared" si="9"/>
        <v>17814.669999999998</v>
      </c>
      <c r="P210" t="str">
        <f>IF(E210="","Unmapped",IFERROR(INDEX(Supplier_Lookup!$B$2:$B$25,MATCH(E210,Supplier_Lookup!$A$2:$A$25,0)),"Unmapped"))</f>
        <v>IT &amp; Telecoms</v>
      </c>
      <c r="Q210" s="76">
        <f>IFERROR(INDEX(Category_Targets!$B$2:$B$9,MATCH(F210,Category_Targets!$A$2:$A$9,0)),0)</f>
        <v>0.08</v>
      </c>
      <c r="R210" s="125">
        <f t="shared" si="10"/>
        <v>1425.1735999999999</v>
      </c>
      <c r="S210" s="78">
        <f t="shared" si="11"/>
        <v>45717</v>
      </c>
      <c r="T210" t="str">
        <f>IFERROR(VLOOKUP(B210,Sites!$A$2:$D$21,4,FALSE()),"Unknown")</f>
        <v>Bangor</v>
      </c>
      <c r="U210" t="str">
        <f>IF(N210="OK","",COUNTIF($N$2:N210,"&lt;&gt;OK"))</f>
        <v/>
      </c>
      <c r="V210">
        <f>IF(OR(NOT(EXACT(E210,TRIM(Procurement_Raw!E210))),NOT(EXACT(F210,TRIM(Procurement_Raw!F210)))),1,0)</f>
        <v>0</v>
      </c>
    </row>
    <row r="211" spans="1:22" ht="15" customHeight="1" x14ac:dyDescent="0.25">
      <c r="A211" s="123">
        <f>Procurement_Raw!A211</f>
        <v>45707</v>
      </c>
      <c r="B211" t="str">
        <f>TRIM(Procurement_Raw!B211)</f>
        <v>S009</v>
      </c>
      <c r="C211" t="str">
        <f>Procurement_Raw!C211</f>
        <v>Derby Care &amp; Education Centre</v>
      </c>
      <c r="D211" t="str">
        <f>Procurement_Raw!D211</f>
        <v>Midlands</v>
      </c>
      <c r="E211" t="str">
        <f>IF(TRIM(Procurement_Raw!E211)="","",IFERROR(INDEX(Supplier_Lookup!$A$2:$A$25,MATCH(TRIM(Procurement_Raw!E211),Supplier_Lookup!$A$2:$A$25,0)),TRIM(Procurement_Raw!E211)))</f>
        <v>NourishCo</v>
      </c>
      <c r="F211" t="str">
        <f>IFERROR(INDEX(Category_Targets!$A$2:$A$9,MATCH(TRIM(Procurement_Raw!F211),Category_Targets!$A$2:$A$9,0)),"Unmapped")</f>
        <v>Food &amp; Catering</v>
      </c>
      <c r="G211" t="str">
        <f>TRIM(Procurement_Raw!G211)</f>
        <v>INV-2025-00210</v>
      </c>
      <c r="H211" s="77">
        <f>Procurement_Raw!H211</f>
        <v>48</v>
      </c>
      <c r="I211" s="124">
        <f>Procurement_Raw!I211</f>
        <v>540.98</v>
      </c>
      <c r="J211" s="125">
        <f>IF(Procurement_Raw!J211="","",Procurement_Raw!J211)</f>
        <v>25967.23</v>
      </c>
      <c r="K211" s="77">
        <f>Procurement_Raw!K211</f>
        <v>30</v>
      </c>
      <c r="L211" t="str">
        <f>Procurement_Raw!L211</f>
        <v>Legacy Spend File</v>
      </c>
      <c r="M211" t="str">
        <f>Procurement_Raw!O211</f>
        <v>N</v>
      </c>
      <c r="N211" t="str">
        <f>IF(E211="","Missing supplier",IF(B211="","Missing site",IF(J211="","Missing spend",IF(COUNTIFS($G$2:G211,G211,$E$2:E211,E211,$J$2:J211,J211)&gt;1,"Duplicate invoice",IF(COUNTIF($G$2:$G$1801,G211)&gt;1,"Duplicate ID - review",IF(AND(P211&lt;&gt;"Unmapped",P211&lt;&gt;F211),"Category mismatch","OK"))))))</f>
        <v>OK</v>
      </c>
      <c r="O211" s="125">
        <f t="shared" si="9"/>
        <v>25967.23</v>
      </c>
      <c r="P211" t="str">
        <f>IF(E211="","Unmapped",IFERROR(INDEX(Supplier_Lookup!$B$2:$B$25,MATCH(E211,Supplier_Lookup!$A$2:$A$25,0)),"Unmapped"))</f>
        <v>Food &amp; Catering</v>
      </c>
      <c r="Q211" s="76">
        <f>IFERROR(INDEX(Category_Targets!$B$2:$B$9,MATCH(F211,Category_Targets!$A$2:$A$9,0)),0)</f>
        <v>0.04</v>
      </c>
      <c r="R211" s="125">
        <f t="shared" si="10"/>
        <v>1038.6892</v>
      </c>
      <c r="S211" s="78">
        <f t="shared" si="11"/>
        <v>45689</v>
      </c>
      <c r="T211" t="str">
        <f>IFERROR(VLOOKUP(B211,Sites!$A$2:$D$21,4,FALSE()),"Unknown")</f>
        <v>Derby</v>
      </c>
      <c r="U211" t="str">
        <f>IF(N211="OK","",COUNTIF($N$2:N211,"&lt;&gt;OK"))</f>
        <v/>
      </c>
      <c r="V211">
        <f>IF(OR(NOT(EXACT(E211,TRIM(Procurement_Raw!E211))),NOT(EXACT(F211,TRIM(Procurement_Raw!F211)))),1,0)</f>
        <v>0</v>
      </c>
    </row>
    <row r="212" spans="1:22" ht="15" customHeight="1" x14ac:dyDescent="0.25">
      <c r="A212" s="123">
        <f>Procurement_Raw!A212</f>
        <v>45720</v>
      </c>
      <c r="B212" t="str">
        <f>TRIM(Procurement_Raw!B212)</f>
        <v>S020</v>
      </c>
      <c r="C212" t="str">
        <f>Procurement_Raw!C212</f>
        <v>Bangor Care &amp; Education Centre</v>
      </c>
      <c r="D212" t="str">
        <f>Procurement_Raw!D212</f>
        <v>Wales</v>
      </c>
      <c r="E212" t="str">
        <f>IF(TRIM(Procurement_Raw!E212)="","",IFERROR(INDEX(Supplier_Lookup!$A$2:$A$25,MATCH(TRIM(Procurement_Raw!E212),Supplier_Lookup!$A$2:$A$25,0)),TRIM(Procurement_Raw!E212)))</f>
        <v>AutoCare</v>
      </c>
      <c r="F212" t="str">
        <f>IFERROR(INDEX(Category_Targets!$A$2:$A$9,MATCH(TRIM(Procurement_Raw!F212),Category_Targets!$A$2:$A$9,0)),"Unmapped")</f>
        <v>Vehicle &amp; Fuel</v>
      </c>
      <c r="G212" t="str">
        <f>TRIM(Procurement_Raw!G212)</f>
        <v>INV-2025-00211</v>
      </c>
      <c r="H212" s="77">
        <f>Procurement_Raw!H212</f>
        <v>53</v>
      </c>
      <c r="I212" s="124">
        <f>Procurement_Raw!I212</f>
        <v>130.04</v>
      </c>
      <c r="J212" s="125">
        <f>IF(Procurement_Raw!J212="","",Procurement_Raw!J212)</f>
        <v>6892.29</v>
      </c>
      <c r="K212" s="77">
        <f>Procurement_Raw!K212</f>
        <v>45</v>
      </c>
      <c r="L212" t="str">
        <f>Procurement_Raw!L212</f>
        <v>Legacy Spend File</v>
      </c>
      <c r="M212" t="str">
        <f>Procurement_Raw!O212</f>
        <v>N</v>
      </c>
      <c r="N212" t="str">
        <f>IF(E212="","Missing supplier",IF(B212="","Missing site",IF(J212="","Missing spend",IF(COUNTIFS($G$2:G212,G212,$E$2:E212,E212,$J$2:J212,J212)&gt;1,"Duplicate invoice",IF(COUNTIF($G$2:$G$1801,G212)&gt;1,"Duplicate ID - review",IF(AND(P212&lt;&gt;"Unmapped",P212&lt;&gt;F212),"Category mismatch","OK"))))))</f>
        <v>OK</v>
      </c>
      <c r="O212" s="125">
        <f t="shared" si="9"/>
        <v>6892.29</v>
      </c>
      <c r="P212" t="str">
        <f>IF(E212="","Unmapped",IFERROR(INDEX(Supplier_Lookup!$B$2:$B$25,MATCH(E212,Supplier_Lookup!$A$2:$A$25,0)),"Unmapped"))</f>
        <v>Vehicle &amp; Fuel</v>
      </c>
      <c r="Q212" s="76">
        <f>IFERROR(INDEX(Category_Targets!$B$2:$B$9,MATCH(F212,Category_Targets!$A$2:$A$9,0)),0)</f>
        <v>0.05</v>
      </c>
      <c r="R212" s="125">
        <f t="shared" si="10"/>
        <v>344.61450000000002</v>
      </c>
      <c r="S212" s="78">
        <f t="shared" si="11"/>
        <v>45717</v>
      </c>
      <c r="T212" t="str">
        <f>IFERROR(VLOOKUP(B212,Sites!$A$2:$D$21,4,FALSE()),"Unknown")</f>
        <v>Bangor</v>
      </c>
      <c r="U212" t="str">
        <f>IF(N212="OK","",COUNTIF($N$2:N212,"&lt;&gt;OK"))</f>
        <v/>
      </c>
      <c r="V212">
        <f>IF(OR(NOT(EXACT(E212,TRIM(Procurement_Raw!E212))),NOT(EXACT(F212,TRIM(Procurement_Raw!F212)))),1,0)</f>
        <v>0</v>
      </c>
    </row>
    <row r="213" spans="1:22" ht="15" customHeight="1" x14ac:dyDescent="0.25">
      <c r="A213" s="123">
        <f>Procurement_Raw!A213</f>
        <v>45684</v>
      </c>
      <c r="B213" t="str">
        <f>TRIM(Procurement_Raw!B213)</f>
        <v>S009</v>
      </c>
      <c r="C213" t="str">
        <f>Procurement_Raw!C213</f>
        <v>Derby Care &amp; Education Centre</v>
      </c>
      <c r="D213" t="str">
        <f>Procurement_Raw!D213</f>
        <v>Midlands</v>
      </c>
      <c r="E213" t="str">
        <f>IF(TRIM(Procurement_Raw!E213)="","",IFERROR(INDEX(Supplier_Lookup!$A$2:$A$25,MATCH(TRIM(Procurement_Raw!E213),Supplier_Lookup!$A$2:$A$25,0)),TRIM(Procurement_Raw!E213)))</f>
        <v>NurseLink</v>
      </c>
      <c r="F213" t="str">
        <f>IFERROR(INDEX(Category_Targets!$A$2:$A$9,MATCH(TRIM(Procurement_Raw!F213),Category_Targets!$A$2:$A$9,0)),"Unmapped")</f>
        <v>Agency Labour</v>
      </c>
      <c r="G213" t="str">
        <f>TRIM(Procurement_Raw!G213)</f>
        <v>INV-2025-00212</v>
      </c>
      <c r="H213" s="77">
        <f>Procurement_Raw!H213</f>
        <v>37</v>
      </c>
      <c r="I213" s="124">
        <f>Procurement_Raw!I213</f>
        <v>560.23</v>
      </c>
      <c r="J213" s="125">
        <f>IF(Procurement_Raw!J213="","",Procurement_Raw!J213)</f>
        <v>20728.43</v>
      </c>
      <c r="K213" s="77">
        <f>Procurement_Raw!K213</f>
        <v>60</v>
      </c>
      <c r="L213" t="str">
        <f>Procurement_Raw!L213</f>
        <v>Procurement Portal</v>
      </c>
      <c r="M213" t="str">
        <f>Procurement_Raw!O213</f>
        <v>N</v>
      </c>
      <c r="N213" t="str">
        <f>IF(E213="","Missing supplier",IF(B213="","Missing site",IF(J213="","Missing spend",IF(COUNTIFS($G$2:G213,G213,$E$2:E213,E213,$J$2:J213,J213)&gt;1,"Duplicate invoice",IF(COUNTIF($G$2:$G$1801,G213)&gt;1,"Duplicate ID - review",IF(AND(P213&lt;&gt;"Unmapped",P213&lt;&gt;F213),"Category mismatch","OK"))))))</f>
        <v>OK</v>
      </c>
      <c r="O213" s="125">
        <f t="shared" si="9"/>
        <v>20728.43</v>
      </c>
      <c r="P213" t="str">
        <f>IF(E213="","Unmapped",IFERROR(INDEX(Supplier_Lookup!$B$2:$B$25,MATCH(E213,Supplier_Lookup!$A$2:$A$25,0)),"Unmapped"))</f>
        <v>Agency Labour</v>
      </c>
      <c r="Q213" s="76">
        <f>IFERROR(INDEX(Category_Targets!$B$2:$B$9,MATCH(F213,Category_Targets!$A$2:$A$9,0)),0)</f>
        <v>7.0000000000000007E-2</v>
      </c>
      <c r="R213" s="125">
        <f t="shared" si="10"/>
        <v>1450.9901000000002</v>
      </c>
      <c r="S213" s="78">
        <f t="shared" si="11"/>
        <v>45658</v>
      </c>
      <c r="T213" t="str">
        <f>IFERROR(VLOOKUP(B213,Sites!$A$2:$D$21,4,FALSE()),"Unknown")</f>
        <v>Derby</v>
      </c>
      <c r="U213" t="str">
        <f>IF(N213="OK","",COUNTIF($N$2:N213,"&lt;&gt;OK"))</f>
        <v/>
      </c>
      <c r="V213">
        <f>IF(OR(NOT(EXACT(E213,TRIM(Procurement_Raw!E213))),NOT(EXACT(F213,TRIM(Procurement_Raw!F213)))),1,0)</f>
        <v>0</v>
      </c>
    </row>
    <row r="214" spans="1:22" ht="15" customHeight="1" x14ac:dyDescent="0.25">
      <c r="A214" s="123">
        <f>Procurement_Raw!A214</f>
        <v>45917</v>
      </c>
      <c r="B214" t="str">
        <f>TRIM(Procurement_Raw!B214)</f>
        <v>S020</v>
      </c>
      <c r="C214" t="str">
        <f>Procurement_Raw!C214</f>
        <v>Bangor Care &amp; Education Centre</v>
      </c>
      <c r="D214" t="str">
        <f>Procurement_Raw!D214</f>
        <v>Wales</v>
      </c>
      <c r="E214" t="str">
        <f>IF(TRIM(Procurement_Raw!E214)="","",IFERROR(INDEX(Supplier_Lookup!$A$2:$A$25,MATCH(TRIM(Procurement_Raw!E214),Supplier_Lookup!$A$2:$A$25,0)),TRIM(Procurement_Raw!E214)))</f>
        <v>KitchenPro</v>
      </c>
      <c r="F214" t="str">
        <f>IFERROR(INDEX(Category_Targets!$A$2:$A$9,MATCH(TRIM(Procurement_Raw!F214),Category_Targets!$A$2:$A$9,0)),"Unmapped")</f>
        <v>Food &amp; Catering</v>
      </c>
      <c r="G214" t="str">
        <f>TRIM(Procurement_Raw!G214)</f>
        <v>INV-2025-00213</v>
      </c>
      <c r="H214" s="77">
        <f>Procurement_Raw!H214</f>
        <v>28</v>
      </c>
      <c r="I214" s="124">
        <f>Procurement_Raw!I214</f>
        <v>109.85</v>
      </c>
      <c r="J214" s="125">
        <f>IF(Procurement_Raw!J214="","",Procurement_Raw!J214)</f>
        <v>3075.72</v>
      </c>
      <c r="K214" s="77">
        <f>Procurement_Raw!K214</f>
        <v>30</v>
      </c>
      <c r="L214" t="str">
        <f>Procurement_Raw!L214</f>
        <v>Legacy Spend File</v>
      </c>
      <c r="M214" t="str">
        <f>Procurement_Raw!O214</f>
        <v>N</v>
      </c>
      <c r="N214" t="str">
        <f>IF(E214="","Missing supplier",IF(B214="","Missing site",IF(J214="","Missing spend",IF(COUNTIFS($G$2:G214,G214,$E$2:E214,E214,$J$2:J214,J214)&gt;1,"Duplicate invoice",IF(COUNTIF($G$2:$G$1801,G214)&gt;1,"Duplicate ID - review",IF(AND(P214&lt;&gt;"Unmapped",P214&lt;&gt;F214),"Category mismatch","OK"))))))</f>
        <v>OK</v>
      </c>
      <c r="O214" s="125">
        <f t="shared" si="9"/>
        <v>3075.72</v>
      </c>
      <c r="P214" t="str">
        <f>IF(E214="","Unmapped",IFERROR(INDEX(Supplier_Lookup!$B$2:$B$25,MATCH(E214,Supplier_Lookup!$A$2:$A$25,0)),"Unmapped"))</f>
        <v>Food &amp; Catering</v>
      </c>
      <c r="Q214" s="76">
        <f>IFERROR(INDEX(Category_Targets!$B$2:$B$9,MATCH(F214,Category_Targets!$A$2:$A$9,0)),0)</f>
        <v>0.04</v>
      </c>
      <c r="R214" s="125">
        <f t="shared" si="10"/>
        <v>123.02879999999999</v>
      </c>
      <c r="S214" s="78">
        <f t="shared" si="11"/>
        <v>45901</v>
      </c>
      <c r="T214" t="str">
        <f>IFERROR(VLOOKUP(B214,Sites!$A$2:$D$21,4,FALSE()),"Unknown")</f>
        <v>Bangor</v>
      </c>
      <c r="U214" t="str">
        <f>IF(N214="OK","",COUNTIF($N$2:N214,"&lt;&gt;OK"))</f>
        <v/>
      </c>
      <c r="V214">
        <f>IF(OR(NOT(EXACT(E214,TRIM(Procurement_Raw!E214))),NOT(EXACT(F214,TRIM(Procurement_Raw!F214)))),1,0)</f>
        <v>0</v>
      </c>
    </row>
    <row r="215" spans="1:22" ht="15" customHeight="1" x14ac:dyDescent="0.25">
      <c r="A215" s="123">
        <f>Procurement_Raw!A215</f>
        <v>45837</v>
      </c>
      <c r="B215" t="str">
        <f>TRIM(Procurement_Raw!B215)</f>
        <v>S002</v>
      </c>
      <c r="C215" t="str">
        <f>Procurement_Raw!C215</f>
        <v>Manchester Care &amp; Education Centre</v>
      </c>
      <c r="D215" t="str">
        <f>Procurement_Raw!D215</f>
        <v>North</v>
      </c>
      <c r="E215" t="str">
        <f>IF(TRIM(Procurement_Raw!E215)="","",IFERROR(INDEX(Supplier_Lookup!$A$2:$A$25,MATCH(TRIM(Procurement_Raw!E215),Supplier_Lookup!$A$2:$A$25,0)),TRIM(Procurement_Raw!E215)))</f>
        <v>UK Energy Partners</v>
      </c>
      <c r="F215" t="str">
        <f>IFERROR(INDEX(Category_Targets!$A$2:$A$9,MATCH(TRIM(Procurement_Raw!F215),Category_Targets!$A$2:$A$9,0)),"Unmapped")</f>
        <v>Utilities</v>
      </c>
      <c r="G215" t="str">
        <f>TRIM(Procurement_Raw!G215)</f>
        <v>INV-2025-00214</v>
      </c>
      <c r="H215" s="77">
        <f>Procurement_Raw!H215</f>
        <v>72</v>
      </c>
      <c r="I215" s="124">
        <f>Procurement_Raw!I215</f>
        <v>357.71</v>
      </c>
      <c r="J215" s="125">
        <f>IF(Procurement_Raw!J215="","",Procurement_Raw!J215)</f>
        <v>25755.21</v>
      </c>
      <c r="K215" s="77">
        <f>Procurement_Raw!K215</f>
        <v>45</v>
      </c>
      <c r="L215" t="str">
        <f>Procurement_Raw!L215</f>
        <v>ERP</v>
      </c>
      <c r="M215" t="str">
        <f>Procurement_Raw!O215</f>
        <v>N</v>
      </c>
      <c r="N215" t="str">
        <f>IF(E215="","Missing supplier",IF(B215="","Missing site",IF(J215="","Missing spend",IF(COUNTIFS($G$2:G215,G215,$E$2:E215,E215,$J$2:J215,J215)&gt;1,"Duplicate invoice",IF(COUNTIF($G$2:$G$1801,G215)&gt;1,"Duplicate ID - review",IF(AND(P215&lt;&gt;"Unmapped",P215&lt;&gt;F215),"Category mismatch","OK"))))))</f>
        <v>OK</v>
      </c>
      <c r="O215" s="125">
        <f t="shared" si="9"/>
        <v>25755.21</v>
      </c>
      <c r="P215" t="str">
        <f>IF(E215="","Unmapped",IFERROR(INDEX(Supplier_Lookup!$B$2:$B$25,MATCH(E215,Supplier_Lookup!$A$2:$A$25,0)),"Unmapped"))</f>
        <v>Utilities</v>
      </c>
      <c r="Q215" s="76">
        <f>IFERROR(INDEX(Category_Targets!$B$2:$B$9,MATCH(F215,Category_Targets!$A$2:$A$9,0)),0)</f>
        <v>0.03</v>
      </c>
      <c r="R215" s="125">
        <f t="shared" si="10"/>
        <v>772.65629999999999</v>
      </c>
      <c r="S215" s="78">
        <f t="shared" si="11"/>
        <v>45809</v>
      </c>
      <c r="T215" t="str">
        <f>IFERROR(VLOOKUP(B215,Sites!$A$2:$D$21,4,FALSE()),"Unknown")</f>
        <v>Manchester</v>
      </c>
      <c r="U215" t="str">
        <f>IF(N215="OK","",COUNTIF($N$2:N215,"&lt;&gt;OK"))</f>
        <v/>
      </c>
      <c r="V215">
        <f>IF(OR(NOT(EXACT(E215,TRIM(Procurement_Raw!E215))),NOT(EXACT(F215,TRIM(Procurement_Raw!F215)))),1,0)</f>
        <v>0</v>
      </c>
    </row>
    <row r="216" spans="1:22" ht="15" customHeight="1" x14ac:dyDescent="0.25">
      <c r="A216" s="123">
        <f>Procurement_Raw!A216</f>
        <v>45773</v>
      </c>
      <c r="B216" t="str">
        <f>TRIM(Procurement_Raw!B216)</f>
        <v>S018</v>
      </c>
      <c r="C216" t="str">
        <f>Procurement_Raw!C216</f>
        <v>Newport Care &amp; Education Centre</v>
      </c>
      <c r="D216" t="str">
        <f>Procurement_Raw!D216</f>
        <v>Wales</v>
      </c>
      <c r="E216" t="str">
        <f>IF(TRIM(Procurement_Raw!E216)="","",IFERROR(INDEX(Supplier_Lookup!$A$2:$A$25,MATCH(TRIM(Procurement_Raw!E216),Supplier_Lookup!$A$2:$A$25,0)),TRIM(Procurement_Raw!E216)))</f>
        <v>NetServe</v>
      </c>
      <c r="F216" t="str">
        <f>IFERROR(INDEX(Category_Targets!$A$2:$A$9,MATCH(TRIM(Procurement_Raw!F216),Category_Targets!$A$2:$A$9,0)),"Unmapped")</f>
        <v>IT &amp; Telecoms</v>
      </c>
      <c r="G216" t="str">
        <f>TRIM(Procurement_Raw!G216)</f>
        <v>INV-2025-00215</v>
      </c>
      <c r="H216" s="77">
        <f>Procurement_Raw!H216</f>
        <v>55</v>
      </c>
      <c r="I216" s="124">
        <f>Procurement_Raw!I216</f>
        <v>184.98</v>
      </c>
      <c r="J216" s="125">
        <f>IF(Procurement_Raw!J216="","",Procurement_Raw!J216)</f>
        <v>10173.709999999999</v>
      </c>
      <c r="K216" s="77">
        <f>Procurement_Raw!K216</f>
        <v>60</v>
      </c>
      <c r="L216" t="str">
        <f>Procurement_Raw!L216</f>
        <v>Legacy Spend File</v>
      </c>
      <c r="M216" t="str">
        <f>Procurement_Raw!O216</f>
        <v>N</v>
      </c>
      <c r="N216" t="str">
        <f>IF(E216="","Missing supplier",IF(B216="","Missing site",IF(J216="","Missing spend",IF(COUNTIFS($G$2:G216,G216,$E$2:E216,E216,$J$2:J216,J216)&gt;1,"Duplicate invoice",IF(COUNTIF($G$2:$G$1801,G216)&gt;1,"Duplicate ID - review",IF(AND(P216&lt;&gt;"Unmapped",P216&lt;&gt;F216),"Category mismatch","OK"))))))</f>
        <v>OK</v>
      </c>
      <c r="O216" s="125">
        <f t="shared" si="9"/>
        <v>10173.709999999999</v>
      </c>
      <c r="P216" t="str">
        <f>IF(E216="","Unmapped",IFERROR(INDEX(Supplier_Lookup!$B$2:$B$25,MATCH(E216,Supplier_Lookup!$A$2:$A$25,0)),"Unmapped"))</f>
        <v>IT &amp; Telecoms</v>
      </c>
      <c r="Q216" s="76">
        <f>IFERROR(INDEX(Category_Targets!$B$2:$B$9,MATCH(F216,Category_Targets!$A$2:$A$9,0)),0)</f>
        <v>0.08</v>
      </c>
      <c r="R216" s="125">
        <f t="shared" si="10"/>
        <v>813.89679999999998</v>
      </c>
      <c r="S216" s="78">
        <f t="shared" si="11"/>
        <v>45748</v>
      </c>
      <c r="T216" t="str">
        <f>IFERROR(VLOOKUP(B216,Sites!$A$2:$D$21,4,FALSE()),"Unknown")</f>
        <v>Newport</v>
      </c>
      <c r="U216" t="str">
        <f>IF(N216="OK","",COUNTIF($N$2:N216,"&lt;&gt;OK"))</f>
        <v/>
      </c>
      <c r="V216">
        <f>IF(OR(NOT(EXACT(E216,TRIM(Procurement_Raw!E216))),NOT(EXACT(F216,TRIM(Procurement_Raw!F216)))),1,0)</f>
        <v>0</v>
      </c>
    </row>
    <row r="217" spans="1:22" ht="15" customHeight="1" x14ac:dyDescent="0.25">
      <c r="A217" s="123">
        <f>Procurement_Raw!A217</f>
        <v>45994</v>
      </c>
      <c r="B217" t="str">
        <f>TRIM(Procurement_Raw!B217)</f>
        <v>S019</v>
      </c>
      <c r="C217" t="str">
        <f>Procurement_Raw!C217</f>
        <v>Wrexham Care &amp; Education Centre</v>
      </c>
      <c r="D217" t="str">
        <f>Procurement_Raw!D217</f>
        <v>Wales</v>
      </c>
      <c r="E217" t="str">
        <f>IF(TRIM(Procurement_Raw!E217)="","",IFERROR(INDEX(Supplier_Lookup!$A$2:$A$25,MATCH(TRIM(Procurement_Raw!E217),Supplier_Lookup!$A$2:$A$25,0)),TRIM(Procurement_Raw!E217)))</f>
        <v>ClinEquip</v>
      </c>
      <c r="F217" t="str">
        <f>IFERROR(INDEX(Category_Targets!$A$2:$A$9,MATCH(TRIM(Procurement_Raw!F217),Category_Targets!$A$2:$A$9,0)),"Unmapped")</f>
        <v>Medical Supplies</v>
      </c>
      <c r="G217" t="str">
        <f>TRIM(Procurement_Raw!G217)</f>
        <v>INV-2025-00216</v>
      </c>
      <c r="H217" s="77">
        <f>Procurement_Raw!H217</f>
        <v>35</v>
      </c>
      <c r="I217" s="124">
        <f>Procurement_Raw!I217</f>
        <v>182.17</v>
      </c>
      <c r="J217" s="125">
        <f>IF(Procurement_Raw!J217="","",Procurement_Raw!J217)</f>
        <v>6375.85</v>
      </c>
      <c r="K217" s="77">
        <f>Procurement_Raw!K217</f>
        <v>30</v>
      </c>
      <c r="L217" t="str">
        <f>Procurement_Raw!L217</f>
        <v>ERP</v>
      </c>
      <c r="M217" t="str">
        <f>Procurement_Raw!O217</f>
        <v>N</v>
      </c>
      <c r="N217" t="str">
        <f>IF(E217="","Missing supplier",IF(B217="","Missing site",IF(J217="","Missing spend",IF(COUNTIFS($G$2:G217,G217,$E$2:E217,E217,$J$2:J217,J217)&gt;1,"Duplicate invoice",IF(COUNTIF($G$2:$G$1801,G217)&gt;1,"Duplicate ID - review",IF(AND(P217&lt;&gt;"Unmapped",P217&lt;&gt;F217),"Category mismatch","OK"))))))</f>
        <v>OK</v>
      </c>
      <c r="O217" s="125">
        <f t="shared" si="9"/>
        <v>6375.85</v>
      </c>
      <c r="P217" t="str">
        <f>IF(E217="","Unmapped",IFERROR(INDEX(Supplier_Lookup!$B$2:$B$25,MATCH(E217,Supplier_Lookup!$A$2:$A$25,0)),"Unmapped"))</f>
        <v>Medical Supplies</v>
      </c>
      <c r="Q217" s="76">
        <f>IFERROR(INDEX(Category_Targets!$B$2:$B$9,MATCH(F217,Category_Targets!$A$2:$A$9,0)),0)</f>
        <v>0.06</v>
      </c>
      <c r="R217" s="125">
        <f t="shared" si="10"/>
        <v>382.55099999999999</v>
      </c>
      <c r="S217" s="78">
        <f t="shared" si="11"/>
        <v>45992</v>
      </c>
      <c r="T217" t="str">
        <f>IFERROR(VLOOKUP(B217,Sites!$A$2:$D$21,4,FALSE()),"Unknown")</f>
        <v>Wrexham</v>
      </c>
      <c r="U217" t="str">
        <f>IF(N217="OK","",COUNTIF($N$2:N217,"&lt;&gt;OK"))</f>
        <v/>
      </c>
      <c r="V217">
        <f>IF(OR(NOT(EXACT(E217,TRIM(Procurement_Raw!E217))),NOT(EXACT(F217,TRIM(Procurement_Raw!F217)))),1,0)</f>
        <v>0</v>
      </c>
    </row>
    <row r="218" spans="1:22" ht="15" customHeight="1" x14ac:dyDescent="0.25">
      <c r="A218" s="123">
        <f>Procurement_Raw!A218</f>
        <v>45837</v>
      </c>
      <c r="B218" t="str">
        <f>TRIM(Procurement_Raw!B218)</f>
        <v>S018</v>
      </c>
      <c r="C218" t="str">
        <f>Procurement_Raw!C218</f>
        <v>Newport Care &amp; Education Centre</v>
      </c>
      <c r="D218" t="str">
        <f>Procurement_Raw!D218</f>
        <v>Wales</v>
      </c>
      <c r="E218" t="str">
        <f>IF(TRIM(Procurement_Raw!E218)="","",IFERROR(INDEX(Supplier_Lookup!$A$2:$A$25,MATCH(TRIM(Procurement_Raw!E218),Supplier_Lookup!$A$2:$A$25,0)),TRIM(Procurement_Raw!E218)))</f>
        <v>TeleCare IT</v>
      </c>
      <c r="F218" t="str">
        <f>IFERROR(INDEX(Category_Targets!$A$2:$A$9,MATCH(TRIM(Procurement_Raw!F218),Category_Targets!$A$2:$A$9,0)),"Unmapped")</f>
        <v>IT &amp; Telecoms</v>
      </c>
      <c r="G218" t="str">
        <f>TRIM(Procurement_Raw!G218)</f>
        <v>INV-2025-00217</v>
      </c>
      <c r="H218" s="77">
        <f>Procurement_Raw!H218</f>
        <v>1</v>
      </c>
      <c r="I218" s="124">
        <f>Procurement_Raw!I218</f>
        <v>143.82</v>
      </c>
      <c r="J218" s="125">
        <f>IF(Procurement_Raw!J218="","",Procurement_Raw!J218)</f>
        <v>143.82</v>
      </c>
      <c r="K218" s="77">
        <f>Procurement_Raw!K218</f>
        <v>30</v>
      </c>
      <c r="L218" t="str">
        <f>Procurement_Raw!L218</f>
        <v>ERP</v>
      </c>
      <c r="M218" t="str">
        <f>Procurement_Raw!O218</f>
        <v>N</v>
      </c>
      <c r="N218" t="str">
        <f>IF(E218="","Missing supplier",IF(B218="","Missing site",IF(J218="","Missing spend",IF(COUNTIFS($G$2:G218,G218,$E$2:E218,E218,$J$2:J218,J218)&gt;1,"Duplicate invoice",IF(COUNTIF($G$2:$G$1801,G218)&gt;1,"Duplicate ID - review",IF(AND(P218&lt;&gt;"Unmapped",P218&lt;&gt;F218),"Category mismatch","OK"))))))</f>
        <v>OK</v>
      </c>
      <c r="O218" s="125">
        <f t="shared" si="9"/>
        <v>143.82</v>
      </c>
      <c r="P218" t="str">
        <f>IF(E218="","Unmapped",IFERROR(INDEX(Supplier_Lookup!$B$2:$B$25,MATCH(E218,Supplier_Lookup!$A$2:$A$25,0)),"Unmapped"))</f>
        <v>IT &amp; Telecoms</v>
      </c>
      <c r="Q218" s="76">
        <f>IFERROR(INDEX(Category_Targets!$B$2:$B$9,MATCH(F218,Category_Targets!$A$2:$A$9,0)),0)</f>
        <v>0.08</v>
      </c>
      <c r="R218" s="125">
        <f t="shared" si="10"/>
        <v>11.505599999999999</v>
      </c>
      <c r="S218" s="78">
        <f t="shared" si="11"/>
        <v>45809</v>
      </c>
      <c r="T218" t="str">
        <f>IFERROR(VLOOKUP(B218,Sites!$A$2:$D$21,4,FALSE()),"Unknown")</f>
        <v>Newport</v>
      </c>
      <c r="U218" t="str">
        <f>IF(N218="OK","",COUNTIF($N$2:N218,"&lt;&gt;OK"))</f>
        <v/>
      </c>
      <c r="V218">
        <f>IF(OR(NOT(EXACT(E218,TRIM(Procurement_Raw!E218))),NOT(EXACT(F218,TRIM(Procurement_Raw!F218)))),1,0)</f>
        <v>0</v>
      </c>
    </row>
    <row r="219" spans="1:22" ht="15" customHeight="1" x14ac:dyDescent="0.25">
      <c r="A219" s="123">
        <f>Procurement_Raw!A219</f>
        <v>45730</v>
      </c>
      <c r="B219" t="str">
        <f>TRIM(Procurement_Raw!B219)</f>
        <v>S004</v>
      </c>
      <c r="C219" t="str">
        <f>Procurement_Raw!C219</f>
        <v>Newcastle Care &amp; Education Centre</v>
      </c>
      <c r="D219" t="str">
        <f>Procurement_Raw!D219</f>
        <v>North</v>
      </c>
      <c r="E219" t="str">
        <f>IF(TRIM(Procurement_Raw!E219)="","",IFERROR(INDEX(Supplier_Lookup!$A$2:$A$25,MATCH(TRIM(Procurement_Raw!E219),Supplier_Lookup!$A$2:$A$25,0)),TRIM(Procurement_Raw!E219)))</f>
        <v>HealthStaffing</v>
      </c>
      <c r="F219" t="str">
        <f>IFERROR(INDEX(Category_Targets!$A$2:$A$9,MATCH(TRIM(Procurement_Raw!F219),Category_Targets!$A$2:$A$9,0)),"Unmapped")</f>
        <v>Agency Labour</v>
      </c>
      <c r="G219" t="str">
        <f>TRIM(Procurement_Raw!G219)</f>
        <v>INV-2025-00218</v>
      </c>
      <c r="H219" s="77">
        <f>Procurement_Raw!H219</f>
        <v>4</v>
      </c>
      <c r="I219" s="124">
        <f>Procurement_Raw!I219</f>
        <v>263.36</v>
      </c>
      <c r="J219" s="125">
        <f>IF(Procurement_Raw!J219="","",Procurement_Raw!J219)</f>
        <v>1053.45</v>
      </c>
      <c r="K219" s="77">
        <f>Procurement_Raw!K219</f>
        <v>30</v>
      </c>
      <c r="L219" t="str">
        <f>Procurement_Raw!L219</f>
        <v>Legacy Spend File</v>
      </c>
      <c r="M219" t="str">
        <f>Procurement_Raw!O219</f>
        <v>N</v>
      </c>
      <c r="N219" t="str">
        <f>IF(E219="","Missing supplier",IF(B219="","Missing site",IF(J219="","Missing spend",IF(COUNTIFS($G$2:G219,G219,$E$2:E219,E219,$J$2:J219,J219)&gt;1,"Duplicate invoice",IF(COUNTIF($G$2:$G$1801,G219)&gt;1,"Duplicate ID - review",IF(AND(P219&lt;&gt;"Unmapped",P219&lt;&gt;F219),"Category mismatch","OK"))))))</f>
        <v>OK</v>
      </c>
      <c r="O219" s="125">
        <f t="shared" si="9"/>
        <v>1053.45</v>
      </c>
      <c r="P219" t="str">
        <f>IF(E219="","Unmapped",IFERROR(INDEX(Supplier_Lookup!$B$2:$B$25,MATCH(E219,Supplier_Lookup!$A$2:$A$25,0)),"Unmapped"))</f>
        <v>Agency Labour</v>
      </c>
      <c r="Q219" s="76">
        <f>IFERROR(INDEX(Category_Targets!$B$2:$B$9,MATCH(F219,Category_Targets!$A$2:$A$9,0)),0)</f>
        <v>7.0000000000000007E-2</v>
      </c>
      <c r="R219" s="125">
        <f t="shared" si="10"/>
        <v>73.741500000000016</v>
      </c>
      <c r="S219" s="78">
        <f t="shared" si="11"/>
        <v>45717</v>
      </c>
      <c r="T219" t="str">
        <f>IFERROR(VLOOKUP(B219,Sites!$A$2:$D$21,4,FALSE()),"Unknown")</f>
        <v>Newcastle</v>
      </c>
      <c r="U219" t="str">
        <f>IF(N219="OK","",COUNTIF($N$2:N219,"&lt;&gt;OK"))</f>
        <v/>
      </c>
      <c r="V219">
        <f>IF(OR(NOT(EXACT(E219,TRIM(Procurement_Raw!E219))),NOT(EXACT(F219,TRIM(Procurement_Raw!F219)))),1,0)</f>
        <v>0</v>
      </c>
    </row>
    <row r="220" spans="1:22" ht="15" customHeight="1" x14ac:dyDescent="0.25">
      <c r="A220" s="123">
        <f>Procurement_Raw!A220</f>
        <v>45872</v>
      </c>
      <c r="B220" t="str">
        <f>TRIM(Procurement_Raw!B220)</f>
        <v>S002</v>
      </c>
      <c r="C220" t="str">
        <f>Procurement_Raw!C220</f>
        <v>Manchester Care &amp; Education Centre</v>
      </c>
      <c r="D220" t="str">
        <f>Procurement_Raw!D220</f>
        <v>North</v>
      </c>
      <c r="E220" t="str">
        <f>IF(TRIM(Procurement_Raw!E220)="","",IFERROR(INDEX(Supplier_Lookup!$A$2:$A$25,MATCH(TRIM(Procurement_Raw!E220),Supplier_Lookup!$A$2:$A$25,0)),TRIM(Procurement_Raw!E220)))</f>
        <v>WaterGrid</v>
      </c>
      <c r="F220" t="str">
        <f>IFERROR(INDEX(Category_Targets!$A$2:$A$9,MATCH(TRIM(Procurement_Raw!F220),Category_Targets!$A$2:$A$9,0)),"Unmapped")</f>
        <v>Utilities</v>
      </c>
      <c r="G220" t="str">
        <f>TRIM(Procurement_Raw!G220)</f>
        <v>INV-2025-00219</v>
      </c>
      <c r="H220" s="77">
        <f>Procurement_Raw!H220</f>
        <v>59</v>
      </c>
      <c r="I220" s="124">
        <f>Procurement_Raw!I220</f>
        <v>191.43</v>
      </c>
      <c r="J220" s="125">
        <f>IF(Procurement_Raw!J220="","",Procurement_Raw!J220)</f>
        <v>11294.24</v>
      </c>
      <c r="K220" s="77">
        <f>Procurement_Raw!K220</f>
        <v>45</v>
      </c>
      <c r="L220" t="str">
        <f>Procurement_Raw!L220</f>
        <v>ERP</v>
      </c>
      <c r="M220" t="str">
        <f>Procurement_Raw!O220</f>
        <v>N</v>
      </c>
      <c r="N220" t="str">
        <f>IF(E220="","Missing supplier",IF(B220="","Missing site",IF(J220="","Missing spend",IF(COUNTIFS($G$2:G220,G220,$E$2:E220,E220,$J$2:J220,J220)&gt;1,"Duplicate invoice",IF(COUNTIF($G$2:$G$1801,G220)&gt;1,"Duplicate ID - review",IF(AND(P220&lt;&gt;"Unmapped",P220&lt;&gt;F220),"Category mismatch","OK"))))))</f>
        <v>OK</v>
      </c>
      <c r="O220" s="125">
        <f t="shared" si="9"/>
        <v>11294.24</v>
      </c>
      <c r="P220" t="str">
        <f>IF(E220="","Unmapped",IFERROR(INDEX(Supplier_Lookup!$B$2:$B$25,MATCH(E220,Supplier_Lookup!$A$2:$A$25,0)),"Unmapped"))</f>
        <v>Utilities</v>
      </c>
      <c r="Q220" s="76">
        <f>IFERROR(INDEX(Category_Targets!$B$2:$B$9,MATCH(F220,Category_Targets!$A$2:$A$9,0)),0)</f>
        <v>0.03</v>
      </c>
      <c r="R220" s="125">
        <f t="shared" si="10"/>
        <v>338.8272</v>
      </c>
      <c r="S220" s="78">
        <f t="shared" si="11"/>
        <v>45870</v>
      </c>
      <c r="T220" t="str">
        <f>IFERROR(VLOOKUP(B220,Sites!$A$2:$D$21,4,FALSE()),"Unknown")</f>
        <v>Manchester</v>
      </c>
      <c r="U220" t="str">
        <f>IF(N220="OK","",COUNTIF($N$2:N220,"&lt;&gt;OK"))</f>
        <v/>
      </c>
      <c r="V220">
        <f>IF(OR(NOT(EXACT(E220,TRIM(Procurement_Raw!E220))),NOT(EXACT(F220,TRIM(Procurement_Raw!F220)))),1,0)</f>
        <v>0</v>
      </c>
    </row>
    <row r="221" spans="1:22" ht="15" customHeight="1" x14ac:dyDescent="0.25">
      <c r="A221" s="123">
        <f>Procurement_Raw!A221</f>
        <v>45824</v>
      </c>
      <c r="B221" t="str">
        <f>TRIM(Procurement_Raw!B221)</f>
        <v>S018</v>
      </c>
      <c r="C221" t="str">
        <f>Procurement_Raw!C221</f>
        <v>Newport Care &amp; Education Centre</v>
      </c>
      <c r="D221" t="str">
        <f>Procurement_Raw!D221</f>
        <v>Wales</v>
      </c>
      <c r="E221" t="str">
        <f>IF(TRIM(Procurement_Raw!E221)="","",IFERROR(INDEX(Supplier_Lookup!$A$2:$A$25,MATCH(TRIM(Procurement_Raw!E221),Supplier_Lookup!$A$2:$A$25,0)),TRIM(Procurement_Raw!E221)))</f>
        <v>NetServe</v>
      </c>
      <c r="F221" t="str">
        <f>IFERROR(INDEX(Category_Targets!$A$2:$A$9,MATCH(TRIM(Procurement_Raw!F221),Category_Targets!$A$2:$A$9,0)),"Unmapped")</f>
        <v>IT &amp; Telecoms</v>
      </c>
      <c r="G221" t="str">
        <f>TRIM(Procurement_Raw!G221)</f>
        <v>INV-2025-00220</v>
      </c>
      <c r="H221" s="77">
        <f>Procurement_Raw!H221</f>
        <v>73</v>
      </c>
      <c r="I221" s="124">
        <f>Procurement_Raw!I221</f>
        <v>230.13</v>
      </c>
      <c r="J221" s="125">
        <f>IF(Procurement_Raw!J221="","",Procurement_Raw!J221)</f>
        <v>16799.72</v>
      </c>
      <c r="K221" s="77">
        <f>Procurement_Raw!K221</f>
        <v>60</v>
      </c>
      <c r="L221" t="str">
        <f>Procurement_Raw!L221</f>
        <v>ERP</v>
      </c>
      <c r="M221" t="str">
        <f>Procurement_Raw!O221</f>
        <v>N</v>
      </c>
      <c r="N221" t="str">
        <f>IF(E221="","Missing supplier",IF(B221="","Missing site",IF(J221="","Missing spend",IF(COUNTIFS($G$2:G221,G221,$E$2:E221,E221,$J$2:J221,J221)&gt;1,"Duplicate invoice",IF(COUNTIF($G$2:$G$1801,G221)&gt;1,"Duplicate ID - review",IF(AND(P221&lt;&gt;"Unmapped",P221&lt;&gt;F221),"Category mismatch","OK"))))))</f>
        <v>OK</v>
      </c>
      <c r="O221" s="125">
        <f t="shared" si="9"/>
        <v>16799.72</v>
      </c>
      <c r="P221" t="str">
        <f>IF(E221="","Unmapped",IFERROR(INDEX(Supplier_Lookup!$B$2:$B$25,MATCH(E221,Supplier_Lookup!$A$2:$A$25,0)),"Unmapped"))</f>
        <v>IT &amp; Telecoms</v>
      </c>
      <c r="Q221" s="76">
        <f>IFERROR(INDEX(Category_Targets!$B$2:$B$9,MATCH(F221,Category_Targets!$A$2:$A$9,0)),0)</f>
        <v>0.08</v>
      </c>
      <c r="R221" s="125">
        <f t="shared" si="10"/>
        <v>1343.9776000000002</v>
      </c>
      <c r="S221" s="78">
        <f t="shared" si="11"/>
        <v>45809</v>
      </c>
      <c r="T221" t="str">
        <f>IFERROR(VLOOKUP(B221,Sites!$A$2:$D$21,4,FALSE()),"Unknown")</f>
        <v>Newport</v>
      </c>
      <c r="U221" t="str">
        <f>IF(N221="OK","",COUNTIF($N$2:N221,"&lt;&gt;OK"))</f>
        <v/>
      </c>
      <c r="V221">
        <f>IF(OR(NOT(EXACT(E221,TRIM(Procurement_Raw!E221))),NOT(EXACT(F221,TRIM(Procurement_Raw!F221)))),1,0)</f>
        <v>0</v>
      </c>
    </row>
    <row r="222" spans="1:22" ht="15" customHeight="1" x14ac:dyDescent="0.25">
      <c r="A222" s="123">
        <f>Procurement_Raw!A222</f>
        <v>45974</v>
      </c>
      <c r="B222" t="str">
        <f>TRIM(Procurement_Raw!B222)</f>
        <v>S004</v>
      </c>
      <c r="C222" t="str">
        <f>Procurement_Raw!C222</f>
        <v>Newcastle Care &amp; Education Centre</v>
      </c>
      <c r="D222" t="str">
        <f>Procurement_Raw!D222</f>
        <v>North</v>
      </c>
      <c r="E222" t="str">
        <f>IF(TRIM(Procurement_Raw!E222)="","",IFERROR(INDEX(Supplier_Lookup!$A$2:$A$25,MATCH(TRIM(Procurement_Raw!E222),Supplier_Lookup!$A$2:$A$25,0)),TRIM(Procurement_Raw!E222)))</f>
        <v>CleanWorks</v>
      </c>
      <c r="F222" t="str">
        <f>IFERROR(INDEX(Category_Targets!$A$2:$A$9,MATCH(TRIM(Procurement_Raw!F222),Category_Targets!$A$2:$A$9,0)),"Unmapped")</f>
        <v>Facilities</v>
      </c>
      <c r="G222" t="str">
        <f>TRIM(Procurement_Raw!G222)</f>
        <v>INV-2025-00221</v>
      </c>
      <c r="H222" s="77">
        <f>Procurement_Raw!H222</f>
        <v>7</v>
      </c>
      <c r="I222" s="124">
        <f>Procurement_Raw!I222</f>
        <v>642.91999999999996</v>
      </c>
      <c r="J222" s="125">
        <f>IF(Procurement_Raw!J222="","",Procurement_Raw!J222)</f>
        <v>4500.43</v>
      </c>
      <c r="K222" s="77">
        <f>Procurement_Raw!K222</f>
        <v>60</v>
      </c>
      <c r="L222" t="str">
        <f>Procurement_Raw!L222</f>
        <v>ERP</v>
      </c>
      <c r="M222" t="str">
        <f>Procurement_Raw!O222</f>
        <v>Y</v>
      </c>
      <c r="N222" t="str">
        <f>IF(E222="","Missing supplier",IF(B222="","Missing site",IF(J222="","Missing spend",IF(COUNTIFS($G$2:G222,G222,$E$2:E222,E222,$J$2:J222,J222)&gt;1,"Duplicate invoice",IF(COUNTIF($G$2:$G$1801,G222)&gt;1,"Duplicate ID - review",IF(AND(P222&lt;&gt;"Unmapped",P222&lt;&gt;F222),"Category mismatch","OK"))))))</f>
        <v>OK</v>
      </c>
      <c r="O222" s="125">
        <f t="shared" si="9"/>
        <v>4500.43</v>
      </c>
      <c r="P222" t="str">
        <f>IF(E222="","Unmapped",IFERROR(INDEX(Supplier_Lookup!$B$2:$B$25,MATCH(E222,Supplier_Lookup!$A$2:$A$25,0)),"Unmapped"))</f>
        <v>Facilities</v>
      </c>
      <c r="Q222" s="76">
        <f>IFERROR(INDEX(Category_Targets!$B$2:$B$9,MATCH(F222,Category_Targets!$A$2:$A$9,0)),0)</f>
        <v>0.05</v>
      </c>
      <c r="R222" s="125">
        <f t="shared" si="10"/>
        <v>225.02150000000003</v>
      </c>
      <c r="S222" s="78">
        <f t="shared" si="11"/>
        <v>45962</v>
      </c>
      <c r="T222" t="str">
        <f>IFERROR(VLOOKUP(B222,Sites!$A$2:$D$21,4,FALSE()),"Unknown")</f>
        <v>Newcastle</v>
      </c>
      <c r="U222" t="str">
        <f>IF(N222="OK","",COUNTIF($N$2:N222,"&lt;&gt;OK"))</f>
        <v/>
      </c>
      <c r="V222">
        <f>IF(OR(NOT(EXACT(E222,TRIM(Procurement_Raw!E222))),NOT(EXACT(F222,TRIM(Procurement_Raw!F222)))),1,0)</f>
        <v>0</v>
      </c>
    </row>
    <row r="223" spans="1:22" ht="15" customHeight="1" x14ac:dyDescent="0.25">
      <c r="A223" s="123">
        <f>Procurement_Raw!A223</f>
        <v>45875</v>
      </c>
      <c r="B223" t="str">
        <f>TRIM(Procurement_Raw!B223)</f>
        <v>S018</v>
      </c>
      <c r="C223" t="str">
        <f>Procurement_Raw!C223</f>
        <v>Newport Care &amp; Education Centre</v>
      </c>
      <c r="D223" t="str">
        <f>Procurement_Raw!D223</f>
        <v>Wales</v>
      </c>
      <c r="E223" t="str">
        <f>IF(TRIM(Procurement_Raw!E223)="","",IFERROR(INDEX(Supplier_Lookup!$A$2:$A$25,MATCH(TRIM(Procurement_Raw!E223),Supplier_Lookup!$A$2:$A$25,0)),TRIM(Procurement_Raw!E223)))</f>
        <v>PrintCo</v>
      </c>
      <c r="F223" t="str">
        <f>IFERROR(INDEX(Category_Targets!$A$2:$A$9,MATCH(TRIM(Procurement_Raw!F223),Category_Targets!$A$2:$A$9,0)),"Unmapped")</f>
        <v>Office &amp; Training</v>
      </c>
      <c r="G223" t="str">
        <f>TRIM(Procurement_Raw!G223)</f>
        <v>INV-2025-00222</v>
      </c>
      <c r="H223" s="77">
        <f>Procurement_Raw!H223</f>
        <v>63</v>
      </c>
      <c r="I223" s="124">
        <f>Procurement_Raw!I223</f>
        <v>26.86</v>
      </c>
      <c r="J223" s="125">
        <f>IF(Procurement_Raw!J223="","",Procurement_Raw!J223)</f>
        <v>1691.93</v>
      </c>
      <c r="K223" s="77">
        <f>Procurement_Raw!K223</f>
        <v>60</v>
      </c>
      <c r="L223" t="str">
        <f>Procurement_Raw!L223</f>
        <v>Procurement Portal</v>
      </c>
      <c r="M223" t="str">
        <f>Procurement_Raw!O223</f>
        <v>N</v>
      </c>
      <c r="N223" t="str">
        <f>IF(E223="","Missing supplier",IF(B223="","Missing site",IF(J223="","Missing spend",IF(COUNTIFS($G$2:G223,G223,$E$2:E223,E223,$J$2:J223,J223)&gt;1,"Duplicate invoice",IF(COUNTIF($G$2:$G$1801,G223)&gt;1,"Duplicate ID - review",IF(AND(P223&lt;&gt;"Unmapped",P223&lt;&gt;F223),"Category mismatch","OK"))))))</f>
        <v>OK</v>
      </c>
      <c r="O223" s="125">
        <f t="shared" si="9"/>
        <v>1691.93</v>
      </c>
      <c r="P223" t="str">
        <f>IF(E223="","Unmapped",IFERROR(INDEX(Supplier_Lookup!$B$2:$B$25,MATCH(E223,Supplier_Lookup!$A$2:$A$25,0)),"Unmapped"))</f>
        <v>Office &amp; Training</v>
      </c>
      <c r="Q223" s="76">
        <f>IFERROR(INDEX(Category_Targets!$B$2:$B$9,MATCH(F223,Category_Targets!$A$2:$A$9,0)),0)</f>
        <v>0.04</v>
      </c>
      <c r="R223" s="125">
        <f t="shared" si="10"/>
        <v>67.677199999999999</v>
      </c>
      <c r="S223" s="78">
        <f t="shared" si="11"/>
        <v>45870</v>
      </c>
      <c r="T223" t="str">
        <f>IFERROR(VLOOKUP(B223,Sites!$A$2:$D$21,4,FALSE()),"Unknown")</f>
        <v>Newport</v>
      </c>
      <c r="U223" t="str">
        <f>IF(N223="OK","",COUNTIF($N$2:N223,"&lt;&gt;OK"))</f>
        <v/>
      </c>
      <c r="V223">
        <f>IF(OR(NOT(EXACT(E223,TRIM(Procurement_Raw!E223))),NOT(EXACT(F223,TRIM(Procurement_Raw!F223)))),1,0)</f>
        <v>0</v>
      </c>
    </row>
    <row r="224" spans="1:22" ht="15" customHeight="1" x14ac:dyDescent="0.25">
      <c r="A224" s="123">
        <f>Procurement_Raw!A224</f>
        <v>45920</v>
      </c>
      <c r="B224" t="str">
        <f>TRIM(Procurement_Raw!B224)</f>
        <v>S011</v>
      </c>
      <c r="C224" t="str">
        <f>Procurement_Raw!C224</f>
        <v>London Care &amp; Education Centre</v>
      </c>
      <c r="D224" t="str">
        <f>Procurement_Raw!D224</f>
        <v>South</v>
      </c>
      <c r="E224" t="str">
        <f>IF(TRIM(Procurement_Raw!E224)="","",IFERROR(INDEX(Supplier_Lookup!$A$2:$A$25,MATCH(TRIM(Procurement_Raw!E224),Supplier_Lookup!$A$2:$A$25,0)),TRIM(Procurement_Raw!E224)))</f>
        <v>CloudLink</v>
      </c>
      <c r="F224" t="str">
        <f>IFERROR(INDEX(Category_Targets!$A$2:$A$9,MATCH(TRIM(Procurement_Raw!F224),Category_Targets!$A$2:$A$9,0)),"Unmapped")</f>
        <v>IT &amp; Telecoms</v>
      </c>
      <c r="G224" t="str">
        <f>TRIM(Procurement_Raw!G224)</f>
        <v>INV-2025-00223</v>
      </c>
      <c r="H224" s="77">
        <f>Procurement_Raw!H224</f>
        <v>15</v>
      </c>
      <c r="I224" s="124">
        <f>Procurement_Raw!I224</f>
        <v>320.88</v>
      </c>
      <c r="J224" s="125">
        <f>IF(Procurement_Raw!J224="","",Procurement_Raw!J224)</f>
        <v>4813.22</v>
      </c>
      <c r="K224" s="77">
        <f>Procurement_Raw!K224</f>
        <v>45</v>
      </c>
      <c r="L224" t="str">
        <f>Procurement_Raw!L224</f>
        <v>Procurement Portal</v>
      </c>
      <c r="M224" t="str">
        <f>Procurement_Raw!O224</f>
        <v>Y</v>
      </c>
      <c r="N224" t="str">
        <f>IF(E224="","Missing supplier",IF(B224="","Missing site",IF(J224="","Missing spend",IF(COUNTIFS($G$2:G224,G224,$E$2:E224,E224,$J$2:J224,J224)&gt;1,"Duplicate invoice",IF(COUNTIF($G$2:$G$1801,G224)&gt;1,"Duplicate ID - review",IF(AND(P224&lt;&gt;"Unmapped",P224&lt;&gt;F224),"Category mismatch","OK"))))))</f>
        <v>OK</v>
      </c>
      <c r="O224" s="125">
        <f t="shared" si="9"/>
        <v>4813.22</v>
      </c>
      <c r="P224" t="str">
        <f>IF(E224="","Unmapped",IFERROR(INDEX(Supplier_Lookup!$B$2:$B$25,MATCH(E224,Supplier_Lookup!$A$2:$A$25,0)),"Unmapped"))</f>
        <v>IT &amp; Telecoms</v>
      </c>
      <c r="Q224" s="76">
        <f>IFERROR(INDEX(Category_Targets!$B$2:$B$9,MATCH(F224,Category_Targets!$A$2:$A$9,0)),0)</f>
        <v>0.08</v>
      </c>
      <c r="R224" s="125">
        <f t="shared" si="10"/>
        <v>385.05760000000004</v>
      </c>
      <c r="S224" s="78">
        <f t="shared" si="11"/>
        <v>45901</v>
      </c>
      <c r="T224" t="str">
        <f>IFERROR(VLOOKUP(B224,Sites!$A$2:$D$21,4,FALSE()),"Unknown")</f>
        <v>London</v>
      </c>
      <c r="U224" t="str">
        <f>IF(N224="OK","",COUNTIF($N$2:N224,"&lt;&gt;OK"))</f>
        <v/>
      </c>
      <c r="V224">
        <f>IF(OR(NOT(EXACT(E224,TRIM(Procurement_Raw!E224))),NOT(EXACT(F224,TRIM(Procurement_Raw!F224)))),1,0)</f>
        <v>0</v>
      </c>
    </row>
    <row r="225" spans="1:22" ht="15" customHeight="1" x14ac:dyDescent="0.25">
      <c r="A225" s="123">
        <f>Procurement_Raw!A225</f>
        <v>46005</v>
      </c>
      <c r="B225" t="str">
        <f>TRIM(Procurement_Raw!B225)</f>
        <v>S015</v>
      </c>
      <c r="C225" t="str">
        <f>Procurement_Raw!C225</f>
        <v>Brighton Care &amp; Education Centre</v>
      </c>
      <c r="D225" t="str">
        <f>Procurement_Raw!D225</f>
        <v>South</v>
      </c>
      <c r="E225" t="str">
        <f>IF(TRIM(Procurement_Raw!E225)="","",IFERROR(INDEX(Supplier_Lookup!$A$2:$A$25,MATCH(TRIM(Procurement_Raw!E225),Supplier_Lookup!$A$2:$A$25,0)),TRIM(Procurement_Raw!E225)))</f>
        <v>NetServe</v>
      </c>
      <c r="F225" t="str">
        <f>IFERROR(INDEX(Category_Targets!$A$2:$A$9,MATCH(TRIM(Procurement_Raw!F225),Category_Targets!$A$2:$A$9,0)),"Unmapped")</f>
        <v>IT &amp; Telecoms</v>
      </c>
      <c r="G225" t="str">
        <f>TRIM(Procurement_Raw!G225)</f>
        <v>INV-2025-00224</v>
      </c>
      <c r="H225" s="77">
        <f>Procurement_Raw!H225</f>
        <v>76</v>
      </c>
      <c r="I225" s="124">
        <f>Procurement_Raw!I225</f>
        <v>90.62</v>
      </c>
      <c r="J225" s="125">
        <f>IF(Procurement_Raw!J225="","",Procurement_Raw!J225)</f>
        <v>6886.84</v>
      </c>
      <c r="K225" s="77">
        <f>Procurement_Raw!K225</f>
        <v>45</v>
      </c>
      <c r="L225" t="str">
        <f>Procurement_Raw!L225</f>
        <v>Legacy Spend File</v>
      </c>
      <c r="M225" t="str">
        <f>Procurement_Raw!O225</f>
        <v>N</v>
      </c>
      <c r="N225" t="str">
        <f>IF(E225="","Missing supplier",IF(B225="","Missing site",IF(J225="","Missing spend",IF(COUNTIFS($G$2:G225,G225,$E$2:E225,E225,$J$2:J225,J225)&gt;1,"Duplicate invoice",IF(COUNTIF($G$2:$G$1801,G225)&gt;1,"Duplicate ID - review",IF(AND(P225&lt;&gt;"Unmapped",P225&lt;&gt;F225),"Category mismatch","OK"))))))</f>
        <v>OK</v>
      </c>
      <c r="O225" s="125">
        <f t="shared" si="9"/>
        <v>6886.84</v>
      </c>
      <c r="P225" t="str">
        <f>IF(E225="","Unmapped",IFERROR(INDEX(Supplier_Lookup!$B$2:$B$25,MATCH(E225,Supplier_Lookup!$A$2:$A$25,0)),"Unmapped"))</f>
        <v>IT &amp; Telecoms</v>
      </c>
      <c r="Q225" s="76">
        <f>IFERROR(INDEX(Category_Targets!$B$2:$B$9,MATCH(F225,Category_Targets!$A$2:$A$9,0)),0)</f>
        <v>0.08</v>
      </c>
      <c r="R225" s="125">
        <f t="shared" si="10"/>
        <v>550.94720000000007</v>
      </c>
      <c r="S225" s="78">
        <f t="shared" si="11"/>
        <v>45992</v>
      </c>
      <c r="T225" t="str">
        <f>IFERROR(VLOOKUP(B225,Sites!$A$2:$D$21,4,FALSE()),"Unknown")</f>
        <v>Brighton</v>
      </c>
      <c r="U225" t="str">
        <f>IF(N225="OK","",COUNTIF($N$2:N225,"&lt;&gt;OK"))</f>
        <v/>
      </c>
      <c r="V225">
        <f>IF(OR(NOT(EXACT(E225,TRIM(Procurement_Raw!E225))),NOT(EXACT(F225,TRIM(Procurement_Raw!F225)))),1,0)</f>
        <v>0</v>
      </c>
    </row>
    <row r="226" spans="1:22" ht="15" customHeight="1" x14ac:dyDescent="0.25">
      <c r="A226" s="123">
        <f>Procurement_Raw!A226</f>
        <v>45770</v>
      </c>
      <c r="B226" t="str">
        <f>TRIM(Procurement_Raw!B226)</f>
        <v>S012</v>
      </c>
      <c r="C226" t="str">
        <f>Procurement_Raw!C226</f>
        <v>Bristol Care &amp; Education Centre</v>
      </c>
      <c r="D226" t="str">
        <f>Procurement_Raw!D226</f>
        <v>South</v>
      </c>
      <c r="E226" t="str">
        <f>IF(TRIM(Procurement_Raw!E226)="","",IFERROR(INDEX(Supplier_Lookup!$A$2:$A$25,MATCH(TRIM(Procurement_Raw!E226),Supplier_Lookup!$A$2:$A$25,0)),TRIM(Procurement_Raw!E226)))</f>
        <v>CloudLink</v>
      </c>
      <c r="F226" t="str">
        <f>IFERROR(INDEX(Category_Targets!$A$2:$A$9,MATCH(TRIM(Procurement_Raw!F226),Category_Targets!$A$2:$A$9,0)),"Unmapped")</f>
        <v>IT &amp; Telecoms</v>
      </c>
      <c r="G226" t="str">
        <f>TRIM(Procurement_Raw!G226)</f>
        <v>INV-2025-00225</v>
      </c>
      <c r="H226" s="77">
        <f>Procurement_Raw!H226</f>
        <v>51</v>
      </c>
      <c r="I226" s="124">
        <f>Procurement_Raw!I226</f>
        <v>169.71</v>
      </c>
      <c r="J226" s="125">
        <f>IF(Procurement_Raw!J226="","",Procurement_Raw!J226)</f>
        <v>8654.98</v>
      </c>
      <c r="K226" s="77">
        <f>Procurement_Raw!K226</f>
        <v>60</v>
      </c>
      <c r="L226" t="str">
        <f>Procurement_Raw!L226</f>
        <v>ERP</v>
      </c>
      <c r="M226" t="str">
        <f>Procurement_Raw!O226</f>
        <v>Y</v>
      </c>
      <c r="N226" t="str">
        <f>IF(E226="","Missing supplier",IF(B226="","Missing site",IF(J226="","Missing spend",IF(COUNTIFS($G$2:G226,G226,$E$2:E226,E226,$J$2:J226,J226)&gt;1,"Duplicate invoice",IF(COUNTIF($G$2:$G$1801,G226)&gt;1,"Duplicate ID - review",IF(AND(P226&lt;&gt;"Unmapped",P226&lt;&gt;F226),"Category mismatch","OK"))))))</f>
        <v>OK</v>
      </c>
      <c r="O226" s="125">
        <f t="shared" si="9"/>
        <v>8654.98</v>
      </c>
      <c r="P226" t="str">
        <f>IF(E226="","Unmapped",IFERROR(INDEX(Supplier_Lookup!$B$2:$B$25,MATCH(E226,Supplier_Lookup!$A$2:$A$25,0)),"Unmapped"))</f>
        <v>IT &amp; Telecoms</v>
      </c>
      <c r="Q226" s="76">
        <f>IFERROR(INDEX(Category_Targets!$B$2:$B$9,MATCH(F226,Category_Targets!$A$2:$A$9,0)),0)</f>
        <v>0.08</v>
      </c>
      <c r="R226" s="125">
        <f t="shared" si="10"/>
        <v>692.39839999999992</v>
      </c>
      <c r="S226" s="78">
        <f t="shared" si="11"/>
        <v>45748</v>
      </c>
      <c r="T226" t="str">
        <f>IFERROR(VLOOKUP(B226,Sites!$A$2:$D$21,4,FALSE()),"Unknown")</f>
        <v>Bristol</v>
      </c>
      <c r="U226" t="str">
        <f>IF(N226="OK","",COUNTIF($N$2:N226,"&lt;&gt;OK"))</f>
        <v/>
      </c>
      <c r="V226">
        <f>IF(OR(NOT(EXACT(E226,TRIM(Procurement_Raw!E226))),NOT(EXACT(F226,TRIM(Procurement_Raw!F226)))),1,0)</f>
        <v>0</v>
      </c>
    </row>
    <row r="227" spans="1:22" ht="15" customHeight="1" x14ac:dyDescent="0.25">
      <c r="A227" s="123">
        <f>Procurement_Raw!A227</f>
        <v>45766</v>
      </c>
      <c r="B227" t="str">
        <f>TRIM(Procurement_Raw!B227)</f>
        <v>S003</v>
      </c>
      <c r="C227" t="str">
        <f>Procurement_Raw!C227</f>
        <v>Leeds Care &amp; Education Centre</v>
      </c>
      <c r="D227" t="str">
        <f>Procurement_Raw!D227</f>
        <v>North</v>
      </c>
      <c r="E227" t="str">
        <f>IF(TRIM(Procurement_Raw!E227)="","",IFERROR(INDEX(Supplier_Lookup!$A$2:$A$25,MATCH(TRIM(Procurement_Raw!E227),Supplier_Lookup!$A$2:$A$25,0)),TRIM(Procurement_Raw!E227)))</f>
        <v>WaterGrid</v>
      </c>
      <c r="F227" t="str">
        <f>IFERROR(INDEX(Category_Targets!$A$2:$A$9,MATCH(TRIM(Procurement_Raw!F227),Category_Targets!$A$2:$A$9,0)),"Unmapped")</f>
        <v>Utilities</v>
      </c>
      <c r="G227" t="str">
        <f>TRIM(Procurement_Raw!G227)</f>
        <v>INV-2025-00226</v>
      </c>
      <c r="H227" s="77">
        <f>Procurement_Raw!H227</f>
        <v>18</v>
      </c>
      <c r="I227" s="124">
        <f>Procurement_Raw!I227</f>
        <v>455.04</v>
      </c>
      <c r="J227" s="125">
        <f>IF(Procurement_Raw!J227="","",Procurement_Raw!J227)</f>
        <v>8190.71</v>
      </c>
      <c r="K227" s="77">
        <f>Procurement_Raw!K227</f>
        <v>45</v>
      </c>
      <c r="L227" t="str">
        <f>Procurement_Raw!L227</f>
        <v>Procurement Portal</v>
      </c>
      <c r="M227" t="str">
        <f>Procurement_Raw!O227</f>
        <v>N</v>
      </c>
      <c r="N227" t="str">
        <f>IF(E227="","Missing supplier",IF(B227="","Missing site",IF(J227="","Missing spend",IF(COUNTIFS($G$2:G227,G227,$E$2:E227,E227,$J$2:J227,J227)&gt;1,"Duplicate invoice",IF(COUNTIF($G$2:$G$1801,G227)&gt;1,"Duplicate ID - review",IF(AND(P227&lt;&gt;"Unmapped",P227&lt;&gt;F227),"Category mismatch","OK"))))))</f>
        <v>OK</v>
      </c>
      <c r="O227" s="125">
        <f t="shared" si="9"/>
        <v>8190.71</v>
      </c>
      <c r="P227" t="str">
        <f>IF(E227="","Unmapped",IFERROR(INDEX(Supplier_Lookup!$B$2:$B$25,MATCH(E227,Supplier_Lookup!$A$2:$A$25,0)),"Unmapped"))</f>
        <v>Utilities</v>
      </c>
      <c r="Q227" s="76">
        <f>IFERROR(INDEX(Category_Targets!$B$2:$B$9,MATCH(F227,Category_Targets!$A$2:$A$9,0)),0)</f>
        <v>0.03</v>
      </c>
      <c r="R227" s="125">
        <f t="shared" si="10"/>
        <v>245.72129999999999</v>
      </c>
      <c r="S227" s="78">
        <f t="shared" si="11"/>
        <v>45748</v>
      </c>
      <c r="T227" t="str">
        <f>IFERROR(VLOOKUP(B227,Sites!$A$2:$D$21,4,FALSE()),"Unknown")</f>
        <v>Leeds</v>
      </c>
      <c r="U227" t="str">
        <f>IF(N227="OK","",COUNTIF($N$2:N227,"&lt;&gt;OK"))</f>
        <v/>
      </c>
      <c r="V227">
        <f>IF(OR(NOT(EXACT(E227,TRIM(Procurement_Raw!E227))),NOT(EXACT(F227,TRIM(Procurement_Raw!F227)))),1,0)</f>
        <v>0</v>
      </c>
    </row>
    <row r="228" spans="1:22" ht="15" customHeight="1" x14ac:dyDescent="0.25">
      <c r="A228" s="123">
        <f>Procurement_Raw!A228</f>
        <v>45912</v>
      </c>
      <c r="B228" t="str">
        <f>TRIM(Procurement_Raw!B228)</f>
        <v>S011</v>
      </c>
      <c r="C228" t="str">
        <f>Procurement_Raw!C228</f>
        <v>London Care &amp; Education Centre</v>
      </c>
      <c r="D228" t="str">
        <f>Procurement_Raw!D228</f>
        <v>South</v>
      </c>
      <c r="E228" t="str">
        <f>IF(TRIM(Procurement_Raw!E228)="","",IFERROR(INDEX(Supplier_Lookup!$A$2:$A$25,MATCH(TRIM(Procurement_Raw!E228),Supplier_Lookup!$A$2:$A$25,0)),TRIM(Procurement_Raw!E228)))</f>
        <v>FreshServe</v>
      </c>
      <c r="F228" t="str">
        <f>IFERROR(INDEX(Category_Targets!$A$2:$A$9,MATCH(TRIM(Procurement_Raw!F228),Category_Targets!$A$2:$A$9,0)),"Unmapped")</f>
        <v>Food &amp; Catering</v>
      </c>
      <c r="G228" t="str">
        <f>TRIM(Procurement_Raw!G228)</f>
        <v>INV-2025-00227</v>
      </c>
      <c r="H228" s="77">
        <f>Procurement_Raw!H228</f>
        <v>56</v>
      </c>
      <c r="I228" s="124">
        <f>Procurement_Raw!I228</f>
        <v>67.34</v>
      </c>
      <c r="J228" s="125">
        <f>IF(Procurement_Raw!J228="","",Procurement_Raw!J228)</f>
        <v>3770.99</v>
      </c>
      <c r="K228" s="77">
        <f>Procurement_Raw!K228</f>
        <v>30</v>
      </c>
      <c r="L228" t="str">
        <f>Procurement_Raw!L228</f>
        <v>ERP</v>
      </c>
      <c r="M228" t="str">
        <f>Procurement_Raw!O228</f>
        <v>Y</v>
      </c>
      <c r="N228" t="str">
        <f>IF(E228="","Missing supplier",IF(B228="","Missing site",IF(J228="","Missing spend",IF(COUNTIFS($G$2:G228,G228,$E$2:E228,E228,$J$2:J228,J228)&gt;1,"Duplicate invoice",IF(COUNTIF($G$2:$G$1801,G228)&gt;1,"Duplicate ID - review",IF(AND(P228&lt;&gt;"Unmapped",P228&lt;&gt;F228),"Category mismatch","OK"))))))</f>
        <v>OK</v>
      </c>
      <c r="O228" s="125">
        <f t="shared" si="9"/>
        <v>3770.99</v>
      </c>
      <c r="P228" t="str">
        <f>IF(E228="","Unmapped",IFERROR(INDEX(Supplier_Lookup!$B$2:$B$25,MATCH(E228,Supplier_Lookup!$A$2:$A$25,0)),"Unmapped"))</f>
        <v>Food &amp; Catering</v>
      </c>
      <c r="Q228" s="76">
        <f>IFERROR(INDEX(Category_Targets!$B$2:$B$9,MATCH(F228,Category_Targets!$A$2:$A$9,0)),0)</f>
        <v>0.04</v>
      </c>
      <c r="R228" s="125">
        <f t="shared" si="10"/>
        <v>150.83959999999999</v>
      </c>
      <c r="S228" s="78">
        <f t="shared" si="11"/>
        <v>45901</v>
      </c>
      <c r="T228" t="str">
        <f>IFERROR(VLOOKUP(B228,Sites!$A$2:$D$21,4,FALSE()),"Unknown")</f>
        <v>London</v>
      </c>
      <c r="U228" t="str">
        <f>IF(N228="OK","",COUNTIF($N$2:N228,"&lt;&gt;OK"))</f>
        <v/>
      </c>
      <c r="V228">
        <f>IF(OR(NOT(EXACT(E228,TRIM(Procurement_Raw!E228))),NOT(EXACT(F228,TRIM(Procurement_Raw!F228)))),1,0)</f>
        <v>0</v>
      </c>
    </row>
    <row r="229" spans="1:22" ht="15" customHeight="1" x14ac:dyDescent="0.25">
      <c r="A229" s="123">
        <f>Procurement_Raw!A229</f>
        <v>45944</v>
      </c>
      <c r="B229" t="str">
        <f>TRIM(Procurement_Raw!B229)</f>
        <v>S008</v>
      </c>
      <c r="C229" t="str">
        <f>Procurement_Raw!C229</f>
        <v>Leicester Care &amp; Education Centre</v>
      </c>
      <c r="D229" t="str">
        <f>Procurement_Raw!D229</f>
        <v>Midlands</v>
      </c>
      <c r="E229" t="str">
        <f>IF(TRIM(Procurement_Raw!E229)="","",IFERROR(INDEX(Supplier_Lookup!$A$2:$A$25,MATCH(TRIM(Procurement_Raw!E229),Supplier_Lookup!$A$2:$A$25,0)),TRIM(Procurement_Raw!E229)))</f>
        <v>PowerDirect</v>
      </c>
      <c r="F229" t="str">
        <f>IFERROR(INDEX(Category_Targets!$A$2:$A$9,MATCH(TRIM(Procurement_Raw!F229),Category_Targets!$A$2:$A$9,0)),"Unmapped")</f>
        <v>Utilities</v>
      </c>
      <c r="G229" t="str">
        <f>TRIM(Procurement_Raw!G229)</f>
        <v>INV-2025-00228</v>
      </c>
      <c r="H229" s="77">
        <f>Procurement_Raw!H229</f>
        <v>46</v>
      </c>
      <c r="I229" s="124">
        <f>Procurement_Raw!I229</f>
        <v>138.19999999999999</v>
      </c>
      <c r="J229" s="125">
        <f>IF(Procurement_Raw!J229="","",Procurement_Raw!J229)</f>
        <v>6357.2</v>
      </c>
      <c r="K229" s="77">
        <f>Procurement_Raw!K229</f>
        <v>30</v>
      </c>
      <c r="L229" t="str">
        <f>Procurement_Raw!L229</f>
        <v>Procurement Portal</v>
      </c>
      <c r="M229" t="str">
        <f>Procurement_Raw!O229</f>
        <v>N</v>
      </c>
      <c r="N229" t="str">
        <f>IF(E229="","Missing supplier",IF(B229="","Missing site",IF(J229="","Missing spend",IF(COUNTIFS($G$2:G229,G229,$E$2:E229,E229,$J$2:J229,J229)&gt;1,"Duplicate invoice",IF(COUNTIF($G$2:$G$1801,G229)&gt;1,"Duplicate ID - review",IF(AND(P229&lt;&gt;"Unmapped",P229&lt;&gt;F229),"Category mismatch","OK"))))))</f>
        <v>OK</v>
      </c>
      <c r="O229" s="125">
        <f t="shared" si="9"/>
        <v>6357.2</v>
      </c>
      <c r="P229" t="str">
        <f>IF(E229="","Unmapped",IFERROR(INDEX(Supplier_Lookup!$B$2:$B$25,MATCH(E229,Supplier_Lookup!$A$2:$A$25,0)),"Unmapped"))</f>
        <v>Utilities</v>
      </c>
      <c r="Q229" s="76">
        <f>IFERROR(INDEX(Category_Targets!$B$2:$B$9,MATCH(F229,Category_Targets!$A$2:$A$9,0)),0)</f>
        <v>0.03</v>
      </c>
      <c r="R229" s="125">
        <f t="shared" si="10"/>
        <v>190.71599999999998</v>
      </c>
      <c r="S229" s="78">
        <f t="shared" si="11"/>
        <v>45931</v>
      </c>
      <c r="T229" t="str">
        <f>IFERROR(VLOOKUP(B229,Sites!$A$2:$D$21,4,FALSE()),"Unknown")</f>
        <v>Leicester</v>
      </c>
      <c r="U229" t="str">
        <f>IF(N229="OK","",COUNTIF($N$2:N229,"&lt;&gt;OK"))</f>
        <v/>
      </c>
      <c r="V229">
        <f>IF(OR(NOT(EXACT(E229,TRIM(Procurement_Raw!E229))),NOT(EXACT(F229,TRIM(Procurement_Raw!F229)))),1,0)</f>
        <v>0</v>
      </c>
    </row>
    <row r="230" spans="1:22" ht="15" customHeight="1" x14ac:dyDescent="0.25">
      <c r="A230" s="123">
        <f>Procurement_Raw!A230</f>
        <v>45667</v>
      </c>
      <c r="B230" t="str">
        <f>TRIM(Procurement_Raw!B230)</f>
        <v>S007</v>
      </c>
      <c r="C230" t="str">
        <f>Procurement_Raw!C230</f>
        <v>Nottingham Care &amp; Education Centre</v>
      </c>
      <c r="D230" t="str">
        <f>Procurement_Raw!D230</f>
        <v>Midlands</v>
      </c>
      <c r="E230" t="str">
        <f>IF(TRIM(Procurement_Raw!E230)="","",IFERROR(INDEX(Supplier_Lookup!$A$2:$A$25,MATCH(TRIM(Procurement_Raw!E230),Supplier_Lookup!$A$2:$A$25,0)),TRIM(Procurement_Raw!E230)))</f>
        <v>CareMed</v>
      </c>
      <c r="F230" t="str">
        <f>IFERROR(INDEX(Category_Targets!$A$2:$A$9,MATCH(TRIM(Procurement_Raw!F230),Category_Targets!$A$2:$A$9,0)),"Unmapped")</f>
        <v>Medical Supplies</v>
      </c>
      <c r="G230" t="str">
        <f>TRIM(Procurement_Raw!G230)</f>
        <v>INV-2025-00229</v>
      </c>
      <c r="H230" s="77">
        <f>Procurement_Raw!H230</f>
        <v>59</v>
      </c>
      <c r="I230" s="124">
        <f>Procurement_Raw!I230</f>
        <v>80.97</v>
      </c>
      <c r="J230" s="125">
        <f>IF(Procurement_Raw!J230="","",Procurement_Raw!J230)</f>
        <v>4777.21</v>
      </c>
      <c r="K230" s="77">
        <f>Procurement_Raw!K230</f>
        <v>30</v>
      </c>
      <c r="L230" t="str">
        <f>Procurement_Raw!L230</f>
        <v>Procurement Portal</v>
      </c>
      <c r="M230" t="str">
        <f>Procurement_Raw!O230</f>
        <v>N</v>
      </c>
      <c r="N230" t="str">
        <f>IF(E230="","Missing supplier",IF(B230="","Missing site",IF(J230="","Missing spend",IF(COUNTIFS($G$2:G230,G230,$E$2:E230,E230,$J$2:J230,J230)&gt;1,"Duplicate invoice",IF(COUNTIF($G$2:$G$1801,G230)&gt;1,"Duplicate ID - review",IF(AND(P230&lt;&gt;"Unmapped",P230&lt;&gt;F230),"Category mismatch","OK"))))))</f>
        <v>OK</v>
      </c>
      <c r="O230" s="125">
        <f t="shared" si="9"/>
        <v>4777.21</v>
      </c>
      <c r="P230" t="str">
        <f>IF(E230="","Unmapped",IFERROR(INDEX(Supplier_Lookup!$B$2:$B$25,MATCH(E230,Supplier_Lookup!$A$2:$A$25,0)),"Unmapped"))</f>
        <v>Medical Supplies</v>
      </c>
      <c r="Q230" s="76">
        <f>IFERROR(INDEX(Category_Targets!$B$2:$B$9,MATCH(F230,Category_Targets!$A$2:$A$9,0)),0)</f>
        <v>0.06</v>
      </c>
      <c r="R230" s="125">
        <f t="shared" si="10"/>
        <v>286.63259999999997</v>
      </c>
      <c r="S230" s="78">
        <f t="shared" si="11"/>
        <v>45658</v>
      </c>
      <c r="T230" t="str">
        <f>IFERROR(VLOOKUP(B230,Sites!$A$2:$D$21,4,FALSE()),"Unknown")</f>
        <v>Nottingham</v>
      </c>
      <c r="U230" t="str">
        <f>IF(N230="OK","",COUNTIF($N$2:N230,"&lt;&gt;OK"))</f>
        <v/>
      </c>
      <c r="V230">
        <f>IF(OR(NOT(EXACT(E230,TRIM(Procurement_Raw!E230))),NOT(EXACT(F230,TRIM(Procurement_Raw!F230)))),1,0)</f>
        <v>0</v>
      </c>
    </row>
    <row r="231" spans="1:22" ht="15" customHeight="1" x14ac:dyDescent="0.25">
      <c r="A231" s="123">
        <f>Procurement_Raw!A231</f>
        <v>45865</v>
      </c>
      <c r="B231" t="str">
        <f>TRIM(Procurement_Raw!B231)</f>
        <v>S005</v>
      </c>
      <c r="C231" t="str">
        <f>Procurement_Raw!C231</f>
        <v>Sheffield Care &amp; Education Centre</v>
      </c>
      <c r="D231" t="str">
        <f>Procurement_Raw!D231</f>
        <v>North</v>
      </c>
      <c r="E231" t="str">
        <f>IF(TRIM(Procurement_Raw!E231)="","",IFERROR(INDEX(Supplier_Lookup!$A$2:$A$25,MATCH(TRIM(Procurement_Raw!E231),Supplier_Lookup!$A$2:$A$25,0)),TRIM(Procurement_Raw!E231)))</f>
        <v>NurseLink</v>
      </c>
      <c r="F231" t="str">
        <f>IFERROR(INDEX(Category_Targets!$A$2:$A$9,MATCH(TRIM(Procurement_Raw!F231),Category_Targets!$A$2:$A$9,0)),"Unmapped")</f>
        <v>Agency Labour</v>
      </c>
      <c r="G231" t="str">
        <f>TRIM(Procurement_Raw!G231)</f>
        <v>INV-2025-00230</v>
      </c>
      <c r="H231" s="77">
        <f>Procurement_Raw!H231</f>
        <v>54</v>
      </c>
      <c r="I231" s="124">
        <f>Procurement_Raw!I231</f>
        <v>435.96</v>
      </c>
      <c r="J231" s="125">
        <f>IF(Procurement_Raw!J231="","",Procurement_Raw!J231)</f>
        <v>23542.09</v>
      </c>
      <c r="K231" s="77">
        <f>Procurement_Raw!K231</f>
        <v>45</v>
      </c>
      <c r="L231" t="str">
        <f>Procurement_Raw!L231</f>
        <v>ERP</v>
      </c>
      <c r="M231" t="str">
        <f>Procurement_Raw!O231</f>
        <v>N</v>
      </c>
      <c r="N231" t="str">
        <f>IF(E231="","Missing supplier",IF(B231="","Missing site",IF(J231="","Missing spend",IF(COUNTIFS($G$2:G231,G231,$E$2:E231,E231,$J$2:J231,J231)&gt;1,"Duplicate invoice",IF(COUNTIF($G$2:$G$1801,G231)&gt;1,"Duplicate ID - review",IF(AND(P231&lt;&gt;"Unmapped",P231&lt;&gt;F231),"Category mismatch","OK"))))))</f>
        <v>OK</v>
      </c>
      <c r="O231" s="125">
        <f t="shared" si="9"/>
        <v>23542.09</v>
      </c>
      <c r="P231" t="str">
        <f>IF(E231="","Unmapped",IFERROR(INDEX(Supplier_Lookup!$B$2:$B$25,MATCH(E231,Supplier_Lookup!$A$2:$A$25,0)),"Unmapped"))</f>
        <v>Agency Labour</v>
      </c>
      <c r="Q231" s="76">
        <f>IFERROR(INDEX(Category_Targets!$B$2:$B$9,MATCH(F231,Category_Targets!$A$2:$A$9,0)),0)</f>
        <v>7.0000000000000007E-2</v>
      </c>
      <c r="R231" s="125">
        <f t="shared" si="10"/>
        <v>1647.9463000000001</v>
      </c>
      <c r="S231" s="78">
        <f t="shared" si="11"/>
        <v>45839</v>
      </c>
      <c r="T231" t="str">
        <f>IFERROR(VLOOKUP(B231,Sites!$A$2:$D$21,4,FALSE()),"Unknown")</f>
        <v>Sheffield</v>
      </c>
      <c r="U231" t="str">
        <f>IF(N231="OK","",COUNTIF($N$2:N231,"&lt;&gt;OK"))</f>
        <v/>
      </c>
      <c r="V231">
        <f>IF(OR(NOT(EXACT(E231,TRIM(Procurement_Raw!E231))),NOT(EXACT(F231,TRIM(Procurement_Raw!F231)))),1,0)</f>
        <v>0</v>
      </c>
    </row>
    <row r="232" spans="1:22" ht="15" customHeight="1" x14ac:dyDescent="0.25">
      <c r="A232" s="123">
        <f>Procurement_Raw!A232</f>
        <v>45745</v>
      </c>
      <c r="B232" t="str">
        <f>TRIM(Procurement_Raw!B232)</f>
        <v>S011</v>
      </c>
      <c r="C232" t="str">
        <f>Procurement_Raw!C232</f>
        <v>London Care &amp; Education Centre</v>
      </c>
      <c r="D232" t="str">
        <f>Procurement_Raw!D232</f>
        <v>South</v>
      </c>
      <c r="E232" t="str">
        <f>IF(TRIM(Procurement_Raw!E232)="","",IFERROR(INDEX(Supplier_Lookup!$A$2:$A$25,MATCH(TRIM(Procurement_Raw!E232),Supplier_Lookup!$A$2:$A$25,0)),TRIM(Procurement_Raw!E232)))</f>
        <v>CareMed</v>
      </c>
      <c r="F232" t="str">
        <f>IFERROR(INDEX(Category_Targets!$A$2:$A$9,MATCH(TRIM(Procurement_Raw!F232),Category_Targets!$A$2:$A$9,0)),"Unmapped")</f>
        <v>Medical Supplies</v>
      </c>
      <c r="G232" t="str">
        <f>TRIM(Procurement_Raw!G232)</f>
        <v>INV-2025-00231</v>
      </c>
      <c r="H232" s="77">
        <f>Procurement_Raw!H232</f>
        <v>80</v>
      </c>
      <c r="I232" s="124">
        <f>Procurement_Raw!I232</f>
        <v>80.3</v>
      </c>
      <c r="J232" s="125">
        <f>IF(Procurement_Raw!J232="","",Procurement_Raw!J232)</f>
        <v>6424.13</v>
      </c>
      <c r="K232" s="77">
        <f>Procurement_Raw!K232</f>
        <v>45</v>
      </c>
      <c r="L232" t="str">
        <f>Procurement_Raw!L232</f>
        <v>Legacy Spend File</v>
      </c>
      <c r="M232" t="str">
        <f>Procurement_Raw!O232</f>
        <v>N</v>
      </c>
      <c r="N232" t="str">
        <f>IF(E232="","Missing supplier",IF(B232="","Missing site",IF(J232="","Missing spend",IF(COUNTIFS($G$2:G232,G232,$E$2:E232,E232,$J$2:J232,J232)&gt;1,"Duplicate invoice",IF(COUNTIF($G$2:$G$1801,G232)&gt;1,"Duplicate ID - review",IF(AND(P232&lt;&gt;"Unmapped",P232&lt;&gt;F232),"Category mismatch","OK"))))))</f>
        <v>OK</v>
      </c>
      <c r="O232" s="125">
        <f t="shared" si="9"/>
        <v>6424.13</v>
      </c>
      <c r="P232" t="str">
        <f>IF(E232="","Unmapped",IFERROR(INDEX(Supplier_Lookup!$B$2:$B$25,MATCH(E232,Supplier_Lookup!$A$2:$A$25,0)),"Unmapped"))</f>
        <v>Medical Supplies</v>
      </c>
      <c r="Q232" s="76">
        <f>IFERROR(INDEX(Category_Targets!$B$2:$B$9,MATCH(F232,Category_Targets!$A$2:$A$9,0)),0)</f>
        <v>0.06</v>
      </c>
      <c r="R232" s="125">
        <f t="shared" si="10"/>
        <v>385.44779999999997</v>
      </c>
      <c r="S232" s="78">
        <f t="shared" si="11"/>
        <v>45717</v>
      </c>
      <c r="T232" t="str">
        <f>IFERROR(VLOOKUP(B232,Sites!$A$2:$D$21,4,FALSE()),"Unknown")</f>
        <v>London</v>
      </c>
      <c r="U232" t="str">
        <f>IF(N232="OK","",COUNTIF($N$2:N232,"&lt;&gt;OK"))</f>
        <v/>
      </c>
      <c r="V232">
        <f>IF(OR(NOT(EXACT(E232,TRIM(Procurement_Raw!E232))),NOT(EXACT(F232,TRIM(Procurement_Raw!F232)))),1,0)</f>
        <v>0</v>
      </c>
    </row>
    <row r="233" spans="1:22" ht="15" customHeight="1" x14ac:dyDescent="0.25">
      <c r="A233" s="123">
        <f>Procurement_Raw!A233</f>
        <v>45712</v>
      </c>
      <c r="B233" t="str">
        <f>TRIM(Procurement_Raw!B233)</f>
        <v>S002</v>
      </c>
      <c r="C233" t="str">
        <f>Procurement_Raw!C233</f>
        <v>Manchester Care &amp; Education Centre</v>
      </c>
      <c r="D233" t="str">
        <f>Procurement_Raw!D233</f>
        <v>North</v>
      </c>
      <c r="E233" t="str">
        <f>IF(TRIM(Procurement_Raw!E233)="","",IFERROR(INDEX(Supplier_Lookup!$A$2:$A$25,MATCH(TRIM(Procurement_Raw!E233),Supplier_Lookup!$A$2:$A$25,0)),TRIM(Procurement_Raw!E233)))</f>
        <v>NourishCo</v>
      </c>
      <c r="F233" t="str">
        <f>IFERROR(INDEX(Category_Targets!$A$2:$A$9,MATCH(TRIM(Procurement_Raw!F233),Category_Targets!$A$2:$A$9,0)),"Unmapped")</f>
        <v>Food &amp; Catering</v>
      </c>
      <c r="G233" t="str">
        <f>TRIM(Procurement_Raw!G233)</f>
        <v>INV-2025-00232</v>
      </c>
      <c r="H233" s="77">
        <f>Procurement_Raw!H233</f>
        <v>32</v>
      </c>
      <c r="I233" s="124">
        <f>Procurement_Raw!I233</f>
        <v>73.22</v>
      </c>
      <c r="J233" s="125">
        <f>IF(Procurement_Raw!J233="","",Procurement_Raw!J233)</f>
        <v>2342.9699999999998</v>
      </c>
      <c r="K233" s="77">
        <f>Procurement_Raw!K233</f>
        <v>45</v>
      </c>
      <c r="L233" t="str">
        <f>Procurement_Raw!L233</f>
        <v>Legacy Spend File</v>
      </c>
      <c r="M233" t="str">
        <f>Procurement_Raw!O233</f>
        <v>N</v>
      </c>
      <c r="N233" t="str">
        <f>IF(E233="","Missing supplier",IF(B233="","Missing site",IF(J233="","Missing spend",IF(COUNTIFS($G$2:G233,G233,$E$2:E233,E233,$J$2:J233,J233)&gt;1,"Duplicate invoice",IF(COUNTIF($G$2:$G$1801,G233)&gt;1,"Duplicate ID - review",IF(AND(P233&lt;&gt;"Unmapped",P233&lt;&gt;F233),"Category mismatch","OK"))))))</f>
        <v>OK</v>
      </c>
      <c r="O233" s="125">
        <f t="shared" si="9"/>
        <v>2342.9699999999998</v>
      </c>
      <c r="P233" t="str">
        <f>IF(E233="","Unmapped",IFERROR(INDEX(Supplier_Lookup!$B$2:$B$25,MATCH(E233,Supplier_Lookup!$A$2:$A$25,0)),"Unmapped"))</f>
        <v>Food &amp; Catering</v>
      </c>
      <c r="Q233" s="76">
        <f>IFERROR(INDEX(Category_Targets!$B$2:$B$9,MATCH(F233,Category_Targets!$A$2:$A$9,0)),0)</f>
        <v>0.04</v>
      </c>
      <c r="R233" s="125">
        <f t="shared" si="10"/>
        <v>93.718799999999987</v>
      </c>
      <c r="S233" s="78">
        <f t="shared" si="11"/>
        <v>45689</v>
      </c>
      <c r="T233" t="str">
        <f>IFERROR(VLOOKUP(B233,Sites!$A$2:$D$21,4,FALSE()),"Unknown")</f>
        <v>Manchester</v>
      </c>
      <c r="U233" t="str">
        <f>IF(N233="OK","",COUNTIF($N$2:N233,"&lt;&gt;OK"))</f>
        <v/>
      </c>
      <c r="V233">
        <f>IF(OR(NOT(EXACT(E233,TRIM(Procurement_Raw!E233))),NOT(EXACT(F233,TRIM(Procurement_Raw!F233)))),1,0)</f>
        <v>0</v>
      </c>
    </row>
    <row r="234" spans="1:22" ht="15" customHeight="1" x14ac:dyDescent="0.25">
      <c r="A234" s="123">
        <f>Procurement_Raw!A234</f>
        <v>45816</v>
      </c>
      <c r="B234" t="str">
        <f>TRIM(Procurement_Raw!B234)</f>
        <v>S016</v>
      </c>
      <c r="C234" t="str">
        <f>Procurement_Raw!C234</f>
        <v>Cardiff Care &amp; Education Centre</v>
      </c>
      <c r="D234" t="str">
        <f>Procurement_Raw!D234</f>
        <v>Wales</v>
      </c>
      <c r="E234" t="str">
        <f>IF(TRIM(Procurement_Raw!E234)="","",IFERROR(INDEX(Supplier_Lookup!$A$2:$A$25,MATCH(TRIM(Procurement_Raw!E234),Supplier_Lookup!$A$2:$A$25,0)),TRIM(Procurement_Raw!E234)))</f>
        <v>NourishCo</v>
      </c>
      <c r="F234" t="str">
        <f>IFERROR(INDEX(Category_Targets!$A$2:$A$9,MATCH(TRIM(Procurement_Raw!F234),Category_Targets!$A$2:$A$9,0)),"Unmapped")</f>
        <v>Food &amp; Catering</v>
      </c>
      <c r="G234" t="str">
        <f>TRIM(Procurement_Raw!G234)</f>
        <v>INV-2025-00233</v>
      </c>
      <c r="H234" s="77">
        <f>Procurement_Raw!H234</f>
        <v>44</v>
      </c>
      <c r="I234" s="124">
        <f>Procurement_Raw!I234</f>
        <v>66.650000000000006</v>
      </c>
      <c r="J234" s="125">
        <f>IF(Procurement_Raw!J234="","",Procurement_Raw!J234)</f>
        <v>2932.59</v>
      </c>
      <c r="K234" s="77">
        <f>Procurement_Raw!K234</f>
        <v>30</v>
      </c>
      <c r="L234" t="str">
        <f>Procurement_Raw!L234</f>
        <v>Procurement Portal</v>
      </c>
      <c r="M234" t="str">
        <f>Procurement_Raw!O234</f>
        <v>N</v>
      </c>
      <c r="N234" t="str">
        <f>IF(E234="","Missing supplier",IF(B234="","Missing site",IF(J234="","Missing spend",IF(COUNTIFS($G$2:G234,G234,$E$2:E234,E234,$J$2:J234,J234)&gt;1,"Duplicate invoice",IF(COUNTIF($G$2:$G$1801,G234)&gt;1,"Duplicate ID - review",IF(AND(P234&lt;&gt;"Unmapped",P234&lt;&gt;F234),"Category mismatch","OK"))))))</f>
        <v>OK</v>
      </c>
      <c r="O234" s="125">
        <f t="shared" si="9"/>
        <v>2932.59</v>
      </c>
      <c r="P234" t="str">
        <f>IF(E234="","Unmapped",IFERROR(INDEX(Supplier_Lookup!$B$2:$B$25,MATCH(E234,Supplier_Lookup!$A$2:$A$25,0)),"Unmapped"))</f>
        <v>Food &amp; Catering</v>
      </c>
      <c r="Q234" s="76">
        <f>IFERROR(INDEX(Category_Targets!$B$2:$B$9,MATCH(F234,Category_Targets!$A$2:$A$9,0)),0)</f>
        <v>0.04</v>
      </c>
      <c r="R234" s="125">
        <f t="shared" si="10"/>
        <v>117.3036</v>
      </c>
      <c r="S234" s="78">
        <f t="shared" si="11"/>
        <v>45809</v>
      </c>
      <c r="T234" t="str">
        <f>IFERROR(VLOOKUP(B234,Sites!$A$2:$D$21,4,FALSE()),"Unknown")</f>
        <v>Cardiff</v>
      </c>
      <c r="U234" t="str">
        <f>IF(N234="OK","",COUNTIF($N$2:N234,"&lt;&gt;OK"))</f>
        <v/>
      </c>
      <c r="V234">
        <f>IF(OR(NOT(EXACT(E234,TRIM(Procurement_Raw!E234))),NOT(EXACT(F234,TRIM(Procurement_Raw!F234)))),1,0)</f>
        <v>0</v>
      </c>
    </row>
    <row r="235" spans="1:22" ht="15" customHeight="1" x14ac:dyDescent="0.25">
      <c r="A235" s="123">
        <f>Procurement_Raw!A235</f>
        <v>45982</v>
      </c>
      <c r="B235" t="str">
        <f>TRIM(Procurement_Raw!B235)</f>
        <v>S011</v>
      </c>
      <c r="C235" t="str">
        <f>Procurement_Raw!C235</f>
        <v>London Care &amp; Education Centre</v>
      </c>
      <c r="D235" t="str">
        <f>Procurement_Raw!D235</f>
        <v>South</v>
      </c>
      <c r="E235" t="str">
        <f>IF(TRIM(Procurement_Raw!E235)="","",IFERROR(INDEX(Supplier_Lookup!$A$2:$A$25,MATCH(TRIM(Procurement_Raw!E235),Supplier_Lookup!$A$2:$A$25,0)),TRIM(Procurement_Raw!E235)))</f>
        <v>KitchenPro</v>
      </c>
      <c r="F235" t="str">
        <f>IFERROR(INDEX(Category_Targets!$A$2:$A$9,MATCH(TRIM(Procurement_Raw!F235),Category_Targets!$A$2:$A$9,0)),"Unmapped")</f>
        <v>Food &amp; Catering</v>
      </c>
      <c r="G235" t="str">
        <f>TRIM(Procurement_Raw!G235)</f>
        <v>INV-2025-00234</v>
      </c>
      <c r="H235" s="77">
        <f>Procurement_Raw!H235</f>
        <v>15</v>
      </c>
      <c r="I235" s="124">
        <f>Procurement_Raw!I235</f>
        <v>45.42</v>
      </c>
      <c r="J235" s="125">
        <f>IF(Procurement_Raw!J235="","",Procurement_Raw!J235)</f>
        <v>681.34</v>
      </c>
      <c r="K235" s="77">
        <f>Procurement_Raw!K235</f>
        <v>60</v>
      </c>
      <c r="L235" t="str">
        <f>Procurement_Raw!L235</f>
        <v>Legacy Spend File</v>
      </c>
      <c r="M235" t="str">
        <f>Procurement_Raw!O235</f>
        <v>N</v>
      </c>
      <c r="N235" t="str">
        <f>IF(E235="","Missing supplier",IF(B235="","Missing site",IF(J235="","Missing spend",IF(COUNTIFS($G$2:G235,G235,$E$2:E235,E235,$J$2:J235,J235)&gt;1,"Duplicate invoice",IF(COUNTIF($G$2:$G$1801,G235)&gt;1,"Duplicate ID - review",IF(AND(P235&lt;&gt;"Unmapped",P235&lt;&gt;F235),"Category mismatch","OK"))))))</f>
        <v>OK</v>
      </c>
      <c r="O235" s="125">
        <f t="shared" si="9"/>
        <v>681.34</v>
      </c>
      <c r="P235" t="str">
        <f>IF(E235="","Unmapped",IFERROR(INDEX(Supplier_Lookup!$B$2:$B$25,MATCH(E235,Supplier_Lookup!$A$2:$A$25,0)),"Unmapped"))</f>
        <v>Food &amp; Catering</v>
      </c>
      <c r="Q235" s="76">
        <f>IFERROR(INDEX(Category_Targets!$B$2:$B$9,MATCH(F235,Category_Targets!$A$2:$A$9,0)),0)</f>
        <v>0.04</v>
      </c>
      <c r="R235" s="125">
        <f t="shared" si="10"/>
        <v>27.253600000000002</v>
      </c>
      <c r="S235" s="78">
        <f t="shared" si="11"/>
        <v>45962</v>
      </c>
      <c r="T235" t="str">
        <f>IFERROR(VLOOKUP(B235,Sites!$A$2:$D$21,4,FALSE()),"Unknown")</f>
        <v>London</v>
      </c>
      <c r="U235" t="str">
        <f>IF(N235="OK","",COUNTIF($N$2:N235,"&lt;&gt;OK"))</f>
        <v/>
      </c>
      <c r="V235">
        <f>IF(OR(NOT(EXACT(E235,TRIM(Procurement_Raw!E235))),NOT(EXACT(F235,TRIM(Procurement_Raw!F235)))),1,0)</f>
        <v>0</v>
      </c>
    </row>
    <row r="236" spans="1:22" ht="15" customHeight="1" x14ac:dyDescent="0.25">
      <c r="A236" s="123">
        <f>Procurement_Raw!A236</f>
        <v>45988</v>
      </c>
      <c r="B236" t="str">
        <f>TRIM(Procurement_Raw!B236)</f>
        <v>S017</v>
      </c>
      <c r="C236" t="str">
        <f>Procurement_Raw!C236</f>
        <v>Swansea Care &amp; Education Centre</v>
      </c>
      <c r="D236" t="str">
        <f>Procurement_Raw!D236</f>
        <v>Wales</v>
      </c>
      <c r="E236" t="str">
        <f>IF(TRIM(Procurement_Raw!E236)="","",IFERROR(INDEX(Supplier_Lookup!$A$2:$A$25,MATCH(TRIM(Procurement_Raw!E236),Supplier_Lookup!$A$2:$A$25,0)),TRIM(Procurement_Raw!E236)))</f>
        <v>RoadReady</v>
      </c>
      <c r="F236" t="str">
        <f>IFERROR(INDEX(Category_Targets!$A$2:$A$9,MATCH(TRIM(Procurement_Raw!F236),Category_Targets!$A$2:$A$9,0)),"Unmapped")</f>
        <v>Vehicle &amp; Fuel</v>
      </c>
      <c r="G236" t="str">
        <f>TRIM(Procurement_Raw!G236)</f>
        <v>INV-2025-00235</v>
      </c>
      <c r="H236" s="77">
        <f>Procurement_Raw!H236</f>
        <v>19</v>
      </c>
      <c r="I236" s="124">
        <f>Procurement_Raw!I236</f>
        <v>308.91000000000003</v>
      </c>
      <c r="J236" s="125">
        <f>IF(Procurement_Raw!J236="","",Procurement_Raw!J236)</f>
        <v>5869.27</v>
      </c>
      <c r="K236" s="77">
        <f>Procurement_Raw!K236</f>
        <v>30</v>
      </c>
      <c r="L236" t="str">
        <f>Procurement_Raw!L236</f>
        <v>ERP</v>
      </c>
      <c r="M236" t="str">
        <f>Procurement_Raw!O236</f>
        <v>N</v>
      </c>
      <c r="N236" t="str">
        <f>IF(E236="","Missing supplier",IF(B236="","Missing site",IF(J236="","Missing spend",IF(COUNTIFS($G$2:G236,G236,$E$2:E236,E236,$J$2:J236,J236)&gt;1,"Duplicate invoice",IF(COUNTIF($G$2:$G$1801,G236)&gt;1,"Duplicate ID - review",IF(AND(P236&lt;&gt;"Unmapped",P236&lt;&gt;F236),"Category mismatch","OK"))))))</f>
        <v>OK</v>
      </c>
      <c r="O236" s="125">
        <f t="shared" si="9"/>
        <v>5869.27</v>
      </c>
      <c r="P236" t="str">
        <f>IF(E236="","Unmapped",IFERROR(INDEX(Supplier_Lookup!$B$2:$B$25,MATCH(E236,Supplier_Lookup!$A$2:$A$25,0)),"Unmapped"))</f>
        <v>Vehicle &amp; Fuel</v>
      </c>
      <c r="Q236" s="76">
        <f>IFERROR(INDEX(Category_Targets!$B$2:$B$9,MATCH(F236,Category_Targets!$A$2:$A$9,0)),0)</f>
        <v>0.05</v>
      </c>
      <c r="R236" s="125">
        <f t="shared" si="10"/>
        <v>293.46350000000001</v>
      </c>
      <c r="S236" s="78">
        <f t="shared" si="11"/>
        <v>45962</v>
      </c>
      <c r="T236" t="str">
        <f>IFERROR(VLOOKUP(B236,Sites!$A$2:$D$21,4,FALSE()),"Unknown")</f>
        <v>Swansea</v>
      </c>
      <c r="U236" t="str">
        <f>IF(N236="OK","",COUNTIF($N$2:N236,"&lt;&gt;OK"))</f>
        <v/>
      </c>
      <c r="V236">
        <f>IF(OR(NOT(EXACT(E236,TRIM(Procurement_Raw!E236))),NOT(EXACT(F236,TRIM(Procurement_Raw!F236)))),1,0)</f>
        <v>0</v>
      </c>
    </row>
    <row r="237" spans="1:22" ht="15" customHeight="1" x14ac:dyDescent="0.25">
      <c r="A237" s="123">
        <f>Procurement_Raw!A237</f>
        <v>45746</v>
      </c>
      <c r="B237" t="str">
        <f>TRIM(Procurement_Raw!B237)</f>
        <v>S007</v>
      </c>
      <c r="C237" t="str">
        <f>Procurement_Raw!C237</f>
        <v>Nottingham Care &amp; Education Centre</v>
      </c>
      <c r="D237" t="str">
        <f>Procurement_Raw!D237</f>
        <v>Midlands</v>
      </c>
      <c r="E237" t="str">
        <f>IF(TRIM(Procurement_Raw!E237)="","",IFERROR(INDEX(Supplier_Lookup!$A$2:$A$25,MATCH(TRIM(Procurement_Raw!E237),Supplier_Lookup!$A$2:$A$25,0)),TRIM(Procurement_Raw!E237)))</f>
        <v>CloudLink</v>
      </c>
      <c r="F237" t="str">
        <f>IFERROR(INDEX(Category_Targets!$A$2:$A$9,MATCH(TRIM(Procurement_Raw!F237),Category_Targets!$A$2:$A$9,0)),"Unmapped")</f>
        <v>IT &amp; Telecoms</v>
      </c>
      <c r="G237" t="str">
        <f>TRIM(Procurement_Raw!G237)</f>
        <v>INV-2025-00236</v>
      </c>
      <c r="H237" s="77">
        <f>Procurement_Raw!H237</f>
        <v>78</v>
      </c>
      <c r="I237" s="124">
        <f>Procurement_Raw!I237</f>
        <v>311.77999999999997</v>
      </c>
      <c r="J237" s="125">
        <f>IF(Procurement_Raw!J237="","",Procurement_Raw!J237)</f>
        <v>24318.48</v>
      </c>
      <c r="K237" s="77">
        <f>Procurement_Raw!K237</f>
        <v>30</v>
      </c>
      <c r="L237" t="str">
        <f>Procurement_Raw!L237</f>
        <v>Legacy Spend File</v>
      </c>
      <c r="M237" t="str">
        <f>Procurement_Raw!O237</f>
        <v>Y</v>
      </c>
      <c r="N237" t="str">
        <f>IF(E237="","Missing supplier",IF(B237="","Missing site",IF(J237="","Missing spend",IF(COUNTIFS($G$2:G237,G237,$E$2:E237,E237,$J$2:J237,J237)&gt;1,"Duplicate invoice",IF(COUNTIF($G$2:$G$1801,G237)&gt;1,"Duplicate ID - review",IF(AND(P237&lt;&gt;"Unmapped",P237&lt;&gt;F237),"Category mismatch","OK"))))))</f>
        <v>OK</v>
      </c>
      <c r="O237" s="125">
        <f t="shared" si="9"/>
        <v>24318.48</v>
      </c>
      <c r="P237" t="str">
        <f>IF(E237="","Unmapped",IFERROR(INDEX(Supplier_Lookup!$B$2:$B$25,MATCH(E237,Supplier_Lookup!$A$2:$A$25,0)),"Unmapped"))</f>
        <v>IT &amp; Telecoms</v>
      </c>
      <c r="Q237" s="76">
        <f>IFERROR(INDEX(Category_Targets!$B$2:$B$9,MATCH(F237,Category_Targets!$A$2:$A$9,0)),0)</f>
        <v>0.08</v>
      </c>
      <c r="R237" s="125">
        <f t="shared" si="10"/>
        <v>1945.4784</v>
      </c>
      <c r="S237" s="78">
        <f t="shared" si="11"/>
        <v>45717</v>
      </c>
      <c r="T237" t="str">
        <f>IFERROR(VLOOKUP(B237,Sites!$A$2:$D$21,4,FALSE()),"Unknown")</f>
        <v>Nottingham</v>
      </c>
      <c r="U237" t="str">
        <f>IF(N237="OK","",COUNTIF($N$2:N237,"&lt;&gt;OK"))</f>
        <v/>
      </c>
      <c r="V237">
        <f>IF(OR(NOT(EXACT(E237,TRIM(Procurement_Raw!E237))),NOT(EXACT(F237,TRIM(Procurement_Raw!F237)))),1,0)</f>
        <v>0</v>
      </c>
    </row>
    <row r="238" spans="1:22" ht="15" customHeight="1" x14ac:dyDescent="0.25">
      <c r="A238" s="123">
        <f>Procurement_Raw!A238</f>
        <v>45910</v>
      </c>
      <c r="B238" t="str">
        <f>TRIM(Procurement_Raw!B238)</f>
        <v>S016</v>
      </c>
      <c r="C238" t="str">
        <f>Procurement_Raw!C238</f>
        <v>Cardiff Care &amp; Education Centre</v>
      </c>
      <c r="D238" t="str">
        <f>Procurement_Raw!D238</f>
        <v>Wales</v>
      </c>
      <c r="E238" t="str">
        <f>IF(TRIM(Procurement_Raw!E238)="","",IFERROR(INDEX(Supplier_Lookup!$A$2:$A$25,MATCH(TRIM(Procurement_Raw!E238),Supplier_Lookup!$A$2:$A$25,0)),TRIM(Procurement_Raw!E238)))</f>
        <v>BuildCare</v>
      </c>
      <c r="F238" t="str">
        <f>IFERROR(INDEX(Category_Targets!$A$2:$A$9,MATCH(TRIM(Procurement_Raw!F238),Category_Targets!$A$2:$A$9,0)),"Unmapped")</f>
        <v>Facilities</v>
      </c>
      <c r="G238" t="str">
        <f>TRIM(Procurement_Raw!G238)</f>
        <v>INV-2025-00237</v>
      </c>
      <c r="H238" s="77">
        <f>Procurement_Raw!H238</f>
        <v>60</v>
      </c>
      <c r="I238" s="124">
        <f>Procurement_Raw!I238</f>
        <v>59.09</v>
      </c>
      <c r="J238" s="125">
        <f>IF(Procurement_Raw!J238="","",Procurement_Raw!J238)</f>
        <v>3545.64</v>
      </c>
      <c r="K238" s="77">
        <f>Procurement_Raw!K238</f>
        <v>60</v>
      </c>
      <c r="L238" t="str">
        <f>Procurement_Raw!L238</f>
        <v>Legacy Spend File</v>
      </c>
      <c r="M238" t="str">
        <f>Procurement_Raw!O238</f>
        <v>N</v>
      </c>
      <c r="N238" t="str">
        <f>IF(E238="","Missing supplier",IF(B238="","Missing site",IF(J238="","Missing spend",IF(COUNTIFS($G$2:G238,G238,$E$2:E238,E238,$J$2:J238,J238)&gt;1,"Duplicate invoice",IF(COUNTIF($G$2:$G$1801,G238)&gt;1,"Duplicate ID - review",IF(AND(P238&lt;&gt;"Unmapped",P238&lt;&gt;F238),"Category mismatch","OK"))))))</f>
        <v>OK</v>
      </c>
      <c r="O238" s="125">
        <f t="shared" si="9"/>
        <v>3545.64</v>
      </c>
      <c r="P238" t="str">
        <f>IF(E238="","Unmapped",IFERROR(INDEX(Supplier_Lookup!$B$2:$B$25,MATCH(E238,Supplier_Lookup!$A$2:$A$25,0)),"Unmapped"))</f>
        <v>Facilities</v>
      </c>
      <c r="Q238" s="76">
        <f>IFERROR(INDEX(Category_Targets!$B$2:$B$9,MATCH(F238,Category_Targets!$A$2:$A$9,0)),0)</f>
        <v>0.05</v>
      </c>
      <c r="R238" s="125">
        <f t="shared" si="10"/>
        <v>177.28200000000001</v>
      </c>
      <c r="S238" s="78">
        <f t="shared" si="11"/>
        <v>45901</v>
      </c>
      <c r="T238" t="str">
        <f>IFERROR(VLOOKUP(B238,Sites!$A$2:$D$21,4,FALSE()),"Unknown")</f>
        <v>Cardiff</v>
      </c>
      <c r="U238" t="str">
        <f>IF(N238="OK","",COUNTIF($N$2:N238,"&lt;&gt;OK"))</f>
        <v/>
      </c>
      <c r="V238">
        <f>IF(OR(NOT(EXACT(E238,TRIM(Procurement_Raw!E238))),NOT(EXACT(F238,TRIM(Procurement_Raw!F238)))),1,0)</f>
        <v>0</v>
      </c>
    </row>
    <row r="239" spans="1:22" ht="15" customHeight="1" x14ac:dyDescent="0.25">
      <c r="A239" s="123">
        <f>Procurement_Raw!A239</f>
        <v>45819</v>
      </c>
      <c r="B239" t="str">
        <f>TRIM(Procurement_Raw!B239)</f>
        <v>S017</v>
      </c>
      <c r="C239" t="str">
        <f>Procurement_Raw!C239</f>
        <v>Swansea Care &amp; Education Centre</v>
      </c>
      <c r="D239" t="str">
        <f>Procurement_Raw!D239</f>
        <v>Wales</v>
      </c>
      <c r="E239" t="str">
        <f>IF(TRIM(Procurement_Raw!E239)="","",IFERROR(INDEX(Supplier_Lookup!$A$2:$A$25,MATCH(TRIM(Procurement_Raw!E239),Supplier_Lookup!$A$2:$A$25,0)),TRIM(Procurement_Raw!E239)))</f>
        <v>AutoCare</v>
      </c>
      <c r="F239" t="str">
        <f>IFERROR(INDEX(Category_Targets!$A$2:$A$9,MATCH(TRIM(Procurement_Raw!F239),Category_Targets!$A$2:$A$9,0)),"Unmapped")</f>
        <v>Vehicle &amp; Fuel</v>
      </c>
      <c r="G239" t="str">
        <f>TRIM(Procurement_Raw!G239)</f>
        <v>INV-2025-00238</v>
      </c>
      <c r="H239" s="77">
        <f>Procurement_Raw!H239</f>
        <v>20</v>
      </c>
      <c r="I239" s="124">
        <f>Procurement_Raw!I239</f>
        <v>105.26</v>
      </c>
      <c r="J239" s="125">
        <f>IF(Procurement_Raw!J239="","",Procurement_Raw!J239)</f>
        <v>2105.19</v>
      </c>
      <c r="K239" s="77">
        <f>Procurement_Raw!K239</f>
        <v>45</v>
      </c>
      <c r="L239" t="str">
        <f>Procurement_Raw!L239</f>
        <v>ERP</v>
      </c>
      <c r="M239" t="str">
        <f>Procurement_Raw!O239</f>
        <v>N</v>
      </c>
      <c r="N239" t="str">
        <f>IF(E239="","Missing supplier",IF(B239="","Missing site",IF(J239="","Missing spend",IF(COUNTIFS($G$2:G239,G239,$E$2:E239,E239,$J$2:J239,J239)&gt;1,"Duplicate invoice",IF(COUNTIF($G$2:$G$1801,G239)&gt;1,"Duplicate ID - review",IF(AND(P239&lt;&gt;"Unmapped",P239&lt;&gt;F239),"Category mismatch","OK"))))))</f>
        <v>OK</v>
      </c>
      <c r="O239" s="125">
        <f t="shared" si="9"/>
        <v>2105.19</v>
      </c>
      <c r="P239" t="str">
        <f>IF(E239="","Unmapped",IFERROR(INDEX(Supplier_Lookup!$B$2:$B$25,MATCH(E239,Supplier_Lookup!$A$2:$A$25,0)),"Unmapped"))</f>
        <v>Vehicle &amp; Fuel</v>
      </c>
      <c r="Q239" s="76">
        <f>IFERROR(INDEX(Category_Targets!$B$2:$B$9,MATCH(F239,Category_Targets!$A$2:$A$9,0)),0)</f>
        <v>0.05</v>
      </c>
      <c r="R239" s="125">
        <f t="shared" si="10"/>
        <v>105.2595</v>
      </c>
      <c r="S239" s="78">
        <f t="shared" si="11"/>
        <v>45809</v>
      </c>
      <c r="T239" t="str">
        <f>IFERROR(VLOOKUP(B239,Sites!$A$2:$D$21,4,FALSE()),"Unknown")</f>
        <v>Swansea</v>
      </c>
      <c r="U239" t="str">
        <f>IF(N239="OK","",COUNTIF($N$2:N239,"&lt;&gt;OK"))</f>
        <v/>
      </c>
      <c r="V239">
        <f>IF(OR(NOT(EXACT(E239,TRIM(Procurement_Raw!E239))),NOT(EXACT(F239,TRIM(Procurement_Raw!F239)))),1,0)</f>
        <v>0</v>
      </c>
    </row>
    <row r="240" spans="1:22" ht="15" customHeight="1" x14ac:dyDescent="0.25">
      <c r="A240" s="123">
        <f>Procurement_Raw!A240</f>
        <v>45813</v>
      </c>
      <c r="B240" t="str">
        <f>TRIM(Procurement_Raw!B240)</f>
        <v>S002</v>
      </c>
      <c r="C240" t="str">
        <f>Procurement_Raw!C240</f>
        <v>Manchester Care &amp; Education Centre</v>
      </c>
      <c r="D240" t="str">
        <f>Procurement_Raw!D240</f>
        <v>North</v>
      </c>
      <c r="E240" t="str">
        <f>IF(TRIM(Procurement_Raw!E240)="","",IFERROR(INDEX(Supplier_Lookup!$A$2:$A$25,MATCH(TRIM(Procurement_Raw!E240),Supplier_Lookup!$A$2:$A$25,0)),TRIM(Procurement_Raw!E240)))</f>
        <v>PrintCo</v>
      </c>
      <c r="F240" t="str">
        <f>IFERROR(INDEX(Category_Targets!$A$2:$A$9,MATCH(TRIM(Procurement_Raw!F240),Category_Targets!$A$2:$A$9,0)),"Unmapped")</f>
        <v>Office &amp; Training</v>
      </c>
      <c r="G240" t="str">
        <f>TRIM(Procurement_Raw!G240)</f>
        <v>INV-2025-00239</v>
      </c>
      <c r="H240" s="77">
        <f>Procurement_Raw!H240</f>
        <v>36</v>
      </c>
      <c r="I240" s="124">
        <f>Procurement_Raw!I240</f>
        <v>52.12</v>
      </c>
      <c r="J240" s="125">
        <f>IF(Procurement_Raw!J240="","",Procurement_Raw!J240)</f>
        <v>1876.24</v>
      </c>
      <c r="K240" s="77">
        <f>Procurement_Raw!K240</f>
        <v>60</v>
      </c>
      <c r="L240" t="str">
        <f>Procurement_Raw!L240</f>
        <v>ERP</v>
      </c>
      <c r="M240" t="str">
        <f>Procurement_Raw!O240</f>
        <v>N</v>
      </c>
      <c r="N240" t="str">
        <f>IF(E240="","Missing supplier",IF(B240="","Missing site",IF(J240="","Missing spend",IF(COUNTIFS($G$2:G240,G240,$E$2:E240,E240,$J$2:J240,J240)&gt;1,"Duplicate invoice",IF(COUNTIF($G$2:$G$1801,G240)&gt;1,"Duplicate ID - review",IF(AND(P240&lt;&gt;"Unmapped",P240&lt;&gt;F240),"Category mismatch","OK"))))))</f>
        <v>OK</v>
      </c>
      <c r="O240" s="125">
        <f t="shared" si="9"/>
        <v>1876.24</v>
      </c>
      <c r="P240" t="str">
        <f>IF(E240="","Unmapped",IFERROR(INDEX(Supplier_Lookup!$B$2:$B$25,MATCH(E240,Supplier_Lookup!$A$2:$A$25,0)),"Unmapped"))</f>
        <v>Office &amp; Training</v>
      </c>
      <c r="Q240" s="76">
        <f>IFERROR(INDEX(Category_Targets!$B$2:$B$9,MATCH(F240,Category_Targets!$A$2:$A$9,0)),0)</f>
        <v>0.04</v>
      </c>
      <c r="R240" s="125">
        <f t="shared" si="10"/>
        <v>75.049599999999998</v>
      </c>
      <c r="S240" s="78">
        <f t="shared" si="11"/>
        <v>45809</v>
      </c>
      <c r="T240" t="str">
        <f>IFERROR(VLOOKUP(B240,Sites!$A$2:$D$21,4,FALSE()),"Unknown")</f>
        <v>Manchester</v>
      </c>
      <c r="U240" t="str">
        <f>IF(N240="OK","",COUNTIF($N$2:N240,"&lt;&gt;OK"))</f>
        <v/>
      </c>
      <c r="V240">
        <f>IF(OR(NOT(EXACT(E240,TRIM(Procurement_Raw!E240))),NOT(EXACT(F240,TRIM(Procurement_Raw!F240)))),1,0)</f>
        <v>0</v>
      </c>
    </row>
    <row r="241" spans="1:22" ht="15" customHeight="1" x14ac:dyDescent="0.25">
      <c r="A241" s="123">
        <f>Procurement_Raw!A241</f>
        <v>45894</v>
      </c>
      <c r="B241" t="str">
        <f>TRIM(Procurement_Raw!B241)</f>
        <v>S003</v>
      </c>
      <c r="C241" t="str">
        <f>Procurement_Raw!C241</f>
        <v>Leeds Care &amp; Education Centre</v>
      </c>
      <c r="D241" t="str">
        <f>Procurement_Raw!D241</f>
        <v>North</v>
      </c>
      <c r="E241" t="str">
        <f>IF(TRIM(Procurement_Raw!E241)="","",IFERROR(INDEX(Supplier_Lookup!$A$2:$A$25,MATCH(TRIM(Procurement_Raw!E241),Supplier_Lookup!$A$2:$A$25,0)),TRIM(Procurement_Raw!E241)))</f>
        <v>NourishCo</v>
      </c>
      <c r="F241" t="str">
        <f>IFERROR(INDEX(Category_Targets!$A$2:$A$9,MATCH(TRIM(Procurement_Raw!F241),Category_Targets!$A$2:$A$9,0)),"Unmapped")</f>
        <v>Food &amp; Catering</v>
      </c>
      <c r="G241" t="str">
        <f>TRIM(Procurement_Raw!G241)</f>
        <v>INV-2025-00240</v>
      </c>
      <c r="H241" s="77">
        <f>Procurement_Raw!H241</f>
        <v>58</v>
      </c>
      <c r="I241" s="124">
        <f>Procurement_Raw!I241</f>
        <v>103.88</v>
      </c>
      <c r="J241" s="125">
        <f>IF(Procurement_Raw!J241="","",Procurement_Raw!J241)</f>
        <v>6024.98</v>
      </c>
      <c r="K241" s="77">
        <f>Procurement_Raw!K241</f>
        <v>30</v>
      </c>
      <c r="L241" t="str">
        <f>Procurement_Raw!L241</f>
        <v>ERP</v>
      </c>
      <c r="M241" t="str">
        <f>Procurement_Raw!O241</f>
        <v>N</v>
      </c>
      <c r="N241" t="str">
        <f>IF(E241="","Missing supplier",IF(B241="","Missing site",IF(J241="","Missing spend",IF(COUNTIFS($G$2:G241,G241,$E$2:E241,E241,$J$2:J241,J241)&gt;1,"Duplicate invoice",IF(COUNTIF($G$2:$G$1801,G241)&gt;1,"Duplicate ID - review",IF(AND(P241&lt;&gt;"Unmapped",P241&lt;&gt;F241),"Category mismatch","OK"))))))</f>
        <v>OK</v>
      </c>
      <c r="O241" s="125">
        <f t="shared" si="9"/>
        <v>6024.98</v>
      </c>
      <c r="P241" t="str">
        <f>IF(E241="","Unmapped",IFERROR(INDEX(Supplier_Lookup!$B$2:$B$25,MATCH(E241,Supplier_Lookup!$A$2:$A$25,0)),"Unmapped"))</f>
        <v>Food &amp; Catering</v>
      </c>
      <c r="Q241" s="76">
        <f>IFERROR(INDEX(Category_Targets!$B$2:$B$9,MATCH(F241,Category_Targets!$A$2:$A$9,0)),0)</f>
        <v>0.04</v>
      </c>
      <c r="R241" s="125">
        <f t="shared" si="10"/>
        <v>240.99919999999997</v>
      </c>
      <c r="S241" s="78">
        <f t="shared" si="11"/>
        <v>45870</v>
      </c>
      <c r="T241" t="str">
        <f>IFERROR(VLOOKUP(B241,Sites!$A$2:$D$21,4,FALSE()),"Unknown")</f>
        <v>Leeds</v>
      </c>
      <c r="U241" t="str">
        <f>IF(N241="OK","",COUNTIF($N$2:N241,"&lt;&gt;OK"))</f>
        <v/>
      </c>
      <c r="V241">
        <f>IF(OR(NOT(EXACT(E241,TRIM(Procurement_Raw!E241))),NOT(EXACT(F241,TRIM(Procurement_Raw!F241)))),1,0)</f>
        <v>0</v>
      </c>
    </row>
    <row r="242" spans="1:22" ht="15" customHeight="1" x14ac:dyDescent="0.25">
      <c r="A242" s="123">
        <f>Procurement_Raw!A242</f>
        <v>45988</v>
      </c>
      <c r="B242" t="str">
        <f>TRIM(Procurement_Raw!B242)</f>
        <v>S016</v>
      </c>
      <c r="C242" t="str">
        <f>Procurement_Raw!C242</f>
        <v>Cardiff Care &amp; Education Centre</v>
      </c>
      <c r="D242" t="str">
        <f>Procurement_Raw!D242</f>
        <v>Wales</v>
      </c>
      <c r="E242" t="str">
        <f>IF(TRIM(Procurement_Raw!E242)="","",IFERROR(INDEX(Supplier_Lookup!$A$2:$A$25,MATCH(TRIM(Procurement_Raw!E242),Supplier_Lookup!$A$2:$A$25,0)),TRIM(Procurement_Raw!E242)))</f>
        <v>CloudLink</v>
      </c>
      <c r="F242" t="str">
        <f>IFERROR(INDEX(Category_Targets!$A$2:$A$9,MATCH(TRIM(Procurement_Raw!F242),Category_Targets!$A$2:$A$9,0)),"Unmapped")</f>
        <v>IT &amp; Telecoms</v>
      </c>
      <c r="G242" t="str">
        <f>TRIM(Procurement_Raw!G242)</f>
        <v>INV-2025-00241</v>
      </c>
      <c r="H242" s="77">
        <f>Procurement_Raw!H242</f>
        <v>12</v>
      </c>
      <c r="I242" s="124">
        <f>Procurement_Raw!I242</f>
        <v>142.27000000000001</v>
      </c>
      <c r="J242" s="125">
        <f>IF(Procurement_Raw!J242="","",Procurement_Raw!J242)</f>
        <v>1707.26</v>
      </c>
      <c r="K242" s="77">
        <f>Procurement_Raw!K242</f>
        <v>60</v>
      </c>
      <c r="L242" t="str">
        <f>Procurement_Raw!L242</f>
        <v>Legacy Spend File</v>
      </c>
      <c r="M242" t="str">
        <f>Procurement_Raw!O242</f>
        <v>Y</v>
      </c>
      <c r="N242" t="str">
        <f>IF(E242="","Missing supplier",IF(B242="","Missing site",IF(J242="","Missing spend",IF(COUNTIFS($G$2:G242,G242,$E$2:E242,E242,$J$2:J242,J242)&gt;1,"Duplicate invoice",IF(COUNTIF($G$2:$G$1801,G242)&gt;1,"Duplicate ID - review",IF(AND(P242&lt;&gt;"Unmapped",P242&lt;&gt;F242),"Category mismatch","OK"))))))</f>
        <v>OK</v>
      </c>
      <c r="O242" s="125">
        <f t="shared" si="9"/>
        <v>1707.26</v>
      </c>
      <c r="P242" t="str">
        <f>IF(E242="","Unmapped",IFERROR(INDEX(Supplier_Lookup!$B$2:$B$25,MATCH(E242,Supplier_Lookup!$A$2:$A$25,0)),"Unmapped"))</f>
        <v>IT &amp; Telecoms</v>
      </c>
      <c r="Q242" s="76">
        <f>IFERROR(INDEX(Category_Targets!$B$2:$B$9,MATCH(F242,Category_Targets!$A$2:$A$9,0)),0)</f>
        <v>0.08</v>
      </c>
      <c r="R242" s="125">
        <f t="shared" si="10"/>
        <v>136.58080000000001</v>
      </c>
      <c r="S242" s="78">
        <f t="shared" si="11"/>
        <v>45962</v>
      </c>
      <c r="T242" t="str">
        <f>IFERROR(VLOOKUP(B242,Sites!$A$2:$D$21,4,FALSE()),"Unknown")</f>
        <v>Cardiff</v>
      </c>
      <c r="U242" t="str">
        <f>IF(N242="OK","",COUNTIF($N$2:N242,"&lt;&gt;OK"))</f>
        <v/>
      </c>
      <c r="V242">
        <f>IF(OR(NOT(EXACT(E242,TRIM(Procurement_Raw!E242))),NOT(EXACT(F242,TRIM(Procurement_Raw!F242)))),1,0)</f>
        <v>0</v>
      </c>
    </row>
    <row r="243" spans="1:22" ht="15" customHeight="1" x14ac:dyDescent="0.25">
      <c r="A243" s="123">
        <f>Procurement_Raw!A243</f>
        <v>45955</v>
      </c>
      <c r="B243" t="str">
        <f>TRIM(Procurement_Raw!B243)</f>
        <v>S006</v>
      </c>
      <c r="C243" t="str">
        <f>Procurement_Raw!C243</f>
        <v>Birmingham Care &amp; Education Centre</v>
      </c>
      <c r="D243" t="str">
        <f>Procurement_Raw!D243</f>
        <v>Midlands</v>
      </c>
      <c r="E243" t="str">
        <f>IF(TRIM(Procurement_Raw!E243)="","",IFERROR(INDEX(Supplier_Lookup!$A$2:$A$25,MATCH(TRIM(Procurement_Raw!E243),Supplier_Lookup!$A$2:$A$25,0)),TRIM(Procurement_Raw!E243)))</f>
        <v>CareTemps</v>
      </c>
      <c r="F243" t="str">
        <f>IFERROR(INDEX(Category_Targets!$A$2:$A$9,MATCH(TRIM(Procurement_Raw!F243),Category_Targets!$A$2:$A$9,0)),"Unmapped")</f>
        <v>Agency Labour</v>
      </c>
      <c r="G243" t="str">
        <f>TRIM(Procurement_Raw!G243)</f>
        <v>INV-2025-00242</v>
      </c>
      <c r="H243" s="77">
        <f>Procurement_Raw!H243</f>
        <v>71</v>
      </c>
      <c r="I243" s="124">
        <f>Procurement_Raw!I243</f>
        <v>281.64999999999998</v>
      </c>
      <c r="J243" s="125">
        <f>IF(Procurement_Raw!J243="","",Procurement_Raw!J243)</f>
        <v>19997.400000000001</v>
      </c>
      <c r="K243" s="77">
        <f>Procurement_Raw!K243</f>
        <v>60</v>
      </c>
      <c r="L243" t="str">
        <f>Procurement_Raw!L243</f>
        <v>ERP</v>
      </c>
      <c r="M243" t="str">
        <f>Procurement_Raw!O243</f>
        <v>N</v>
      </c>
      <c r="N243" t="str">
        <f>IF(E243="","Missing supplier",IF(B243="","Missing site",IF(J243="","Missing spend",IF(COUNTIFS($G$2:G243,G243,$E$2:E243,E243,$J$2:J243,J243)&gt;1,"Duplicate invoice",IF(COUNTIF($G$2:$G$1801,G243)&gt;1,"Duplicate ID - review",IF(AND(P243&lt;&gt;"Unmapped",P243&lt;&gt;F243),"Category mismatch","OK"))))))</f>
        <v>OK</v>
      </c>
      <c r="O243" s="125">
        <f t="shared" si="9"/>
        <v>19997.400000000001</v>
      </c>
      <c r="P243" t="str">
        <f>IF(E243="","Unmapped",IFERROR(INDEX(Supplier_Lookup!$B$2:$B$25,MATCH(E243,Supplier_Lookup!$A$2:$A$25,0)),"Unmapped"))</f>
        <v>Agency Labour</v>
      </c>
      <c r="Q243" s="76">
        <f>IFERROR(INDEX(Category_Targets!$B$2:$B$9,MATCH(F243,Category_Targets!$A$2:$A$9,0)),0)</f>
        <v>7.0000000000000007E-2</v>
      </c>
      <c r="R243" s="125">
        <f t="shared" si="10"/>
        <v>1399.8180000000002</v>
      </c>
      <c r="S243" s="78">
        <f t="shared" si="11"/>
        <v>45931</v>
      </c>
      <c r="T243" t="str">
        <f>IFERROR(VLOOKUP(B243,Sites!$A$2:$D$21,4,FALSE()),"Unknown")</f>
        <v>Birmingham</v>
      </c>
      <c r="U243" t="str">
        <f>IF(N243="OK","",COUNTIF($N$2:N243,"&lt;&gt;OK"))</f>
        <v/>
      </c>
      <c r="V243">
        <f>IF(OR(NOT(EXACT(E243,TRIM(Procurement_Raw!E243))),NOT(EXACT(F243,TRIM(Procurement_Raw!F243)))),1,0)</f>
        <v>0</v>
      </c>
    </row>
    <row r="244" spans="1:22" ht="15" customHeight="1" x14ac:dyDescent="0.25">
      <c r="A244" s="123">
        <f>Procurement_Raw!A244</f>
        <v>45967</v>
      </c>
      <c r="B244" t="str">
        <f>TRIM(Procurement_Raw!B244)</f>
        <v>S001</v>
      </c>
      <c r="C244" t="str">
        <f>Procurement_Raw!C244</f>
        <v>Preston Care &amp; Education Centre</v>
      </c>
      <c r="D244" t="str">
        <f>Procurement_Raw!D244</f>
        <v>North</v>
      </c>
      <c r="E244" t="str">
        <f>IF(TRIM(Procurement_Raw!E244)="","",IFERROR(INDEX(Supplier_Lookup!$A$2:$A$25,MATCH(TRIM(Procurement_Raw!E244),Supplier_Lookup!$A$2:$A$25,0)),TRIM(Procurement_Raw!E244)))</f>
        <v>WaterGrid</v>
      </c>
      <c r="F244" t="str">
        <f>IFERROR(INDEX(Category_Targets!$A$2:$A$9,MATCH(TRIM(Procurement_Raw!F244),Category_Targets!$A$2:$A$9,0)),"Unmapped")</f>
        <v>Utilities</v>
      </c>
      <c r="G244" t="str">
        <f>TRIM(Procurement_Raw!G244)</f>
        <v>INV-2025-00243</v>
      </c>
      <c r="H244" s="77">
        <f>Procurement_Raw!H244</f>
        <v>61</v>
      </c>
      <c r="I244" s="124">
        <f>Procurement_Raw!I244</f>
        <v>330.04</v>
      </c>
      <c r="J244" s="125">
        <f>IF(Procurement_Raw!J244="","",Procurement_Raw!J244)</f>
        <v>20132.240000000002</v>
      </c>
      <c r="K244" s="77">
        <f>Procurement_Raw!K244</f>
        <v>60</v>
      </c>
      <c r="L244" t="str">
        <f>Procurement_Raw!L244</f>
        <v>ERP</v>
      </c>
      <c r="M244" t="str">
        <f>Procurement_Raw!O244</f>
        <v>N</v>
      </c>
      <c r="N244" t="str">
        <f>IF(E244="","Missing supplier",IF(B244="","Missing site",IF(J244="","Missing spend",IF(COUNTIFS($G$2:G244,G244,$E$2:E244,E244,$J$2:J244,J244)&gt;1,"Duplicate invoice",IF(COUNTIF($G$2:$G$1801,G244)&gt;1,"Duplicate ID - review",IF(AND(P244&lt;&gt;"Unmapped",P244&lt;&gt;F244),"Category mismatch","OK"))))))</f>
        <v>OK</v>
      </c>
      <c r="O244" s="125">
        <f t="shared" si="9"/>
        <v>20132.240000000002</v>
      </c>
      <c r="P244" t="str">
        <f>IF(E244="","Unmapped",IFERROR(INDEX(Supplier_Lookup!$B$2:$B$25,MATCH(E244,Supplier_Lookup!$A$2:$A$25,0)),"Unmapped"))</f>
        <v>Utilities</v>
      </c>
      <c r="Q244" s="76">
        <f>IFERROR(INDEX(Category_Targets!$B$2:$B$9,MATCH(F244,Category_Targets!$A$2:$A$9,0)),0)</f>
        <v>0.03</v>
      </c>
      <c r="R244" s="125">
        <f t="shared" si="10"/>
        <v>603.96720000000005</v>
      </c>
      <c r="S244" s="78">
        <f t="shared" si="11"/>
        <v>45962</v>
      </c>
      <c r="T244" t="str">
        <f>IFERROR(VLOOKUP(B244,Sites!$A$2:$D$21,4,FALSE()),"Unknown")</f>
        <v>Preston</v>
      </c>
      <c r="U244" t="str">
        <f>IF(N244="OK","",COUNTIF($N$2:N244,"&lt;&gt;OK"))</f>
        <v/>
      </c>
      <c r="V244">
        <f>IF(OR(NOT(EXACT(E244,TRIM(Procurement_Raw!E244))),NOT(EXACT(F244,TRIM(Procurement_Raw!F244)))),1,0)</f>
        <v>0</v>
      </c>
    </row>
    <row r="245" spans="1:22" ht="15" customHeight="1" x14ac:dyDescent="0.25">
      <c r="A245" s="123">
        <f>Procurement_Raw!A245</f>
        <v>45833</v>
      </c>
      <c r="B245" t="str">
        <f>TRIM(Procurement_Raw!B245)</f>
        <v>S018</v>
      </c>
      <c r="C245" t="str">
        <f>Procurement_Raw!C245</f>
        <v>Newport Care &amp; Education Centre</v>
      </c>
      <c r="D245" t="str">
        <f>Procurement_Raw!D245</f>
        <v>Wales</v>
      </c>
      <c r="E245" t="str">
        <f>IF(TRIM(Procurement_Raw!E245)="","",IFERROR(INDEX(Supplier_Lookup!$A$2:$A$25,MATCH(TRIM(Procurement_Raw!E245),Supplier_Lookup!$A$2:$A$25,0)),TRIM(Procurement_Raw!E245)))</f>
        <v>OfficePlus</v>
      </c>
      <c r="F245" t="str">
        <f>IFERROR(INDEX(Category_Targets!$A$2:$A$9,MATCH(TRIM(Procurement_Raw!F245),Category_Targets!$A$2:$A$9,0)),"Unmapped")</f>
        <v>Office &amp; Training</v>
      </c>
      <c r="G245" t="str">
        <f>TRIM(Procurement_Raw!G245)</f>
        <v>INV-2025-00244</v>
      </c>
      <c r="H245" s="77">
        <f>Procurement_Raw!H245</f>
        <v>11</v>
      </c>
      <c r="I245" s="124">
        <f>Procurement_Raw!I245</f>
        <v>120.74</v>
      </c>
      <c r="J245" s="125">
        <f>IF(Procurement_Raw!J245="","",Procurement_Raw!J245)</f>
        <v>1328.16</v>
      </c>
      <c r="K245" s="77">
        <f>Procurement_Raw!K245</f>
        <v>60</v>
      </c>
      <c r="L245" t="str">
        <f>Procurement_Raw!L245</f>
        <v>Legacy Spend File</v>
      </c>
      <c r="M245" t="str">
        <f>Procurement_Raw!O245</f>
        <v>N</v>
      </c>
      <c r="N245" t="str">
        <f>IF(E245="","Missing supplier",IF(B245="","Missing site",IF(J245="","Missing spend",IF(COUNTIFS($G$2:G245,G245,$E$2:E245,E245,$J$2:J245,J245)&gt;1,"Duplicate invoice",IF(COUNTIF($G$2:$G$1801,G245)&gt;1,"Duplicate ID - review",IF(AND(P245&lt;&gt;"Unmapped",P245&lt;&gt;F245),"Category mismatch","OK"))))))</f>
        <v>OK</v>
      </c>
      <c r="O245" s="125">
        <f t="shared" si="9"/>
        <v>1328.16</v>
      </c>
      <c r="P245" t="str">
        <f>IF(E245="","Unmapped",IFERROR(INDEX(Supplier_Lookup!$B$2:$B$25,MATCH(E245,Supplier_Lookup!$A$2:$A$25,0)),"Unmapped"))</f>
        <v>Office &amp; Training</v>
      </c>
      <c r="Q245" s="76">
        <f>IFERROR(INDEX(Category_Targets!$B$2:$B$9,MATCH(F245,Category_Targets!$A$2:$A$9,0)),0)</f>
        <v>0.04</v>
      </c>
      <c r="R245" s="125">
        <f t="shared" si="10"/>
        <v>53.126400000000004</v>
      </c>
      <c r="S245" s="78">
        <f t="shared" si="11"/>
        <v>45809</v>
      </c>
      <c r="T245" t="str">
        <f>IFERROR(VLOOKUP(B245,Sites!$A$2:$D$21,4,FALSE()),"Unknown")</f>
        <v>Newport</v>
      </c>
      <c r="U245" t="str">
        <f>IF(N245="OK","",COUNTIF($N$2:N245,"&lt;&gt;OK"))</f>
        <v/>
      </c>
      <c r="V245">
        <f>IF(OR(NOT(EXACT(E245,TRIM(Procurement_Raw!E245))),NOT(EXACT(F245,TRIM(Procurement_Raw!F245)))),1,0)</f>
        <v>0</v>
      </c>
    </row>
    <row r="246" spans="1:22" ht="15" customHeight="1" x14ac:dyDescent="0.25">
      <c r="A246" s="123">
        <f>Procurement_Raw!A246</f>
        <v>46020</v>
      </c>
      <c r="B246" t="str">
        <f>TRIM(Procurement_Raw!B246)</f>
        <v>S018</v>
      </c>
      <c r="C246" t="str">
        <f>Procurement_Raw!C246</f>
        <v>Newport Care &amp; Education Centre</v>
      </c>
      <c r="D246" t="str">
        <f>Procurement_Raw!D246</f>
        <v>Wales</v>
      </c>
      <c r="E246" t="str">
        <f>IF(TRIM(Procurement_Raw!E246)="","",IFERROR(INDEX(Supplier_Lookup!$A$2:$A$25,MATCH(TRIM(Procurement_Raw!E246),Supplier_Lookup!$A$2:$A$25,0)),TRIM(Procurement_Raw!E246)))</f>
        <v>MediSure</v>
      </c>
      <c r="F246" t="str">
        <f>IFERROR(INDEX(Category_Targets!$A$2:$A$9,MATCH(TRIM(Procurement_Raw!F246),Category_Targets!$A$2:$A$9,0)),"Unmapped")</f>
        <v>Medical Supplies</v>
      </c>
      <c r="G246" t="str">
        <f>TRIM(Procurement_Raw!G246)</f>
        <v>INV-2025-00245</v>
      </c>
      <c r="H246" s="77">
        <f>Procurement_Raw!H246</f>
        <v>57</v>
      </c>
      <c r="I246" s="124">
        <f>Procurement_Raw!I246</f>
        <v>62.01</v>
      </c>
      <c r="J246" s="125">
        <f>IF(Procurement_Raw!J246="","",Procurement_Raw!J246)</f>
        <v>3534.69</v>
      </c>
      <c r="K246" s="77">
        <f>Procurement_Raw!K246</f>
        <v>45</v>
      </c>
      <c r="L246" t="str">
        <f>Procurement_Raw!L246</f>
        <v>Legacy Spend File</v>
      </c>
      <c r="M246" t="str">
        <f>Procurement_Raw!O246</f>
        <v>Y</v>
      </c>
      <c r="N246" t="str">
        <f>IF(E246="","Missing supplier",IF(B246="","Missing site",IF(J246="","Missing spend",IF(COUNTIFS($G$2:G246,G246,$E$2:E246,E246,$J$2:J246,J246)&gt;1,"Duplicate invoice",IF(COUNTIF($G$2:$G$1801,G246)&gt;1,"Duplicate ID - review",IF(AND(P246&lt;&gt;"Unmapped",P246&lt;&gt;F246),"Category mismatch","OK"))))))</f>
        <v>OK</v>
      </c>
      <c r="O246" s="125">
        <f t="shared" si="9"/>
        <v>3534.69</v>
      </c>
      <c r="P246" t="str">
        <f>IF(E246="","Unmapped",IFERROR(INDEX(Supplier_Lookup!$B$2:$B$25,MATCH(E246,Supplier_Lookup!$A$2:$A$25,0)),"Unmapped"))</f>
        <v>Medical Supplies</v>
      </c>
      <c r="Q246" s="76">
        <f>IFERROR(INDEX(Category_Targets!$B$2:$B$9,MATCH(F246,Category_Targets!$A$2:$A$9,0)),0)</f>
        <v>0.06</v>
      </c>
      <c r="R246" s="125">
        <f t="shared" si="10"/>
        <v>212.0814</v>
      </c>
      <c r="S246" s="78">
        <f t="shared" si="11"/>
        <v>45992</v>
      </c>
      <c r="T246" t="str">
        <f>IFERROR(VLOOKUP(B246,Sites!$A$2:$D$21,4,FALSE()),"Unknown")</f>
        <v>Newport</v>
      </c>
      <c r="U246" t="str">
        <f>IF(N246="OK","",COUNTIF($N$2:N246,"&lt;&gt;OK"))</f>
        <v/>
      </c>
      <c r="V246">
        <f>IF(OR(NOT(EXACT(E246,TRIM(Procurement_Raw!E246))),NOT(EXACT(F246,TRIM(Procurement_Raw!F246)))),1,0)</f>
        <v>0</v>
      </c>
    </row>
    <row r="247" spans="1:22" ht="15" customHeight="1" x14ac:dyDescent="0.25">
      <c r="A247" s="123">
        <f>Procurement_Raw!A247</f>
        <v>45848</v>
      </c>
      <c r="B247" t="str">
        <f>TRIM(Procurement_Raw!B247)</f>
        <v>S020</v>
      </c>
      <c r="C247" t="str">
        <f>Procurement_Raw!C247</f>
        <v>Bangor Care &amp; Education Centre</v>
      </c>
      <c r="D247" t="str">
        <f>Procurement_Raw!D247</f>
        <v>Wales</v>
      </c>
      <c r="E247" t="str">
        <f>IF(TRIM(Procurement_Raw!E247)="","",IFERROR(INDEX(Supplier_Lookup!$A$2:$A$25,MATCH(TRIM(Procurement_Raw!E247),Supplier_Lookup!$A$2:$A$25,0)),TRIM(Procurement_Raw!E247)))</f>
        <v>SafeGuard FM</v>
      </c>
      <c r="F247" t="str">
        <f>IFERROR(INDEX(Category_Targets!$A$2:$A$9,MATCH(TRIM(Procurement_Raw!F247),Category_Targets!$A$2:$A$9,0)),"Unmapped")</f>
        <v>Facilities</v>
      </c>
      <c r="G247" t="str">
        <f>TRIM(Procurement_Raw!G247)</f>
        <v>INV-2025-00246</v>
      </c>
      <c r="H247" s="77">
        <f>Procurement_Raw!H247</f>
        <v>37</v>
      </c>
      <c r="I247" s="124">
        <f>Procurement_Raw!I247</f>
        <v>149.75</v>
      </c>
      <c r="J247" s="125">
        <f>IF(Procurement_Raw!J247="","",Procurement_Raw!J247)</f>
        <v>5540.83</v>
      </c>
      <c r="K247" s="77">
        <f>Procurement_Raw!K247</f>
        <v>45</v>
      </c>
      <c r="L247" t="str">
        <f>Procurement_Raw!L247</f>
        <v>Procurement Portal</v>
      </c>
      <c r="M247" t="str">
        <f>Procurement_Raw!O247</f>
        <v>N</v>
      </c>
      <c r="N247" t="str">
        <f>IF(E247="","Missing supplier",IF(B247="","Missing site",IF(J247="","Missing spend",IF(COUNTIFS($G$2:G247,G247,$E$2:E247,E247,$J$2:J247,J247)&gt;1,"Duplicate invoice",IF(COUNTIF($G$2:$G$1801,G247)&gt;1,"Duplicate ID - review",IF(AND(P247&lt;&gt;"Unmapped",P247&lt;&gt;F247),"Category mismatch","OK"))))))</f>
        <v>OK</v>
      </c>
      <c r="O247" s="125">
        <f t="shared" si="9"/>
        <v>5540.83</v>
      </c>
      <c r="P247" t="str">
        <f>IF(E247="","Unmapped",IFERROR(INDEX(Supplier_Lookup!$B$2:$B$25,MATCH(E247,Supplier_Lookup!$A$2:$A$25,0)),"Unmapped"))</f>
        <v>Facilities</v>
      </c>
      <c r="Q247" s="76">
        <f>IFERROR(INDEX(Category_Targets!$B$2:$B$9,MATCH(F247,Category_Targets!$A$2:$A$9,0)),0)</f>
        <v>0.05</v>
      </c>
      <c r="R247" s="125">
        <f t="shared" si="10"/>
        <v>277.04149999999998</v>
      </c>
      <c r="S247" s="78">
        <f t="shared" si="11"/>
        <v>45839</v>
      </c>
      <c r="T247" t="str">
        <f>IFERROR(VLOOKUP(B247,Sites!$A$2:$D$21,4,FALSE()),"Unknown")</f>
        <v>Bangor</v>
      </c>
      <c r="U247" t="str">
        <f>IF(N247="OK","",COUNTIF($N$2:N247,"&lt;&gt;OK"))</f>
        <v/>
      </c>
      <c r="V247">
        <f>IF(OR(NOT(EXACT(E247,TRIM(Procurement_Raw!E247))),NOT(EXACT(F247,TRIM(Procurement_Raw!F247)))),1,0)</f>
        <v>0</v>
      </c>
    </row>
    <row r="248" spans="1:22" ht="15" customHeight="1" x14ac:dyDescent="0.25">
      <c r="A248" s="123">
        <f>Procurement_Raw!A248</f>
        <v>45989</v>
      </c>
      <c r="B248" t="str">
        <f>TRIM(Procurement_Raw!B248)</f>
        <v>S013</v>
      </c>
      <c r="C248" t="str">
        <f>Procurement_Raw!C248</f>
        <v>Reading Care &amp; Education Centre</v>
      </c>
      <c r="D248" t="str">
        <f>Procurement_Raw!D248</f>
        <v>South</v>
      </c>
      <c r="E248" t="str">
        <f>IF(TRIM(Procurement_Raw!E248)="","",IFERROR(INDEX(Supplier_Lookup!$A$2:$A$25,MATCH(TRIM(Procurement_Raw!E248),Supplier_Lookup!$A$2:$A$25,0)),TRIM(Procurement_Raw!E248)))</f>
        <v>ClinEquip</v>
      </c>
      <c r="F248" t="str">
        <f>IFERROR(INDEX(Category_Targets!$A$2:$A$9,MATCH(TRIM(Procurement_Raw!F248),Category_Targets!$A$2:$A$9,0)),"Unmapped")</f>
        <v>Medical Supplies</v>
      </c>
      <c r="G248" t="str">
        <f>TRIM(Procurement_Raw!G248)</f>
        <v>INV-2025-00247</v>
      </c>
      <c r="H248" s="77">
        <f>Procurement_Raw!H248</f>
        <v>43</v>
      </c>
      <c r="I248" s="124">
        <f>Procurement_Raw!I248</f>
        <v>92.41</v>
      </c>
      <c r="J248" s="125">
        <f>IF(Procurement_Raw!J248="","",Procurement_Raw!J248)</f>
        <v>3973.78</v>
      </c>
      <c r="K248" s="77">
        <f>Procurement_Raw!K248</f>
        <v>30</v>
      </c>
      <c r="L248" t="str">
        <f>Procurement_Raw!L248</f>
        <v>Procurement Portal</v>
      </c>
      <c r="M248" t="str">
        <f>Procurement_Raw!O248</f>
        <v>N</v>
      </c>
      <c r="N248" t="str">
        <f>IF(E248="","Missing supplier",IF(B248="","Missing site",IF(J248="","Missing spend",IF(COUNTIFS($G$2:G248,G248,$E$2:E248,E248,$J$2:J248,J248)&gt;1,"Duplicate invoice",IF(COUNTIF($G$2:$G$1801,G248)&gt;1,"Duplicate ID - review",IF(AND(P248&lt;&gt;"Unmapped",P248&lt;&gt;F248),"Category mismatch","OK"))))))</f>
        <v>OK</v>
      </c>
      <c r="O248" s="125">
        <f t="shared" si="9"/>
        <v>3973.78</v>
      </c>
      <c r="P248" t="str">
        <f>IF(E248="","Unmapped",IFERROR(INDEX(Supplier_Lookup!$B$2:$B$25,MATCH(E248,Supplier_Lookup!$A$2:$A$25,0)),"Unmapped"))</f>
        <v>Medical Supplies</v>
      </c>
      <c r="Q248" s="76">
        <f>IFERROR(INDEX(Category_Targets!$B$2:$B$9,MATCH(F248,Category_Targets!$A$2:$A$9,0)),0)</f>
        <v>0.06</v>
      </c>
      <c r="R248" s="125">
        <f t="shared" si="10"/>
        <v>238.42680000000001</v>
      </c>
      <c r="S248" s="78">
        <f t="shared" si="11"/>
        <v>45962</v>
      </c>
      <c r="T248" t="str">
        <f>IFERROR(VLOOKUP(B248,Sites!$A$2:$D$21,4,FALSE()),"Unknown")</f>
        <v>Reading</v>
      </c>
      <c r="U248" t="str">
        <f>IF(N248="OK","",COUNTIF($N$2:N248,"&lt;&gt;OK"))</f>
        <v/>
      </c>
      <c r="V248">
        <f>IF(OR(NOT(EXACT(E248,TRIM(Procurement_Raw!E248))),NOT(EXACT(F248,TRIM(Procurement_Raw!F248)))),1,0)</f>
        <v>0</v>
      </c>
    </row>
    <row r="249" spans="1:22" ht="15" customHeight="1" x14ac:dyDescent="0.25">
      <c r="A249" s="123">
        <f>Procurement_Raw!A249</f>
        <v>45787</v>
      </c>
      <c r="B249" t="str">
        <f>TRIM(Procurement_Raw!B249)</f>
        <v>S003</v>
      </c>
      <c r="C249" t="str">
        <f>Procurement_Raw!C249</f>
        <v>Leeds Care &amp; Education Centre</v>
      </c>
      <c r="D249" t="str">
        <f>Procurement_Raw!D249</f>
        <v>North</v>
      </c>
      <c r="E249" t="str">
        <f>IF(TRIM(Procurement_Raw!E249)="","",IFERROR(INDEX(Supplier_Lookup!$A$2:$A$25,MATCH(TRIM(Procurement_Raw!E249),Supplier_Lookup!$A$2:$A$25,0)),TRIM(Procurement_Raw!E249)))</f>
        <v>CareTemps</v>
      </c>
      <c r="F249" t="str">
        <f>IFERROR(INDEX(Category_Targets!$A$2:$A$9,MATCH(TRIM(Procurement_Raw!F249),Category_Targets!$A$2:$A$9,0)),"Unmapped")</f>
        <v>Agency Labour</v>
      </c>
      <c r="G249" t="str">
        <f>TRIM(Procurement_Raw!G249)</f>
        <v>INV-2025-00248</v>
      </c>
      <c r="H249" s="77">
        <f>Procurement_Raw!H249</f>
        <v>78</v>
      </c>
      <c r="I249" s="124">
        <f>Procurement_Raw!I249</f>
        <v>209.44</v>
      </c>
      <c r="J249" s="125">
        <f>IF(Procurement_Raw!J249="","",Procurement_Raw!J249)</f>
        <v>16336.55</v>
      </c>
      <c r="K249" s="77">
        <f>Procurement_Raw!K249</f>
        <v>30</v>
      </c>
      <c r="L249" t="str">
        <f>Procurement_Raw!L249</f>
        <v>Procurement Portal</v>
      </c>
      <c r="M249" t="str">
        <f>Procurement_Raw!O249</f>
        <v>N</v>
      </c>
      <c r="N249" t="str">
        <f>IF(E249="","Missing supplier",IF(B249="","Missing site",IF(J249="","Missing spend",IF(COUNTIFS($G$2:G249,G249,$E$2:E249,E249,$J$2:J249,J249)&gt;1,"Duplicate invoice",IF(COUNTIF($G$2:$G$1801,G249)&gt;1,"Duplicate ID - review",IF(AND(P249&lt;&gt;"Unmapped",P249&lt;&gt;F249),"Category mismatch","OK"))))))</f>
        <v>OK</v>
      </c>
      <c r="O249" s="125">
        <f t="shared" si="9"/>
        <v>16336.55</v>
      </c>
      <c r="P249" t="str">
        <f>IF(E249="","Unmapped",IFERROR(INDEX(Supplier_Lookup!$B$2:$B$25,MATCH(E249,Supplier_Lookup!$A$2:$A$25,0)),"Unmapped"))</f>
        <v>Agency Labour</v>
      </c>
      <c r="Q249" s="76">
        <f>IFERROR(INDEX(Category_Targets!$B$2:$B$9,MATCH(F249,Category_Targets!$A$2:$A$9,0)),0)</f>
        <v>7.0000000000000007E-2</v>
      </c>
      <c r="R249" s="125">
        <f t="shared" si="10"/>
        <v>1143.5585000000001</v>
      </c>
      <c r="S249" s="78">
        <f t="shared" si="11"/>
        <v>45778</v>
      </c>
      <c r="T249" t="str">
        <f>IFERROR(VLOOKUP(B249,Sites!$A$2:$D$21,4,FALSE()),"Unknown")</f>
        <v>Leeds</v>
      </c>
      <c r="U249" t="str">
        <f>IF(N249="OK","",COUNTIF($N$2:N249,"&lt;&gt;OK"))</f>
        <v/>
      </c>
      <c r="V249">
        <f>IF(OR(NOT(EXACT(E249,TRIM(Procurement_Raw!E249))),NOT(EXACT(F249,TRIM(Procurement_Raw!F249)))),1,0)</f>
        <v>0</v>
      </c>
    </row>
    <row r="250" spans="1:22" ht="15" customHeight="1" x14ac:dyDescent="0.25">
      <c r="A250" s="123">
        <f>Procurement_Raw!A250</f>
        <v>45816</v>
      </c>
      <c r="B250" t="str">
        <f>TRIM(Procurement_Raw!B250)</f>
        <v>S017</v>
      </c>
      <c r="C250" t="str">
        <f>Procurement_Raw!C250</f>
        <v>Swansea Care &amp; Education Centre</v>
      </c>
      <c r="D250" t="str">
        <f>Procurement_Raw!D250</f>
        <v>Wales</v>
      </c>
      <c r="E250" t="str">
        <f>IF(TRIM(Procurement_Raw!E250)="","",IFERROR(INDEX(Supplier_Lookup!$A$2:$A$25,MATCH(TRIM(Procurement_Raw!E250),Supplier_Lookup!$A$2:$A$25,0)),TRIM(Procurement_Raw!E250)))</f>
        <v>SafeGuard FM</v>
      </c>
      <c r="F250" t="str">
        <f>IFERROR(INDEX(Category_Targets!$A$2:$A$9,MATCH(TRIM(Procurement_Raw!F250),Category_Targets!$A$2:$A$9,0)),"Unmapped")</f>
        <v>Facilities</v>
      </c>
      <c r="G250" t="str">
        <f>TRIM(Procurement_Raw!G250)</f>
        <v>INV-2025-00249</v>
      </c>
      <c r="H250" s="77">
        <f>Procurement_Raw!H250</f>
        <v>51</v>
      </c>
      <c r="I250" s="124">
        <f>Procurement_Raw!I250</f>
        <v>475.3</v>
      </c>
      <c r="J250" s="125">
        <f>IF(Procurement_Raw!J250="","",Procurement_Raw!J250)</f>
        <v>24240.55</v>
      </c>
      <c r="K250" s="77">
        <f>Procurement_Raw!K250</f>
        <v>30</v>
      </c>
      <c r="L250" t="str">
        <f>Procurement_Raw!L250</f>
        <v>Legacy Spend File</v>
      </c>
      <c r="M250" t="str">
        <f>Procurement_Raw!O250</f>
        <v>N</v>
      </c>
      <c r="N250" t="str">
        <f>IF(E250="","Missing supplier",IF(B250="","Missing site",IF(J250="","Missing spend",IF(COUNTIFS($G$2:G250,G250,$E$2:E250,E250,$J$2:J250,J250)&gt;1,"Duplicate invoice",IF(COUNTIF($G$2:$G$1801,G250)&gt;1,"Duplicate ID - review",IF(AND(P250&lt;&gt;"Unmapped",P250&lt;&gt;F250),"Category mismatch","OK"))))))</f>
        <v>Duplicate ID - review</v>
      </c>
      <c r="O250" s="125">
        <f t="shared" si="9"/>
        <v>24240.55</v>
      </c>
      <c r="P250" t="str">
        <f>IF(E250="","Unmapped",IFERROR(INDEX(Supplier_Lookup!$B$2:$B$25,MATCH(E250,Supplier_Lookup!$A$2:$A$25,0)),"Unmapped"))</f>
        <v>Facilities</v>
      </c>
      <c r="Q250" s="76">
        <f>IFERROR(INDEX(Category_Targets!$B$2:$B$9,MATCH(F250,Category_Targets!$A$2:$A$9,0)),0)</f>
        <v>0.05</v>
      </c>
      <c r="R250" s="125">
        <f t="shared" si="10"/>
        <v>1212.0274999999999</v>
      </c>
      <c r="S250" s="78">
        <f t="shared" si="11"/>
        <v>45809</v>
      </c>
      <c r="T250" t="str">
        <f>IFERROR(VLOOKUP(B250,Sites!$A$2:$D$21,4,FALSE()),"Unknown")</f>
        <v>Swansea</v>
      </c>
      <c r="U250">
        <f>IF(N250="OK","",COUNTIF($N$2:N250,"&lt;&gt;OK"))</f>
        <v>2</v>
      </c>
      <c r="V250">
        <f>IF(OR(NOT(EXACT(E250,TRIM(Procurement_Raw!E250))),NOT(EXACT(F250,TRIM(Procurement_Raw!F250)))),1,0)</f>
        <v>0</v>
      </c>
    </row>
    <row r="251" spans="1:22" ht="15" customHeight="1" x14ac:dyDescent="0.25">
      <c r="A251" s="123">
        <f>Procurement_Raw!A251</f>
        <v>45944</v>
      </c>
      <c r="B251" t="str">
        <f>TRIM(Procurement_Raw!B251)</f>
        <v>S007</v>
      </c>
      <c r="C251" t="str">
        <f>Procurement_Raw!C251</f>
        <v>Nottingham Care &amp; Education Centre</v>
      </c>
      <c r="D251" t="str">
        <f>Procurement_Raw!D251</f>
        <v>Midlands</v>
      </c>
      <c r="E251" t="str">
        <f>IF(TRIM(Procurement_Raw!E251)="","",IFERROR(INDEX(Supplier_Lookup!$A$2:$A$25,MATCH(TRIM(Procurement_Raw!E251),Supplier_Lookup!$A$2:$A$25,0)),TRIM(Procurement_Raw!E251)))</f>
        <v>NourishCo</v>
      </c>
      <c r="F251" t="str">
        <f>IFERROR(INDEX(Category_Targets!$A$2:$A$9,MATCH(TRIM(Procurement_Raw!F251),Category_Targets!$A$2:$A$9,0)),"Unmapped")</f>
        <v>Food &amp; Catering</v>
      </c>
      <c r="G251" t="str">
        <f>TRIM(Procurement_Raw!G251)</f>
        <v>INV-2025-00250</v>
      </c>
      <c r="H251" s="77">
        <f>Procurement_Raw!H251</f>
        <v>49</v>
      </c>
      <c r="I251" s="124">
        <f>Procurement_Raw!I251</f>
        <v>81.22</v>
      </c>
      <c r="J251" s="125">
        <f>IF(Procurement_Raw!J251="","",Procurement_Raw!J251)</f>
        <v>3979.64</v>
      </c>
      <c r="K251" s="77">
        <f>Procurement_Raw!K251</f>
        <v>60</v>
      </c>
      <c r="L251" t="str">
        <f>Procurement_Raw!L251</f>
        <v>Procurement Portal</v>
      </c>
      <c r="M251" t="str">
        <f>Procurement_Raw!O251</f>
        <v>N</v>
      </c>
      <c r="N251" t="str">
        <f>IF(E251="","Missing supplier",IF(B251="","Missing site",IF(J251="","Missing spend",IF(COUNTIFS($G$2:G251,G251,$E$2:E251,E251,$J$2:J251,J251)&gt;1,"Duplicate invoice",IF(COUNTIF($G$2:$G$1801,G251)&gt;1,"Duplicate ID - review",IF(AND(P251&lt;&gt;"Unmapped",P251&lt;&gt;F251),"Category mismatch","OK"))))))</f>
        <v>OK</v>
      </c>
      <c r="O251" s="125">
        <f t="shared" si="9"/>
        <v>3979.64</v>
      </c>
      <c r="P251" t="str">
        <f>IF(E251="","Unmapped",IFERROR(INDEX(Supplier_Lookup!$B$2:$B$25,MATCH(E251,Supplier_Lookup!$A$2:$A$25,0)),"Unmapped"))</f>
        <v>Food &amp; Catering</v>
      </c>
      <c r="Q251" s="76">
        <f>IFERROR(INDEX(Category_Targets!$B$2:$B$9,MATCH(F251,Category_Targets!$A$2:$A$9,0)),0)</f>
        <v>0.04</v>
      </c>
      <c r="R251" s="125">
        <f t="shared" si="10"/>
        <v>159.18559999999999</v>
      </c>
      <c r="S251" s="78">
        <f t="shared" si="11"/>
        <v>45931</v>
      </c>
      <c r="T251" t="str">
        <f>IFERROR(VLOOKUP(B251,Sites!$A$2:$D$21,4,FALSE()),"Unknown")</f>
        <v>Nottingham</v>
      </c>
      <c r="U251" t="str">
        <f>IF(N251="OK","",COUNTIF($N$2:N251,"&lt;&gt;OK"))</f>
        <v/>
      </c>
      <c r="V251">
        <f>IF(OR(NOT(EXACT(E251,TRIM(Procurement_Raw!E251))),NOT(EXACT(F251,TRIM(Procurement_Raw!F251)))),1,0)</f>
        <v>0</v>
      </c>
    </row>
    <row r="252" spans="1:22" ht="15" customHeight="1" x14ac:dyDescent="0.25">
      <c r="A252" s="123">
        <f>Procurement_Raw!A252</f>
        <v>46001</v>
      </c>
      <c r="B252" t="str">
        <f>TRIM(Procurement_Raw!B252)</f>
        <v>S020</v>
      </c>
      <c r="C252" t="str">
        <f>Procurement_Raw!C252</f>
        <v>Bangor Care &amp; Education Centre</v>
      </c>
      <c r="D252" t="str">
        <f>Procurement_Raw!D252</f>
        <v>Wales</v>
      </c>
      <c r="E252" t="str">
        <f>IF(TRIM(Procurement_Raw!E252)="","",IFERROR(INDEX(Supplier_Lookup!$A$2:$A$25,MATCH(TRIM(Procurement_Raw!E252),Supplier_Lookup!$A$2:$A$25,0)),TRIM(Procurement_Raw!E252)))</f>
        <v>KitchenPro</v>
      </c>
      <c r="F252" t="str">
        <f>IFERROR(INDEX(Category_Targets!$A$2:$A$9,MATCH(TRIM(Procurement_Raw!F252),Category_Targets!$A$2:$A$9,0)),"Unmapped")</f>
        <v>Food &amp; Catering</v>
      </c>
      <c r="G252" t="str">
        <f>TRIM(Procurement_Raw!G252)</f>
        <v>INV-2025-00249</v>
      </c>
      <c r="H252" s="77">
        <f>Procurement_Raw!H252</f>
        <v>55</v>
      </c>
      <c r="I252" s="124">
        <f>Procurement_Raw!I252</f>
        <v>32.49</v>
      </c>
      <c r="J252" s="125">
        <f>IF(Procurement_Raw!J252="","",Procurement_Raw!J252)</f>
        <v>1786.89</v>
      </c>
      <c r="K252" s="77">
        <f>Procurement_Raw!K252</f>
        <v>60</v>
      </c>
      <c r="L252" t="str">
        <f>Procurement_Raw!L252</f>
        <v>Procurement Portal</v>
      </c>
      <c r="M252" t="str">
        <f>Procurement_Raw!O252</f>
        <v>N</v>
      </c>
      <c r="N252" t="str">
        <f>IF(E252="","Missing supplier",IF(B252="","Missing site",IF(J252="","Missing spend",IF(COUNTIFS($G$2:G252,G252,$E$2:E252,E252,$J$2:J252,J252)&gt;1,"Duplicate invoice",IF(COUNTIF($G$2:$G$1801,G252)&gt;1,"Duplicate ID - review",IF(AND(P252&lt;&gt;"Unmapped",P252&lt;&gt;F252),"Category mismatch","OK"))))))</f>
        <v>Duplicate ID - review</v>
      </c>
      <c r="O252" s="125">
        <f t="shared" si="9"/>
        <v>1786.89</v>
      </c>
      <c r="P252" t="str">
        <f>IF(E252="","Unmapped",IFERROR(INDEX(Supplier_Lookup!$B$2:$B$25,MATCH(E252,Supplier_Lookup!$A$2:$A$25,0)),"Unmapped"))</f>
        <v>Food &amp; Catering</v>
      </c>
      <c r="Q252" s="76">
        <f>IFERROR(INDEX(Category_Targets!$B$2:$B$9,MATCH(F252,Category_Targets!$A$2:$A$9,0)),0)</f>
        <v>0.04</v>
      </c>
      <c r="R252" s="125">
        <f t="shared" si="10"/>
        <v>71.4756</v>
      </c>
      <c r="S252" s="78">
        <f t="shared" si="11"/>
        <v>45992</v>
      </c>
      <c r="T252" t="str">
        <f>IFERROR(VLOOKUP(B252,Sites!$A$2:$D$21,4,FALSE()),"Unknown")</f>
        <v>Bangor</v>
      </c>
      <c r="U252">
        <f>IF(N252="OK","",COUNTIF($N$2:N252,"&lt;&gt;OK"))</f>
        <v>3</v>
      </c>
      <c r="V252">
        <f>IF(OR(NOT(EXACT(E252,TRIM(Procurement_Raw!E252))),NOT(EXACT(F252,TRIM(Procurement_Raw!F252)))),1,0)</f>
        <v>0</v>
      </c>
    </row>
    <row r="253" spans="1:22" ht="15" customHeight="1" x14ac:dyDescent="0.25">
      <c r="A253" s="123">
        <f>Procurement_Raw!A253</f>
        <v>45750</v>
      </c>
      <c r="B253" t="str">
        <f>TRIM(Procurement_Raw!B253)</f>
        <v>S007</v>
      </c>
      <c r="C253" t="str">
        <f>Procurement_Raw!C253</f>
        <v>Nottingham Care &amp; Education Centre</v>
      </c>
      <c r="D253" t="str">
        <f>Procurement_Raw!D253</f>
        <v>Midlands</v>
      </c>
      <c r="E253" t="str">
        <f>IF(TRIM(Procurement_Raw!E253)="","",IFERROR(INDEX(Supplier_Lookup!$A$2:$A$25,MATCH(TRIM(Procurement_Raw!E253),Supplier_Lookup!$A$2:$A$25,0)),TRIM(Procurement_Raw!E253)))</f>
        <v>RoadReady</v>
      </c>
      <c r="F253" t="str">
        <f>IFERROR(INDEX(Category_Targets!$A$2:$A$9,MATCH(TRIM(Procurement_Raw!F253),Category_Targets!$A$2:$A$9,0)),"Unmapped")</f>
        <v>Vehicle &amp; Fuel</v>
      </c>
      <c r="G253" t="str">
        <f>TRIM(Procurement_Raw!G253)</f>
        <v>INV-2025-00252</v>
      </c>
      <c r="H253" s="77">
        <f>Procurement_Raw!H253</f>
        <v>28</v>
      </c>
      <c r="I253" s="124">
        <f>Procurement_Raw!I253</f>
        <v>157.38999999999999</v>
      </c>
      <c r="J253" s="125">
        <f>IF(Procurement_Raw!J253="","",Procurement_Raw!J253)</f>
        <v>4406.8100000000004</v>
      </c>
      <c r="K253" s="77">
        <f>Procurement_Raw!K253</f>
        <v>45</v>
      </c>
      <c r="L253" t="str">
        <f>Procurement_Raw!L253</f>
        <v>Procurement Portal</v>
      </c>
      <c r="M253" t="str">
        <f>Procurement_Raw!O253</f>
        <v>N</v>
      </c>
      <c r="N253" t="str">
        <f>IF(E253="","Missing supplier",IF(B253="","Missing site",IF(J253="","Missing spend",IF(COUNTIFS($G$2:G253,G253,$E$2:E253,E253,$J$2:J253,J253)&gt;1,"Duplicate invoice",IF(COUNTIF($G$2:$G$1801,G253)&gt;1,"Duplicate ID - review",IF(AND(P253&lt;&gt;"Unmapped",P253&lt;&gt;F253),"Category mismatch","OK"))))))</f>
        <v>OK</v>
      </c>
      <c r="O253" s="125">
        <f t="shared" si="9"/>
        <v>4406.8100000000004</v>
      </c>
      <c r="P253" t="str">
        <f>IF(E253="","Unmapped",IFERROR(INDEX(Supplier_Lookup!$B$2:$B$25,MATCH(E253,Supplier_Lookup!$A$2:$A$25,0)),"Unmapped"))</f>
        <v>Vehicle &amp; Fuel</v>
      </c>
      <c r="Q253" s="76">
        <f>IFERROR(INDEX(Category_Targets!$B$2:$B$9,MATCH(F253,Category_Targets!$A$2:$A$9,0)),0)</f>
        <v>0.05</v>
      </c>
      <c r="R253" s="125">
        <f t="shared" si="10"/>
        <v>220.34050000000002</v>
      </c>
      <c r="S253" s="78">
        <f t="shared" si="11"/>
        <v>45748</v>
      </c>
      <c r="T253" t="str">
        <f>IFERROR(VLOOKUP(B253,Sites!$A$2:$D$21,4,FALSE()),"Unknown")</f>
        <v>Nottingham</v>
      </c>
      <c r="U253" t="str">
        <f>IF(N253="OK","",COUNTIF($N$2:N253,"&lt;&gt;OK"))</f>
        <v/>
      </c>
      <c r="V253">
        <f>IF(OR(NOT(EXACT(E253,TRIM(Procurement_Raw!E253))),NOT(EXACT(F253,TRIM(Procurement_Raw!F253)))),1,0)</f>
        <v>0</v>
      </c>
    </row>
    <row r="254" spans="1:22" ht="15" customHeight="1" x14ac:dyDescent="0.25">
      <c r="A254" s="123">
        <f>Procurement_Raw!A254</f>
        <v>45737</v>
      </c>
      <c r="B254" t="str">
        <f>TRIM(Procurement_Raw!B254)</f>
        <v>S006</v>
      </c>
      <c r="C254" t="str">
        <f>Procurement_Raw!C254</f>
        <v>Birmingham Care &amp; Education Centre</v>
      </c>
      <c r="D254" t="str">
        <f>Procurement_Raw!D254</f>
        <v>Midlands</v>
      </c>
      <c r="E254" t="str">
        <f>IF(TRIM(Procurement_Raw!E254)="","",IFERROR(INDEX(Supplier_Lookup!$A$2:$A$25,MATCH(TRIM(Procurement_Raw!E254),Supplier_Lookup!$A$2:$A$25,0)),TRIM(Procurement_Raw!E254)))</f>
        <v>UK Energy Partners</v>
      </c>
      <c r="F254" t="str">
        <f>IFERROR(INDEX(Category_Targets!$A$2:$A$9,MATCH(TRIM(Procurement_Raw!F254),Category_Targets!$A$2:$A$9,0)),"Unmapped")</f>
        <v>Utilities</v>
      </c>
      <c r="G254" t="str">
        <f>TRIM(Procurement_Raw!G254)</f>
        <v>INV-2025-00253</v>
      </c>
      <c r="H254" s="77">
        <f>Procurement_Raw!H254</f>
        <v>10</v>
      </c>
      <c r="I254" s="124">
        <f>Procurement_Raw!I254</f>
        <v>803.23</v>
      </c>
      <c r="J254" s="125">
        <f>IF(Procurement_Raw!J254="","",Procurement_Raw!J254)</f>
        <v>8032.35</v>
      </c>
      <c r="K254" s="77">
        <f>Procurement_Raw!K254</f>
        <v>45</v>
      </c>
      <c r="L254" t="str">
        <f>Procurement_Raw!L254</f>
        <v>ERP</v>
      </c>
      <c r="M254" t="str">
        <f>Procurement_Raw!O254</f>
        <v>N</v>
      </c>
      <c r="N254" t="str">
        <f>IF(E254="","Missing supplier",IF(B254="","Missing site",IF(J254="","Missing spend",IF(COUNTIFS($G$2:G254,G254,$E$2:E254,E254,$J$2:J254,J254)&gt;1,"Duplicate invoice",IF(COUNTIF($G$2:$G$1801,G254)&gt;1,"Duplicate ID - review",IF(AND(P254&lt;&gt;"Unmapped",P254&lt;&gt;F254),"Category mismatch","OK"))))))</f>
        <v>OK</v>
      </c>
      <c r="O254" s="125">
        <f t="shared" si="9"/>
        <v>8032.35</v>
      </c>
      <c r="P254" t="str">
        <f>IF(E254="","Unmapped",IFERROR(INDEX(Supplier_Lookup!$B$2:$B$25,MATCH(E254,Supplier_Lookup!$A$2:$A$25,0)),"Unmapped"))</f>
        <v>Utilities</v>
      </c>
      <c r="Q254" s="76">
        <f>IFERROR(INDEX(Category_Targets!$B$2:$B$9,MATCH(F254,Category_Targets!$A$2:$A$9,0)),0)</f>
        <v>0.03</v>
      </c>
      <c r="R254" s="125">
        <f t="shared" si="10"/>
        <v>240.97050000000002</v>
      </c>
      <c r="S254" s="78">
        <f t="shared" si="11"/>
        <v>45717</v>
      </c>
      <c r="T254" t="str">
        <f>IFERROR(VLOOKUP(B254,Sites!$A$2:$D$21,4,FALSE()),"Unknown")</f>
        <v>Birmingham</v>
      </c>
      <c r="U254" t="str">
        <f>IF(N254="OK","",COUNTIF($N$2:N254,"&lt;&gt;OK"))</f>
        <v/>
      </c>
      <c r="V254">
        <f>IF(OR(NOT(EXACT(E254,TRIM(Procurement_Raw!E254))),NOT(EXACT(F254,TRIM(Procurement_Raw!F254)))),1,0)</f>
        <v>0</v>
      </c>
    </row>
    <row r="255" spans="1:22" ht="15" customHeight="1" x14ac:dyDescent="0.25">
      <c r="A255" s="123">
        <f>Procurement_Raw!A255</f>
        <v>45830</v>
      </c>
      <c r="B255" t="str">
        <f>TRIM(Procurement_Raw!B255)</f>
        <v>S020</v>
      </c>
      <c r="C255" t="str">
        <f>Procurement_Raw!C255</f>
        <v>Bangor Care &amp; Education Centre</v>
      </c>
      <c r="D255" t="str">
        <f>Procurement_Raw!D255</f>
        <v>Wales</v>
      </c>
      <c r="E255" t="str">
        <f>IF(TRIM(Procurement_Raw!E255)="","",IFERROR(INDEX(Supplier_Lookup!$A$2:$A$25,MATCH(TRIM(Procurement_Raw!E255),Supplier_Lookup!$A$2:$A$25,0)),TRIM(Procurement_Raw!E255)))</f>
        <v>ClinEquip</v>
      </c>
      <c r="F255" t="str">
        <f>IFERROR(INDEX(Category_Targets!$A$2:$A$9,MATCH(TRIM(Procurement_Raw!F255),Category_Targets!$A$2:$A$9,0)),"Unmapped")</f>
        <v>Medical Supplies</v>
      </c>
      <c r="G255" t="str">
        <f>TRIM(Procurement_Raw!G255)</f>
        <v>INV-2025-00254</v>
      </c>
      <c r="H255" s="77">
        <f>Procurement_Raw!H255</f>
        <v>80</v>
      </c>
      <c r="I255" s="124">
        <f>Procurement_Raw!I255</f>
        <v>211.74</v>
      </c>
      <c r="J255" s="125">
        <f>IF(Procurement_Raw!J255="","",Procurement_Raw!J255)</f>
        <v>16939.009999999998</v>
      </c>
      <c r="K255" s="77">
        <f>Procurement_Raw!K255</f>
        <v>30</v>
      </c>
      <c r="L255" t="str">
        <f>Procurement_Raw!L255</f>
        <v>Legacy Spend File</v>
      </c>
      <c r="M255" t="str">
        <f>Procurement_Raw!O255</f>
        <v>N</v>
      </c>
      <c r="N255" t="str">
        <f>IF(E255="","Missing supplier",IF(B255="","Missing site",IF(J255="","Missing spend",IF(COUNTIFS($G$2:G255,G255,$E$2:E255,E255,$J$2:J255,J255)&gt;1,"Duplicate invoice",IF(COUNTIF($G$2:$G$1801,G255)&gt;1,"Duplicate ID - review",IF(AND(P255&lt;&gt;"Unmapped",P255&lt;&gt;F255),"Category mismatch","OK"))))))</f>
        <v>OK</v>
      </c>
      <c r="O255" s="125">
        <f t="shared" si="9"/>
        <v>16939.009999999998</v>
      </c>
      <c r="P255" t="str">
        <f>IF(E255="","Unmapped",IFERROR(INDEX(Supplier_Lookup!$B$2:$B$25,MATCH(E255,Supplier_Lookup!$A$2:$A$25,0)),"Unmapped"))</f>
        <v>Medical Supplies</v>
      </c>
      <c r="Q255" s="76">
        <f>IFERROR(INDEX(Category_Targets!$B$2:$B$9,MATCH(F255,Category_Targets!$A$2:$A$9,0)),0)</f>
        <v>0.06</v>
      </c>
      <c r="R255" s="125">
        <f t="shared" si="10"/>
        <v>1016.3405999999999</v>
      </c>
      <c r="S255" s="78">
        <f t="shared" si="11"/>
        <v>45809</v>
      </c>
      <c r="T255" t="str">
        <f>IFERROR(VLOOKUP(B255,Sites!$A$2:$D$21,4,FALSE()),"Unknown")</f>
        <v>Bangor</v>
      </c>
      <c r="U255" t="str">
        <f>IF(N255="OK","",COUNTIF($N$2:N255,"&lt;&gt;OK"))</f>
        <v/>
      </c>
      <c r="V255">
        <f>IF(OR(NOT(EXACT(E255,TRIM(Procurement_Raw!E255))),NOT(EXACT(F255,TRIM(Procurement_Raw!F255)))),1,0)</f>
        <v>0</v>
      </c>
    </row>
    <row r="256" spans="1:22" ht="15" customHeight="1" x14ac:dyDescent="0.25">
      <c r="A256" s="123">
        <f>Procurement_Raw!A256</f>
        <v>45750</v>
      </c>
      <c r="B256" t="str">
        <f>TRIM(Procurement_Raw!B256)</f>
        <v>S009</v>
      </c>
      <c r="C256" t="str">
        <f>Procurement_Raw!C256</f>
        <v>Derby Care &amp; Education Centre</v>
      </c>
      <c r="D256" t="str">
        <f>Procurement_Raw!D256</f>
        <v>Midlands</v>
      </c>
      <c r="E256" t="str">
        <f>IF(TRIM(Procurement_Raw!E256)="","",IFERROR(INDEX(Supplier_Lookup!$A$2:$A$25,MATCH(TRIM(Procurement_Raw!E256),Supplier_Lookup!$A$2:$A$25,0)),TRIM(Procurement_Raw!E256)))</f>
        <v>CleanWorks</v>
      </c>
      <c r="F256" t="str">
        <f>IFERROR(INDEX(Category_Targets!$A$2:$A$9,MATCH(TRIM(Procurement_Raw!F256),Category_Targets!$A$2:$A$9,0)),"Unmapped")</f>
        <v>Facilities</v>
      </c>
      <c r="G256" t="str">
        <f>TRIM(Procurement_Raw!G256)</f>
        <v>INV-2025-00255</v>
      </c>
      <c r="H256" s="77">
        <f>Procurement_Raw!H256</f>
        <v>80</v>
      </c>
      <c r="I256" s="124">
        <f>Procurement_Raw!I256</f>
        <v>78.05</v>
      </c>
      <c r="J256" s="125">
        <f>IF(Procurement_Raw!J256="","",Procurement_Raw!J256)</f>
        <v>6243.71</v>
      </c>
      <c r="K256" s="77">
        <f>Procurement_Raw!K256</f>
        <v>30</v>
      </c>
      <c r="L256" t="str">
        <f>Procurement_Raw!L256</f>
        <v>Legacy Spend File</v>
      </c>
      <c r="M256" t="str">
        <f>Procurement_Raw!O256</f>
        <v>Y</v>
      </c>
      <c r="N256" t="str">
        <f>IF(E256="","Missing supplier",IF(B256="","Missing site",IF(J256="","Missing spend",IF(COUNTIFS($G$2:G256,G256,$E$2:E256,E256,$J$2:J256,J256)&gt;1,"Duplicate invoice",IF(COUNTIF($G$2:$G$1801,G256)&gt;1,"Duplicate ID - review",IF(AND(P256&lt;&gt;"Unmapped",P256&lt;&gt;F256),"Category mismatch","OK"))))))</f>
        <v>OK</v>
      </c>
      <c r="O256" s="125">
        <f t="shared" si="9"/>
        <v>6243.71</v>
      </c>
      <c r="P256" t="str">
        <f>IF(E256="","Unmapped",IFERROR(INDEX(Supplier_Lookup!$B$2:$B$25,MATCH(E256,Supplier_Lookup!$A$2:$A$25,0)),"Unmapped"))</f>
        <v>Facilities</v>
      </c>
      <c r="Q256" s="76">
        <f>IFERROR(INDEX(Category_Targets!$B$2:$B$9,MATCH(F256,Category_Targets!$A$2:$A$9,0)),0)</f>
        <v>0.05</v>
      </c>
      <c r="R256" s="125">
        <f t="shared" si="10"/>
        <v>312.18550000000005</v>
      </c>
      <c r="S256" s="78">
        <f t="shared" si="11"/>
        <v>45748</v>
      </c>
      <c r="T256" t="str">
        <f>IFERROR(VLOOKUP(B256,Sites!$A$2:$D$21,4,FALSE()),"Unknown")</f>
        <v>Derby</v>
      </c>
      <c r="U256" t="str">
        <f>IF(N256="OK","",COUNTIF($N$2:N256,"&lt;&gt;OK"))</f>
        <v/>
      </c>
      <c r="V256">
        <f>IF(OR(NOT(EXACT(E256,TRIM(Procurement_Raw!E256))),NOT(EXACT(F256,TRIM(Procurement_Raw!F256)))),1,0)</f>
        <v>0</v>
      </c>
    </row>
    <row r="257" spans="1:22" ht="15" customHeight="1" x14ac:dyDescent="0.25">
      <c r="A257" s="123">
        <f>Procurement_Raw!A257</f>
        <v>45844</v>
      </c>
      <c r="B257" t="str">
        <f>TRIM(Procurement_Raw!B257)</f>
        <v>S011</v>
      </c>
      <c r="C257" t="str">
        <f>Procurement_Raw!C257</f>
        <v>London Care &amp; Education Centre</v>
      </c>
      <c r="D257" t="str">
        <f>Procurement_Raw!D257</f>
        <v>South</v>
      </c>
      <c r="E257" t="str">
        <f>IF(TRIM(Procurement_Raw!E257)="","",IFERROR(INDEX(Supplier_Lookup!$A$2:$A$25,MATCH(TRIM(Procurement_Raw!E257),Supplier_Lookup!$A$2:$A$25,0)),TRIM(Procurement_Raw!E257)))</f>
        <v>CareMed</v>
      </c>
      <c r="F257" t="str">
        <f>IFERROR(INDEX(Category_Targets!$A$2:$A$9,MATCH(TRIM(Procurement_Raw!F257),Category_Targets!$A$2:$A$9,0)),"Unmapped")</f>
        <v>Medical Supplies</v>
      </c>
      <c r="G257" t="str">
        <f>TRIM(Procurement_Raw!G257)</f>
        <v>INV-2025-00256</v>
      </c>
      <c r="H257" s="77">
        <f>Procurement_Raw!H257</f>
        <v>31</v>
      </c>
      <c r="I257" s="124">
        <f>Procurement_Raw!I257</f>
        <v>91.94</v>
      </c>
      <c r="J257" s="125">
        <f>IF(Procurement_Raw!J257="","",Procurement_Raw!J257)</f>
        <v>2850.22</v>
      </c>
      <c r="K257" s="77">
        <f>Procurement_Raw!K257</f>
        <v>45</v>
      </c>
      <c r="L257" t="str">
        <f>Procurement_Raw!L257</f>
        <v>Legacy Spend File</v>
      </c>
      <c r="M257" t="str">
        <f>Procurement_Raw!O257</f>
        <v>N</v>
      </c>
      <c r="N257" t="str">
        <f>IF(E257="","Missing supplier",IF(B257="","Missing site",IF(J257="","Missing spend",IF(COUNTIFS($G$2:G257,G257,$E$2:E257,E257,$J$2:J257,J257)&gt;1,"Duplicate invoice",IF(COUNTIF($G$2:$G$1801,G257)&gt;1,"Duplicate ID - review",IF(AND(P257&lt;&gt;"Unmapped",P257&lt;&gt;F257),"Category mismatch","OK"))))))</f>
        <v>OK</v>
      </c>
      <c r="O257" s="125">
        <f t="shared" si="9"/>
        <v>2850.22</v>
      </c>
      <c r="P257" t="str">
        <f>IF(E257="","Unmapped",IFERROR(INDEX(Supplier_Lookup!$B$2:$B$25,MATCH(E257,Supplier_Lookup!$A$2:$A$25,0)),"Unmapped"))</f>
        <v>Medical Supplies</v>
      </c>
      <c r="Q257" s="76">
        <f>IFERROR(INDEX(Category_Targets!$B$2:$B$9,MATCH(F257,Category_Targets!$A$2:$A$9,0)),0)</f>
        <v>0.06</v>
      </c>
      <c r="R257" s="125">
        <f t="shared" si="10"/>
        <v>171.01319999999998</v>
      </c>
      <c r="S257" s="78">
        <f t="shared" si="11"/>
        <v>45839</v>
      </c>
      <c r="T257" t="str">
        <f>IFERROR(VLOOKUP(B257,Sites!$A$2:$D$21,4,FALSE()),"Unknown")</f>
        <v>London</v>
      </c>
      <c r="U257" t="str">
        <f>IF(N257="OK","",COUNTIF($N$2:N257,"&lt;&gt;OK"))</f>
        <v/>
      </c>
      <c r="V257">
        <f>IF(OR(NOT(EXACT(E257,TRIM(Procurement_Raw!E257))),NOT(EXACT(F257,TRIM(Procurement_Raw!F257)))),1,0)</f>
        <v>0</v>
      </c>
    </row>
    <row r="258" spans="1:22" ht="15" customHeight="1" x14ac:dyDescent="0.25">
      <c r="A258" s="123">
        <f>Procurement_Raw!A258</f>
        <v>45931</v>
      </c>
      <c r="B258" t="str">
        <f>TRIM(Procurement_Raw!B258)</f>
        <v>S001</v>
      </c>
      <c r="C258" t="str">
        <f>Procurement_Raw!C258</f>
        <v>Preston Care &amp; Education Centre</v>
      </c>
      <c r="D258" t="str">
        <f>Procurement_Raw!D258</f>
        <v>North</v>
      </c>
      <c r="E258" t="str">
        <f>IF(TRIM(Procurement_Raw!E258)="","",IFERROR(INDEX(Supplier_Lookup!$A$2:$A$25,MATCH(TRIM(Procurement_Raw!E258),Supplier_Lookup!$A$2:$A$25,0)),TRIM(Procurement_Raw!E258)))</f>
        <v>OfficePlus</v>
      </c>
      <c r="F258" t="str">
        <f>IFERROR(INDEX(Category_Targets!$A$2:$A$9,MATCH(TRIM(Procurement_Raw!F258),Category_Targets!$A$2:$A$9,0)),"Unmapped")</f>
        <v>Office &amp; Training</v>
      </c>
      <c r="G258" t="str">
        <f>TRIM(Procurement_Raw!G258)</f>
        <v>INV-2025-00257</v>
      </c>
      <c r="H258" s="77">
        <f>Procurement_Raw!H258</f>
        <v>31</v>
      </c>
      <c r="I258" s="124">
        <f>Procurement_Raw!I258</f>
        <v>150.55000000000001</v>
      </c>
      <c r="J258" s="125">
        <f>IF(Procurement_Raw!J258="","",Procurement_Raw!J258)</f>
        <v>4667.0200000000004</v>
      </c>
      <c r="K258" s="77">
        <f>Procurement_Raw!K258</f>
        <v>45</v>
      </c>
      <c r="L258" t="str">
        <f>Procurement_Raw!L258</f>
        <v>Procurement Portal</v>
      </c>
      <c r="M258" t="str">
        <f>Procurement_Raw!O258</f>
        <v>N</v>
      </c>
      <c r="N258" t="str">
        <f>IF(E258="","Missing supplier",IF(B258="","Missing site",IF(J258="","Missing spend",IF(COUNTIFS($G$2:G258,G258,$E$2:E258,E258,$J$2:J258,J258)&gt;1,"Duplicate invoice",IF(COUNTIF($G$2:$G$1801,G258)&gt;1,"Duplicate ID - review",IF(AND(P258&lt;&gt;"Unmapped",P258&lt;&gt;F258),"Category mismatch","OK"))))))</f>
        <v>OK</v>
      </c>
      <c r="O258" s="125">
        <f t="shared" ref="O258:O321" si="12">IF(OR(N258="Missing spend",N258="Duplicate invoice"),0,J258)</f>
        <v>4667.0200000000004</v>
      </c>
      <c r="P258" t="str">
        <f>IF(E258="","Unmapped",IFERROR(INDEX(Supplier_Lookup!$B$2:$B$25,MATCH(E258,Supplier_Lookup!$A$2:$A$25,0)),"Unmapped"))</f>
        <v>Office &amp; Training</v>
      </c>
      <c r="Q258" s="76">
        <f>IFERROR(INDEX(Category_Targets!$B$2:$B$9,MATCH(F258,Category_Targets!$A$2:$A$9,0)),0)</f>
        <v>0.04</v>
      </c>
      <c r="R258" s="125">
        <f t="shared" ref="R258:R321" si="13">O258*Q258</f>
        <v>186.68080000000003</v>
      </c>
      <c r="S258" s="78">
        <f t="shared" ref="S258:S321" si="14">DATE(YEAR(A258),MONTH(A258),1)</f>
        <v>45931</v>
      </c>
      <c r="T258" t="str">
        <f>IFERROR(VLOOKUP(B258,Sites!$A$2:$D$21,4,FALSE()),"Unknown")</f>
        <v>Preston</v>
      </c>
      <c r="U258" t="str">
        <f>IF(N258="OK","",COUNTIF($N$2:N258,"&lt;&gt;OK"))</f>
        <v/>
      </c>
      <c r="V258">
        <f>IF(OR(NOT(EXACT(E258,TRIM(Procurement_Raw!E258))),NOT(EXACT(F258,TRIM(Procurement_Raw!F258)))),1,0)</f>
        <v>0</v>
      </c>
    </row>
    <row r="259" spans="1:22" ht="15" customHeight="1" x14ac:dyDescent="0.25">
      <c r="A259" s="123">
        <f>Procurement_Raw!A259</f>
        <v>45950</v>
      </c>
      <c r="B259" t="str">
        <f>TRIM(Procurement_Raw!B259)</f>
        <v>S016</v>
      </c>
      <c r="C259" t="str">
        <f>Procurement_Raw!C259</f>
        <v>Cardiff Care &amp; Education Centre</v>
      </c>
      <c r="D259" t="str">
        <f>Procurement_Raw!D259</f>
        <v>Wales</v>
      </c>
      <c r="E259" t="str">
        <f>IF(TRIM(Procurement_Raw!E259)="","",IFERROR(INDEX(Supplier_Lookup!$A$2:$A$25,MATCH(TRIM(Procurement_Raw!E259),Supplier_Lookup!$A$2:$A$25,0)),TRIM(Procurement_Raw!E259)))</f>
        <v>AutoCare</v>
      </c>
      <c r="F259" t="str">
        <f>IFERROR(INDEX(Category_Targets!$A$2:$A$9,MATCH(TRIM(Procurement_Raw!F259),Category_Targets!$A$2:$A$9,0)),"Unmapped")</f>
        <v>Vehicle &amp; Fuel</v>
      </c>
      <c r="G259" t="str">
        <f>TRIM(Procurement_Raw!G259)</f>
        <v>INV-2025-00258</v>
      </c>
      <c r="H259" s="77">
        <f>Procurement_Raw!H259</f>
        <v>57</v>
      </c>
      <c r="I259" s="124">
        <f>Procurement_Raw!I259</f>
        <v>64.37</v>
      </c>
      <c r="J259" s="125">
        <f>IF(Procurement_Raw!J259="","",Procurement_Raw!J259)</f>
        <v>3669.13</v>
      </c>
      <c r="K259" s="77">
        <f>Procurement_Raw!K259</f>
        <v>45</v>
      </c>
      <c r="L259" t="str">
        <f>Procurement_Raw!L259</f>
        <v>Procurement Portal</v>
      </c>
      <c r="M259" t="str">
        <f>Procurement_Raw!O259</f>
        <v>N</v>
      </c>
      <c r="N259" t="str">
        <f>IF(E259="","Missing supplier",IF(B259="","Missing site",IF(J259="","Missing spend",IF(COUNTIFS($G$2:G259,G259,$E$2:E259,E259,$J$2:J259,J259)&gt;1,"Duplicate invoice",IF(COUNTIF($G$2:$G$1801,G259)&gt;1,"Duplicate ID - review",IF(AND(P259&lt;&gt;"Unmapped",P259&lt;&gt;F259),"Category mismatch","OK"))))))</f>
        <v>OK</v>
      </c>
      <c r="O259" s="125">
        <f t="shared" si="12"/>
        <v>3669.13</v>
      </c>
      <c r="P259" t="str">
        <f>IF(E259="","Unmapped",IFERROR(INDEX(Supplier_Lookup!$B$2:$B$25,MATCH(E259,Supplier_Lookup!$A$2:$A$25,0)),"Unmapped"))</f>
        <v>Vehicle &amp; Fuel</v>
      </c>
      <c r="Q259" s="76">
        <f>IFERROR(INDEX(Category_Targets!$B$2:$B$9,MATCH(F259,Category_Targets!$A$2:$A$9,0)),0)</f>
        <v>0.05</v>
      </c>
      <c r="R259" s="125">
        <f t="shared" si="13"/>
        <v>183.45650000000001</v>
      </c>
      <c r="S259" s="78">
        <f t="shared" si="14"/>
        <v>45931</v>
      </c>
      <c r="T259" t="str">
        <f>IFERROR(VLOOKUP(B259,Sites!$A$2:$D$21,4,FALSE()),"Unknown")</f>
        <v>Cardiff</v>
      </c>
      <c r="U259" t="str">
        <f>IF(N259="OK","",COUNTIF($N$2:N259,"&lt;&gt;OK"))</f>
        <v/>
      </c>
      <c r="V259">
        <f>IF(OR(NOT(EXACT(E259,TRIM(Procurement_Raw!E259))),NOT(EXACT(F259,TRIM(Procurement_Raw!F259)))),1,0)</f>
        <v>0</v>
      </c>
    </row>
    <row r="260" spans="1:22" ht="15" customHeight="1" x14ac:dyDescent="0.25">
      <c r="A260" s="123">
        <f>Procurement_Raw!A260</f>
        <v>45760</v>
      </c>
      <c r="B260" t="str">
        <f>TRIM(Procurement_Raw!B260)</f>
        <v>S017</v>
      </c>
      <c r="C260" t="str">
        <f>Procurement_Raw!C260</f>
        <v>Swansea Care &amp; Education Centre</v>
      </c>
      <c r="D260" t="str">
        <f>Procurement_Raw!D260</f>
        <v>Wales</v>
      </c>
      <c r="E260" t="str">
        <f>IF(TRIM(Procurement_Raw!E260)="","",IFERROR(INDEX(Supplier_Lookup!$A$2:$A$25,MATCH(TRIM(Procurement_Raw!E260),Supplier_Lookup!$A$2:$A$25,0)),TRIM(Procurement_Raw!E260)))</f>
        <v>HealthStaffing</v>
      </c>
      <c r="F260" t="str">
        <f>IFERROR(INDEX(Category_Targets!$A$2:$A$9,MATCH(TRIM(Procurement_Raw!F260),Category_Targets!$A$2:$A$9,0)),"Unmapped")</f>
        <v>Agency Labour</v>
      </c>
      <c r="G260" t="str">
        <f>TRIM(Procurement_Raw!G260)</f>
        <v>INV-2025-00259</v>
      </c>
      <c r="H260" s="77">
        <f>Procurement_Raw!H260</f>
        <v>78</v>
      </c>
      <c r="I260" s="124">
        <f>Procurement_Raw!I260</f>
        <v>382.94</v>
      </c>
      <c r="J260" s="125">
        <f>IF(Procurement_Raw!J260="","",Procurement_Raw!J260)</f>
        <v>29869.46</v>
      </c>
      <c r="K260" s="77">
        <f>Procurement_Raw!K260</f>
        <v>30</v>
      </c>
      <c r="L260" t="str">
        <f>Procurement_Raw!L260</f>
        <v>Procurement Portal</v>
      </c>
      <c r="M260" t="str">
        <f>Procurement_Raw!O260</f>
        <v>N</v>
      </c>
      <c r="N260" t="str">
        <f>IF(E260="","Missing supplier",IF(B260="","Missing site",IF(J260="","Missing spend",IF(COUNTIFS($G$2:G260,G260,$E$2:E260,E260,$J$2:J260,J260)&gt;1,"Duplicate invoice",IF(COUNTIF($G$2:$G$1801,G260)&gt;1,"Duplicate ID - review",IF(AND(P260&lt;&gt;"Unmapped",P260&lt;&gt;F260),"Category mismatch","OK"))))))</f>
        <v>OK</v>
      </c>
      <c r="O260" s="125">
        <f t="shared" si="12"/>
        <v>29869.46</v>
      </c>
      <c r="P260" t="str">
        <f>IF(E260="","Unmapped",IFERROR(INDEX(Supplier_Lookup!$B$2:$B$25,MATCH(E260,Supplier_Lookup!$A$2:$A$25,0)),"Unmapped"))</f>
        <v>Agency Labour</v>
      </c>
      <c r="Q260" s="76">
        <f>IFERROR(INDEX(Category_Targets!$B$2:$B$9,MATCH(F260,Category_Targets!$A$2:$A$9,0)),0)</f>
        <v>7.0000000000000007E-2</v>
      </c>
      <c r="R260" s="125">
        <f t="shared" si="13"/>
        <v>2090.8622</v>
      </c>
      <c r="S260" s="78">
        <f t="shared" si="14"/>
        <v>45748</v>
      </c>
      <c r="T260" t="str">
        <f>IFERROR(VLOOKUP(B260,Sites!$A$2:$D$21,4,FALSE()),"Unknown")</f>
        <v>Swansea</v>
      </c>
      <c r="U260" t="str">
        <f>IF(N260="OK","",COUNTIF($N$2:N260,"&lt;&gt;OK"))</f>
        <v/>
      </c>
      <c r="V260">
        <f>IF(OR(NOT(EXACT(E260,TRIM(Procurement_Raw!E260))),NOT(EXACT(F260,TRIM(Procurement_Raw!F260)))),1,0)</f>
        <v>0</v>
      </c>
    </row>
    <row r="261" spans="1:22" ht="15" customHeight="1" x14ac:dyDescent="0.25">
      <c r="A261" s="123">
        <f>Procurement_Raw!A261</f>
        <v>45941</v>
      </c>
      <c r="B261" t="str">
        <f>TRIM(Procurement_Raw!B261)</f>
        <v>S020</v>
      </c>
      <c r="C261" t="str">
        <f>Procurement_Raw!C261</f>
        <v>Bangor Care &amp; Education Centre</v>
      </c>
      <c r="D261" t="str">
        <f>Procurement_Raw!D261</f>
        <v>Wales</v>
      </c>
      <c r="E261" t="str">
        <f>IF(TRIM(Procurement_Raw!E261)="","",IFERROR(INDEX(Supplier_Lookup!$A$2:$A$25,MATCH(TRIM(Procurement_Raw!E261),Supplier_Lookup!$A$2:$A$25,0)),TRIM(Procurement_Raw!E261)))</f>
        <v>LearnWell</v>
      </c>
      <c r="F261" t="str">
        <f>IFERROR(INDEX(Category_Targets!$A$2:$A$9,MATCH(TRIM(Procurement_Raw!F261),Category_Targets!$A$2:$A$9,0)),"Unmapped")</f>
        <v>Office &amp; Training</v>
      </c>
      <c r="G261" t="str">
        <f>TRIM(Procurement_Raw!G261)</f>
        <v>INV-2025-00260</v>
      </c>
      <c r="H261" s="77">
        <f>Procurement_Raw!H261</f>
        <v>14</v>
      </c>
      <c r="I261" s="124">
        <f>Procurement_Raw!I261</f>
        <v>114.84</v>
      </c>
      <c r="J261" s="125">
        <f>IF(Procurement_Raw!J261="","",Procurement_Raw!J261)</f>
        <v>1607.76</v>
      </c>
      <c r="K261" s="77">
        <f>Procurement_Raw!K261</f>
        <v>60</v>
      </c>
      <c r="L261" t="str">
        <f>Procurement_Raw!L261</f>
        <v>Legacy Spend File</v>
      </c>
      <c r="M261" t="str">
        <f>Procurement_Raw!O261</f>
        <v>N</v>
      </c>
      <c r="N261" t="str">
        <f>IF(E261="","Missing supplier",IF(B261="","Missing site",IF(J261="","Missing spend",IF(COUNTIFS($G$2:G261,G261,$E$2:E261,E261,$J$2:J261,J261)&gt;1,"Duplicate invoice",IF(COUNTIF($G$2:$G$1801,G261)&gt;1,"Duplicate ID - review",IF(AND(P261&lt;&gt;"Unmapped",P261&lt;&gt;F261),"Category mismatch","OK"))))))</f>
        <v>OK</v>
      </c>
      <c r="O261" s="125">
        <f t="shared" si="12"/>
        <v>1607.76</v>
      </c>
      <c r="P261" t="str">
        <f>IF(E261="","Unmapped",IFERROR(INDEX(Supplier_Lookup!$B$2:$B$25,MATCH(E261,Supplier_Lookup!$A$2:$A$25,0)),"Unmapped"))</f>
        <v>Office &amp; Training</v>
      </c>
      <c r="Q261" s="76">
        <f>IFERROR(INDEX(Category_Targets!$B$2:$B$9,MATCH(F261,Category_Targets!$A$2:$A$9,0)),0)</f>
        <v>0.04</v>
      </c>
      <c r="R261" s="125">
        <f t="shared" si="13"/>
        <v>64.310400000000001</v>
      </c>
      <c r="S261" s="78">
        <f t="shared" si="14"/>
        <v>45931</v>
      </c>
      <c r="T261" t="str">
        <f>IFERROR(VLOOKUP(B261,Sites!$A$2:$D$21,4,FALSE()),"Unknown")</f>
        <v>Bangor</v>
      </c>
      <c r="U261" t="str">
        <f>IF(N261="OK","",COUNTIF($N$2:N261,"&lt;&gt;OK"))</f>
        <v/>
      </c>
      <c r="V261">
        <f>IF(OR(NOT(EXACT(E261,TRIM(Procurement_Raw!E261))),NOT(EXACT(F261,TRIM(Procurement_Raw!F261)))),1,0)</f>
        <v>0</v>
      </c>
    </row>
    <row r="262" spans="1:22" ht="15" customHeight="1" x14ac:dyDescent="0.25">
      <c r="A262" s="123">
        <f>Procurement_Raw!A262</f>
        <v>45740</v>
      </c>
      <c r="B262" t="str">
        <f>TRIM(Procurement_Raw!B262)</f>
        <v>S020</v>
      </c>
      <c r="C262" t="str">
        <f>Procurement_Raw!C262</f>
        <v>Bangor Care &amp; Education Centre</v>
      </c>
      <c r="D262" t="str">
        <f>Procurement_Raw!D262</f>
        <v>Wales</v>
      </c>
      <c r="E262" t="str">
        <f>IF(TRIM(Procurement_Raw!E262)="","",IFERROR(INDEX(Supplier_Lookup!$A$2:$A$25,MATCH(TRIM(Procurement_Raw!E262),Supplier_Lookup!$A$2:$A$25,0)),TRIM(Procurement_Raw!E262)))</f>
        <v>CloudLink</v>
      </c>
      <c r="F262" t="str">
        <f>IFERROR(INDEX(Category_Targets!$A$2:$A$9,MATCH(TRIM(Procurement_Raw!F262),Category_Targets!$A$2:$A$9,0)),"Unmapped")</f>
        <v>IT &amp; Telecoms</v>
      </c>
      <c r="G262" t="str">
        <f>TRIM(Procurement_Raw!G262)</f>
        <v>INV-2025-00261</v>
      </c>
      <c r="H262" s="77">
        <f>Procurement_Raw!H262</f>
        <v>35</v>
      </c>
      <c r="I262" s="124">
        <f>Procurement_Raw!I262</f>
        <v>132.13</v>
      </c>
      <c r="J262" s="125">
        <f>IF(Procurement_Raw!J262="","",Procurement_Raw!J262)</f>
        <v>4624.6899999999996</v>
      </c>
      <c r="K262" s="77">
        <f>Procurement_Raw!K262</f>
        <v>45</v>
      </c>
      <c r="L262" t="str">
        <f>Procurement_Raw!L262</f>
        <v>Legacy Spend File</v>
      </c>
      <c r="M262" t="str">
        <f>Procurement_Raw!O262</f>
        <v>Y</v>
      </c>
      <c r="N262" t="str">
        <f>IF(E262="","Missing supplier",IF(B262="","Missing site",IF(J262="","Missing spend",IF(COUNTIFS($G$2:G262,G262,$E$2:E262,E262,$J$2:J262,J262)&gt;1,"Duplicate invoice",IF(COUNTIF($G$2:$G$1801,G262)&gt;1,"Duplicate ID - review",IF(AND(P262&lt;&gt;"Unmapped",P262&lt;&gt;F262),"Category mismatch","OK"))))))</f>
        <v>OK</v>
      </c>
      <c r="O262" s="125">
        <f t="shared" si="12"/>
        <v>4624.6899999999996</v>
      </c>
      <c r="P262" t="str">
        <f>IF(E262="","Unmapped",IFERROR(INDEX(Supplier_Lookup!$B$2:$B$25,MATCH(E262,Supplier_Lookup!$A$2:$A$25,0)),"Unmapped"))</f>
        <v>IT &amp; Telecoms</v>
      </c>
      <c r="Q262" s="76">
        <f>IFERROR(INDEX(Category_Targets!$B$2:$B$9,MATCH(F262,Category_Targets!$A$2:$A$9,0)),0)</f>
        <v>0.08</v>
      </c>
      <c r="R262" s="125">
        <f t="shared" si="13"/>
        <v>369.97519999999997</v>
      </c>
      <c r="S262" s="78">
        <f t="shared" si="14"/>
        <v>45717</v>
      </c>
      <c r="T262" t="str">
        <f>IFERROR(VLOOKUP(B262,Sites!$A$2:$D$21,4,FALSE()),"Unknown")</f>
        <v>Bangor</v>
      </c>
      <c r="U262" t="str">
        <f>IF(N262="OK","",COUNTIF($N$2:N262,"&lt;&gt;OK"))</f>
        <v/>
      </c>
      <c r="V262">
        <f>IF(OR(NOT(EXACT(E262,TRIM(Procurement_Raw!E262))),NOT(EXACT(F262,TRIM(Procurement_Raw!F262)))),1,0)</f>
        <v>0</v>
      </c>
    </row>
    <row r="263" spans="1:22" ht="15" customHeight="1" x14ac:dyDescent="0.25">
      <c r="A263" s="123">
        <f>Procurement_Raw!A263</f>
        <v>45771</v>
      </c>
      <c r="B263" t="str">
        <f>TRIM(Procurement_Raw!B263)</f>
        <v>S017</v>
      </c>
      <c r="C263" t="str">
        <f>Procurement_Raw!C263</f>
        <v>Swansea Care &amp; Education Centre</v>
      </c>
      <c r="D263" t="str">
        <f>Procurement_Raw!D263</f>
        <v>Wales</v>
      </c>
      <c r="E263" t="str">
        <f>IF(TRIM(Procurement_Raw!E263)="","",IFERROR(INDEX(Supplier_Lookup!$A$2:$A$25,MATCH(TRIM(Procurement_Raw!E263),Supplier_Lookup!$A$2:$A$25,0)),TRIM(Procurement_Raw!E263)))</f>
        <v>HealthStaffing</v>
      </c>
      <c r="F263" t="str">
        <f>IFERROR(INDEX(Category_Targets!$A$2:$A$9,MATCH(TRIM(Procurement_Raw!F263),Category_Targets!$A$2:$A$9,0)),"Unmapped")</f>
        <v>Agency Labour</v>
      </c>
      <c r="G263" t="str">
        <f>TRIM(Procurement_Raw!G263)</f>
        <v>INV-2025-00262</v>
      </c>
      <c r="H263" s="77">
        <f>Procurement_Raw!H263</f>
        <v>58</v>
      </c>
      <c r="I263" s="124">
        <f>Procurement_Raw!I263</f>
        <v>290.33999999999997</v>
      </c>
      <c r="J263" s="125">
        <f>IF(Procurement_Raw!J263="","",Procurement_Raw!J263)</f>
        <v>16839.57</v>
      </c>
      <c r="K263" s="77">
        <f>Procurement_Raw!K263</f>
        <v>45</v>
      </c>
      <c r="L263" t="str">
        <f>Procurement_Raw!L263</f>
        <v>ERP</v>
      </c>
      <c r="M263" t="str">
        <f>Procurement_Raw!O263</f>
        <v>N</v>
      </c>
      <c r="N263" t="str">
        <f>IF(E263="","Missing supplier",IF(B263="","Missing site",IF(J263="","Missing spend",IF(COUNTIFS($G$2:G263,G263,$E$2:E263,E263,$J$2:J263,J263)&gt;1,"Duplicate invoice",IF(COUNTIF($G$2:$G$1801,G263)&gt;1,"Duplicate ID - review",IF(AND(P263&lt;&gt;"Unmapped",P263&lt;&gt;F263),"Category mismatch","OK"))))))</f>
        <v>OK</v>
      </c>
      <c r="O263" s="125">
        <f t="shared" si="12"/>
        <v>16839.57</v>
      </c>
      <c r="P263" t="str">
        <f>IF(E263="","Unmapped",IFERROR(INDEX(Supplier_Lookup!$B$2:$B$25,MATCH(E263,Supplier_Lookup!$A$2:$A$25,0)),"Unmapped"))</f>
        <v>Agency Labour</v>
      </c>
      <c r="Q263" s="76">
        <f>IFERROR(INDEX(Category_Targets!$B$2:$B$9,MATCH(F263,Category_Targets!$A$2:$A$9,0)),0)</f>
        <v>7.0000000000000007E-2</v>
      </c>
      <c r="R263" s="125">
        <f t="shared" si="13"/>
        <v>1178.7699</v>
      </c>
      <c r="S263" s="78">
        <f t="shared" si="14"/>
        <v>45748</v>
      </c>
      <c r="T263" t="str">
        <f>IFERROR(VLOOKUP(B263,Sites!$A$2:$D$21,4,FALSE()),"Unknown")</f>
        <v>Swansea</v>
      </c>
      <c r="U263" t="str">
        <f>IF(N263="OK","",COUNTIF($N$2:N263,"&lt;&gt;OK"))</f>
        <v/>
      </c>
      <c r="V263">
        <f>IF(OR(NOT(EXACT(E263,TRIM(Procurement_Raw!E263))),NOT(EXACT(F263,TRIM(Procurement_Raw!F263)))),1,0)</f>
        <v>0</v>
      </c>
    </row>
    <row r="264" spans="1:22" ht="15" customHeight="1" x14ac:dyDescent="0.25">
      <c r="A264" s="123">
        <f>Procurement_Raw!A264</f>
        <v>45915</v>
      </c>
      <c r="B264" t="str">
        <f>TRIM(Procurement_Raw!B264)</f>
        <v>S017</v>
      </c>
      <c r="C264" t="str">
        <f>Procurement_Raw!C264</f>
        <v>Swansea Care &amp; Education Centre</v>
      </c>
      <c r="D264" t="str">
        <f>Procurement_Raw!D264</f>
        <v>Wales</v>
      </c>
      <c r="E264" t="str">
        <f>IF(TRIM(Procurement_Raw!E264)="","",IFERROR(INDEX(Supplier_Lookup!$A$2:$A$25,MATCH(TRIM(Procurement_Raw!E264),Supplier_Lookup!$A$2:$A$25,0)),TRIM(Procurement_Raw!E264)))</f>
        <v>CareMed</v>
      </c>
      <c r="F264" t="str">
        <f>IFERROR(INDEX(Category_Targets!$A$2:$A$9,MATCH(TRIM(Procurement_Raw!F264),Category_Targets!$A$2:$A$9,0)),"Unmapped")</f>
        <v>Medical Supplies</v>
      </c>
      <c r="G264" t="str">
        <f>TRIM(Procurement_Raw!G264)</f>
        <v>INV-2025-00263</v>
      </c>
      <c r="H264" s="77">
        <f>Procurement_Raw!H264</f>
        <v>48</v>
      </c>
      <c r="I264" s="124">
        <f>Procurement_Raw!I264</f>
        <v>20.18</v>
      </c>
      <c r="J264" s="125">
        <f>IF(Procurement_Raw!J264="","",Procurement_Raw!J264)</f>
        <v>968.74</v>
      </c>
      <c r="K264" s="77">
        <f>Procurement_Raw!K264</f>
        <v>30</v>
      </c>
      <c r="L264" t="str">
        <f>Procurement_Raw!L264</f>
        <v>Procurement Portal</v>
      </c>
      <c r="M264" t="str">
        <f>Procurement_Raw!O264</f>
        <v>N</v>
      </c>
      <c r="N264" t="str">
        <f>IF(E264="","Missing supplier",IF(B264="","Missing site",IF(J264="","Missing spend",IF(COUNTIFS($G$2:G264,G264,$E$2:E264,E264,$J$2:J264,J264)&gt;1,"Duplicate invoice",IF(COUNTIF($G$2:$G$1801,G264)&gt;1,"Duplicate ID - review",IF(AND(P264&lt;&gt;"Unmapped",P264&lt;&gt;F264),"Category mismatch","OK"))))))</f>
        <v>OK</v>
      </c>
      <c r="O264" s="125">
        <f t="shared" si="12"/>
        <v>968.74</v>
      </c>
      <c r="P264" t="str">
        <f>IF(E264="","Unmapped",IFERROR(INDEX(Supplier_Lookup!$B$2:$B$25,MATCH(E264,Supplier_Lookup!$A$2:$A$25,0)),"Unmapped"))</f>
        <v>Medical Supplies</v>
      </c>
      <c r="Q264" s="76">
        <f>IFERROR(INDEX(Category_Targets!$B$2:$B$9,MATCH(F264,Category_Targets!$A$2:$A$9,0)),0)</f>
        <v>0.06</v>
      </c>
      <c r="R264" s="125">
        <f t="shared" si="13"/>
        <v>58.124400000000001</v>
      </c>
      <c r="S264" s="78">
        <f t="shared" si="14"/>
        <v>45901</v>
      </c>
      <c r="T264" t="str">
        <f>IFERROR(VLOOKUP(B264,Sites!$A$2:$D$21,4,FALSE()),"Unknown")</f>
        <v>Swansea</v>
      </c>
      <c r="U264" t="str">
        <f>IF(N264="OK","",COUNTIF($N$2:N264,"&lt;&gt;OK"))</f>
        <v/>
      </c>
      <c r="V264">
        <f>IF(OR(NOT(EXACT(E264,TRIM(Procurement_Raw!E264))),NOT(EXACT(F264,TRIM(Procurement_Raw!F264)))),1,0)</f>
        <v>0</v>
      </c>
    </row>
    <row r="265" spans="1:22" ht="15" customHeight="1" x14ac:dyDescent="0.25">
      <c r="A265" s="123">
        <f>Procurement_Raw!A265</f>
        <v>45672</v>
      </c>
      <c r="B265" t="str">
        <f>TRIM(Procurement_Raw!B265)</f>
        <v>S016</v>
      </c>
      <c r="C265" t="str">
        <f>Procurement_Raw!C265</f>
        <v>Cardiff Care &amp; Education Centre</v>
      </c>
      <c r="D265" t="str">
        <f>Procurement_Raw!D265</f>
        <v>Wales</v>
      </c>
      <c r="E265" t="str">
        <f>IF(TRIM(Procurement_Raw!E265)="","",IFERROR(INDEX(Supplier_Lookup!$A$2:$A$25,MATCH(TRIM(Procurement_Raw!E265),Supplier_Lookup!$A$2:$A$25,0)),TRIM(Procurement_Raw!E265)))</f>
        <v>FleetFuel</v>
      </c>
      <c r="F265" t="str">
        <f>IFERROR(INDEX(Category_Targets!$A$2:$A$9,MATCH(TRIM(Procurement_Raw!F265),Category_Targets!$A$2:$A$9,0)),"Unmapped")</f>
        <v>Vehicle &amp; Fuel</v>
      </c>
      <c r="G265" t="str">
        <f>TRIM(Procurement_Raw!G265)</f>
        <v>INV-2025-00264</v>
      </c>
      <c r="H265" s="77">
        <f>Procurement_Raw!H265</f>
        <v>41</v>
      </c>
      <c r="I265" s="124">
        <f>Procurement_Raw!I265</f>
        <v>54.08</v>
      </c>
      <c r="J265" s="125">
        <f>IF(Procurement_Raw!J265="","",Procurement_Raw!J265)</f>
        <v>2217.2800000000002</v>
      </c>
      <c r="K265" s="77">
        <f>Procurement_Raw!K265</f>
        <v>30</v>
      </c>
      <c r="L265" t="str">
        <f>Procurement_Raw!L265</f>
        <v>Legacy Spend File</v>
      </c>
      <c r="M265" t="str">
        <f>Procurement_Raw!O265</f>
        <v>Y</v>
      </c>
      <c r="N265" t="str">
        <f>IF(E265="","Missing supplier",IF(B265="","Missing site",IF(J265="","Missing spend",IF(COUNTIFS($G$2:G265,G265,$E$2:E265,E265,$J$2:J265,J265)&gt;1,"Duplicate invoice",IF(COUNTIF($G$2:$G$1801,G265)&gt;1,"Duplicate ID - review",IF(AND(P265&lt;&gt;"Unmapped",P265&lt;&gt;F265),"Category mismatch","OK"))))))</f>
        <v>OK</v>
      </c>
      <c r="O265" s="125">
        <f t="shared" si="12"/>
        <v>2217.2800000000002</v>
      </c>
      <c r="P265" t="str">
        <f>IF(E265="","Unmapped",IFERROR(INDEX(Supplier_Lookup!$B$2:$B$25,MATCH(E265,Supplier_Lookup!$A$2:$A$25,0)),"Unmapped"))</f>
        <v>Vehicle &amp; Fuel</v>
      </c>
      <c r="Q265" s="76">
        <f>IFERROR(INDEX(Category_Targets!$B$2:$B$9,MATCH(F265,Category_Targets!$A$2:$A$9,0)),0)</f>
        <v>0.05</v>
      </c>
      <c r="R265" s="125">
        <f t="shared" si="13"/>
        <v>110.86400000000002</v>
      </c>
      <c r="S265" s="78">
        <f t="shared" si="14"/>
        <v>45658</v>
      </c>
      <c r="T265" t="str">
        <f>IFERROR(VLOOKUP(B265,Sites!$A$2:$D$21,4,FALSE()),"Unknown")</f>
        <v>Cardiff</v>
      </c>
      <c r="U265" t="str">
        <f>IF(N265="OK","",COUNTIF($N$2:N265,"&lt;&gt;OK"))</f>
        <v/>
      </c>
      <c r="V265">
        <f>IF(OR(NOT(EXACT(E265,TRIM(Procurement_Raw!E265))),NOT(EXACT(F265,TRIM(Procurement_Raw!F265)))),1,0)</f>
        <v>0</v>
      </c>
    </row>
    <row r="266" spans="1:22" ht="15" customHeight="1" x14ac:dyDescent="0.25">
      <c r="A266" s="123">
        <f>Procurement_Raw!A266</f>
        <v>45728</v>
      </c>
      <c r="B266" t="str">
        <f>TRIM(Procurement_Raw!B266)</f>
        <v>S009</v>
      </c>
      <c r="C266" t="str">
        <f>Procurement_Raw!C266</f>
        <v>Derby Care &amp; Education Centre</v>
      </c>
      <c r="D266" t="str">
        <f>Procurement_Raw!D266</f>
        <v>Midlands</v>
      </c>
      <c r="E266" t="str">
        <f>IF(TRIM(Procurement_Raw!E266)="","",IFERROR(INDEX(Supplier_Lookup!$A$2:$A$25,MATCH(TRIM(Procurement_Raw!E266),Supplier_Lookup!$A$2:$A$25,0)),TRIM(Procurement_Raw!E266)))</f>
        <v>FleetFuel</v>
      </c>
      <c r="F266" t="str">
        <f>IFERROR(INDEX(Category_Targets!$A$2:$A$9,MATCH(TRIM(Procurement_Raw!F266),Category_Targets!$A$2:$A$9,0)),"Unmapped")</f>
        <v>Vehicle &amp; Fuel</v>
      </c>
      <c r="G266" t="str">
        <f>TRIM(Procurement_Raw!G266)</f>
        <v>INV-2025-00265</v>
      </c>
      <c r="H266" s="77">
        <f>Procurement_Raw!H266</f>
        <v>5</v>
      </c>
      <c r="I266" s="124">
        <f>Procurement_Raw!I266</f>
        <v>82.68</v>
      </c>
      <c r="J266" s="125">
        <f>IF(Procurement_Raw!J266="","",Procurement_Raw!J266)</f>
        <v>413.39</v>
      </c>
      <c r="K266" s="77">
        <f>Procurement_Raw!K266</f>
        <v>45</v>
      </c>
      <c r="L266" t="str">
        <f>Procurement_Raw!L266</f>
        <v>Procurement Portal</v>
      </c>
      <c r="M266" t="str">
        <f>Procurement_Raw!O266</f>
        <v>Y</v>
      </c>
      <c r="N266" t="str">
        <f>IF(E266="","Missing supplier",IF(B266="","Missing site",IF(J266="","Missing spend",IF(COUNTIFS($G$2:G266,G266,$E$2:E266,E266,$J$2:J266,J266)&gt;1,"Duplicate invoice",IF(COUNTIF($G$2:$G$1801,G266)&gt;1,"Duplicate ID - review",IF(AND(P266&lt;&gt;"Unmapped",P266&lt;&gt;F266),"Category mismatch","OK"))))))</f>
        <v>OK</v>
      </c>
      <c r="O266" s="125">
        <f t="shared" si="12"/>
        <v>413.39</v>
      </c>
      <c r="P266" t="str">
        <f>IF(E266="","Unmapped",IFERROR(INDEX(Supplier_Lookup!$B$2:$B$25,MATCH(E266,Supplier_Lookup!$A$2:$A$25,0)),"Unmapped"))</f>
        <v>Vehicle &amp; Fuel</v>
      </c>
      <c r="Q266" s="76">
        <f>IFERROR(INDEX(Category_Targets!$B$2:$B$9,MATCH(F266,Category_Targets!$A$2:$A$9,0)),0)</f>
        <v>0.05</v>
      </c>
      <c r="R266" s="125">
        <f t="shared" si="13"/>
        <v>20.669499999999999</v>
      </c>
      <c r="S266" s="78">
        <f t="shared" si="14"/>
        <v>45717</v>
      </c>
      <c r="T266" t="str">
        <f>IFERROR(VLOOKUP(B266,Sites!$A$2:$D$21,4,FALSE()),"Unknown")</f>
        <v>Derby</v>
      </c>
      <c r="U266" t="str">
        <f>IF(N266="OK","",COUNTIF($N$2:N266,"&lt;&gt;OK"))</f>
        <v/>
      </c>
      <c r="V266">
        <f>IF(OR(NOT(EXACT(E266,TRIM(Procurement_Raw!E266))),NOT(EXACT(F266,TRIM(Procurement_Raw!F266)))),1,0)</f>
        <v>0</v>
      </c>
    </row>
    <row r="267" spans="1:22" ht="15" customHeight="1" x14ac:dyDescent="0.25">
      <c r="A267" s="123">
        <f>Procurement_Raw!A267</f>
        <v>45898</v>
      </c>
      <c r="B267" t="str">
        <f>TRIM(Procurement_Raw!B267)</f>
        <v>S001</v>
      </c>
      <c r="C267" t="str">
        <f>Procurement_Raw!C267</f>
        <v>Preston Care &amp; Education Centre</v>
      </c>
      <c r="D267" t="str">
        <f>Procurement_Raw!D267</f>
        <v>North</v>
      </c>
      <c r="E267" t="str">
        <f>IF(TRIM(Procurement_Raw!E267)="","",IFERROR(INDEX(Supplier_Lookup!$A$2:$A$25,MATCH(TRIM(Procurement_Raw!E267),Supplier_Lookup!$A$2:$A$25,0)),TRIM(Procurement_Raw!E267)))</f>
        <v>BuildCare</v>
      </c>
      <c r="F267" t="str">
        <f>IFERROR(INDEX(Category_Targets!$A$2:$A$9,MATCH(TRIM(Procurement_Raw!F267),Category_Targets!$A$2:$A$9,0)),"Unmapped")</f>
        <v>Facilities</v>
      </c>
      <c r="G267" t="str">
        <f>TRIM(Procurement_Raw!G267)</f>
        <v>INV-2025-00266</v>
      </c>
      <c r="H267" s="77">
        <f>Procurement_Raw!H267</f>
        <v>58</v>
      </c>
      <c r="I267" s="124">
        <f>Procurement_Raw!I267</f>
        <v>90.62</v>
      </c>
      <c r="J267" s="125">
        <f>IF(Procurement_Raw!J267="","",Procurement_Raw!J267)</f>
        <v>5255.97</v>
      </c>
      <c r="K267" s="77">
        <f>Procurement_Raw!K267</f>
        <v>60</v>
      </c>
      <c r="L267" t="str">
        <f>Procurement_Raw!L267</f>
        <v>ERP</v>
      </c>
      <c r="M267" t="str">
        <f>Procurement_Raw!O267</f>
        <v>N</v>
      </c>
      <c r="N267" t="str">
        <f>IF(E267="","Missing supplier",IF(B267="","Missing site",IF(J267="","Missing spend",IF(COUNTIFS($G$2:G267,G267,$E$2:E267,E267,$J$2:J267,J267)&gt;1,"Duplicate invoice",IF(COUNTIF($G$2:$G$1801,G267)&gt;1,"Duplicate ID - review",IF(AND(P267&lt;&gt;"Unmapped",P267&lt;&gt;F267),"Category mismatch","OK"))))))</f>
        <v>OK</v>
      </c>
      <c r="O267" s="125">
        <f t="shared" si="12"/>
        <v>5255.97</v>
      </c>
      <c r="P267" t="str">
        <f>IF(E267="","Unmapped",IFERROR(INDEX(Supplier_Lookup!$B$2:$B$25,MATCH(E267,Supplier_Lookup!$A$2:$A$25,0)),"Unmapped"))</f>
        <v>Facilities</v>
      </c>
      <c r="Q267" s="76">
        <f>IFERROR(INDEX(Category_Targets!$B$2:$B$9,MATCH(F267,Category_Targets!$A$2:$A$9,0)),0)</f>
        <v>0.05</v>
      </c>
      <c r="R267" s="125">
        <f t="shared" si="13"/>
        <v>262.79850000000005</v>
      </c>
      <c r="S267" s="78">
        <f t="shared" si="14"/>
        <v>45870</v>
      </c>
      <c r="T267" t="str">
        <f>IFERROR(VLOOKUP(B267,Sites!$A$2:$D$21,4,FALSE()),"Unknown")</f>
        <v>Preston</v>
      </c>
      <c r="U267" t="str">
        <f>IF(N267="OK","",COUNTIF($N$2:N267,"&lt;&gt;OK"))</f>
        <v/>
      </c>
      <c r="V267">
        <f>IF(OR(NOT(EXACT(E267,TRIM(Procurement_Raw!E267))),NOT(EXACT(F267,TRIM(Procurement_Raw!F267)))),1,0)</f>
        <v>0</v>
      </c>
    </row>
    <row r="268" spans="1:22" ht="15" customHeight="1" x14ac:dyDescent="0.25">
      <c r="A268" s="123">
        <f>Procurement_Raw!A268</f>
        <v>45768</v>
      </c>
      <c r="B268" t="str">
        <f>TRIM(Procurement_Raw!B268)</f>
        <v>S014</v>
      </c>
      <c r="C268" t="str">
        <f>Procurement_Raw!C268</f>
        <v>Southampton Care &amp; Education Centre</v>
      </c>
      <c r="D268" t="str">
        <f>Procurement_Raw!D268</f>
        <v>South</v>
      </c>
      <c r="E268" t="str">
        <f>IF(TRIM(Procurement_Raw!E268)="","",IFERROR(INDEX(Supplier_Lookup!$A$2:$A$25,MATCH(TRIM(Procurement_Raw!E268),Supplier_Lookup!$A$2:$A$25,0)),TRIM(Procurement_Raw!E268)))</f>
        <v>CareMed</v>
      </c>
      <c r="F268" t="str">
        <f>IFERROR(INDEX(Category_Targets!$A$2:$A$9,MATCH(TRIM(Procurement_Raw!F268),Category_Targets!$A$2:$A$9,0)),"Unmapped")</f>
        <v>Medical Supplies</v>
      </c>
      <c r="G268" t="str">
        <f>TRIM(Procurement_Raw!G268)</f>
        <v>INV-2025-00267</v>
      </c>
      <c r="H268" s="77">
        <f>Procurement_Raw!H268</f>
        <v>20</v>
      </c>
      <c r="I268" s="124">
        <f>Procurement_Raw!I268</f>
        <v>294.51</v>
      </c>
      <c r="J268" s="125">
        <f>IF(Procurement_Raw!J268="","",Procurement_Raw!J268)</f>
        <v>5890.23</v>
      </c>
      <c r="K268" s="77">
        <f>Procurement_Raw!K268</f>
        <v>60</v>
      </c>
      <c r="L268" t="str">
        <f>Procurement_Raw!L268</f>
        <v>Legacy Spend File</v>
      </c>
      <c r="M268" t="str">
        <f>Procurement_Raw!O268</f>
        <v>N</v>
      </c>
      <c r="N268" t="str">
        <f>IF(E268="","Missing supplier",IF(B268="","Missing site",IF(J268="","Missing spend",IF(COUNTIFS($G$2:G268,G268,$E$2:E268,E268,$J$2:J268,J268)&gt;1,"Duplicate invoice",IF(COUNTIF($G$2:$G$1801,G268)&gt;1,"Duplicate ID - review",IF(AND(P268&lt;&gt;"Unmapped",P268&lt;&gt;F268),"Category mismatch","OK"))))))</f>
        <v>OK</v>
      </c>
      <c r="O268" s="125">
        <f t="shared" si="12"/>
        <v>5890.23</v>
      </c>
      <c r="P268" t="str">
        <f>IF(E268="","Unmapped",IFERROR(INDEX(Supplier_Lookup!$B$2:$B$25,MATCH(E268,Supplier_Lookup!$A$2:$A$25,0)),"Unmapped"))</f>
        <v>Medical Supplies</v>
      </c>
      <c r="Q268" s="76">
        <f>IFERROR(INDEX(Category_Targets!$B$2:$B$9,MATCH(F268,Category_Targets!$A$2:$A$9,0)),0)</f>
        <v>0.06</v>
      </c>
      <c r="R268" s="125">
        <f t="shared" si="13"/>
        <v>353.41379999999998</v>
      </c>
      <c r="S268" s="78">
        <f t="shared" si="14"/>
        <v>45748</v>
      </c>
      <c r="T268" t="str">
        <f>IFERROR(VLOOKUP(B268,Sites!$A$2:$D$21,4,FALSE()),"Unknown")</f>
        <v>Southampton</v>
      </c>
      <c r="U268" t="str">
        <f>IF(N268="OK","",COUNTIF($N$2:N268,"&lt;&gt;OK"))</f>
        <v/>
      </c>
      <c r="V268">
        <f>IF(OR(NOT(EXACT(E268,TRIM(Procurement_Raw!E268))),NOT(EXACT(F268,TRIM(Procurement_Raw!F268)))),1,0)</f>
        <v>0</v>
      </c>
    </row>
    <row r="269" spans="1:22" ht="15" customHeight="1" x14ac:dyDescent="0.25">
      <c r="A269" s="123">
        <f>Procurement_Raw!A269</f>
        <v>45805</v>
      </c>
      <c r="B269" t="str">
        <f>TRIM(Procurement_Raw!B269)</f>
        <v>S010</v>
      </c>
      <c r="C269" t="str">
        <f>Procurement_Raw!C269</f>
        <v>Coventry Care &amp; Education Centre</v>
      </c>
      <c r="D269" t="str">
        <f>Procurement_Raw!D269</f>
        <v>Midlands</v>
      </c>
      <c r="E269" t="str">
        <f>IF(TRIM(Procurement_Raw!E269)="","",IFERROR(INDEX(Supplier_Lookup!$A$2:$A$25,MATCH(TRIM(Procurement_Raw!E269),Supplier_Lookup!$A$2:$A$25,0)),TRIM(Procurement_Raw!E269)))</f>
        <v>HealthStaffing</v>
      </c>
      <c r="F269" t="str">
        <f>IFERROR(INDEX(Category_Targets!$A$2:$A$9,MATCH(TRIM(Procurement_Raw!F269),Category_Targets!$A$2:$A$9,0)),"Unmapped")</f>
        <v>Agency Labour</v>
      </c>
      <c r="G269" t="str">
        <f>TRIM(Procurement_Raw!G269)</f>
        <v>INV-2025-00268</v>
      </c>
      <c r="H269" s="77">
        <f>Procurement_Raw!H269</f>
        <v>31</v>
      </c>
      <c r="I269" s="124">
        <f>Procurement_Raw!I269</f>
        <v>136.62</v>
      </c>
      <c r="J269" s="125">
        <f>IF(Procurement_Raw!J269="","",Procurement_Raw!J269)</f>
        <v>4235.2299999999996</v>
      </c>
      <c r="K269" s="77">
        <f>Procurement_Raw!K269</f>
        <v>45</v>
      </c>
      <c r="L269" t="str">
        <f>Procurement_Raw!L269</f>
        <v>ERP</v>
      </c>
      <c r="M269" t="str">
        <f>Procurement_Raw!O269</f>
        <v>N</v>
      </c>
      <c r="N269" t="str">
        <f>IF(E269="","Missing supplier",IF(B269="","Missing site",IF(J269="","Missing spend",IF(COUNTIFS($G$2:G269,G269,$E$2:E269,E269,$J$2:J269,J269)&gt;1,"Duplicate invoice",IF(COUNTIF($G$2:$G$1801,G269)&gt;1,"Duplicate ID - review",IF(AND(P269&lt;&gt;"Unmapped",P269&lt;&gt;F269),"Category mismatch","OK"))))))</f>
        <v>OK</v>
      </c>
      <c r="O269" s="125">
        <f t="shared" si="12"/>
        <v>4235.2299999999996</v>
      </c>
      <c r="P269" t="str">
        <f>IF(E269="","Unmapped",IFERROR(INDEX(Supplier_Lookup!$B$2:$B$25,MATCH(E269,Supplier_Lookup!$A$2:$A$25,0)),"Unmapped"))</f>
        <v>Agency Labour</v>
      </c>
      <c r="Q269" s="76">
        <f>IFERROR(INDEX(Category_Targets!$B$2:$B$9,MATCH(F269,Category_Targets!$A$2:$A$9,0)),0)</f>
        <v>7.0000000000000007E-2</v>
      </c>
      <c r="R269" s="125">
        <f t="shared" si="13"/>
        <v>296.46609999999998</v>
      </c>
      <c r="S269" s="78">
        <f t="shared" si="14"/>
        <v>45778</v>
      </c>
      <c r="T269" t="str">
        <f>IFERROR(VLOOKUP(B269,Sites!$A$2:$D$21,4,FALSE()),"Unknown")</f>
        <v>Coventry</v>
      </c>
      <c r="U269" t="str">
        <f>IF(N269="OK","",COUNTIF($N$2:N269,"&lt;&gt;OK"))</f>
        <v/>
      </c>
      <c r="V269">
        <f>IF(OR(NOT(EXACT(E269,TRIM(Procurement_Raw!E269))),NOT(EXACT(F269,TRIM(Procurement_Raw!F269)))),1,0)</f>
        <v>0</v>
      </c>
    </row>
    <row r="270" spans="1:22" ht="15" customHeight="1" x14ac:dyDescent="0.25">
      <c r="A270" s="123">
        <f>Procurement_Raw!A270</f>
        <v>45985</v>
      </c>
      <c r="B270" t="str">
        <f>TRIM(Procurement_Raw!B270)</f>
        <v>S008</v>
      </c>
      <c r="C270" t="str">
        <f>Procurement_Raw!C270</f>
        <v>Leicester Care &amp; Education Centre</v>
      </c>
      <c r="D270" t="str">
        <f>Procurement_Raw!D270</f>
        <v>Midlands</v>
      </c>
      <c r="E270" t="str">
        <f>IF(TRIM(Procurement_Raw!E270)="","",IFERROR(INDEX(Supplier_Lookup!$A$2:$A$25,MATCH(TRIM(Procurement_Raw!E270),Supplier_Lookup!$A$2:$A$25,0)),TRIM(Procurement_Raw!E270)))</f>
        <v>WaterGrid</v>
      </c>
      <c r="F270" t="str">
        <f>IFERROR(INDEX(Category_Targets!$A$2:$A$9,MATCH(TRIM(Procurement_Raw!F270),Category_Targets!$A$2:$A$9,0)),"Unmapped")</f>
        <v>Utilities</v>
      </c>
      <c r="G270" t="str">
        <f>TRIM(Procurement_Raw!G270)</f>
        <v>INV-2025-00269</v>
      </c>
      <c r="H270" s="77">
        <f>Procurement_Raw!H270</f>
        <v>80</v>
      </c>
      <c r="I270" s="124">
        <f>Procurement_Raw!I270</f>
        <v>196.26</v>
      </c>
      <c r="J270" s="125">
        <f>IF(Procurement_Raw!J270="","",Procurement_Raw!J270)</f>
        <v>15700.74</v>
      </c>
      <c r="K270" s="77">
        <f>Procurement_Raw!K270</f>
        <v>45</v>
      </c>
      <c r="L270" t="str">
        <f>Procurement_Raw!L270</f>
        <v>ERP</v>
      </c>
      <c r="M270" t="str">
        <f>Procurement_Raw!O270</f>
        <v>N</v>
      </c>
      <c r="N270" t="str">
        <f>IF(E270="","Missing supplier",IF(B270="","Missing site",IF(J270="","Missing spend",IF(COUNTIFS($G$2:G270,G270,$E$2:E270,E270,$J$2:J270,J270)&gt;1,"Duplicate invoice",IF(COUNTIF($G$2:$G$1801,G270)&gt;1,"Duplicate ID - review",IF(AND(P270&lt;&gt;"Unmapped",P270&lt;&gt;F270),"Category mismatch","OK"))))))</f>
        <v>OK</v>
      </c>
      <c r="O270" s="125">
        <f t="shared" si="12"/>
        <v>15700.74</v>
      </c>
      <c r="P270" t="str">
        <f>IF(E270="","Unmapped",IFERROR(INDEX(Supplier_Lookup!$B$2:$B$25,MATCH(E270,Supplier_Lookup!$A$2:$A$25,0)),"Unmapped"))</f>
        <v>Utilities</v>
      </c>
      <c r="Q270" s="76">
        <f>IFERROR(INDEX(Category_Targets!$B$2:$B$9,MATCH(F270,Category_Targets!$A$2:$A$9,0)),0)</f>
        <v>0.03</v>
      </c>
      <c r="R270" s="125">
        <f t="shared" si="13"/>
        <v>471.0222</v>
      </c>
      <c r="S270" s="78">
        <f t="shared" si="14"/>
        <v>45962</v>
      </c>
      <c r="T270" t="str">
        <f>IFERROR(VLOOKUP(B270,Sites!$A$2:$D$21,4,FALSE()),"Unknown")</f>
        <v>Leicester</v>
      </c>
      <c r="U270" t="str">
        <f>IF(N270="OK","",COUNTIF($N$2:N270,"&lt;&gt;OK"))</f>
        <v/>
      </c>
      <c r="V270">
        <f>IF(OR(NOT(EXACT(E270,TRIM(Procurement_Raw!E270))),NOT(EXACT(F270,TRIM(Procurement_Raw!F270)))),1,0)</f>
        <v>0</v>
      </c>
    </row>
    <row r="271" spans="1:22" ht="15" customHeight="1" x14ac:dyDescent="0.25">
      <c r="A271" s="123">
        <f>Procurement_Raw!A271</f>
        <v>45932</v>
      </c>
      <c r="B271" t="str">
        <f>TRIM(Procurement_Raw!B271)</f>
        <v>S007</v>
      </c>
      <c r="C271" t="str">
        <f>Procurement_Raw!C271</f>
        <v>Nottingham Care &amp; Education Centre</v>
      </c>
      <c r="D271" t="str">
        <f>Procurement_Raw!D271</f>
        <v>Midlands</v>
      </c>
      <c r="E271" t="str">
        <f>IF(TRIM(Procurement_Raw!E271)="","",IFERROR(INDEX(Supplier_Lookup!$A$2:$A$25,MATCH(TRIM(Procurement_Raw!E271),Supplier_Lookup!$A$2:$A$25,0)),TRIM(Procurement_Raw!E271)))</f>
        <v>PrintCo</v>
      </c>
      <c r="F271" t="str">
        <f>IFERROR(INDEX(Category_Targets!$A$2:$A$9,MATCH(TRIM(Procurement_Raw!F271),Category_Targets!$A$2:$A$9,0)),"Unmapped")</f>
        <v>Office &amp; Training</v>
      </c>
      <c r="G271" t="str">
        <f>TRIM(Procurement_Raw!G271)</f>
        <v>INV-2025-00270</v>
      </c>
      <c r="H271" s="77">
        <f>Procurement_Raw!H271</f>
        <v>3</v>
      </c>
      <c r="I271" s="124">
        <f>Procurement_Raw!I271</f>
        <v>80.59</v>
      </c>
      <c r="J271" s="125">
        <f>IF(Procurement_Raw!J271="","",Procurement_Raw!J271)</f>
        <v>241.78</v>
      </c>
      <c r="K271" s="77">
        <f>Procurement_Raw!K271</f>
        <v>60</v>
      </c>
      <c r="L271" t="str">
        <f>Procurement_Raw!L271</f>
        <v>Legacy Spend File</v>
      </c>
      <c r="M271" t="str">
        <f>Procurement_Raw!O271</f>
        <v>N</v>
      </c>
      <c r="N271" t="str">
        <f>IF(E271="","Missing supplier",IF(B271="","Missing site",IF(J271="","Missing spend",IF(COUNTIFS($G$2:G271,G271,$E$2:E271,E271,$J$2:J271,J271)&gt;1,"Duplicate invoice",IF(COUNTIF($G$2:$G$1801,G271)&gt;1,"Duplicate ID - review",IF(AND(P271&lt;&gt;"Unmapped",P271&lt;&gt;F271),"Category mismatch","OK"))))))</f>
        <v>OK</v>
      </c>
      <c r="O271" s="125">
        <f t="shared" si="12"/>
        <v>241.78</v>
      </c>
      <c r="P271" t="str">
        <f>IF(E271="","Unmapped",IFERROR(INDEX(Supplier_Lookup!$B$2:$B$25,MATCH(E271,Supplier_Lookup!$A$2:$A$25,0)),"Unmapped"))</f>
        <v>Office &amp; Training</v>
      </c>
      <c r="Q271" s="76">
        <f>IFERROR(INDEX(Category_Targets!$B$2:$B$9,MATCH(F271,Category_Targets!$A$2:$A$9,0)),0)</f>
        <v>0.04</v>
      </c>
      <c r="R271" s="125">
        <f t="shared" si="13"/>
        <v>9.6712000000000007</v>
      </c>
      <c r="S271" s="78">
        <f t="shared" si="14"/>
        <v>45931</v>
      </c>
      <c r="T271" t="str">
        <f>IFERROR(VLOOKUP(B271,Sites!$A$2:$D$21,4,FALSE()),"Unknown")</f>
        <v>Nottingham</v>
      </c>
      <c r="U271" t="str">
        <f>IF(N271="OK","",COUNTIF($N$2:N271,"&lt;&gt;OK"))</f>
        <v/>
      </c>
      <c r="V271">
        <f>IF(OR(NOT(EXACT(E271,TRIM(Procurement_Raw!E271))),NOT(EXACT(F271,TRIM(Procurement_Raw!F271)))),1,0)</f>
        <v>0</v>
      </c>
    </row>
    <row r="272" spans="1:22" ht="15" customHeight="1" x14ac:dyDescent="0.25">
      <c r="A272" s="123">
        <f>Procurement_Raw!A272</f>
        <v>45731</v>
      </c>
      <c r="B272" t="str">
        <f>TRIM(Procurement_Raw!B272)</f>
        <v>S017</v>
      </c>
      <c r="C272" t="str">
        <f>Procurement_Raw!C272</f>
        <v>Swansea Care &amp; Education Centre</v>
      </c>
      <c r="D272" t="str">
        <f>Procurement_Raw!D272</f>
        <v>Wales</v>
      </c>
      <c r="E272" t="str">
        <f>IF(TRIM(Procurement_Raw!E272)="","",IFERROR(INDEX(Supplier_Lookup!$A$2:$A$25,MATCH(TRIM(Procurement_Raw!E272),Supplier_Lookup!$A$2:$A$25,0)),TRIM(Procurement_Raw!E272)))</f>
        <v>PowerDirect</v>
      </c>
      <c r="F272" t="str">
        <f>IFERROR(INDEX(Category_Targets!$A$2:$A$9,MATCH(TRIM(Procurement_Raw!F272),Category_Targets!$A$2:$A$9,0)),"Unmapped")</f>
        <v>Utilities</v>
      </c>
      <c r="G272" t="str">
        <f>TRIM(Procurement_Raw!G272)</f>
        <v>INV-2025-00271</v>
      </c>
      <c r="H272" s="77">
        <f>Procurement_Raw!H272</f>
        <v>38</v>
      </c>
      <c r="I272" s="124">
        <f>Procurement_Raw!I272</f>
        <v>552.34</v>
      </c>
      <c r="J272" s="125">
        <f>IF(Procurement_Raw!J272="","",Procurement_Raw!J272)</f>
        <v>20988.87</v>
      </c>
      <c r="K272" s="77">
        <f>Procurement_Raw!K272</f>
        <v>45</v>
      </c>
      <c r="L272" t="str">
        <f>Procurement_Raw!L272</f>
        <v>ERP</v>
      </c>
      <c r="M272" t="str">
        <f>Procurement_Raw!O272</f>
        <v>N</v>
      </c>
      <c r="N272" t="str">
        <f>IF(E272="","Missing supplier",IF(B272="","Missing site",IF(J272="","Missing spend",IF(COUNTIFS($G$2:G272,G272,$E$2:E272,E272,$J$2:J272,J272)&gt;1,"Duplicate invoice",IF(COUNTIF($G$2:$G$1801,G272)&gt;1,"Duplicate ID - review",IF(AND(P272&lt;&gt;"Unmapped",P272&lt;&gt;F272),"Category mismatch","OK"))))))</f>
        <v>OK</v>
      </c>
      <c r="O272" s="125">
        <f t="shared" si="12"/>
        <v>20988.87</v>
      </c>
      <c r="P272" t="str">
        <f>IF(E272="","Unmapped",IFERROR(INDEX(Supplier_Lookup!$B$2:$B$25,MATCH(E272,Supplier_Lookup!$A$2:$A$25,0)),"Unmapped"))</f>
        <v>Utilities</v>
      </c>
      <c r="Q272" s="76">
        <f>IFERROR(INDEX(Category_Targets!$B$2:$B$9,MATCH(F272,Category_Targets!$A$2:$A$9,0)),0)</f>
        <v>0.03</v>
      </c>
      <c r="R272" s="125">
        <f t="shared" si="13"/>
        <v>629.66609999999991</v>
      </c>
      <c r="S272" s="78">
        <f t="shared" si="14"/>
        <v>45717</v>
      </c>
      <c r="T272" t="str">
        <f>IFERROR(VLOOKUP(B272,Sites!$A$2:$D$21,4,FALSE()),"Unknown")</f>
        <v>Swansea</v>
      </c>
      <c r="U272" t="str">
        <f>IF(N272="OK","",COUNTIF($N$2:N272,"&lt;&gt;OK"))</f>
        <v/>
      </c>
      <c r="V272">
        <f>IF(OR(NOT(EXACT(E272,TRIM(Procurement_Raw!E272))),NOT(EXACT(F272,TRIM(Procurement_Raw!F272)))),1,0)</f>
        <v>0</v>
      </c>
    </row>
    <row r="273" spans="1:22" ht="15" customHeight="1" x14ac:dyDescent="0.25">
      <c r="A273" s="123">
        <f>Procurement_Raw!A273</f>
        <v>45950</v>
      </c>
      <c r="B273" t="str">
        <f>TRIM(Procurement_Raw!B273)</f>
        <v>S011</v>
      </c>
      <c r="C273" t="str">
        <f>Procurement_Raw!C273</f>
        <v>London Care &amp; Education Centre</v>
      </c>
      <c r="D273" t="str">
        <f>Procurement_Raw!D273</f>
        <v>South</v>
      </c>
      <c r="E273" t="str">
        <f>IF(TRIM(Procurement_Raw!E273)="","",IFERROR(INDEX(Supplier_Lookup!$A$2:$A$25,MATCH(TRIM(Procurement_Raw!E273),Supplier_Lookup!$A$2:$A$25,0)),TRIM(Procurement_Raw!E273)))</f>
        <v>FleetFuel</v>
      </c>
      <c r="F273" t="str">
        <f>IFERROR(INDEX(Category_Targets!$A$2:$A$9,MATCH(TRIM(Procurement_Raw!F273),Category_Targets!$A$2:$A$9,0)),"Unmapped")</f>
        <v>Vehicle &amp; Fuel</v>
      </c>
      <c r="G273" t="str">
        <f>TRIM(Procurement_Raw!G273)</f>
        <v>INV-2025-00272</v>
      </c>
      <c r="H273" s="77">
        <f>Procurement_Raw!H273</f>
        <v>54</v>
      </c>
      <c r="I273" s="124">
        <f>Procurement_Raw!I273</f>
        <v>43.13</v>
      </c>
      <c r="J273" s="125">
        <f>IF(Procurement_Raw!J273="","",Procurement_Raw!J273)</f>
        <v>2328.87</v>
      </c>
      <c r="K273" s="77">
        <f>Procurement_Raw!K273</f>
        <v>30</v>
      </c>
      <c r="L273" t="str">
        <f>Procurement_Raw!L273</f>
        <v>Legacy Spend File</v>
      </c>
      <c r="M273" t="str">
        <f>Procurement_Raw!O273</f>
        <v>Y</v>
      </c>
      <c r="N273" t="str">
        <f>IF(E273="","Missing supplier",IF(B273="","Missing site",IF(J273="","Missing spend",IF(COUNTIFS($G$2:G273,G273,$E$2:E273,E273,$J$2:J273,J273)&gt;1,"Duplicate invoice",IF(COUNTIF($G$2:$G$1801,G273)&gt;1,"Duplicate ID - review",IF(AND(P273&lt;&gt;"Unmapped",P273&lt;&gt;F273),"Category mismatch","OK"))))))</f>
        <v>OK</v>
      </c>
      <c r="O273" s="125">
        <f t="shared" si="12"/>
        <v>2328.87</v>
      </c>
      <c r="P273" t="str">
        <f>IF(E273="","Unmapped",IFERROR(INDEX(Supplier_Lookup!$B$2:$B$25,MATCH(E273,Supplier_Lookup!$A$2:$A$25,0)),"Unmapped"))</f>
        <v>Vehicle &amp; Fuel</v>
      </c>
      <c r="Q273" s="76">
        <f>IFERROR(INDEX(Category_Targets!$B$2:$B$9,MATCH(F273,Category_Targets!$A$2:$A$9,0)),0)</f>
        <v>0.05</v>
      </c>
      <c r="R273" s="125">
        <f t="shared" si="13"/>
        <v>116.4435</v>
      </c>
      <c r="S273" s="78">
        <f t="shared" si="14"/>
        <v>45931</v>
      </c>
      <c r="T273" t="str">
        <f>IFERROR(VLOOKUP(B273,Sites!$A$2:$D$21,4,FALSE()),"Unknown")</f>
        <v>London</v>
      </c>
      <c r="U273" t="str">
        <f>IF(N273="OK","",COUNTIF($N$2:N273,"&lt;&gt;OK"))</f>
        <v/>
      </c>
      <c r="V273">
        <f>IF(OR(NOT(EXACT(E273,TRIM(Procurement_Raw!E273))),NOT(EXACT(F273,TRIM(Procurement_Raw!F273)))),1,0)</f>
        <v>0</v>
      </c>
    </row>
    <row r="274" spans="1:22" ht="15" customHeight="1" x14ac:dyDescent="0.25">
      <c r="A274" s="123">
        <f>Procurement_Raw!A274</f>
        <v>45842</v>
      </c>
      <c r="B274" t="str">
        <f>TRIM(Procurement_Raw!B274)</f>
        <v>S014</v>
      </c>
      <c r="C274" t="str">
        <f>Procurement_Raw!C274</f>
        <v>Southampton Care &amp; Education Centre</v>
      </c>
      <c r="D274" t="str">
        <f>Procurement_Raw!D274</f>
        <v>South</v>
      </c>
      <c r="E274" t="str">
        <f>IF(TRIM(Procurement_Raw!E274)="","",IFERROR(INDEX(Supplier_Lookup!$A$2:$A$25,MATCH(TRIM(Procurement_Raw!E274),Supplier_Lookup!$A$2:$A$25,0)),TRIM(Procurement_Raw!E274)))</f>
        <v>KitchenPro</v>
      </c>
      <c r="F274" t="str">
        <f>IFERROR(INDEX(Category_Targets!$A$2:$A$9,MATCH(TRIM(Procurement_Raw!F274),Category_Targets!$A$2:$A$9,0)),"Unmapped")</f>
        <v>Food &amp; Catering</v>
      </c>
      <c r="G274" t="str">
        <f>TRIM(Procurement_Raw!G274)</f>
        <v>INV-2025-00273</v>
      </c>
      <c r="H274" s="77">
        <f>Procurement_Raw!H274</f>
        <v>9</v>
      </c>
      <c r="I274" s="124">
        <f>Procurement_Raw!I274</f>
        <v>123.24</v>
      </c>
      <c r="J274" s="125">
        <f>IF(Procurement_Raw!J274="","",Procurement_Raw!J274)</f>
        <v>1109.1500000000001</v>
      </c>
      <c r="K274" s="77">
        <f>Procurement_Raw!K274</f>
        <v>60</v>
      </c>
      <c r="L274" t="str">
        <f>Procurement_Raw!L274</f>
        <v>Legacy Spend File</v>
      </c>
      <c r="M274" t="str">
        <f>Procurement_Raw!O274</f>
        <v>N</v>
      </c>
      <c r="N274" t="str">
        <f>IF(E274="","Missing supplier",IF(B274="","Missing site",IF(J274="","Missing spend",IF(COUNTIFS($G$2:G274,G274,$E$2:E274,E274,$J$2:J274,J274)&gt;1,"Duplicate invoice",IF(COUNTIF($G$2:$G$1801,G274)&gt;1,"Duplicate ID - review",IF(AND(P274&lt;&gt;"Unmapped",P274&lt;&gt;F274),"Category mismatch","OK"))))))</f>
        <v>OK</v>
      </c>
      <c r="O274" s="125">
        <f t="shared" si="12"/>
        <v>1109.1500000000001</v>
      </c>
      <c r="P274" t="str">
        <f>IF(E274="","Unmapped",IFERROR(INDEX(Supplier_Lookup!$B$2:$B$25,MATCH(E274,Supplier_Lookup!$A$2:$A$25,0)),"Unmapped"))</f>
        <v>Food &amp; Catering</v>
      </c>
      <c r="Q274" s="76">
        <f>IFERROR(INDEX(Category_Targets!$B$2:$B$9,MATCH(F274,Category_Targets!$A$2:$A$9,0)),0)</f>
        <v>0.04</v>
      </c>
      <c r="R274" s="125">
        <f t="shared" si="13"/>
        <v>44.366000000000007</v>
      </c>
      <c r="S274" s="78">
        <f t="shared" si="14"/>
        <v>45839</v>
      </c>
      <c r="T274" t="str">
        <f>IFERROR(VLOOKUP(B274,Sites!$A$2:$D$21,4,FALSE()),"Unknown")</f>
        <v>Southampton</v>
      </c>
      <c r="U274" t="str">
        <f>IF(N274="OK","",COUNTIF($N$2:N274,"&lt;&gt;OK"))</f>
        <v/>
      </c>
      <c r="V274">
        <f>IF(OR(NOT(EXACT(E274,TRIM(Procurement_Raw!E274))),NOT(EXACT(F274,TRIM(Procurement_Raw!F274)))),1,0)</f>
        <v>0</v>
      </c>
    </row>
    <row r="275" spans="1:22" ht="15" customHeight="1" x14ac:dyDescent="0.25">
      <c r="A275" s="123">
        <f>Procurement_Raw!A275</f>
        <v>45898</v>
      </c>
      <c r="B275" t="str">
        <f>TRIM(Procurement_Raw!B275)</f>
        <v>S006</v>
      </c>
      <c r="C275" t="str">
        <f>Procurement_Raw!C275</f>
        <v>Birmingham Care &amp; Education Centre</v>
      </c>
      <c r="D275" t="str">
        <f>Procurement_Raw!D275</f>
        <v>Midlands</v>
      </c>
      <c r="E275" t="str">
        <f>IF(TRIM(Procurement_Raw!E275)="","",IFERROR(INDEX(Supplier_Lookup!$A$2:$A$25,MATCH(TRIM(Procurement_Raw!E275),Supplier_Lookup!$A$2:$A$25,0)),TRIM(Procurement_Raw!E275)))</f>
        <v>CareMed</v>
      </c>
      <c r="F275" t="str">
        <f>IFERROR(INDEX(Category_Targets!$A$2:$A$9,MATCH(TRIM(Procurement_Raw!F275),Category_Targets!$A$2:$A$9,0)),"Unmapped")</f>
        <v>Medical Supplies</v>
      </c>
      <c r="G275" t="str">
        <f>TRIM(Procurement_Raw!G275)</f>
        <v>INV-2025-00274</v>
      </c>
      <c r="H275" s="77">
        <f>Procurement_Raw!H275</f>
        <v>6</v>
      </c>
      <c r="I275" s="124">
        <f>Procurement_Raw!I275</f>
        <v>120.68</v>
      </c>
      <c r="J275" s="125">
        <f>IF(Procurement_Raw!J275="","",Procurement_Raw!J275)</f>
        <v>724.06</v>
      </c>
      <c r="K275" s="77">
        <f>Procurement_Raw!K275</f>
        <v>60</v>
      </c>
      <c r="L275" t="str">
        <f>Procurement_Raw!L275</f>
        <v>Procurement Portal</v>
      </c>
      <c r="M275" t="str">
        <f>Procurement_Raw!O275</f>
        <v>N</v>
      </c>
      <c r="N275" t="str">
        <f>IF(E275="","Missing supplier",IF(B275="","Missing site",IF(J275="","Missing spend",IF(COUNTIFS($G$2:G275,G275,$E$2:E275,E275,$J$2:J275,J275)&gt;1,"Duplicate invoice",IF(COUNTIF($G$2:$G$1801,G275)&gt;1,"Duplicate ID - review",IF(AND(P275&lt;&gt;"Unmapped",P275&lt;&gt;F275),"Category mismatch","OK"))))))</f>
        <v>OK</v>
      </c>
      <c r="O275" s="125">
        <f t="shared" si="12"/>
        <v>724.06</v>
      </c>
      <c r="P275" t="str">
        <f>IF(E275="","Unmapped",IFERROR(INDEX(Supplier_Lookup!$B$2:$B$25,MATCH(E275,Supplier_Lookup!$A$2:$A$25,0)),"Unmapped"))</f>
        <v>Medical Supplies</v>
      </c>
      <c r="Q275" s="76">
        <f>IFERROR(INDEX(Category_Targets!$B$2:$B$9,MATCH(F275,Category_Targets!$A$2:$A$9,0)),0)</f>
        <v>0.06</v>
      </c>
      <c r="R275" s="125">
        <f t="shared" si="13"/>
        <v>43.443599999999996</v>
      </c>
      <c r="S275" s="78">
        <f t="shared" si="14"/>
        <v>45870</v>
      </c>
      <c r="T275" t="str">
        <f>IFERROR(VLOOKUP(B275,Sites!$A$2:$D$21,4,FALSE()),"Unknown")</f>
        <v>Birmingham</v>
      </c>
      <c r="U275" t="str">
        <f>IF(N275="OK","",COUNTIF($N$2:N275,"&lt;&gt;OK"))</f>
        <v/>
      </c>
      <c r="V275">
        <f>IF(OR(NOT(EXACT(E275,TRIM(Procurement_Raw!E275))),NOT(EXACT(F275,TRIM(Procurement_Raw!F275)))),1,0)</f>
        <v>0</v>
      </c>
    </row>
    <row r="276" spans="1:22" ht="15" customHeight="1" x14ac:dyDescent="0.25">
      <c r="A276" s="123">
        <f>Procurement_Raw!A276</f>
        <v>45666</v>
      </c>
      <c r="B276" t="str">
        <f>TRIM(Procurement_Raw!B276)</f>
        <v>S019</v>
      </c>
      <c r="C276" t="str">
        <f>Procurement_Raw!C276</f>
        <v>Wrexham Care &amp; Education Centre</v>
      </c>
      <c r="D276" t="str">
        <f>Procurement_Raw!D276</f>
        <v>Wales</v>
      </c>
      <c r="E276" t="str">
        <f>IF(TRIM(Procurement_Raw!E276)="","",IFERROR(INDEX(Supplier_Lookup!$A$2:$A$25,MATCH(TRIM(Procurement_Raw!E276),Supplier_Lookup!$A$2:$A$25,0)),TRIM(Procurement_Raw!E276)))</f>
        <v>NetServe</v>
      </c>
      <c r="F276" t="str">
        <f>IFERROR(INDEX(Category_Targets!$A$2:$A$9,MATCH(TRIM(Procurement_Raw!F276),Category_Targets!$A$2:$A$9,0)),"Unmapped")</f>
        <v>IT &amp; Telecoms</v>
      </c>
      <c r="G276" t="str">
        <f>TRIM(Procurement_Raw!G276)</f>
        <v>INV-2025-00275</v>
      </c>
      <c r="H276" s="77">
        <f>Procurement_Raw!H276</f>
        <v>46</v>
      </c>
      <c r="I276" s="124">
        <f>Procurement_Raw!I276</f>
        <v>128.22999999999999</v>
      </c>
      <c r="J276" s="125">
        <f>IF(Procurement_Raw!J276="","",Procurement_Raw!J276)</f>
        <v>5898.42</v>
      </c>
      <c r="K276" s="77">
        <f>Procurement_Raw!K276</f>
        <v>30</v>
      </c>
      <c r="L276" t="str">
        <f>Procurement_Raw!L276</f>
        <v>Procurement Portal</v>
      </c>
      <c r="M276" t="str">
        <f>Procurement_Raw!O276</f>
        <v>N</v>
      </c>
      <c r="N276" t="str">
        <f>IF(E276="","Missing supplier",IF(B276="","Missing site",IF(J276="","Missing spend",IF(COUNTIFS($G$2:G276,G276,$E$2:E276,E276,$J$2:J276,J276)&gt;1,"Duplicate invoice",IF(COUNTIF($G$2:$G$1801,G276)&gt;1,"Duplicate ID - review",IF(AND(P276&lt;&gt;"Unmapped",P276&lt;&gt;F276),"Category mismatch","OK"))))))</f>
        <v>OK</v>
      </c>
      <c r="O276" s="125">
        <f t="shared" si="12"/>
        <v>5898.42</v>
      </c>
      <c r="P276" t="str">
        <f>IF(E276="","Unmapped",IFERROR(INDEX(Supplier_Lookup!$B$2:$B$25,MATCH(E276,Supplier_Lookup!$A$2:$A$25,0)),"Unmapped"))</f>
        <v>IT &amp; Telecoms</v>
      </c>
      <c r="Q276" s="76">
        <f>IFERROR(INDEX(Category_Targets!$B$2:$B$9,MATCH(F276,Category_Targets!$A$2:$A$9,0)),0)</f>
        <v>0.08</v>
      </c>
      <c r="R276" s="125">
        <f t="shared" si="13"/>
        <v>471.87360000000001</v>
      </c>
      <c r="S276" s="78">
        <f t="shared" si="14"/>
        <v>45658</v>
      </c>
      <c r="T276" t="str">
        <f>IFERROR(VLOOKUP(B276,Sites!$A$2:$D$21,4,FALSE()),"Unknown")</f>
        <v>Wrexham</v>
      </c>
      <c r="U276" t="str">
        <f>IF(N276="OK","",COUNTIF($N$2:N276,"&lt;&gt;OK"))</f>
        <v/>
      </c>
      <c r="V276">
        <f>IF(OR(NOT(EXACT(E276,TRIM(Procurement_Raw!E276))),NOT(EXACT(F276,TRIM(Procurement_Raw!F276)))),1,0)</f>
        <v>1</v>
      </c>
    </row>
    <row r="277" spans="1:22" ht="15" customHeight="1" x14ac:dyDescent="0.25">
      <c r="A277" s="123">
        <f>Procurement_Raw!A277</f>
        <v>45828</v>
      </c>
      <c r="B277" t="str">
        <f>TRIM(Procurement_Raw!B277)</f>
        <v>S016</v>
      </c>
      <c r="C277" t="str">
        <f>Procurement_Raw!C277</f>
        <v>Cardiff Care &amp; Education Centre</v>
      </c>
      <c r="D277" t="str">
        <f>Procurement_Raw!D277</f>
        <v>Wales</v>
      </c>
      <c r="E277" t="str">
        <f>IF(TRIM(Procurement_Raw!E277)="","",IFERROR(INDEX(Supplier_Lookup!$A$2:$A$25,MATCH(TRIM(Procurement_Raw!E277),Supplier_Lookup!$A$2:$A$25,0)),TRIM(Procurement_Raw!E277)))</f>
        <v>KitchenPro</v>
      </c>
      <c r="F277" t="str">
        <f>IFERROR(INDEX(Category_Targets!$A$2:$A$9,MATCH(TRIM(Procurement_Raw!F277),Category_Targets!$A$2:$A$9,0)),"Unmapped")</f>
        <v>Food &amp; Catering</v>
      </c>
      <c r="G277" t="str">
        <f>TRIM(Procurement_Raw!G277)</f>
        <v>INV-2025-00276</v>
      </c>
      <c r="H277" s="77">
        <f>Procurement_Raw!H277</f>
        <v>18</v>
      </c>
      <c r="I277" s="124">
        <f>Procurement_Raw!I277</f>
        <v>83.81</v>
      </c>
      <c r="J277" s="125">
        <f>IF(Procurement_Raw!J277="","",Procurement_Raw!J277)</f>
        <v>1508.57</v>
      </c>
      <c r="K277" s="77">
        <f>Procurement_Raw!K277</f>
        <v>30</v>
      </c>
      <c r="L277" t="str">
        <f>Procurement_Raw!L277</f>
        <v>Procurement Portal</v>
      </c>
      <c r="M277" t="str">
        <f>Procurement_Raw!O277</f>
        <v>N</v>
      </c>
      <c r="N277" t="str">
        <f>IF(E277="","Missing supplier",IF(B277="","Missing site",IF(J277="","Missing spend",IF(COUNTIFS($G$2:G277,G277,$E$2:E277,E277,$J$2:J277,J277)&gt;1,"Duplicate invoice",IF(COUNTIF($G$2:$G$1801,G277)&gt;1,"Duplicate ID - review",IF(AND(P277&lt;&gt;"Unmapped",P277&lt;&gt;F277),"Category mismatch","OK"))))))</f>
        <v>OK</v>
      </c>
      <c r="O277" s="125">
        <f t="shared" si="12"/>
        <v>1508.57</v>
      </c>
      <c r="P277" t="str">
        <f>IF(E277="","Unmapped",IFERROR(INDEX(Supplier_Lookup!$B$2:$B$25,MATCH(E277,Supplier_Lookup!$A$2:$A$25,0)),"Unmapped"))</f>
        <v>Food &amp; Catering</v>
      </c>
      <c r="Q277" s="76">
        <f>IFERROR(INDEX(Category_Targets!$B$2:$B$9,MATCH(F277,Category_Targets!$A$2:$A$9,0)),0)</f>
        <v>0.04</v>
      </c>
      <c r="R277" s="125">
        <f t="shared" si="13"/>
        <v>60.342799999999997</v>
      </c>
      <c r="S277" s="78">
        <f t="shared" si="14"/>
        <v>45809</v>
      </c>
      <c r="T277" t="str">
        <f>IFERROR(VLOOKUP(B277,Sites!$A$2:$D$21,4,FALSE()),"Unknown")</f>
        <v>Cardiff</v>
      </c>
      <c r="U277" t="str">
        <f>IF(N277="OK","",COUNTIF($N$2:N277,"&lt;&gt;OK"))</f>
        <v/>
      </c>
      <c r="V277">
        <f>IF(OR(NOT(EXACT(E277,TRIM(Procurement_Raw!E277))),NOT(EXACT(F277,TRIM(Procurement_Raw!F277)))),1,0)</f>
        <v>0</v>
      </c>
    </row>
    <row r="278" spans="1:22" ht="15" customHeight="1" x14ac:dyDescent="0.25">
      <c r="A278" s="123">
        <f>Procurement_Raw!A278</f>
        <v>45747</v>
      </c>
      <c r="B278" t="str">
        <f>TRIM(Procurement_Raw!B278)</f>
        <v>S013</v>
      </c>
      <c r="C278" t="str">
        <f>Procurement_Raw!C278</f>
        <v>Reading Care &amp; Education Centre</v>
      </c>
      <c r="D278" t="str">
        <f>Procurement_Raw!D278</f>
        <v>South</v>
      </c>
      <c r="E278" t="str">
        <f>IF(TRIM(Procurement_Raw!E278)="","",IFERROR(INDEX(Supplier_Lookup!$A$2:$A$25,MATCH(TRIM(Procurement_Raw!E278),Supplier_Lookup!$A$2:$A$25,0)),TRIM(Procurement_Raw!E278)))</f>
        <v>AutoCare</v>
      </c>
      <c r="F278" t="str">
        <f>IFERROR(INDEX(Category_Targets!$A$2:$A$9,MATCH(TRIM(Procurement_Raw!F278),Category_Targets!$A$2:$A$9,0)),"Unmapped")</f>
        <v>Vehicle &amp; Fuel</v>
      </c>
      <c r="G278" t="str">
        <f>TRIM(Procurement_Raw!G278)</f>
        <v>INV-2025-00277</v>
      </c>
      <c r="H278" s="77">
        <f>Procurement_Raw!H278</f>
        <v>60</v>
      </c>
      <c r="I278" s="124">
        <f>Procurement_Raw!I278</f>
        <v>105.99</v>
      </c>
      <c r="J278" s="125">
        <f>IF(Procurement_Raw!J278="","",Procurement_Raw!J278)</f>
        <v>6359.5</v>
      </c>
      <c r="K278" s="77">
        <f>Procurement_Raw!K278</f>
        <v>60</v>
      </c>
      <c r="L278" t="str">
        <f>Procurement_Raw!L278</f>
        <v>Procurement Portal</v>
      </c>
      <c r="M278" t="str">
        <f>Procurement_Raw!O278</f>
        <v>N</v>
      </c>
      <c r="N278" t="str">
        <f>IF(E278="","Missing supplier",IF(B278="","Missing site",IF(J278="","Missing spend",IF(COUNTIFS($G$2:G278,G278,$E$2:E278,E278,$J$2:J278,J278)&gt;1,"Duplicate invoice",IF(COUNTIF($G$2:$G$1801,G278)&gt;1,"Duplicate ID - review",IF(AND(P278&lt;&gt;"Unmapped",P278&lt;&gt;F278),"Category mismatch","OK"))))))</f>
        <v>OK</v>
      </c>
      <c r="O278" s="125">
        <f t="shared" si="12"/>
        <v>6359.5</v>
      </c>
      <c r="P278" t="str">
        <f>IF(E278="","Unmapped",IFERROR(INDEX(Supplier_Lookup!$B$2:$B$25,MATCH(E278,Supplier_Lookup!$A$2:$A$25,0)),"Unmapped"))</f>
        <v>Vehicle &amp; Fuel</v>
      </c>
      <c r="Q278" s="76">
        <f>IFERROR(INDEX(Category_Targets!$B$2:$B$9,MATCH(F278,Category_Targets!$A$2:$A$9,0)),0)</f>
        <v>0.05</v>
      </c>
      <c r="R278" s="125">
        <f t="shared" si="13"/>
        <v>317.97500000000002</v>
      </c>
      <c r="S278" s="78">
        <f t="shared" si="14"/>
        <v>45717</v>
      </c>
      <c r="T278" t="str">
        <f>IFERROR(VLOOKUP(B278,Sites!$A$2:$D$21,4,FALSE()),"Unknown")</f>
        <v>Reading</v>
      </c>
      <c r="U278" t="str">
        <f>IF(N278="OK","",COUNTIF($N$2:N278,"&lt;&gt;OK"))</f>
        <v/>
      </c>
      <c r="V278">
        <f>IF(OR(NOT(EXACT(E278,TRIM(Procurement_Raw!E278))),NOT(EXACT(F278,TRIM(Procurement_Raw!F278)))),1,0)</f>
        <v>0</v>
      </c>
    </row>
    <row r="279" spans="1:22" ht="15" customHeight="1" x14ac:dyDescent="0.25">
      <c r="A279" s="123">
        <f>Procurement_Raw!A279</f>
        <v>45690</v>
      </c>
      <c r="B279" t="str">
        <f>TRIM(Procurement_Raw!B279)</f>
        <v>S007</v>
      </c>
      <c r="C279" t="str">
        <f>Procurement_Raw!C279</f>
        <v>Nottingham Care &amp; Education Centre</v>
      </c>
      <c r="D279" t="str">
        <f>Procurement_Raw!D279</f>
        <v>Midlands</v>
      </c>
      <c r="E279" t="str">
        <f>IF(TRIM(Procurement_Raw!E279)="","",IFERROR(INDEX(Supplier_Lookup!$A$2:$A$25,MATCH(TRIM(Procurement_Raw!E279),Supplier_Lookup!$A$2:$A$25,0)),TRIM(Procurement_Raw!E279)))</f>
        <v>CleanWorks</v>
      </c>
      <c r="F279" t="str">
        <f>IFERROR(INDEX(Category_Targets!$A$2:$A$9,MATCH(TRIM(Procurement_Raw!F279),Category_Targets!$A$2:$A$9,0)),"Unmapped")</f>
        <v>Facilities</v>
      </c>
      <c r="G279" t="str">
        <f>TRIM(Procurement_Raw!G279)</f>
        <v>INV-2025-00278</v>
      </c>
      <c r="H279" s="77">
        <f>Procurement_Raw!H279</f>
        <v>59</v>
      </c>
      <c r="I279" s="124">
        <f>Procurement_Raw!I279</f>
        <v>129.38999999999999</v>
      </c>
      <c r="J279" s="125">
        <f>IF(Procurement_Raw!J279="","",Procurement_Raw!J279)</f>
        <v>7634.06</v>
      </c>
      <c r="K279" s="77">
        <f>Procurement_Raw!K279</f>
        <v>30</v>
      </c>
      <c r="L279" t="str">
        <f>Procurement_Raw!L279</f>
        <v>Procurement Portal</v>
      </c>
      <c r="M279" t="str">
        <f>Procurement_Raw!O279</f>
        <v>Y</v>
      </c>
      <c r="N279" t="str">
        <f>IF(E279="","Missing supplier",IF(B279="","Missing site",IF(J279="","Missing spend",IF(COUNTIFS($G$2:G279,G279,$E$2:E279,E279,$J$2:J279,J279)&gt;1,"Duplicate invoice",IF(COUNTIF($G$2:$G$1801,G279)&gt;1,"Duplicate ID - review",IF(AND(P279&lt;&gt;"Unmapped",P279&lt;&gt;F279),"Category mismatch","OK"))))))</f>
        <v>OK</v>
      </c>
      <c r="O279" s="125">
        <f t="shared" si="12"/>
        <v>7634.06</v>
      </c>
      <c r="P279" t="str">
        <f>IF(E279="","Unmapped",IFERROR(INDEX(Supplier_Lookup!$B$2:$B$25,MATCH(E279,Supplier_Lookup!$A$2:$A$25,0)),"Unmapped"))</f>
        <v>Facilities</v>
      </c>
      <c r="Q279" s="76">
        <f>IFERROR(INDEX(Category_Targets!$B$2:$B$9,MATCH(F279,Category_Targets!$A$2:$A$9,0)),0)</f>
        <v>0.05</v>
      </c>
      <c r="R279" s="125">
        <f t="shared" si="13"/>
        <v>381.70300000000003</v>
      </c>
      <c r="S279" s="78">
        <f t="shared" si="14"/>
        <v>45689</v>
      </c>
      <c r="T279" t="str">
        <f>IFERROR(VLOOKUP(B279,Sites!$A$2:$D$21,4,FALSE()),"Unknown")</f>
        <v>Nottingham</v>
      </c>
      <c r="U279" t="str">
        <f>IF(N279="OK","",COUNTIF($N$2:N279,"&lt;&gt;OK"))</f>
        <v/>
      </c>
      <c r="V279">
        <f>IF(OR(NOT(EXACT(E279,TRIM(Procurement_Raw!E279))),NOT(EXACT(F279,TRIM(Procurement_Raw!F279)))),1,0)</f>
        <v>0</v>
      </c>
    </row>
    <row r="280" spans="1:22" ht="15" customHeight="1" x14ac:dyDescent="0.25">
      <c r="A280" s="123">
        <f>Procurement_Raw!A280</f>
        <v>45679</v>
      </c>
      <c r="B280" t="str">
        <f>TRIM(Procurement_Raw!B280)</f>
        <v>S014</v>
      </c>
      <c r="C280" t="str">
        <f>Procurement_Raw!C280</f>
        <v>Southampton Care &amp; Education Centre</v>
      </c>
      <c r="D280" t="str">
        <f>Procurement_Raw!D280</f>
        <v>South</v>
      </c>
      <c r="E280" t="str">
        <f>IF(TRIM(Procurement_Raw!E280)="","",IFERROR(INDEX(Supplier_Lookup!$A$2:$A$25,MATCH(TRIM(Procurement_Raw!E280),Supplier_Lookup!$A$2:$A$25,0)),TRIM(Procurement_Raw!E280)))</f>
        <v>MediSure</v>
      </c>
      <c r="F280" t="str">
        <f>IFERROR(INDEX(Category_Targets!$A$2:$A$9,MATCH(TRIM(Procurement_Raw!F280),Category_Targets!$A$2:$A$9,0)),"Unmapped")</f>
        <v>Medical Supplies</v>
      </c>
      <c r="G280" t="str">
        <f>TRIM(Procurement_Raw!G280)</f>
        <v>INV-2025-00279</v>
      </c>
      <c r="H280" s="77">
        <f>Procurement_Raw!H280</f>
        <v>41</v>
      </c>
      <c r="I280" s="124">
        <f>Procurement_Raw!I280</f>
        <v>124.7</v>
      </c>
      <c r="J280" s="125">
        <f>IF(Procurement_Raw!J280="","",Procurement_Raw!J280)</f>
        <v>5112.5600000000004</v>
      </c>
      <c r="K280" s="77">
        <f>Procurement_Raw!K280</f>
        <v>45</v>
      </c>
      <c r="L280" t="str">
        <f>Procurement_Raw!L280</f>
        <v>Legacy Spend File</v>
      </c>
      <c r="M280" t="str">
        <f>Procurement_Raw!O280</f>
        <v>Y</v>
      </c>
      <c r="N280" t="str">
        <f>IF(E280="","Missing supplier",IF(B280="","Missing site",IF(J280="","Missing spend",IF(COUNTIFS($G$2:G280,G280,$E$2:E280,E280,$J$2:J280,J280)&gt;1,"Duplicate invoice",IF(COUNTIF($G$2:$G$1801,G280)&gt;1,"Duplicate ID - review",IF(AND(P280&lt;&gt;"Unmapped",P280&lt;&gt;F280),"Category mismatch","OK"))))))</f>
        <v>OK</v>
      </c>
      <c r="O280" s="125">
        <f t="shared" si="12"/>
        <v>5112.5600000000004</v>
      </c>
      <c r="P280" t="str">
        <f>IF(E280="","Unmapped",IFERROR(INDEX(Supplier_Lookup!$B$2:$B$25,MATCH(E280,Supplier_Lookup!$A$2:$A$25,0)),"Unmapped"))</f>
        <v>Medical Supplies</v>
      </c>
      <c r="Q280" s="76">
        <f>IFERROR(INDEX(Category_Targets!$B$2:$B$9,MATCH(F280,Category_Targets!$A$2:$A$9,0)),0)</f>
        <v>0.06</v>
      </c>
      <c r="R280" s="125">
        <f t="shared" si="13"/>
        <v>306.75360000000001</v>
      </c>
      <c r="S280" s="78">
        <f t="shared" si="14"/>
        <v>45658</v>
      </c>
      <c r="T280" t="str">
        <f>IFERROR(VLOOKUP(B280,Sites!$A$2:$D$21,4,FALSE()),"Unknown")</f>
        <v>Southampton</v>
      </c>
      <c r="U280" t="str">
        <f>IF(N280="OK","",COUNTIF($N$2:N280,"&lt;&gt;OK"))</f>
        <v/>
      </c>
      <c r="V280">
        <f>IF(OR(NOT(EXACT(E280,TRIM(Procurement_Raw!E280))),NOT(EXACT(F280,TRIM(Procurement_Raw!F280)))),1,0)</f>
        <v>0</v>
      </c>
    </row>
    <row r="281" spans="1:22" ht="15" customHeight="1" x14ac:dyDescent="0.25">
      <c r="A281" s="123">
        <f>Procurement_Raw!A281</f>
        <v>45676</v>
      </c>
      <c r="B281" t="str">
        <f>TRIM(Procurement_Raw!B281)</f>
        <v>S017</v>
      </c>
      <c r="C281" t="str">
        <f>Procurement_Raw!C281</f>
        <v>Swansea Care &amp; Education Centre</v>
      </c>
      <c r="D281" t="str">
        <f>Procurement_Raw!D281</f>
        <v>Wales</v>
      </c>
      <c r="E281" t="str">
        <f>IF(TRIM(Procurement_Raw!E281)="","",IFERROR(INDEX(Supplier_Lookup!$A$2:$A$25,MATCH(TRIM(Procurement_Raw!E281),Supplier_Lookup!$A$2:$A$25,0)),TRIM(Procurement_Raw!E281)))</f>
        <v>LearnWell</v>
      </c>
      <c r="F281" t="str">
        <f>IFERROR(INDEX(Category_Targets!$A$2:$A$9,MATCH(TRIM(Procurement_Raw!F281),Category_Targets!$A$2:$A$9,0)),"Unmapped")</f>
        <v>Office &amp; Training</v>
      </c>
      <c r="G281" t="str">
        <f>TRIM(Procurement_Raw!G281)</f>
        <v>INV-2025-00280</v>
      </c>
      <c r="H281" s="77">
        <f>Procurement_Raw!H281</f>
        <v>25</v>
      </c>
      <c r="I281" s="124">
        <f>Procurement_Raw!I281</f>
        <v>60.68</v>
      </c>
      <c r="J281" s="125">
        <f>IF(Procurement_Raw!J281="","",Procurement_Raw!J281)</f>
        <v>1516.93</v>
      </c>
      <c r="K281" s="77">
        <f>Procurement_Raw!K281</f>
        <v>45</v>
      </c>
      <c r="L281" t="str">
        <f>Procurement_Raw!L281</f>
        <v>Procurement Portal</v>
      </c>
      <c r="M281" t="str">
        <f>Procurement_Raw!O281</f>
        <v>N</v>
      </c>
      <c r="N281" t="str">
        <f>IF(E281="","Missing supplier",IF(B281="","Missing site",IF(J281="","Missing spend",IF(COUNTIFS($G$2:G281,G281,$E$2:E281,E281,$J$2:J281,J281)&gt;1,"Duplicate invoice",IF(COUNTIF($G$2:$G$1801,G281)&gt;1,"Duplicate ID - review",IF(AND(P281&lt;&gt;"Unmapped",P281&lt;&gt;F281),"Category mismatch","OK"))))))</f>
        <v>OK</v>
      </c>
      <c r="O281" s="125">
        <f t="shared" si="12"/>
        <v>1516.93</v>
      </c>
      <c r="P281" t="str">
        <f>IF(E281="","Unmapped",IFERROR(INDEX(Supplier_Lookup!$B$2:$B$25,MATCH(E281,Supplier_Lookup!$A$2:$A$25,0)),"Unmapped"))</f>
        <v>Office &amp; Training</v>
      </c>
      <c r="Q281" s="76">
        <f>IFERROR(INDEX(Category_Targets!$B$2:$B$9,MATCH(F281,Category_Targets!$A$2:$A$9,0)),0)</f>
        <v>0.04</v>
      </c>
      <c r="R281" s="125">
        <f t="shared" si="13"/>
        <v>60.677200000000006</v>
      </c>
      <c r="S281" s="78">
        <f t="shared" si="14"/>
        <v>45658</v>
      </c>
      <c r="T281" t="str">
        <f>IFERROR(VLOOKUP(B281,Sites!$A$2:$D$21,4,FALSE()),"Unknown")</f>
        <v>Swansea</v>
      </c>
      <c r="U281" t="str">
        <f>IF(N281="OK","",COUNTIF($N$2:N281,"&lt;&gt;OK"))</f>
        <v/>
      </c>
      <c r="V281">
        <f>IF(OR(NOT(EXACT(E281,TRIM(Procurement_Raw!E281))),NOT(EXACT(F281,TRIM(Procurement_Raw!F281)))),1,0)</f>
        <v>0</v>
      </c>
    </row>
    <row r="282" spans="1:22" ht="15" customHeight="1" x14ac:dyDescent="0.25">
      <c r="A282" s="123">
        <f>Procurement_Raw!A282</f>
        <v>45721</v>
      </c>
      <c r="B282" t="str">
        <f>TRIM(Procurement_Raw!B282)</f>
        <v>S007</v>
      </c>
      <c r="C282" t="str">
        <f>Procurement_Raw!C282</f>
        <v>Nottingham Care &amp; Education Centre</v>
      </c>
      <c r="D282" t="str">
        <f>Procurement_Raw!D282</f>
        <v>Midlands</v>
      </c>
      <c r="E282" t="str">
        <f>IF(TRIM(Procurement_Raw!E282)="","",IFERROR(INDEX(Supplier_Lookup!$A$2:$A$25,MATCH(TRIM(Procurement_Raw!E282),Supplier_Lookup!$A$2:$A$25,0)),TRIM(Procurement_Raw!E282)))</f>
        <v>RoadReady</v>
      </c>
      <c r="F282" t="str">
        <f>IFERROR(INDEX(Category_Targets!$A$2:$A$9,MATCH(TRIM(Procurement_Raw!F282),Category_Targets!$A$2:$A$9,0)),"Unmapped")</f>
        <v>Vehicle &amp; Fuel</v>
      </c>
      <c r="G282" t="str">
        <f>TRIM(Procurement_Raw!G282)</f>
        <v>INV-2025-00281</v>
      </c>
      <c r="H282" s="77">
        <f>Procurement_Raw!H282</f>
        <v>48</v>
      </c>
      <c r="I282" s="124">
        <f>Procurement_Raw!I282</f>
        <v>101.12</v>
      </c>
      <c r="J282" s="125">
        <f>IF(Procurement_Raw!J282="","",Procurement_Raw!J282)</f>
        <v>4853.78</v>
      </c>
      <c r="K282" s="77">
        <f>Procurement_Raw!K282</f>
        <v>45</v>
      </c>
      <c r="L282" t="str">
        <f>Procurement_Raw!L282</f>
        <v>Procurement Portal</v>
      </c>
      <c r="M282" t="str">
        <f>Procurement_Raw!O282</f>
        <v>N</v>
      </c>
      <c r="N282" t="str">
        <f>IF(E282="","Missing supplier",IF(B282="","Missing site",IF(J282="","Missing spend",IF(COUNTIFS($G$2:G282,G282,$E$2:E282,E282,$J$2:J282,J282)&gt;1,"Duplicate invoice",IF(COUNTIF($G$2:$G$1801,G282)&gt;1,"Duplicate ID - review",IF(AND(P282&lt;&gt;"Unmapped",P282&lt;&gt;F282),"Category mismatch","OK"))))))</f>
        <v>OK</v>
      </c>
      <c r="O282" s="125">
        <f t="shared" si="12"/>
        <v>4853.78</v>
      </c>
      <c r="P282" t="str">
        <f>IF(E282="","Unmapped",IFERROR(INDEX(Supplier_Lookup!$B$2:$B$25,MATCH(E282,Supplier_Lookup!$A$2:$A$25,0)),"Unmapped"))</f>
        <v>Vehicle &amp; Fuel</v>
      </c>
      <c r="Q282" s="76">
        <f>IFERROR(INDEX(Category_Targets!$B$2:$B$9,MATCH(F282,Category_Targets!$A$2:$A$9,0)),0)</f>
        <v>0.05</v>
      </c>
      <c r="R282" s="125">
        <f t="shared" si="13"/>
        <v>242.68899999999999</v>
      </c>
      <c r="S282" s="78">
        <f t="shared" si="14"/>
        <v>45717</v>
      </c>
      <c r="T282" t="str">
        <f>IFERROR(VLOOKUP(B282,Sites!$A$2:$D$21,4,FALSE()),"Unknown")</f>
        <v>Nottingham</v>
      </c>
      <c r="U282" t="str">
        <f>IF(N282="OK","",COUNTIF($N$2:N282,"&lt;&gt;OK"))</f>
        <v/>
      </c>
      <c r="V282">
        <f>IF(OR(NOT(EXACT(E282,TRIM(Procurement_Raw!E282))),NOT(EXACT(F282,TRIM(Procurement_Raw!F282)))),1,0)</f>
        <v>0</v>
      </c>
    </row>
    <row r="283" spans="1:22" ht="15" customHeight="1" x14ac:dyDescent="0.25">
      <c r="A283" s="123">
        <f>Procurement_Raw!A283</f>
        <v>45831</v>
      </c>
      <c r="B283" t="str">
        <f>TRIM(Procurement_Raw!B283)</f>
        <v>S020</v>
      </c>
      <c r="C283" t="str">
        <f>Procurement_Raw!C283</f>
        <v>Bangor Care &amp; Education Centre</v>
      </c>
      <c r="D283" t="str">
        <f>Procurement_Raw!D283</f>
        <v>Wales</v>
      </c>
      <c r="E283" t="str">
        <f>IF(TRIM(Procurement_Raw!E283)="","",IFERROR(INDEX(Supplier_Lookup!$A$2:$A$25,MATCH(TRIM(Procurement_Raw!E283),Supplier_Lookup!$A$2:$A$25,0)),TRIM(Procurement_Raw!E283)))</f>
        <v>LearnWell</v>
      </c>
      <c r="F283" t="str">
        <f>IFERROR(INDEX(Category_Targets!$A$2:$A$9,MATCH(TRIM(Procurement_Raw!F283),Category_Targets!$A$2:$A$9,0)),"Unmapped")</f>
        <v>Office &amp; Training</v>
      </c>
      <c r="G283" t="str">
        <f>TRIM(Procurement_Raw!G283)</f>
        <v>INV-2025-00282</v>
      </c>
      <c r="H283" s="77">
        <f>Procurement_Raw!H283</f>
        <v>24</v>
      </c>
      <c r="I283" s="124">
        <f>Procurement_Raw!I283</f>
        <v>107.95</v>
      </c>
      <c r="J283" s="125">
        <f>IF(Procurement_Raw!J283="","",Procurement_Raw!J283)</f>
        <v>2590.7800000000002</v>
      </c>
      <c r="K283" s="77">
        <f>Procurement_Raw!K283</f>
        <v>45</v>
      </c>
      <c r="L283" t="str">
        <f>Procurement_Raw!L283</f>
        <v>Legacy Spend File</v>
      </c>
      <c r="M283" t="str">
        <f>Procurement_Raw!O283</f>
        <v>N</v>
      </c>
      <c r="N283" t="str">
        <f>IF(E283="","Missing supplier",IF(B283="","Missing site",IF(J283="","Missing spend",IF(COUNTIFS($G$2:G283,G283,$E$2:E283,E283,$J$2:J283,J283)&gt;1,"Duplicate invoice",IF(COUNTIF($G$2:$G$1801,G283)&gt;1,"Duplicate ID - review",IF(AND(P283&lt;&gt;"Unmapped",P283&lt;&gt;F283),"Category mismatch","OK"))))))</f>
        <v>OK</v>
      </c>
      <c r="O283" s="125">
        <f t="shared" si="12"/>
        <v>2590.7800000000002</v>
      </c>
      <c r="P283" t="str">
        <f>IF(E283="","Unmapped",IFERROR(INDEX(Supplier_Lookup!$B$2:$B$25,MATCH(E283,Supplier_Lookup!$A$2:$A$25,0)),"Unmapped"))</f>
        <v>Office &amp; Training</v>
      </c>
      <c r="Q283" s="76">
        <f>IFERROR(INDEX(Category_Targets!$B$2:$B$9,MATCH(F283,Category_Targets!$A$2:$A$9,0)),0)</f>
        <v>0.04</v>
      </c>
      <c r="R283" s="125">
        <f t="shared" si="13"/>
        <v>103.63120000000001</v>
      </c>
      <c r="S283" s="78">
        <f t="shared" si="14"/>
        <v>45809</v>
      </c>
      <c r="T283" t="str">
        <f>IFERROR(VLOOKUP(B283,Sites!$A$2:$D$21,4,FALSE()),"Unknown")</f>
        <v>Bangor</v>
      </c>
      <c r="U283" t="str">
        <f>IF(N283="OK","",COUNTIF($N$2:N283,"&lt;&gt;OK"))</f>
        <v/>
      </c>
      <c r="V283">
        <f>IF(OR(NOT(EXACT(E283,TRIM(Procurement_Raw!E283))),NOT(EXACT(F283,TRIM(Procurement_Raw!F283)))),1,0)</f>
        <v>0</v>
      </c>
    </row>
    <row r="284" spans="1:22" ht="15" customHeight="1" x14ac:dyDescent="0.25">
      <c r="A284" s="123">
        <f>Procurement_Raw!A284</f>
        <v>45794</v>
      </c>
      <c r="B284" t="str">
        <f>TRIM(Procurement_Raw!B284)</f>
        <v>S019</v>
      </c>
      <c r="C284" t="str">
        <f>Procurement_Raw!C284</f>
        <v>Wrexham Care &amp; Education Centre</v>
      </c>
      <c r="D284" t="str">
        <f>Procurement_Raw!D284</f>
        <v>Wales</v>
      </c>
      <c r="E284" t="str">
        <f>IF(TRIM(Procurement_Raw!E284)="","",IFERROR(INDEX(Supplier_Lookup!$A$2:$A$25,MATCH(TRIM(Procurement_Raw!E284),Supplier_Lookup!$A$2:$A$25,0)),TRIM(Procurement_Raw!E284)))</f>
        <v>AutoCare</v>
      </c>
      <c r="F284" t="str">
        <f>IFERROR(INDEX(Category_Targets!$A$2:$A$9,MATCH(TRIM(Procurement_Raw!F284),Category_Targets!$A$2:$A$9,0)),"Unmapped")</f>
        <v>Vehicle &amp; Fuel</v>
      </c>
      <c r="G284" t="str">
        <f>TRIM(Procurement_Raw!G284)</f>
        <v>INV-2025-00283</v>
      </c>
      <c r="H284" s="77">
        <f>Procurement_Raw!H284</f>
        <v>11</v>
      </c>
      <c r="I284" s="124">
        <f>Procurement_Raw!I284</f>
        <v>227.28</v>
      </c>
      <c r="J284" s="125">
        <f>IF(Procurement_Raw!J284="","",Procurement_Raw!J284)</f>
        <v>2500.09</v>
      </c>
      <c r="K284" s="77">
        <f>Procurement_Raw!K284</f>
        <v>60</v>
      </c>
      <c r="L284" t="str">
        <f>Procurement_Raw!L284</f>
        <v>Procurement Portal</v>
      </c>
      <c r="M284" t="str">
        <f>Procurement_Raw!O284</f>
        <v>N</v>
      </c>
      <c r="N284" t="str">
        <f>IF(E284="","Missing supplier",IF(B284="","Missing site",IF(J284="","Missing spend",IF(COUNTIFS($G$2:G284,G284,$E$2:E284,E284,$J$2:J284,J284)&gt;1,"Duplicate invoice",IF(COUNTIF($G$2:$G$1801,G284)&gt;1,"Duplicate ID - review",IF(AND(P284&lt;&gt;"Unmapped",P284&lt;&gt;F284),"Category mismatch","OK"))))))</f>
        <v>OK</v>
      </c>
      <c r="O284" s="125">
        <f t="shared" si="12"/>
        <v>2500.09</v>
      </c>
      <c r="P284" t="str">
        <f>IF(E284="","Unmapped",IFERROR(INDEX(Supplier_Lookup!$B$2:$B$25,MATCH(E284,Supplier_Lookup!$A$2:$A$25,0)),"Unmapped"))</f>
        <v>Vehicle &amp; Fuel</v>
      </c>
      <c r="Q284" s="76">
        <f>IFERROR(INDEX(Category_Targets!$B$2:$B$9,MATCH(F284,Category_Targets!$A$2:$A$9,0)),0)</f>
        <v>0.05</v>
      </c>
      <c r="R284" s="125">
        <f t="shared" si="13"/>
        <v>125.00450000000001</v>
      </c>
      <c r="S284" s="78">
        <f t="shared" si="14"/>
        <v>45778</v>
      </c>
      <c r="T284" t="str">
        <f>IFERROR(VLOOKUP(B284,Sites!$A$2:$D$21,4,FALSE()),"Unknown")</f>
        <v>Wrexham</v>
      </c>
      <c r="U284" t="str">
        <f>IF(N284="OK","",COUNTIF($N$2:N284,"&lt;&gt;OK"))</f>
        <v/>
      </c>
      <c r="V284">
        <f>IF(OR(NOT(EXACT(E284,TRIM(Procurement_Raw!E284))),NOT(EXACT(F284,TRIM(Procurement_Raw!F284)))),1,0)</f>
        <v>0</v>
      </c>
    </row>
    <row r="285" spans="1:22" ht="15" customHeight="1" x14ac:dyDescent="0.25">
      <c r="A285" s="123">
        <f>Procurement_Raw!A285</f>
        <v>45750</v>
      </c>
      <c r="B285" t="str">
        <f>TRIM(Procurement_Raw!B285)</f>
        <v>S012</v>
      </c>
      <c r="C285" t="str">
        <f>Procurement_Raw!C285</f>
        <v>Bristol Care &amp; Education Centre</v>
      </c>
      <c r="D285" t="str">
        <f>Procurement_Raw!D285</f>
        <v>South</v>
      </c>
      <c r="E285" t="str">
        <f>IF(TRIM(Procurement_Raw!E285)="","",IFERROR(INDEX(Supplier_Lookup!$A$2:$A$25,MATCH(TRIM(Procurement_Raw!E285),Supplier_Lookup!$A$2:$A$25,0)),TRIM(Procurement_Raw!E285)))</f>
        <v>NurseLink</v>
      </c>
      <c r="F285" t="str">
        <f>IFERROR(INDEX(Category_Targets!$A$2:$A$9,MATCH(TRIM(Procurement_Raw!F285),Category_Targets!$A$2:$A$9,0)),"Unmapped")</f>
        <v>Agency Labour</v>
      </c>
      <c r="G285" t="str">
        <f>TRIM(Procurement_Raw!G285)</f>
        <v>INV-2025-00284</v>
      </c>
      <c r="H285" s="77">
        <f>Procurement_Raw!H285</f>
        <v>70</v>
      </c>
      <c r="I285" s="124">
        <f>Procurement_Raw!I285</f>
        <v>151.86000000000001</v>
      </c>
      <c r="J285" s="125">
        <f>IF(Procurement_Raw!J285="","",Procurement_Raw!J285)</f>
        <v>10630.46</v>
      </c>
      <c r="K285" s="77">
        <f>Procurement_Raw!K285</f>
        <v>45</v>
      </c>
      <c r="L285" t="str">
        <f>Procurement_Raw!L285</f>
        <v>Procurement Portal</v>
      </c>
      <c r="M285" t="str">
        <f>Procurement_Raw!O285</f>
        <v>N</v>
      </c>
      <c r="N285" t="str">
        <f>IF(E285="","Missing supplier",IF(B285="","Missing site",IF(J285="","Missing spend",IF(COUNTIFS($G$2:G285,G285,$E$2:E285,E285,$J$2:J285,J285)&gt;1,"Duplicate invoice",IF(COUNTIF($G$2:$G$1801,G285)&gt;1,"Duplicate ID - review",IF(AND(P285&lt;&gt;"Unmapped",P285&lt;&gt;F285),"Category mismatch","OK"))))))</f>
        <v>OK</v>
      </c>
      <c r="O285" s="125">
        <f t="shared" si="12"/>
        <v>10630.46</v>
      </c>
      <c r="P285" t="str">
        <f>IF(E285="","Unmapped",IFERROR(INDEX(Supplier_Lookup!$B$2:$B$25,MATCH(E285,Supplier_Lookup!$A$2:$A$25,0)),"Unmapped"))</f>
        <v>Agency Labour</v>
      </c>
      <c r="Q285" s="76">
        <f>IFERROR(INDEX(Category_Targets!$B$2:$B$9,MATCH(F285,Category_Targets!$A$2:$A$9,0)),0)</f>
        <v>7.0000000000000007E-2</v>
      </c>
      <c r="R285" s="125">
        <f t="shared" si="13"/>
        <v>744.13220000000001</v>
      </c>
      <c r="S285" s="78">
        <f t="shared" si="14"/>
        <v>45748</v>
      </c>
      <c r="T285" t="str">
        <f>IFERROR(VLOOKUP(B285,Sites!$A$2:$D$21,4,FALSE()),"Unknown")</f>
        <v>Bristol</v>
      </c>
      <c r="U285" t="str">
        <f>IF(N285="OK","",COUNTIF($N$2:N285,"&lt;&gt;OK"))</f>
        <v/>
      </c>
      <c r="V285">
        <f>IF(OR(NOT(EXACT(E285,TRIM(Procurement_Raw!E285))),NOT(EXACT(F285,TRIM(Procurement_Raw!F285)))),1,0)</f>
        <v>0</v>
      </c>
    </row>
    <row r="286" spans="1:22" ht="15" customHeight="1" x14ac:dyDescent="0.25">
      <c r="A286" s="123">
        <f>Procurement_Raw!A286</f>
        <v>45996</v>
      </c>
      <c r="B286" t="str">
        <f>TRIM(Procurement_Raw!B286)</f>
        <v>S001</v>
      </c>
      <c r="C286" t="str">
        <f>Procurement_Raw!C286</f>
        <v>Preston Care &amp; Education Centre</v>
      </c>
      <c r="D286" t="str">
        <f>Procurement_Raw!D286</f>
        <v>North</v>
      </c>
      <c r="E286" t="str">
        <f>IF(TRIM(Procurement_Raw!E286)="","",IFERROR(INDEX(Supplier_Lookup!$A$2:$A$25,MATCH(TRIM(Procurement_Raw!E286),Supplier_Lookup!$A$2:$A$25,0)),TRIM(Procurement_Raw!E286)))</f>
        <v>NourishCo</v>
      </c>
      <c r="F286" t="str">
        <f>IFERROR(INDEX(Category_Targets!$A$2:$A$9,MATCH(TRIM(Procurement_Raw!F286),Category_Targets!$A$2:$A$9,0)),"Unmapped")</f>
        <v>Food &amp; Catering</v>
      </c>
      <c r="G286" t="str">
        <f>TRIM(Procurement_Raw!G286)</f>
        <v>INV-2025-00285</v>
      </c>
      <c r="H286" s="77">
        <f>Procurement_Raw!H286</f>
        <v>38</v>
      </c>
      <c r="I286" s="124">
        <f>Procurement_Raw!I286</f>
        <v>210.09</v>
      </c>
      <c r="J286" s="125">
        <f>IF(Procurement_Raw!J286="","",Procurement_Raw!J286)</f>
        <v>7983.58</v>
      </c>
      <c r="K286" s="77">
        <f>Procurement_Raw!K286</f>
        <v>45</v>
      </c>
      <c r="L286" t="str">
        <f>Procurement_Raw!L286</f>
        <v>Procurement Portal</v>
      </c>
      <c r="M286" t="str">
        <f>Procurement_Raw!O286</f>
        <v>N</v>
      </c>
      <c r="N286" t="str">
        <f>IF(E286="","Missing supplier",IF(B286="","Missing site",IF(J286="","Missing spend",IF(COUNTIFS($G$2:G286,G286,$E$2:E286,E286,$J$2:J286,J286)&gt;1,"Duplicate invoice",IF(COUNTIF($G$2:$G$1801,G286)&gt;1,"Duplicate ID - review",IF(AND(P286&lt;&gt;"Unmapped",P286&lt;&gt;F286),"Category mismatch","OK"))))))</f>
        <v>OK</v>
      </c>
      <c r="O286" s="125">
        <f t="shared" si="12"/>
        <v>7983.58</v>
      </c>
      <c r="P286" t="str">
        <f>IF(E286="","Unmapped",IFERROR(INDEX(Supplier_Lookup!$B$2:$B$25,MATCH(E286,Supplier_Lookup!$A$2:$A$25,0)),"Unmapped"))</f>
        <v>Food &amp; Catering</v>
      </c>
      <c r="Q286" s="76">
        <f>IFERROR(INDEX(Category_Targets!$B$2:$B$9,MATCH(F286,Category_Targets!$A$2:$A$9,0)),0)</f>
        <v>0.04</v>
      </c>
      <c r="R286" s="125">
        <f t="shared" si="13"/>
        <v>319.34320000000002</v>
      </c>
      <c r="S286" s="78">
        <f t="shared" si="14"/>
        <v>45992</v>
      </c>
      <c r="T286" t="str">
        <f>IFERROR(VLOOKUP(B286,Sites!$A$2:$D$21,4,FALSE()),"Unknown")</f>
        <v>Preston</v>
      </c>
      <c r="U286" t="str">
        <f>IF(N286="OK","",COUNTIF($N$2:N286,"&lt;&gt;OK"))</f>
        <v/>
      </c>
      <c r="V286">
        <f>IF(OR(NOT(EXACT(E286,TRIM(Procurement_Raw!E286))),NOT(EXACT(F286,TRIM(Procurement_Raw!F286)))),1,0)</f>
        <v>0</v>
      </c>
    </row>
    <row r="287" spans="1:22" ht="15" customHeight="1" x14ac:dyDescent="0.25">
      <c r="A287" s="123">
        <f>Procurement_Raw!A287</f>
        <v>46011</v>
      </c>
      <c r="B287" t="str">
        <f>TRIM(Procurement_Raw!B287)</f>
        <v>S012</v>
      </c>
      <c r="C287" t="str">
        <f>Procurement_Raw!C287</f>
        <v>Bristol Care &amp; Education Centre</v>
      </c>
      <c r="D287" t="str">
        <f>Procurement_Raw!D287</f>
        <v>South</v>
      </c>
      <c r="E287" t="str">
        <f>IF(TRIM(Procurement_Raw!E287)="","",IFERROR(INDEX(Supplier_Lookup!$A$2:$A$25,MATCH(TRIM(Procurement_Raw!E287),Supplier_Lookup!$A$2:$A$25,0)),TRIM(Procurement_Raw!E287)))</f>
        <v>HealthStaffing</v>
      </c>
      <c r="F287" t="str">
        <f>IFERROR(INDEX(Category_Targets!$A$2:$A$9,MATCH(TRIM(Procurement_Raw!F287),Category_Targets!$A$2:$A$9,0)),"Unmapped")</f>
        <v>Agency Labour</v>
      </c>
      <c r="G287" t="str">
        <f>TRIM(Procurement_Raw!G287)</f>
        <v>INV-2025-00286</v>
      </c>
      <c r="H287" s="77">
        <f>Procurement_Raw!H287</f>
        <v>57</v>
      </c>
      <c r="I287" s="124">
        <f>Procurement_Raw!I287</f>
        <v>102.53</v>
      </c>
      <c r="J287" s="125">
        <f>IF(Procurement_Raw!J287="","",Procurement_Raw!J287)</f>
        <v>5844.09</v>
      </c>
      <c r="K287" s="77">
        <f>Procurement_Raw!K287</f>
        <v>45</v>
      </c>
      <c r="L287" t="str">
        <f>Procurement_Raw!L287</f>
        <v>Procurement Portal</v>
      </c>
      <c r="M287" t="str">
        <f>Procurement_Raw!O287</f>
        <v>N</v>
      </c>
      <c r="N287" t="str">
        <f>IF(E287="","Missing supplier",IF(B287="","Missing site",IF(J287="","Missing spend",IF(COUNTIFS($G$2:G287,G287,$E$2:E287,E287,$J$2:J287,J287)&gt;1,"Duplicate invoice",IF(COUNTIF($G$2:$G$1801,G287)&gt;1,"Duplicate ID - review",IF(AND(P287&lt;&gt;"Unmapped",P287&lt;&gt;F287),"Category mismatch","OK"))))))</f>
        <v>OK</v>
      </c>
      <c r="O287" s="125">
        <f t="shared" si="12"/>
        <v>5844.09</v>
      </c>
      <c r="P287" t="str">
        <f>IF(E287="","Unmapped",IFERROR(INDEX(Supplier_Lookup!$B$2:$B$25,MATCH(E287,Supplier_Lookup!$A$2:$A$25,0)),"Unmapped"))</f>
        <v>Agency Labour</v>
      </c>
      <c r="Q287" s="76">
        <f>IFERROR(INDEX(Category_Targets!$B$2:$B$9,MATCH(F287,Category_Targets!$A$2:$A$9,0)),0)</f>
        <v>7.0000000000000007E-2</v>
      </c>
      <c r="R287" s="125">
        <f t="shared" si="13"/>
        <v>409.08630000000005</v>
      </c>
      <c r="S287" s="78">
        <f t="shared" si="14"/>
        <v>45992</v>
      </c>
      <c r="T287" t="str">
        <f>IFERROR(VLOOKUP(B287,Sites!$A$2:$D$21,4,FALSE()),"Unknown")</f>
        <v>Bristol</v>
      </c>
      <c r="U287" t="str">
        <f>IF(N287="OK","",COUNTIF($N$2:N287,"&lt;&gt;OK"))</f>
        <v/>
      </c>
      <c r="V287">
        <f>IF(OR(NOT(EXACT(E287,TRIM(Procurement_Raw!E287))),NOT(EXACT(F287,TRIM(Procurement_Raw!F287)))),1,0)</f>
        <v>0</v>
      </c>
    </row>
    <row r="288" spans="1:22" ht="15" customHeight="1" x14ac:dyDescent="0.25">
      <c r="A288" s="123">
        <f>Procurement_Raw!A288</f>
        <v>45880</v>
      </c>
      <c r="B288" t="str">
        <f>TRIM(Procurement_Raw!B288)</f>
        <v>S002</v>
      </c>
      <c r="C288" t="str">
        <f>Procurement_Raw!C288</f>
        <v>Manchester Care &amp; Education Centre</v>
      </c>
      <c r="D288" t="str">
        <f>Procurement_Raw!D288</f>
        <v>North</v>
      </c>
      <c r="E288" t="str">
        <f>IF(TRIM(Procurement_Raw!E288)="","",IFERROR(INDEX(Supplier_Lookup!$A$2:$A$25,MATCH(TRIM(Procurement_Raw!E288),Supplier_Lookup!$A$2:$A$25,0)),TRIM(Procurement_Raw!E288)))</f>
        <v>AutoCare</v>
      </c>
      <c r="F288" t="str">
        <f>IFERROR(INDEX(Category_Targets!$A$2:$A$9,MATCH(TRIM(Procurement_Raw!F288),Category_Targets!$A$2:$A$9,0)),"Unmapped")</f>
        <v>Vehicle &amp; Fuel</v>
      </c>
      <c r="G288" t="str">
        <f>TRIM(Procurement_Raw!G288)</f>
        <v>INV-2025-00287</v>
      </c>
      <c r="H288" s="77">
        <f>Procurement_Raw!H288</f>
        <v>36</v>
      </c>
      <c r="I288" s="124">
        <f>Procurement_Raw!I288</f>
        <v>87.39</v>
      </c>
      <c r="J288" s="125">
        <f>IF(Procurement_Raw!J288="","",Procurement_Raw!J288)</f>
        <v>3146.08</v>
      </c>
      <c r="K288" s="77">
        <f>Procurement_Raw!K288</f>
        <v>60</v>
      </c>
      <c r="L288" t="str">
        <f>Procurement_Raw!L288</f>
        <v>ERP</v>
      </c>
      <c r="M288" t="str">
        <f>Procurement_Raw!O288</f>
        <v>N</v>
      </c>
      <c r="N288" t="str">
        <f>IF(E288="","Missing supplier",IF(B288="","Missing site",IF(J288="","Missing spend",IF(COUNTIFS($G$2:G288,G288,$E$2:E288,E288,$J$2:J288,J288)&gt;1,"Duplicate invoice",IF(COUNTIF($G$2:$G$1801,G288)&gt;1,"Duplicate ID - review",IF(AND(P288&lt;&gt;"Unmapped",P288&lt;&gt;F288),"Category mismatch","OK"))))))</f>
        <v>OK</v>
      </c>
      <c r="O288" s="125">
        <f t="shared" si="12"/>
        <v>3146.08</v>
      </c>
      <c r="P288" t="str">
        <f>IF(E288="","Unmapped",IFERROR(INDEX(Supplier_Lookup!$B$2:$B$25,MATCH(E288,Supplier_Lookup!$A$2:$A$25,0)),"Unmapped"))</f>
        <v>Vehicle &amp; Fuel</v>
      </c>
      <c r="Q288" s="76">
        <f>IFERROR(INDEX(Category_Targets!$B$2:$B$9,MATCH(F288,Category_Targets!$A$2:$A$9,0)),0)</f>
        <v>0.05</v>
      </c>
      <c r="R288" s="125">
        <f t="shared" si="13"/>
        <v>157.304</v>
      </c>
      <c r="S288" s="78">
        <f t="shared" si="14"/>
        <v>45870</v>
      </c>
      <c r="T288" t="str">
        <f>IFERROR(VLOOKUP(B288,Sites!$A$2:$D$21,4,FALSE()),"Unknown")</f>
        <v>Manchester</v>
      </c>
      <c r="U288" t="str">
        <f>IF(N288="OK","",COUNTIF($N$2:N288,"&lt;&gt;OK"))</f>
        <v/>
      </c>
      <c r="V288">
        <f>IF(OR(NOT(EXACT(E288,TRIM(Procurement_Raw!E288))),NOT(EXACT(F288,TRIM(Procurement_Raw!F288)))),1,0)</f>
        <v>0</v>
      </c>
    </row>
    <row r="289" spans="1:22" ht="15" customHeight="1" x14ac:dyDescent="0.25">
      <c r="A289" s="123">
        <f>Procurement_Raw!A289</f>
        <v>45920</v>
      </c>
      <c r="B289" t="str">
        <f>TRIM(Procurement_Raw!B289)</f>
        <v>S020</v>
      </c>
      <c r="C289" t="str">
        <f>Procurement_Raw!C289</f>
        <v>Bangor Care &amp; Education Centre</v>
      </c>
      <c r="D289" t="str">
        <f>Procurement_Raw!D289</f>
        <v>Wales</v>
      </c>
      <c r="E289" t="str">
        <f>IF(TRIM(Procurement_Raw!E289)="","",IFERROR(INDEX(Supplier_Lookup!$A$2:$A$25,MATCH(TRIM(Procurement_Raw!E289),Supplier_Lookup!$A$2:$A$25,0)),TRIM(Procurement_Raw!E289)))</f>
        <v>CareTemps</v>
      </c>
      <c r="F289" t="str">
        <f>IFERROR(INDEX(Category_Targets!$A$2:$A$9,MATCH(TRIM(Procurement_Raw!F289),Category_Targets!$A$2:$A$9,0)),"Unmapped")</f>
        <v>Agency Labour</v>
      </c>
      <c r="G289" t="str">
        <f>TRIM(Procurement_Raw!G289)</f>
        <v>INV-2025-00288</v>
      </c>
      <c r="H289" s="77">
        <f>Procurement_Raw!H289</f>
        <v>21</v>
      </c>
      <c r="I289" s="124">
        <f>Procurement_Raw!I289</f>
        <v>414.62</v>
      </c>
      <c r="J289" s="125">
        <f>IF(Procurement_Raw!J289="","",Procurement_Raw!J289)</f>
        <v>8706.9699999999993</v>
      </c>
      <c r="K289" s="77">
        <f>Procurement_Raw!K289</f>
        <v>30</v>
      </c>
      <c r="L289" t="str">
        <f>Procurement_Raw!L289</f>
        <v>ERP</v>
      </c>
      <c r="M289" t="str">
        <f>Procurement_Raw!O289</f>
        <v>N</v>
      </c>
      <c r="N289" t="str">
        <f>IF(E289="","Missing supplier",IF(B289="","Missing site",IF(J289="","Missing spend",IF(COUNTIFS($G$2:G289,G289,$E$2:E289,E289,$J$2:J289,J289)&gt;1,"Duplicate invoice",IF(COUNTIF($G$2:$G$1801,G289)&gt;1,"Duplicate ID - review",IF(AND(P289&lt;&gt;"Unmapped",P289&lt;&gt;F289),"Category mismatch","OK"))))))</f>
        <v>OK</v>
      </c>
      <c r="O289" s="125">
        <f t="shared" si="12"/>
        <v>8706.9699999999993</v>
      </c>
      <c r="P289" t="str">
        <f>IF(E289="","Unmapped",IFERROR(INDEX(Supplier_Lookup!$B$2:$B$25,MATCH(E289,Supplier_Lookup!$A$2:$A$25,0)),"Unmapped"))</f>
        <v>Agency Labour</v>
      </c>
      <c r="Q289" s="76">
        <f>IFERROR(INDEX(Category_Targets!$B$2:$B$9,MATCH(F289,Category_Targets!$A$2:$A$9,0)),0)</f>
        <v>7.0000000000000007E-2</v>
      </c>
      <c r="R289" s="125">
        <f t="shared" si="13"/>
        <v>609.48789999999997</v>
      </c>
      <c r="S289" s="78">
        <f t="shared" si="14"/>
        <v>45901</v>
      </c>
      <c r="T289" t="str">
        <f>IFERROR(VLOOKUP(B289,Sites!$A$2:$D$21,4,FALSE()),"Unknown")</f>
        <v>Bangor</v>
      </c>
      <c r="U289" t="str">
        <f>IF(N289="OK","",COUNTIF($N$2:N289,"&lt;&gt;OK"))</f>
        <v/>
      </c>
      <c r="V289">
        <f>IF(OR(NOT(EXACT(E289,TRIM(Procurement_Raw!E289))),NOT(EXACT(F289,TRIM(Procurement_Raw!F289)))),1,0)</f>
        <v>0</v>
      </c>
    </row>
    <row r="290" spans="1:22" ht="15" customHeight="1" x14ac:dyDescent="0.25">
      <c r="A290" s="123">
        <f>Procurement_Raw!A290</f>
        <v>45722</v>
      </c>
      <c r="B290" t="str">
        <f>TRIM(Procurement_Raw!B290)</f>
        <v>S013</v>
      </c>
      <c r="C290" t="str">
        <f>Procurement_Raw!C290</f>
        <v>Reading Care &amp; Education Centre</v>
      </c>
      <c r="D290" t="str">
        <f>Procurement_Raw!D290</f>
        <v>South</v>
      </c>
      <c r="E290" t="str">
        <f>IF(TRIM(Procurement_Raw!E290)="","",IFERROR(INDEX(Supplier_Lookup!$A$2:$A$25,MATCH(TRIM(Procurement_Raw!E290),Supplier_Lookup!$A$2:$A$25,0)),TRIM(Procurement_Raw!E290)))</f>
        <v>OfficePlus</v>
      </c>
      <c r="F290" t="str">
        <f>IFERROR(INDEX(Category_Targets!$A$2:$A$9,MATCH(TRIM(Procurement_Raw!F290),Category_Targets!$A$2:$A$9,0)),"Unmapped")</f>
        <v>Office &amp; Training</v>
      </c>
      <c r="G290" t="str">
        <f>TRIM(Procurement_Raw!G290)</f>
        <v>INV-2025-00289</v>
      </c>
      <c r="H290" s="77">
        <f>Procurement_Raw!H290</f>
        <v>9</v>
      </c>
      <c r="I290" s="124">
        <f>Procurement_Raw!I290</f>
        <v>87.53</v>
      </c>
      <c r="J290" s="125">
        <f>IF(Procurement_Raw!J290="","",Procurement_Raw!J290)</f>
        <v>787.81</v>
      </c>
      <c r="K290" s="77">
        <f>Procurement_Raw!K290</f>
        <v>30</v>
      </c>
      <c r="L290" t="str">
        <f>Procurement_Raw!L290</f>
        <v>Legacy Spend File</v>
      </c>
      <c r="M290" t="str">
        <f>Procurement_Raw!O290</f>
        <v>N</v>
      </c>
      <c r="N290" t="str">
        <f>IF(E290="","Missing supplier",IF(B290="","Missing site",IF(J290="","Missing spend",IF(COUNTIFS($G$2:G290,G290,$E$2:E290,E290,$J$2:J290,J290)&gt;1,"Duplicate invoice",IF(COUNTIF($G$2:$G$1801,G290)&gt;1,"Duplicate ID - review",IF(AND(P290&lt;&gt;"Unmapped",P290&lt;&gt;F290),"Category mismatch","OK"))))))</f>
        <v>OK</v>
      </c>
      <c r="O290" s="125">
        <f t="shared" si="12"/>
        <v>787.81</v>
      </c>
      <c r="P290" t="str">
        <f>IF(E290="","Unmapped",IFERROR(INDEX(Supplier_Lookup!$B$2:$B$25,MATCH(E290,Supplier_Lookup!$A$2:$A$25,0)),"Unmapped"))</f>
        <v>Office &amp; Training</v>
      </c>
      <c r="Q290" s="76">
        <f>IFERROR(INDEX(Category_Targets!$B$2:$B$9,MATCH(F290,Category_Targets!$A$2:$A$9,0)),0)</f>
        <v>0.04</v>
      </c>
      <c r="R290" s="125">
        <f t="shared" si="13"/>
        <v>31.5124</v>
      </c>
      <c r="S290" s="78">
        <f t="shared" si="14"/>
        <v>45717</v>
      </c>
      <c r="T290" t="str">
        <f>IFERROR(VLOOKUP(B290,Sites!$A$2:$D$21,4,FALSE()),"Unknown")</f>
        <v>Reading</v>
      </c>
      <c r="U290" t="str">
        <f>IF(N290="OK","",COUNTIF($N$2:N290,"&lt;&gt;OK"))</f>
        <v/>
      </c>
      <c r="V290">
        <f>IF(OR(NOT(EXACT(E290,TRIM(Procurement_Raw!E290))),NOT(EXACT(F290,TRIM(Procurement_Raw!F290)))),1,0)</f>
        <v>0</v>
      </c>
    </row>
    <row r="291" spans="1:22" ht="15" customHeight="1" x14ac:dyDescent="0.25">
      <c r="A291" s="123">
        <f>Procurement_Raw!A291</f>
        <v>45948</v>
      </c>
      <c r="B291" t="str">
        <f>TRIM(Procurement_Raw!B291)</f>
        <v>S009</v>
      </c>
      <c r="C291" t="str">
        <f>Procurement_Raw!C291</f>
        <v>Derby Care &amp; Education Centre</v>
      </c>
      <c r="D291" t="str">
        <f>Procurement_Raw!D291</f>
        <v>Midlands</v>
      </c>
      <c r="E291" t="str">
        <f>IF(TRIM(Procurement_Raw!E291)="","",IFERROR(INDEX(Supplier_Lookup!$A$2:$A$25,MATCH(TRIM(Procurement_Raw!E291),Supplier_Lookup!$A$2:$A$25,0)),TRIM(Procurement_Raw!E291)))</f>
        <v>RoadReady</v>
      </c>
      <c r="F291" t="str">
        <f>IFERROR(INDEX(Category_Targets!$A$2:$A$9,MATCH(TRIM(Procurement_Raw!F291),Category_Targets!$A$2:$A$9,0)),"Unmapped")</f>
        <v>Vehicle &amp; Fuel</v>
      </c>
      <c r="G291" t="str">
        <f>TRIM(Procurement_Raw!G291)</f>
        <v>INV-2025-00290</v>
      </c>
      <c r="H291" s="77">
        <f>Procurement_Raw!H291</f>
        <v>5</v>
      </c>
      <c r="I291" s="124">
        <f>Procurement_Raw!I291</f>
        <v>67.45</v>
      </c>
      <c r="J291" s="125">
        <f>IF(Procurement_Raw!J291="","",Procurement_Raw!J291)</f>
        <v>337.25</v>
      </c>
      <c r="K291" s="77">
        <f>Procurement_Raw!K291</f>
        <v>60</v>
      </c>
      <c r="L291" t="str">
        <f>Procurement_Raw!L291</f>
        <v>ERP</v>
      </c>
      <c r="M291" t="str">
        <f>Procurement_Raw!O291</f>
        <v>N</v>
      </c>
      <c r="N291" t="str">
        <f>IF(E291="","Missing supplier",IF(B291="","Missing site",IF(J291="","Missing spend",IF(COUNTIFS($G$2:G291,G291,$E$2:E291,E291,$J$2:J291,J291)&gt;1,"Duplicate invoice",IF(COUNTIF($G$2:$G$1801,G291)&gt;1,"Duplicate ID - review",IF(AND(P291&lt;&gt;"Unmapped",P291&lt;&gt;F291),"Category mismatch","OK"))))))</f>
        <v>OK</v>
      </c>
      <c r="O291" s="125">
        <f t="shared" si="12"/>
        <v>337.25</v>
      </c>
      <c r="P291" t="str">
        <f>IF(E291="","Unmapped",IFERROR(INDEX(Supplier_Lookup!$B$2:$B$25,MATCH(E291,Supplier_Lookup!$A$2:$A$25,0)),"Unmapped"))</f>
        <v>Vehicle &amp; Fuel</v>
      </c>
      <c r="Q291" s="76">
        <f>IFERROR(INDEX(Category_Targets!$B$2:$B$9,MATCH(F291,Category_Targets!$A$2:$A$9,0)),0)</f>
        <v>0.05</v>
      </c>
      <c r="R291" s="125">
        <f t="shared" si="13"/>
        <v>16.862500000000001</v>
      </c>
      <c r="S291" s="78">
        <f t="shared" si="14"/>
        <v>45931</v>
      </c>
      <c r="T291" t="str">
        <f>IFERROR(VLOOKUP(B291,Sites!$A$2:$D$21,4,FALSE()),"Unknown")</f>
        <v>Derby</v>
      </c>
      <c r="U291" t="str">
        <f>IF(N291="OK","",COUNTIF($N$2:N291,"&lt;&gt;OK"))</f>
        <v/>
      </c>
      <c r="V291">
        <f>IF(OR(NOT(EXACT(E291,TRIM(Procurement_Raw!E291))),NOT(EXACT(F291,TRIM(Procurement_Raw!F291)))),1,0)</f>
        <v>0</v>
      </c>
    </row>
    <row r="292" spans="1:22" ht="15" customHeight="1" x14ac:dyDescent="0.25">
      <c r="A292" s="123">
        <f>Procurement_Raw!A292</f>
        <v>45848</v>
      </c>
      <c r="B292" t="str">
        <f>TRIM(Procurement_Raw!B292)</f>
        <v>S017</v>
      </c>
      <c r="C292" t="str">
        <f>Procurement_Raw!C292</f>
        <v>Swansea Care &amp; Education Centre</v>
      </c>
      <c r="D292" t="str">
        <f>Procurement_Raw!D292</f>
        <v>Wales</v>
      </c>
      <c r="E292" t="str">
        <f>IF(TRIM(Procurement_Raw!E292)="","",IFERROR(INDEX(Supplier_Lookup!$A$2:$A$25,MATCH(TRIM(Procurement_Raw!E292),Supplier_Lookup!$A$2:$A$25,0)),TRIM(Procurement_Raw!E292)))</f>
        <v>LearnWell</v>
      </c>
      <c r="F292" t="str">
        <f>IFERROR(INDEX(Category_Targets!$A$2:$A$9,MATCH(TRIM(Procurement_Raw!F292),Category_Targets!$A$2:$A$9,0)),"Unmapped")</f>
        <v>Office &amp; Training</v>
      </c>
      <c r="G292" t="str">
        <f>TRIM(Procurement_Raw!G292)</f>
        <v>INV-2025-00291</v>
      </c>
      <c r="H292" s="77">
        <f>Procurement_Raw!H292</f>
        <v>57</v>
      </c>
      <c r="I292" s="124">
        <f>Procurement_Raw!I292</f>
        <v>66.89</v>
      </c>
      <c r="J292" s="125">
        <f>IF(Procurement_Raw!J292="","",Procurement_Raw!J292)</f>
        <v>3812.62</v>
      </c>
      <c r="K292" s="77">
        <f>Procurement_Raw!K292</f>
        <v>30</v>
      </c>
      <c r="L292" t="str">
        <f>Procurement_Raw!L292</f>
        <v>Legacy Spend File</v>
      </c>
      <c r="M292" t="str">
        <f>Procurement_Raw!O292</f>
        <v>N</v>
      </c>
      <c r="N292" t="str">
        <f>IF(E292="","Missing supplier",IF(B292="","Missing site",IF(J292="","Missing spend",IF(COUNTIFS($G$2:G292,G292,$E$2:E292,E292,$J$2:J292,J292)&gt;1,"Duplicate invoice",IF(COUNTIF($G$2:$G$1801,G292)&gt;1,"Duplicate ID - review",IF(AND(P292&lt;&gt;"Unmapped",P292&lt;&gt;F292),"Category mismatch","OK"))))))</f>
        <v>OK</v>
      </c>
      <c r="O292" s="125">
        <f t="shared" si="12"/>
        <v>3812.62</v>
      </c>
      <c r="P292" t="str">
        <f>IF(E292="","Unmapped",IFERROR(INDEX(Supplier_Lookup!$B$2:$B$25,MATCH(E292,Supplier_Lookup!$A$2:$A$25,0)),"Unmapped"))</f>
        <v>Office &amp; Training</v>
      </c>
      <c r="Q292" s="76">
        <f>IFERROR(INDEX(Category_Targets!$B$2:$B$9,MATCH(F292,Category_Targets!$A$2:$A$9,0)),0)</f>
        <v>0.04</v>
      </c>
      <c r="R292" s="125">
        <f t="shared" si="13"/>
        <v>152.50479999999999</v>
      </c>
      <c r="S292" s="78">
        <f t="shared" si="14"/>
        <v>45839</v>
      </c>
      <c r="T292" t="str">
        <f>IFERROR(VLOOKUP(B292,Sites!$A$2:$D$21,4,FALSE()),"Unknown")</f>
        <v>Swansea</v>
      </c>
      <c r="U292" t="str">
        <f>IF(N292="OK","",COUNTIF($N$2:N292,"&lt;&gt;OK"))</f>
        <v/>
      </c>
      <c r="V292">
        <f>IF(OR(NOT(EXACT(E292,TRIM(Procurement_Raw!E292))),NOT(EXACT(F292,TRIM(Procurement_Raw!F292)))),1,0)</f>
        <v>0</v>
      </c>
    </row>
    <row r="293" spans="1:22" ht="15" customHeight="1" x14ac:dyDescent="0.25">
      <c r="A293" s="123">
        <f>Procurement_Raw!A293</f>
        <v>45818</v>
      </c>
      <c r="B293" t="str">
        <f>TRIM(Procurement_Raw!B293)</f>
        <v>S001</v>
      </c>
      <c r="C293" t="str">
        <f>Procurement_Raw!C293</f>
        <v>Preston Care &amp; Education Centre</v>
      </c>
      <c r="D293" t="str">
        <f>Procurement_Raw!D293</f>
        <v>North</v>
      </c>
      <c r="E293" t="str">
        <f>IF(TRIM(Procurement_Raw!E293)="","",IFERROR(INDEX(Supplier_Lookup!$A$2:$A$25,MATCH(TRIM(Procurement_Raw!E293),Supplier_Lookup!$A$2:$A$25,0)),TRIM(Procurement_Raw!E293)))</f>
        <v>RoadReady</v>
      </c>
      <c r="F293" t="str">
        <f>IFERROR(INDEX(Category_Targets!$A$2:$A$9,MATCH(TRIM(Procurement_Raw!F293),Category_Targets!$A$2:$A$9,0)),"Unmapped")</f>
        <v>Vehicle &amp; Fuel</v>
      </c>
      <c r="G293" t="str">
        <f>TRIM(Procurement_Raw!G293)</f>
        <v>INV-2025-00292</v>
      </c>
      <c r="H293" s="77">
        <f>Procurement_Raw!H293</f>
        <v>36</v>
      </c>
      <c r="I293" s="124">
        <f>Procurement_Raw!I293</f>
        <v>72.44</v>
      </c>
      <c r="J293" s="125">
        <f>IF(Procurement_Raw!J293="","",Procurement_Raw!J293)</f>
        <v>2607.7600000000002</v>
      </c>
      <c r="K293" s="77">
        <f>Procurement_Raw!K293</f>
        <v>30</v>
      </c>
      <c r="L293" t="str">
        <f>Procurement_Raw!L293</f>
        <v>ERP</v>
      </c>
      <c r="M293" t="str">
        <f>Procurement_Raw!O293</f>
        <v>N</v>
      </c>
      <c r="N293" t="str">
        <f>IF(E293="","Missing supplier",IF(B293="","Missing site",IF(J293="","Missing spend",IF(COUNTIFS($G$2:G293,G293,$E$2:E293,E293,$J$2:J293,J293)&gt;1,"Duplicate invoice",IF(COUNTIF($G$2:$G$1801,G293)&gt;1,"Duplicate ID - review",IF(AND(P293&lt;&gt;"Unmapped",P293&lt;&gt;F293),"Category mismatch","OK"))))))</f>
        <v>OK</v>
      </c>
      <c r="O293" s="125">
        <f t="shared" si="12"/>
        <v>2607.7600000000002</v>
      </c>
      <c r="P293" t="str">
        <f>IF(E293="","Unmapped",IFERROR(INDEX(Supplier_Lookup!$B$2:$B$25,MATCH(E293,Supplier_Lookup!$A$2:$A$25,0)),"Unmapped"))</f>
        <v>Vehicle &amp; Fuel</v>
      </c>
      <c r="Q293" s="76">
        <f>IFERROR(INDEX(Category_Targets!$B$2:$B$9,MATCH(F293,Category_Targets!$A$2:$A$9,0)),0)</f>
        <v>0.05</v>
      </c>
      <c r="R293" s="125">
        <f t="shared" si="13"/>
        <v>130.38800000000001</v>
      </c>
      <c r="S293" s="78">
        <f t="shared" si="14"/>
        <v>45809</v>
      </c>
      <c r="T293" t="str">
        <f>IFERROR(VLOOKUP(B293,Sites!$A$2:$D$21,4,FALSE()),"Unknown")</f>
        <v>Preston</v>
      </c>
      <c r="U293" t="str">
        <f>IF(N293="OK","",COUNTIF($N$2:N293,"&lt;&gt;OK"))</f>
        <v/>
      </c>
      <c r="V293">
        <f>IF(OR(NOT(EXACT(E293,TRIM(Procurement_Raw!E293))),NOT(EXACT(F293,TRIM(Procurement_Raw!F293)))),1,0)</f>
        <v>0</v>
      </c>
    </row>
    <row r="294" spans="1:22" ht="15" customHeight="1" x14ac:dyDescent="0.25">
      <c r="A294" s="123">
        <f>Procurement_Raw!A294</f>
        <v>45923</v>
      </c>
      <c r="B294" t="str">
        <f>TRIM(Procurement_Raw!B294)</f>
        <v>S010</v>
      </c>
      <c r="C294" t="str">
        <f>Procurement_Raw!C294</f>
        <v>Coventry Care &amp; Education Centre</v>
      </c>
      <c r="D294" t="str">
        <f>Procurement_Raw!D294</f>
        <v>Midlands</v>
      </c>
      <c r="E294" t="str">
        <f>IF(TRIM(Procurement_Raw!E294)="","",IFERROR(INDEX(Supplier_Lookup!$A$2:$A$25,MATCH(TRIM(Procurement_Raw!E294),Supplier_Lookup!$A$2:$A$25,0)),TRIM(Procurement_Raw!E294)))</f>
        <v>SafeGuard FM</v>
      </c>
      <c r="F294" t="str">
        <f>IFERROR(INDEX(Category_Targets!$A$2:$A$9,MATCH(TRIM(Procurement_Raw!F294),Category_Targets!$A$2:$A$9,0)),"Unmapped")</f>
        <v>Facilities</v>
      </c>
      <c r="G294" t="str">
        <f>TRIM(Procurement_Raw!G294)</f>
        <v>INV-2025-00293</v>
      </c>
      <c r="H294" s="77">
        <f>Procurement_Raw!H294</f>
        <v>50</v>
      </c>
      <c r="I294" s="124">
        <f>Procurement_Raw!I294</f>
        <v>130.16999999999999</v>
      </c>
      <c r="J294" s="125">
        <f>IF(Procurement_Raw!J294="","",Procurement_Raw!J294)</f>
        <v>6508.27</v>
      </c>
      <c r="K294" s="77">
        <f>Procurement_Raw!K294</f>
        <v>60</v>
      </c>
      <c r="L294" t="str">
        <f>Procurement_Raw!L294</f>
        <v>ERP</v>
      </c>
      <c r="M294" t="str">
        <f>Procurement_Raw!O294</f>
        <v>N</v>
      </c>
      <c r="N294" t="str">
        <f>IF(E294="","Missing supplier",IF(B294="","Missing site",IF(J294="","Missing spend",IF(COUNTIFS($G$2:G294,G294,$E$2:E294,E294,$J$2:J294,J294)&gt;1,"Duplicate invoice",IF(COUNTIF($G$2:$G$1801,G294)&gt;1,"Duplicate ID - review",IF(AND(P294&lt;&gt;"Unmapped",P294&lt;&gt;F294),"Category mismatch","OK"))))))</f>
        <v>OK</v>
      </c>
      <c r="O294" s="125">
        <f t="shared" si="12"/>
        <v>6508.27</v>
      </c>
      <c r="P294" t="str">
        <f>IF(E294="","Unmapped",IFERROR(INDEX(Supplier_Lookup!$B$2:$B$25,MATCH(E294,Supplier_Lookup!$A$2:$A$25,0)),"Unmapped"))</f>
        <v>Facilities</v>
      </c>
      <c r="Q294" s="76">
        <f>IFERROR(INDEX(Category_Targets!$B$2:$B$9,MATCH(F294,Category_Targets!$A$2:$A$9,0)),0)</f>
        <v>0.05</v>
      </c>
      <c r="R294" s="125">
        <f t="shared" si="13"/>
        <v>325.41350000000006</v>
      </c>
      <c r="S294" s="78">
        <f t="shared" si="14"/>
        <v>45901</v>
      </c>
      <c r="T294" t="str">
        <f>IFERROR(VLOOKUP(B294,Sites!$A$2:$D$21,4,FALSE()),"Unknown")</f>
        <v>Coventry</v>
      </c>
      <c r="U294" t="str">
        <f>IF(N294="OK","",COUNTIF($N$2:N294,"&lt;&gt;OK"))</f>
        <v/>
      </c>
      <c r="V294">
        <f>IF(OR(NOT(EXACT(E294,TRIM(Procurement_Raw!E294))),NOT(EXACT(F294,TRIM(Procurement_Raw!F294)))),1,0)</f>
        <v>0</v>
      </c>
    </row>
    <row r="295" spans="1:22" ht="15" customHeight="1" x14ac:dyDescent="0.25">
      <c r="A295" s="123">
        <f>Procurement_Raw!A295</f>
        <v>45886</v>
      </c>
      <c r="B295" t="str">
        <f>TRIM(Procurement_Raw!B295)</f>
        <v>S019</v>
      </c>
      <c r="C295" t="str">
        <f>Procurement_Raw!C295</f>
        <v>Wrexham Care &amp; Education Centre</v>
      </c>
      <c r="D295" t="str">
        <f>Procurement_Raw!D295</f>
        <v>Wales</v>
      </c>
      <c r="E295" t="str">
        <f>IF(TRIM(Procurement_Raw!E295)="","",IFERROR(INDEX(Supplier_Lookup!$A$2:$A$25,MATCH(TRIM(Procurement_Raw!E295),Supplier_Lookup!$A$2:$A$25,0)),TRIM(Procurement_Raw!E295)))</f>
        <v>NetServe</v>
      </c>
      <c r="F295" t="str">
        <f>IFERROR(INDEX(Category_Targets!$A$2:$A$9,MATCH(TRIM(Procurement_Raw!F295),Category_Targets!$A$2:$A$9,0)),"Unmapped")</f>
        <v>IT &amp; Telecoms</v>
      </c>
      <c r="G295" t="str">
        <f>TRIM(Procurement_Raw!G295)</f>
        <v>INV-2025-00294</v>
      </c>
      <c r="H295" s="77">
        <f>Procurement_Raw!H295</f>
        <v>28</v>
      </c>
      <c r="I295" s="124">
        <f>Procurement_Raw!I295</f>
        <v>351.04</v>
      </c>
      <c r="J295" s="125">
        <f>IF(Procurement_Raw!J295="","",Procurement_Raw!J295)</f>
        <v>9829.2000000000007</v>
      </c>
      <c r="K295" s="77">
        <f>Procurement_Raw!K295</f>
        <v>60</v>
      </c>
      <c r="L295" t="str">
        <f>Procurement_Raw!L295</f>
        <v>Procurement Portal</v>
      </c>
      <c r="M295" t="str">
        <f>Procurement_Raw!O295</f>
        <v>N</v>
      </c>
      <c r="N295" t="str">
        <f>IF(E295="","Missing supplier",IF(B295="","Missing site",IF(J295="","Missing spend",IF(COUNTIFS($G$2:G295,G295,$E$2:E295,E295,$J$2:J295,J295)&gt;1,"Duplicate invoice",IF(COUNTIF($G$2:$G$1801,G295)&gt;1,"Duplicate ID - review",IF(AND(P295&lt;&gt;"Unmapped",P295&lt;&gt;F295),"Category mismatch","OK"))))))</f>
        <v>OK</v>
      </c>
      <c r="O295" s="125">
        <f t="shared" si="12"/>
        <v>9829.2000000000007</v>
      </c>
      <c r="P295" t="str">
        <f>IF(E295="","Unmapped",IFERROR(INDEX(Supplier_Lookup!$B$2:$B$25,MATCH(E295,Supplier_Lookup!$A$2:$A$25,0)),"Unmapped"))</f>
        <v>IT &amp; Telecoms</v>
      </c>
      <c r="Q295" s="76">
        <f>IFERROR(INDEX(Category_Targets!$B$2:$B$9,MATCH(F295,Category_Targets!$A$2:$A$9,0)),0)</f>
        <v>0.08</v>
      </c>
      <c r="R295" s="125">
        <f t="shared" si="13"/>
        <v>786.33600000000013</v>
      </c>
      <c r="S295" s="78">
        <f t="shared" si="14"/>
        <v>45870</v>
      </c>
      <c r="T295" t="str">
        <f>IFERROR(VLOOKUP(B295,Sites!$A$2:$D$21,4,FALSE()),"Unknown")</f>
        <v>Wrexham</v>
      </c>
      <c r="U295" t="str">
        <f>IF(N295="OK","",COUNTIF($N$2:N295,"&lt;&gt;OK"))</f>
        <v/>
      </c>
      <c r="V295">
        <f>IF(OR(NOT(EXACT(E295,TRIM(Procurement_Raw!E295))),NOT(EXACT(F295,TRIM(Procurement_Raw!F295)))),1,0)</f>
        <v>0</v>
      </c>
    </row>
    <row r="296" spans="1:22" ht="15" customHeight="1" x14ac:dyDescent="0.25">
      <c r="A296" s="123">
        <f>Procurement_Raw!A296</f>
        <v>45720</v>
      </c>
      <c r="B296" t="str">
        <f>TRIM(Procurement_Raw!B296)</f>
        <v>S014</v>
      </c>
      <c r="C296" t="str">
        <f>Procurement_Raw!C296</f>
        <v>Southampton Care &amp; Education Centre</v>
      </c>
      <c r="D296" t="str">
        <f>Procurement_Raw!D296</f>
        <v>South</v>
      </c>
      <c r="E296" t="str">
        <f>IF(TRIM(Procurement_Raw!E296)="","",IFERROR(INDEX(Supplier_Lookup!$A$2:$A$25,MATCH(TRIM(Procurement_Raw!E296),Supplier_Lookup!$A$2:$A$25,0)),TRIM(Procurement_Raw!E296)))</f>
        <v>OfficePlus</v>
      </c>
      <c r="F296" t="str">
        <f>IFERROR(INDEX(Category_Targets!$A$2:$A$9,MATCH(TRIM(Procurement_Raw!F296),Category_Targets!$A$2:$A$9,0)),"Unmapped")</f>
        <v>Office &amp; Training</v>
      </c>
      <c r="G296" t="str">
        <f>TRIM(Procurement_Raw!G296)</f>
        <v>INV-2025-00295</v>
      </c>
      <c r="H296" s="77">
        <f>Procurement_Raw!H296</f>
        <v>18</v>
      </c>
      <c r="I296" s="124">
        <f>Procurement_Raw!I296</f>
        <v>91.27</v>
      </c>
      <c r="J296" s="125">
        <f>IF(Procurement_Raw!J296="","",Procurement_Raw!J296)</f>
        <v>1642.9</v>
      </c>
      <c r="K296" s="77">
        <f>Procurement_Raw!K296</f>
        <v>30</v>
      </c>
      <c r="L296" t="str">
        <f>Procurement_Raw!L296</f>
        <v>Procurement Portal</v>
      </c>
      <c r="M296" t="str">
        <f>Procurement_Raw!O296</f>
        <v>N</v>
      </c>
      <c r="N296" t="str">
        <f>IF(E296="","Missing supplier",IF(B296="","Missing site",IF(J296="","Missing spend",IF(COUNTIFS($G$2:G296,G296,$E$2:E296,E296,$J$2:J296,J296)&gt;1,"Duplicate invoice",IF(COUNTIF($G$2:$G$1801,G296)&gt;1,"Duplicate ID - review",IF(AND(P296&lt;&gt;"Unmapped",P296&lt;&gt;F296),"Category mismatch","OK"))))))</f>
        <v>OK</v>
      </c>
      <c r="O296" s="125">
        <f t="shared" si="12"/>
        <v>1642.9</v>
      </c>
      <c r="P296" t="str">
        <f>IF(E296="","Unmapped",IFERROR(INDEX(Supplier_Lookup!$B$2:$B$25,MATCH(E296,Supplier_Lookup!$A$2:$A$25,0)),"Unmapped"))</f>
        <v>Office &amp; Training</v>
      </c>
      <c r="Q296" s="76">
        <f>IFERROR(INDEX(Category_Targets!$B$2:$B$9,MATCH(F296,Category_Targets!$A$2:$A$9,0)),0)</f>
        <v>0.04</v>
      </c>
      <c r="R296" s="125">
        <f t="shared" si="13"/>
        <v>65.716000000000008</v>
      </c>
      <c r="S296" s="78">
        <f t="shared" si="14"/>
        <v>45717</v>
      </c>
      <c r="T296" t="str">
        <f>IFERROR(VLOOKUP(B296,Sites!$A$2:$D$21,4,FALSE()),"Unknown")</f>
        <v>Southampton</v>
      </c>
      <c r="U296" t="str">
        <f>IF(N296="OK","",COUNTIF($N$2:N296,"&lt;&gt;OK"))</f>
        <v/>
      </c>
      <c r="V296">
        <f>IF(OR(NOT(EXACT(E296,TRIM(Procurement_Raw!E296))),NOT(EXACT(F296,TRIM(Procurement_Raw!F296)))),1,0)</f>
        <v>0</v>
      </c>
    </row>
    <row r="297" spans="1:22" ht="15" customHeight="1" x14ac:dyDescent="0.25">
      <c r="A297" s="123">
        <f>Procurement_Raw!A297</f>
        <v>46007</v>
      </c>
      <c r="B297" t="str">
        <f>TRIM(Procurement_Raw!B297)</f>
        <v>S009</v>
      </c>
      <c r="C297" t="str">
        <f>Procurement_Raw!C297</f>
        <v>Derby Care &amp; Education Centre</v>
      </c>
      <c r="D297" t="str">
        <f>Procurement_Raw!D297</f>
        <v>Midlands</v>
      </c>
      <c r="E297" t="str">
        <f>IF(TRIM(Procurement_Raw!E297)="","",IFERROR(INDEX(Supplier_Lookup!$A$2:$A$25,MATCH(TRIM(Procurement_Raw!E297),Supplier_Lookup!$A$2:$A$25,0)),TRIM(Procurement_Raw!E297)))</f>
        <v>OfficePlus</v>
      </c>
      <c r="F297" t="str">
        <f>IFERROR(INDEX(Category_Targets!$A$2:$A$9,MATCH(TRIM(Procurement_Raw!F297),Category_Targets!$A$2:$A$9,0)),"Unmapped")</f>
        <v>Office &amp; Training</v>
      </c>
      <c r="G297" t="str">
        <f>TRIM(Procurement_Raw!G297)</f>
        <v>INV-2025-00296</v>
      </c>
      <c r="H297" s="77">
        <f>Procurement_Raw!H297</f>
        <v>41</v>
      </c>
      <c r="I297" s="124">
        <f>Procurement_Raw!I297</f>
        <v>51.23</v>
      </c>
      <c r="J297" s="125">
        <f>IF(Procurement_Raw!J297="","",Procurement_Raw!J297)</f>
        <v>2100.56</v>
      </c>
      <c r="K297" s="77">
        <f>Procurement_Raw!K297</f>
        <v>60</v>
      </c>
      <c r="L297" t="str">
        <f>Procurement_Raw!L297</f>
        <v>Procurement Portal</v>
      </c>
      <c r="M297" t="str">
        <f>Procurement_Raw!O297</f>
        <v>N</v>
      </c>
      <c r="N297" t="str">
        <f>IF(E297="","Missing supplier",IF(B297="","Missing site",IF(J297="","Missing spend",IF(COUNTIFS($G$2:G297,G297,$E$2:E297,E297,$J$2:J297,J297)&gt;1,"Duplicate invoice",IF(COUNTIF($G$2:$G$1801,G297)&gt;1,"Duplicate ID - review",IF(AND(P297&lt;&gt;"Unmapped",P297&lt;&gt;F297),"Category mismatch","OK"))))))</f>
        <v>OK</v>
      </c>
      <c r="O297" s="125">
        <f t="shared" si="12"/>
        <v>2100.56</v>
      </c>
      <c r="P297" t="str">
        <f>IF(E297="","Unmapped",IFERROR(INDEX(Supplier_Lookup!$B$2:$B$25,MATCH(E297,Supplier_Lookup!$A$2:$A$25,0)),"Unmapped"))</f>
        <v>Office &amp; Training</v>
      </c>
      <c r="Q297" s="76">
        <f>IFERROR(INDEX(Category_Targets!$B$2:$B$9,MATCH(F297,Category_Targets!$A$2:$A$9,0)),0)</f>
        <v>0.04</v>
      </c>
      <c r="R297" s="125">
        <f t="shared" si="13"/>
        <v>84.022400000000005</v>
      </c>
      <c r="S297" s="78">
        <f t="shared" si="14"/>
        <v>45992</v>
      </c>
      <c r="T297" t="str">
        <f>IFERROR(VLOOKUP(B297,Sites!$A$2:$D$21,4,FALSE()),"Unknown")</f>
        <v>Derby</v>
      </c>
      <c r="U297" t="str">
        <f>IF(N297="OK","",COUNTIF($N$2:N297,"&lt;&gt;OK"))</f>
        <v/>
      </c>
      <c r="V297">
        <f>IF(OR(NOT(EXACT(E297,TRIM(Procurement_Raw!E297))),NOT(EXACT(F297,TRIM(Procurement_Raw!F297)))),1,0)</f>
        <v>0</v>
      </c>
    </row>
    <row r="298" spans="1:22" ht="15" customHeight="1" x14ac:dyDescent="0.25">
      <c r="A298" s="123">
        <f>Procurement_Raw!A298</f>
        <v>45935</v>
      </c>
      <c r="B298" t="str">
        <f>TRIM(Procurement_Raw!B298)</f>
        <v>S002</v>
      </c>
      <c r="C298" t="str">
        <f>Procurement_Raw!C298</f>
        <v>Manchester Care &amp; Education Centre</v>
      </c>
      <c r="D298" t="str">
        <f>Procurement_Raw!D298</f>
        <v>North</v>
      </c>
      <c r="E298" t="str">
        <f>IF(TRIM(Procurement_Raw!E298)="","",IFERROR(INDEX(Supplier_Lookup!$A$2:$A$25,MATCH(TRIM(Procurement_Raw!E298),Supplier_Lookup!$A$2:$A$25,0)),TRIM(Procurement_Raw!E298)))</f>
        <v>KitchenPro</v>
      </c>
      <c r="F298" t="str">
        <f>IFERROR(INDEX(Category_Targets!$A$2:$A$9,MATCH(TRIM(Procurement_Raw!F298),Category_Targets!$A$2:$A$9,0)),"Unmapped")</f>
        <v>Food &amp; Catering</v>
      </c>
      <c r="G298" t="str">
        <f>TRIM(Procurement_Raw!G298)</f>
        <v>INV-2025-00297</v>
      </c>
      <c r="H298" s="77">
        <f>Procurement_Raw!H298</f>
        <v>38</v>
      </c>
      <c r="I298" s="124">
        <f>Procurement_Raw!I298</f>
        <v>106.61</v>
      </c>
      <c r="J298" s="125">
        <f>IF(Procurement_Raw!J298="","",Procurement_Raw!J298)</f>
        <v>4051.14</v>
      </c>
      <c r="K298" s="77">
        <f>Procurement_Raw!K298</f>
        <v>45</v>
      </c>
      <c r="L298" t="str">
        <f>Procurement_Raw!L298</f>
        <v>ERP</v>
      </c>
      <c r="M298" t="str">
        <f>Procurement_Raw!O298</f>
        <v>N</v>
      </c>
      <c r="N298" t="str">
        <f>IF(E298="","Missing supplier",IF(B298="","Missing site",IF(J298="","Missing spend",IF(COUNTIFS($G$2:G298,G298,$E$2:E298,E298,$J$2:J298,J298)&gt;1,"Duplicate invoice",IF(COUNTIF($G$2:$G$1801,G298)&gt;1,"Duplicate ID - review",IF(AND(P298&lt;&gt;"Unmapped",P298&lt;&gt;F298),"Category mismatch","OK"))))))</f>
        <v>OK</v>
      </c>
      <c r="O298" s="125">
        <f t="shared" si="12"/>
        <v>4051.14</v>
      </c>
      <c r="P298" t="str">
        <f>IF(E298="","Unmapped",IFERROR(INDEX(Supplier_Lookup!$B$2:$B$25,MATCH(E298,Supplier_Lookup!$A$2:$A$25,0)),"Unmapped"))</f>
        <v>Food &amp; Catering</v>
      </c>
      <c r="Q298" s="76">
        <f>IFERROR(INDEX(Category_Targets!$B$2:$B$9,MATCH(F298,Category_Targets!$A$2:$A$9,0)),0)</f>
        <v>0.04</v>
      </c>
      <c r="R298" s="125">
        <f t="shared" si="13"/>
        <v>162.04560000000001</v>
      </c>
      <c r="S298" s="78">
        <f t="shared" si="14"/>
        <v>45931</v>
      </c>
      <c r="T298" t="str">
        <f>IFERROR(VLOOKUP(B298,Sites!$A$2:$D$21,4,FALSE()),"Unknown")</f>
        <v>Manchester</v>
      </c>
      <c r="U298" t="str">
        <f>IF(N298="OK","",COUNTIF($N$2:N298,"&lt;&gt;OK"))</f>
        <v/>
      </c>
      <c r="V298">
        <f>IF(OR(NOT(EXACT(E298,TRIM(Procurement_Raw!E298))),NOT(EXACT(F298,TRIM(Procurement_Raw!F298)))),1,0)</f>
        <v>0</v>
      </c>
    </row>
    <row r="299" spans="1:22" ht="15" customHeight="1" x14ac:dyDescent="0.25">
      <c r="A299" s="123">
        <f>Procurement_Raw!A299</f>
        <v>45918</v>
      </c>
      <c r="B299" t="str">
        <f>TRIM(Procurement_Raw!B299)</f>
        <v>S020</v>
      </c>
      <c r="C299" t="str">
        <f>Procurement_Raw!C299</f>
        <v>Bangor Care &amp; Education Centre</v>
      </c>
      <c r="D299" t="str">
        <f>Procurement_Raw!D299</f>
        <v>Wales</v>
      </c>
      <c r="E299" t="str">
        <f>IF(TRIM(Procurement_Raw!E299)="","",IFERROR(INDEX(Supplier_Lookup!$A$2:$A$25,MATCH(TRIM(Procurement_Raw!E299),Supplier_Lookup!$A$2:$A$25,0)),TRIM(Procurement_Raw!E299)))</f>
        <v>SafeGuard FM</v>
      </c>
      <c r="F299" t="str">
        <f>IFERROR(INDEX(Category_Targets!$A$2:$A$9,MATCH(TRIM(Procurement_Raw!F299),Category_Targets!$A$2:$A$9,0)),"Unmapped")</f>
        <v>Facilities</v>
      </c>
      <c r="G299" t="str">
        <f>TRIM(Procurement_Raw!G299)</f>
        <v>INV-2025-00298</v>
      </c>
      <c r="H299" s="77">
        <f>Procurement_Raw!H299</f>
        <v>29</v>
      </c>
      <c r="I299" s="124">
        <f>Procurement_Raw!I299</f>
        <v>213.14</v>
      </c>
      <c r="J299" s="125">
        <f>IF(Procurement_Raw!J299="","",Procurement_Raw!J299)</f>
        <v>6181.2</v>
      </c>
      <c r="K299" s="77">
        <f>Procurement_Raw!K299</f>
        <v>30</v>
      </c>
      <c r="L299" t="str">
        <f>Procurement_Raw!L299</f>
        <v>ERP</v>
      </c>
      <c r="M299" t="str">
        <f>Procurement_Raw!O299</f>
        <v>N</v>
      </c>
      <c r="N299" t="str">
        <f>IF(E299="","Missing supplier",IF(B299="","Missing site",IF(J299="","Missing spend",IF(COUNTIFS($G$2:G299,G299,$E$2:E299,E299,$J$2:J299,J299)&gt;1,"Duplicate invoice",IF(COUNTIF($G$2:$G$1801,G299)&gt;1,"Duplicate ID - review",IF(AND(P299&lt;&gt;"Unmapped",P299&lt;&gt;F299),"Category mismatch","OK"))))))</f>
        <v>OK</v>
      </c>
      <c r="O299" s="125">
        <f t="shared" si="12"/>
        <v>6181.2</v>
      </c>
      <c r="P299" t="str">
        <f>IF(E299="","Unmapped",IFERROR(INDEX(Supplier_Lookup!$B$2:$B$25,MATCH(E299,Supplier_Lookup!$A$2:$A$25,0)),"Unmapped"))</f>
        <v>Facilities</v>
      </c>
      <c r="Q299" s="76">
        <f>IFERROR(INDEX(Category_Targets!$B$2:$B$9,MATCH(F299,Category_Targets!$A$2:$A$9,0)),0)</f>
        <v>0.05</v>
      </c>
      <c r="R299" s="125">
        <f t="shared" si="13"/>
        <v>309.06</v>
      </c>
      <c r="S299" s="78">
        <f t="shared" si="14"/>
        <v>45901</v>
      </c>
      <c r="T299" t="str">
        <f>IFERROR(VLOOKUP(B299,Sites!$A$2:$D$21,4,FALSE()),"Unknown")</f>
        <v>Bangor</v>
      </c>
      <c r="U299" t="str">
        <f>IF(N299="OK","",COUNTIF($N$2:N299,"&lt;&gt;OK"))</f>
        <v/>
      </c>
      <c r="V299">
        <f>IF(OR(NOT(EXACT(E299,TRIM(Procurement_Raw!E299))),NOT(EXACT(F299,TRIM(Procurement_Raw!F299)))),1,0)</f>
        <v>0</v>
      </c>
    </row>
    <row r="300" spans="1:22" ht="15" customHeight="1" x14ac:dyDescent="0.25">
      <c r="A300" s="123">
        <f>Procurement_Raw!A300</f>
        <v>45671</v>
      </c>
      <c r="B300" t="str">
        <f>TRIM(Procurement_Raw!B300)</f>
        <v>S013</v>
      </c>
      <c r="C300" t="str">
        <f>Procurement_Raw!C300</f>
        <v>Reading Care &amp; Education Centre</v>
      </c>
      <c r="D300" t="str">
        <f>Procurement_Raw!D300</f>
        <v>South</v>
      </c>
      <c r="E300" t="str">
        <f>IF(TRIM(Procurement_Raw!E300)="","",IFERROR(INDEX(Supplier_Lookup!$A$2:$A$25,MATCH(TRIM(Procurement_Raw!E300),Supplier_Lookup!$A$2:$A$25,0)),TRIM(Procurement_Raw!E300)))</f>
        <v>WaterGrid</v>
      </c>
      <c r="F300" t="str">
        <f>IFERROR(INDEX(Category_Targets!$A$2:$A$9,MATCH(TRIM(Procurement_Raw!F300),Category_Targets!$A$2:$A$9,0)),"Unmapped")</f>
        <v>Utilities</v>
      </c>
      <c r="G300" t="str">
        <f>TRIM(Procurement_Raw!G300)</f>
        <v>INV-2025-00299</v>
      </c>
      <c r="H300" s="77">
        <f>Procurement_Raw!H300</f>
        <v>47</v>
      </c>
      <c r="I300" s="124">
        <f>Procurement_Raw!I300</f>
        <v>390.93</v>
      </c>
      <c r="J300" s="125">
        <f>IF(Procurement_Raw!J300="","",Procurement_Raw!J300)</f>
        <v>18373.830000000002</v>
      </c>
      <c r="K300" s="77">
        <f>Procurement_Raw!K300</f>
        <v>60</v>
      </c>
      <c r="L300" t="str">
        <f>Procurement_Raw!L300</f>
        <v>Legacy Spend File</v>
      </c>
      <c r="M300" t="str">
        <f>Procurement_Raw!O300</f>
        <v>N</v>
      </c>
      <c r="N300" t="str">
        <f>IF(E300="","Missing supplier",IF(B300="","Missing site",IF(J300="","Missing spend",IF(COUNTIFS($G$2:G300,G300,$E$2:E300,E300,$J$2:J300,J300)&gt;1,"Duplicate invoice",IF(COUNTIF($G$2:$G$1801,G300)&gt;1,"Duplicate ID - review",IF(AND(P300&lt;&gt;"Unmapped",P300&lt;&gt;F300),"Category mismatch","OK"))))))</f>
        <v>OK</v>
      </c>
      <c r="O300" s="125">
        <f t="shared" si="12"/>
        <v>18373.830000000002</v>
      </c>
      <c r="P300" t="str">
        <f>IF(E300="","Unmapped",IFERROR(INDEX(Supplier_Lookup!$B$2:$B$25,MATCH(E300,Supplier_Lookup!$A$2:$A$25,0)),"Unmapped"))</f>
        <v>Utilities</v>
      </c>
      <c r="Q300" s="76">
        <f>IFERROR(INDEX(Category_Targets!$B$2:$B$9,MATCH(F300,Category_Targets!$A$2:$A$9,0)),0)</f>
        <v>0.03</v>
      </c>
      <c r="R300" s="125">
        <f t="shared" si="13"/>
        <v>551.21490000000006</v>
      </c>
      <c r="S300" s="78">
        <f t="shared" si="14"/>
        <v>45658</v>
      </c>
      <c r="T300" t="str">
        <f>IFERROR(VLOOKUP(B300,Sites!$A$2:$D$21,4,FALSE()),"Unknown")</f>
        <v>Reading</v>
      </c>
      <c r="U300" t="str">
        <f>IF(N300="OK","",COUNTIF($N$2:N300,"&lt;&gt;OK"))</f>
        <v/>
      </c>
      <c r="V300">
        <f>IF(OR(NOT(EXACT(E300,TRIM(Procurement_Raw!E300))),NOT(EXACT(F300,TRIM(Procurement_Raw!F300)))),1,0)</f>
        <v>0</v>
      </c>
    </row>
    <row r="301" spans="1:22" ht="15" customHeight="1" x14ac:dyDescent="0.25">
      <c r="A301" s="123">
        <f>Procurement_Raw!A301</f>
        <v>45724</v>
      </c>
      <c r="B301" t="str">
        <f>TRIM(Procurement_Raw!B301)</f>
        <v>S013</v>
      </c>
      <c r="C301" t="str">
        <f>Procurement_Raw!C301</f>
        <v>Reading Care &amp; Education Centre</v>
      </c>
      <c r="D301" t="str">
        <f>Procurement_Raw!D301</f>
        <v>South</v>
      </c>
      <c r="E301" t="str">
        <f>IF(TRIM(Procurement_Raw!E301)="","",IFERROR(INDEX(Supplier_Lookup!$A$2:$A$25,MATCH(TRIM(Procurement_Raw!E301),Supplier_Lookup!$A$2:$A$25,0)),TRIM(Procurement_Raw!E301)))</f>
        <v>PrintCo</v>
      </c>
      <c r="F301" t="str">
        <f>IFERROR(INDEX(Category_Targets!$A$2:$A$9,MATCH(TRIM(Procurement_Raw!F301),Category_Targets!$A$2:$A$9,0)),"Unmapped")</f>
        <v>Office &amp; Training</v>
      </c>
      <c r="G301" t="str">
        <f>TRIM(Procurement_Raw!G301)</f>
        <v>INV-2025-00300</v>
      </c>
      <c r="H301" s="77">
        <f>Procurement_Raw!H301</f>
        <v>79</v>
      </c>
      <c r="I301" s="124">
        <f>Procurement_Raw!I301</f>
        <v>106.04</v>
      </c>
      <c r="J301" s="125">
        <f>IF(Procurement_Raw!J301="","",Procurement_Raw!J301)</f>
        <v>8376.89</v>
      </c>
      <c r="K301" s="77">
        <f>Procurement_Raw!K301</f>
        <v>30</v>
      </c>
      <c r="L301" t="str">
        <f>Procurement_Raw!L301</f>
        <v>ERP</v>
      </c>
      <c r="M301" t="str">
        <f>Procurement_Raw!O301</f>
        <v>N</v>
      </c>
      <c r="N301" t="str">
        <f>IF(E301="","Missing supplier",IF(B301="","Missing site",IF(J301="","Missing spend",IF(COUNTIFS($G$2:G301,G301,$E$2:E301,E301,$J$2:J301,J301)&gt;1,"Duplicate invoice",IF(COUNTIF($G$2:$G$1801,G301)&gt;1,"Duplicate ID - review",IF(AND(P301&lt;&gt;"Unmapped",P301&lt;&gt;F301),"Category mismatch","OK"))))))</f>
        <v>OK</v>
      </c>
      <c r="O301" s="125">
        <f t="shared" si="12"/>
        <v>8376.89</v>
      </c>
      <c r="P301" t="str">
        <f>IF(E301="","Unmapped",IFERROR(INDEX(Supplier_Lookup!$B$2:$B$25,MATCH(E301,Supplier_Lookup!$A$2:$A$25,0)),"Unmapped"))</f>
        <v>Office &amp; Training</v>
      </c>
      <c r="Q301" s="76">
        <f>IFERROR(INDEX(Category_Targets!$B$2:$B$9,MATCH(F301,Category_Targets!$A$2:$A$9,0)),0)</f>
        <v>0.04</v>
      </c>
      <c r="R301" s="125">
        <f t="shared" si="13"/>
        <v>335.07560000000001</v>
      </c>
      <c r="S301" s="78">
        <f t="shared" si="14"/>
        <v>45717</v>
      </c>
      <c r="T301" t="str">
        <f>IFERROR(VLOOKUP(B301,Sites!$A$2:$D$21,4,FALSE()),"Unknown")</f>
        <v>Reading</v>
      </c>
      <c r="U301" t="str">
        <f>IF(N301="OK","",COUNTIF($N$2:N301,"&lt;&gt;OK"))</f>
        <v/>
      </c>
      <c r="V301">
        <f>IF(OR(NOT(EXACT(E301,TRIM(Procurement_Raw!E301))),NOT(EXACT(F301,TRIM(Procurement_Raw!F301)))),1,0)</f>
        <v>0</v>
      </c>
    </row>
    <row r="302" spans="1:22" ht="15" customHeight="1" x14ac:dyDescent="0.25">
      <c r="A302" s="123">
        <f>Procurement_Raw!A302</f>
        <v>45903</v>
      </c>
      <c r="B302" t="str">
        <f>TRIM(Procurement_Raw!B302)</f>
        <v>S015</v>
      </c>
      <c r="C302" t="str">
        <f>Procurement_Raw!C302</f>
        <v>Brighton Care &amp; Education Centre</v>
      </c>
      <c r="D302" t="str">
        <f>Procurement_Raw!D302</f>
        <v>South</v>
      </c>
      <c r="E302" t="str">
        <f>IF(TRIM(Procurement_Raw!E302)="","",IFERROR(INDEX(Supplier_Lookup!$A$2:$A$25,MATCH(TRIM(Procurement_Raw!E302),Supplier_Lookup!$A$2:$A$25,0)),TRIM(Procurement_Raw!E302)))</f>
        <v>NurseLink</v>
      </c>
      <c r="F302" t="str">
        <f>IFERROR(INDEX(Category_Targets!$A$2:$A$9,MATCH(TRIM(Procurement_Raw!F302),Category_Targets!$A$2:$A$9,0)),"Unmapped")</f>
        <v>Agency Labour</v>
      </c>
      <c r="G302" t="str">
        <f>TRIM(Procurement_Raw!G302)</f>
        <v>INV-2025-00301</v>
      </c>
      <c r="H302" s="77">
        <f>Procurement_Raw!H302</f>
        <v>68</v>
      </c>
      <c r="I302" s="124">
        <f>Procurement_Raw!I302</f>
        <v>190.15</v>
      </c>
      <c r="J302" s="125">
        <f>IF(Procurement_Raw!J302="","",Procurement_Raw!J302)</f>
        <v>12930.48</v>
      </c>
      <c r="K302" s="77">
        <f>Procurement_Raw!K302</f>
        <v>45</v>
      </c>
      <c r="L302" t="str">
        <f>Procurement_Raw!L302</f>
        <v>Procurement Portal</v>
      </c>
      <c r="M302" t="str">
        <f>Procurement_Raw!O302</f>
        <v>N</v>
      </c>
      <c r="N302" t="str">
        <f>IF(E302="","Missing supplier",IF(B302="","Missing site",IF(J302="","Missing spend",IF(COUNTIFS($G$2:G302,G302,$E$2:E302,E302,$J$2:J302,J302)&gt;1,"Duplicate invoice",IF(COUNTIF($G$2:$G$1801,G302)&gt;1,"Duplicate ID - review",IF(AND(P302&lt;&gt;"Unmapped",P302&lt;&gt;F302),"Category mismatch","OK"))))))</f>
        <v>OK</v>
      </c>
      <c r="O302" s="125">
        <f t="shared" si="12"/>
        <v>12930.48</v>
      </c>
      <c r="P302" t="str">
        <f>IF(E302="","Unmapped",IFERROR(INDEX(Supplier_Lookup!$B$2:$B$25,MATCH(E302,Supplier_Lookup!$A$2:$A$25,0)),"Unmapped"))</f>
        <v>Agency Labour</v>
      </c>
      <c r="Q302" s="76">
        <f>IFERROR(INDEX(Category_Targets!$B$2:$B$9,MATCH(F302,Category_Targets!$A$2:$A$9,0)),0)</f>
        <v>7.0000000000000007E-2</v>
      </c>
      <c r="R302" s="125">
        <f t="shared" si="13"/>
        <v>905.1336</v>
      </c>
      <c r="S302" s="78">
        <f t="shared" si="14"/>
        <v>45901</v>
      </c>
      <c r="T302" t="str">
        <f>IFERROR(VLOOKUP(B302,Sites!$A$2:$D$21,4,FALSE()),"Unknown")</f>
        <v>Brighton</v>
      </c>
      <c r="U302" t="str">
        <f>IF(N302="OK","",COUNTIF($N$2:N302,"&lt;&gt;OK"))</f>
        <v/>
      </c>
      <c r="V302">
        <f>IF(OR(NOT(EXACT(E302,TRIM(Procurement_Raw!E302))),NOT(EXACT(F302,TRIM(Procurement_Raw!F302)))),1,0)</f>
        <v>0</v>
      </c>
    </row>
    <row r="303" spans="1:22" ht="15" customHeight="1" x14ac:dyDescent="0.25">
      <c r="A303" s="123">
        <f>Procurement_Raw!A303</f>
        <v>45820</v>
      </c>
      <c r="B303" t="str">
        <f>TRIM(Procurement_Raw!B303)</f>
        <v>S019</v>
      </c>
      <c r="C303" t="str">
        <f>Procurement_Raw!C303</f>
        <v>Wrexham Care &amp; Education Centre</v>
      </c>
      <c r="D303" t="str">
        <f>Procurement_Raw!D303</f>
        <v>Wales</v>
      </c>
      <c r="E303" t="str">
        <f>IF(TRIM(Procurement_Raw!E303)="","",IFERROR(INDEX(Supplier_Lookup!$A$2:$A$25,MATCH(TRIM(Procurement_Raw!E303),Supplier_Lookup!$A$2:$A$25,0)),TRIM(Procurement_Raw!E303)))</f>
        <v>FreshServe</v>
      </c>
      <c r="F303" t="str">
        <f>IFERROR(INDEX(Category_Targets!$A$2:$A$9,MATCH(TRIM(Procurement_Raw!F303),Category_Targets!$A$2:$A$9,0)),"Unmapped")</f>
        <v>Food &amp; Catering</v>
      </c>
      <c r="G303" t="str">
        <f>TRIM(Procurement_Raw!G303)</f>
        <v>INV-2025-00302</v>
      </c>
      <c r="H303" s="77">
        <f>Procurement_Raw!H303</f>
        <v>10</v>
      </c>
      <c r="I303" s="124">
        <f>Procurement_Raw!I303</f>
        <v>47.76</v>
      </c>
      <c r="J303" s="125">
        <f>IF(Procurement_Raw!J303="","",Procurement_Raw!J303)</f>
        <v>477.65</v>
      </c>
      <c r="K303" s="77">
        <f>Procurement_Raw!K303</f>
        <v>45</v>
      </c>
      <c r="L303" t="str">
        <f>Procurement_Raw!L303</f>
        <v>Procurement Portal</v>
      </c>
      <c r="M303" t="str">
        <f>Procurement_Raw!O303</f>
        <v>Y</v>
      </c>
      <c r="N303" t="str">
        <f>IF(E303="","Missing supplier",IF(B303="","Missing site",IF(J303="","Missing spend",IF(COUNTIFS($G$2:G303,G303,$E$2:E303,E303,$J$2:J303,J303)&gt;1,"Duplicate invoice",IF(COUNTIF($G$2:$G$1801,G303)&gt;1,"Duplicate ID - review",IF(AND(P303&lt;&gt;"Unmapped",P303&lt;&gt;F303),"Category mismatch","OK"))))))</f>
        <v>OK</v>
      </c>
      <c r="O303" s="125">
        <f t="shared" si="12"/>
        <v>477.65</v>
      </c>
      <c r="P303" t="str">
        <f>IF(E303="","Unmapped",IFERROR(INDEX(Supplier_Lookup!$B$2:$B$25,MATCH(E303,Supplier_Lookup!$A$2:$A$25,0)),"Unmapped"))</f>
        <v>Food &amp; Catering</v>
      </c>
      <c r="Q303" s="76">
        <f>IFERROR(INDEX(Category_Targets!$B$2:$B$9,MATCH(F303,Category_Targets!$A$2:$A$9,0)),0)</f>
        <v>0.04</v>
      </c>
      <c r="R303" s="125">
        <f t="shared" si="13"/>
        <v>19.105999999999998</v>
      </c>
      <c r="S303" s="78">
        <f t="shared" si="14"/>
        <v>45809</v>
      </c>
      <c r="T303" t="str">
        <f>IFERROR(VLOOKUP(B303,Sites!$A$2:$D$21,4,FALSE()),"Unknown")</f>
        <v>Wrexham</v>
      </c>
      <c r="U303" t="str">
        <f>IF(N303="OK","",COUNTIF($N$2:N303,"&lt;&gt;OK"))</f>
        <v/>
      </c>
      <c r="V303">
        <f>IF(OR(NOT(EXACT(E303,TRIM(Procurement_Raw!E303))),NOT(EXACT(F303,TRIM(Procurement_Raw!F303)))),1,0)</f>
        <v>0</v>
      </c>
    </row>
    <row r="304" spans="1:22" ht="15" customHeight="1" x14ac:dyDescent="0.25">
      <c r="A304" s="123">
        <f>Procurement_Raw!A304</f>
        <v>45940</v>
      </c>
      <c r="B304" t="str">
        <f>TRIM(Procurement_Raw!B304)</f>
        <v>S012</v>
      </c>
      <c r="C304" t="str">
        <f>Procurement_Raw!C304</f>
        <v>Bristol Care &amp; Education Centre</v>
      </c>
      <c r="D304" t="str">
        <f>Procurement_Raw!D304</f>
        <v>South</v>
      </c>
      <c r="E304" t="str">
        <f>IF(TRIM(Procurement_Raw!E304)="","",IFERROR(INDEX(Supplier_Lookup!$A$2:$A$25,MATCH(TRIM(Procurement_Raw!E304),Supplier_Lookup!$A$2:$A$25,0)),TRIM(Procurement_Raw!E304)))</f>
        <v>FleetFuel</v>
      </c>
      <c r="F304" t="str">
        <f>IFERROR(INDEX(Category_Targets!$A$2:$A$9,MATCH(TRIM(Procurement_Raw!F304),Category_Targets!$A$2:$A$9,0)),"Unmapped")</f>
        <v>Vehicle &amp; Fuel</v>
      </c>
      <c r="G304" t="str">
        <f>TRIM(Procurement_Raw!G304)</f>
        <v>INV-2025-00303</v>
      </c>
      <c r="H304" s="77">
        <f>Procurement_Raw!H304</f>
        <v>76</v>
      </c>
      <c r="I304" s="124">
        <f>Procurement_Raw!I304</f>
        <v>143.29</v>
      </c>
      <c r="J304" s="125">
        <f>IF(Procurement_Raw!J304="","",Procurement_Raw!J304)</f>
        <v>10890.23</v>
      </c>
      <c r="K304" s="77">
        <f>Procurement_Raw!K304</f>
        <v>30</v>
      </c>
      <c r="L304" t="str">
        <f>Procurement_Raw!L304</f>
        <v>ERP</v>
      </c>
      <c r="M304" t="str">
        <f>Procurement_Raw!O304</f>
        <v>Y</v>
      </c>
      <c r="N304" t="str">
        <f>IF(E304="","Missing supplier",IF(B304="","Missing site",IF(J304="","Missing spend",IF(COUNTIFS($G$2:G304,G304,$E$2:E304,E304,$J$2:J304,J304)&gt;1,"Duplicate invoice",IF(COUNTIF($G$2:$G$1801,G304)&gt;1,"Duplicate ID - review",IF(AND(P304&lt;&gt;"Unmapped",P304&lt;&gt;F304),"Category mismatch","OK"))))))</f>
        <v>OK</v>
      </c>
      <c r="O304" s="125">
        <f t="shared" si="12"/>
        <v>10890.23</v>
      </c>
      <c r="P304" t="str">
        <f>IF(E304="","Unmapped",IFERROR(INDEX(Supplier_Lookup!$B$2:$B$25,MATCH(E304,Supplier_Lookup!$A$2:$A$25,0)),"Unmapped"))</f>
        <v>Vehicle &amp; Fuel</v>
      </c>
      <c r="Q304" s="76">
        <f>IFERROR(INDEX(Category_Targets!$B$2:$B$9,MATCH(F304,Category_Targets!$A$2:$A$9,0)),0)</f>
        <v>0.05</v>
      </c>
      <c r="R304" s="125">
        <f t="shared" si="13"/>
        <v>544.51149999999996</v>
      </c>
      <c r="S304" s="78">
        <f t="shared" si="14"/>
        <v>45931</v>
      </c>
      <c r="T304" t="str">
        <f>IFERROR(VLOOKUP(B304,Sites!$A$2:$D$21,4,FALSE()),"Unknown")</f>
        <v>Bristol</v>
      </c>
      <c r="U304" t="str">
        <f>IF(N304="OK","",COUNTIF($N$2:N304,"&lt;&gt;OK"))</f>
        <v/>
      </c>
      <c r="V304">
        <f>IF(OR(NOT(EXACT(E304,TRIM(Procurement_Raw!E304))),NOT(EXACT(F304,TRIM(Procurement_Raw!F304)))),1,0)</f>
        <v>0</v>
      </c>
    </row>
    <row r="305" spans="1:22" ht="15" customHeight="1" x14ac:dyDescent="0.25">
      <c r="A305" s="123">
        <f>Procurement_Raw!A305</f>
        <v>45923</v>
      </c>
      <c r="B305" t="str">
        <f>TRIM(Procurement_Raw!B305)</f>
        <v>S016</v>
      </c>
      <c r="C305" t="str">
        <f>Procurement_Raw!C305</f>
        <v>Cardiff Care &amp; Education Centre</v>
      </c>
      <c r="D305" t="str">
        <f>Procurement_Raw!D305</f>
        <v>Wales</v>
      </c>
      <c r="E305" t="str">
        <f>IF(TRIM(Procurement_Raw!E305)="","",IFERROR(INDEX(Supplier_Lookup!$A$2:$A$25,MATCH(TRIM(Procurement_Raw!E305),Supplier_Lookup!$A$2:$A$25,0)),TRIM(Procurement_Raw!E305)))</f>
        <v>MediSure</v>
      </c>
      <c r="F305" t="str">
        <f>IFERROR(INDEX(Category_Targets!$A$2:$A$9,MATCH(TRIM(Procurement_Raw!F305),Category_Targets!$A$2:$A$9,0)),"Unmapped")</f>
        <v>Medical Supplies</v>
      </c>
      <c r="G305" t="str">
        <f>TRIM(Procurement_Raw!G305)</f>
        <v>INV-2025-00304</v>
      </c>
      <c r="H305" s="77">
        <f>Procurement_Raw!H305</f>
        <v>20</v>
      </c>
      <c r="I305" s="124">
        <f>Procurement_Raw!I305</f>
        <v>167.87</v>
      </c>
      <c r="J305" s="125">
        <f>IF(Procurement_Raw!J305="","",Procurement_Raw!J305)</f>
        <v>3357.42</v>
      </c>
      <c r="K305" s="77">
        <f>Procurement_Raw!K305</f>
        <v>45</v>
      </c>
      <c r="L305" t="str">
        <f>Procurement_Raw!L305</f>
        <v>ERP</v>
      </c>
      <c r="M305" t="str">
        <f>Procurement_Raw!O305</f>
        <v>Y</v>
      </c>
      <c r="N305" t="str">
        <f>IF(E305="","Missing supplier",IF(B305="","Missing site",IF(J305="","Missing spend",IF(COUNTIFS($G$2:G305,G305,$E$2:E305,E305,$J$2:J305,J305)&gt;1,"Duplicate invoice",IF(COUNTIF($G$2:$G$1801,G305)&gt;1,"Duplicate ID - review",IF(AND(P305&lt;&gt;"Unmapped",P305&lt;&gt;F305),"Category mismatch","OK"))))))</f>
        <v>OK</v>
      </c>
      <c r="O305" s="125">
        <f t="shared" si="12"/>
        <v>3357.42</v>
      </c>
      <c r="P305" t="str">
        <f>IF(E305="","Unmapped",IFERROR(INDEX(Supplier_Lookup!$B$2:$B$25,MATCH(E305,Supplier_Lookup!$A$2:$A$25,0)),"Unmapped"))</f>
        <v>Medical Supplies</v>
      </c>
      <c r="Q305" s="76">
        <f>IFERROR(INDEX(Category_Targets!$B$2:$B$9,MATCH(F305,Category_Targets!$A$2:$A$9,0)),0)</f>
        <v>0.06</v>
      </c>
      <c r="R305" s="125">
        <f t="shared" si="13"/>
        <v>201.4452</v>
      </c>
      <c r="S305" s="78">
        <f t="shared" si="14"/>
        <v>45901</v>
      </c>
      <c r="T305" t="str">
        <f>IFERROR(VLOOKUP(B305,Sites!$A$2:$D$21,4,FALSE()),"Unknown")</f>
        <v>Cardiff</v>
      </c>
      <c r="U305" t="str">
        <f>IF(N305="OK","",COUNTIF($N$2:N305,"&lt;&gt;OK"))</f>
        <v/>
      </c>
      <c r="V305">
        <f>IF(OR(NOT(EXACT(E305,TRIM(Procurement_Raw!E305))),NOT(EXACT(F305,TRIM(Procurement_Raw!F305)))),1,0)</f>
        <v>0</v>
      </c>
    </row>
    <row r="306" spans="1:22" ht="15" customHeight="1" x14ac:dyDescent="0.25">
      <c r="A306" s="123">
        <f>Procurement_Raw!A306</f>
        <v>45773</v>
      </c>
      <c r="B306" t="str">
        <f>TRIM(Procurement_Raw!B306)</f>
        <v>S010</v>
      </c>
      <c r="C306" t="str">
        <f>Procurement_Raw!C306</f>
        <v>Coventry Care &amp; Education Centre</v>
      </c>
      <c r="D306" t="str">
        <f>Procurement_Raw!D306</f>
        <v>Midlands</v>
      </c>
      <c r="E306" t="str">
        <f>IF(TRIM(Procurement_Raw!E306)="","",IFERROR(INDEX(Supplier_Lookup!$A$2:$A$25,MATCH(TRIM(Procurement_Raw!E306),Supplier_Lookup!$A$2:$A$25,0)),TRIM(Procurement_Raw!E306)))</f>
        <v>AutoCare</v>
      </c>
      <c r="F306" t="str">
        <f>IFERROR(INDEX(Category_Targets!$A$2:$A$9,MATCH(TRIM(Procurement_Raw!F306),Category_Targets!$A$2:$A$9,0)),"Unmapped")</f>
        <v>Vehicle &amp; Fuel</v>
      </c>
      <c r="G306" t="str">
        <f>TRIM(Procurement_Raw!G306)</f>
        <v>INV-2025-00305</v>
      </c>
      <c r="H306" s="77">
        <f>Procurement_Raw!H306</f>
        <v>45</v>
      </c>
      <c r="I306" s="124">
        <f>Procurement_Raw!I306</f>
        <v>93.91</v>
      </c>
      <c r="J306" s="125">
        <f>IF(Procurement_Raw!J306="","",Procurement_Raw!J306)</f>
        <v>4226.1400000000003</v>
      </c>
      <c r="K306" s="77">
        <f>Procurement_Raw!K306</f>
        <v>60</v>
      </c>
      <c r="L306" t="str">
        <f>Procurement_Raw!L306</f>
        <v>Procurement Portal</v>
      </c>
      <c r="M306" t="str">
        <f>Procurement_Raw!O306</f>
        <v>N</v>
      </c>
      <c r="N306" t="str">
        <f>IF(E306="","Missing supplier",IF(B306="","Missing site",IF(J306="","Missing spend",IF(COUNTIFS($G$2:G306,G306,$E$2:E306,E306,$J$2:J306,J306)&gt;1,"Duplicate invoice",IF(COUNTIF($G$2:$G$1801,G306)&gt;1,"Duplicate ID - review",IF(AND(P306&lt;&gt;"Unmapped",P306&lt;&gt;F306),"Category mismatch","OK"))))))</f>
        <v>OK</v>
      </c>
      <c r="O306" s="125">
        <f t="shared" si="12"/>
        <v>4226.1400000000003</v>
      </c>
      <c r="P306" t="str">
        <f>IF(E306="","Unmapped",IFERROR(INDEX(Supplier_Lookup!$B$2:$B$25,MATCH(E306,Supplier_Lookup!$A$2:$A$25,0)),"Unmapped"))</f>
        <v>Vehicle &amp; Fuel</v>
      </c>
      <c r="Q306" s="76">
        <f>IFERROR(INDEX(Category_Targets!$B$2:$B$9,MATCH(F306,Category_Targets!$A$2:$A$9,0)),0)</f>
        <v>0.05</v>
      </c>
      <c r="R306" s="125">
        <f t="shared" si="13"/>
        <v>211.30700000000002</v>
      </c>
      <c r="S306" s="78">
        <f t="shared" si="14"/>
        <v>45748</v>
      </c>
      <c r="T306" t="str">
        <f>IFERROR(VLOOKUP(B306,Sites!$A$2:$D$21,4,FALSE()),"Unknown")</f>
        <v>Coventry</v>
      </c>
      <c r="U306" t="str">
        <f>IF(N306="OK","",COUNTIF($N$2:N306,"&lt;&gt;OK"))</f>
        <v/>
      </c>
      <c r="V306">
        <f>IF(OR(NOT(EXACT(E306,TRIM(Procurement_Raw!E306))),NOT(EXACT(F306,TRIM(Procurement_Raw!F306)))),1,0)</f>
        <v>0</v>
      </c>
    </row>
    <row r="307" spans="1:22" ht="15" customHeight="1" x14ac:dyDescent="0.25">
      <c r="A307" s="123">
        <f>Procurement_Raw!A307</f>
        <v>45983</v>
      </c>
      <c r="B307" t="str">
        <f>TRIM(Procurement_Raw!B307)</f>
        <v>S010</v>
      </c>
      <c r="C307" t="str">
        <f>Procurement_Raw!C307</f>
        <v>Coventry Care &amp; Education Centre</v>
      </c>
      <c r="D307" t="str">
        <f>Procurement_Raw!D307</f>
        <v>Midlands</v>
      </c>
      <c r="E307" t="str">
        <f>IF(TRIM(Procurement_Raw!E307)="","",IFERROR(INDEX(Supplier_Lookup!$A$2:$A$25,MATCH(TRIM(Procurement_Raw!E307),Supplier_Lookup!$A$2:$A$25,0)),TRIM(Procurement_Raw!E307)))</f>
        <v>CloudLink</v>
      </c>
      <c r="F307" t="str">
        <f>IFERROR(INDEX(Category_Targets!$A$2:$A$9,MATCH(TRIM(Procurement_Raw!F307),Category_Targets!$A$2:$A$9,0)),"Unmapped")</f>
        <v>IT &amp; Telecoms</v>
      </c>
      <c r="G307" t="str">
        <f>TRIM(Procurement_Raw!G307)</f>
        <v>INV-2025-00306</v>
      </c>
      <c r="H307" s="77">
        <f>Procurement_Raw!H307</f>
        <v>71</v>
      </c>
      <c r="I307" s="124">
        <f>Procurement_Raw!I307</f>
        <v>234.66</v>
      </c>
      <c r="J307" s="125">
        <f>IF(Procurement_Raw!J307="","",Procurement_Raw!J307)</f>
        <v>16661.189999999999</v>
      </c>
      <c r="K307" s="77">
        <f>Procurement_Raw!K307</f>
        <v>45</v>
      </c>
      <c r="L307" t="str">
        <f>Procurement_Raw!L307</f>
        <v>ERP</v>
      </c>
      <c r="M307" t="str">
        <f>Procurement_Raw!O307</f>
        <v>Y</v>
      </c>
      <c r="N307" t="str">
        <f>IF(E307="","Missing supplier",IF(B307="","Missing site",IF(J307="","Missing spend",IF(COUNTIFS($G$2:G307,G307,$E$2:E307,E307,$J$2:J307,J307)&gt;1,"Duplicate invoice",IF(COUNTIF($G$2:$G$1801,G307)&gt;1,"Duplicate ID - review",IF(AND(P307&lt;&gt;"Unmapped",P307&lt;&gt;F307),"Category mismatch","OK"))))))</f>
        <v>OK</v>
      </c>
      <c r="O307" s="125">
        <f t="shared" si="12"/>
        <v>16661.189999999999</v>
      </c>
      <c r="P307" t="str">
        <f>IF(E307="","Unmapped",IFERROR(INDEX(Supplier_Lookup!$B$2:$B$25,MATCH(E307,Supplier_Lookup!$A$2:$A$25,0)),"Unmapped"))</f>
        <v>IT &amp; Telecoms</v>
      </c>
      <c r="Q307" s="76">
        <f>IFERROR(INDEX(Category_Targets!$B$2:$B$9,MATCH(F307,Category_Targets!$A$2:$A$9,0)),0)</f>
        <v>0.08</v>
      </c>
      <c r="R307" s="125">
        <f t="shared" si="13"/>
        <v>1332.8951999999999</v>
      </c>
      <c r="S307" s="78">
        <f t="shared" si="14"/>
        <v>45962</v>
      </c>
      <c r="T307" t="str">
        <f>IFERROR(VLOOKUP(B307,Sites!$A$2:$D$21,4,FALSE()),"Unknown")</f>
        <v>Coventry</v>
      </c>
      <c r="U307" t="str">
        <f>IF(N307="OK","",COUNTIF($N$2:N307,"&lt;&gt;OK"))</f>
        <v/>
      </c>
      <c r="V307">
        <f>IF(OR(NOT(EXACT(E307,TRIM(Procurement_Raw!E307))),NOT(EXACT(F307,TRIM(Procurement_Raw!F307)))),1,0)</f>
        <v>0</v>
      </c>
    </row>
    <row r="308" spans="1:22" ht="15" customHeight="1" x14ac:dyDescent="0.25">
      <c r="A308" s="123">
        <f>Procurement_Raw!A308</f>
        <v>45931</v>
      </c>
      <c r="B308" t="str">
        <f>TRIM(Procurement_Raw!B308)</f>
        <v>S016</v>
      </c>
      <c r="C308" t="str">
        <f>Procurement_Raw!C308</f>
        <v>Cardiff Care &amp; Education Centre</v>
      </c>
      <c r="D308" t="str">
        <f>Procurement_Raw!D308</f>
        <v>Wales</v>
      </c>
      <c r="E308" t="str">
        <f>IF(TRIM(Procurement_Raw!E308)="","",IFERROR(INDEX(Supplier_Lookup!$A$2:$A$25,MATCH(TRIM(Procurement_Raw!E308),Supplier_Lookup!$A$2:$A$25,0)),TRIM(Procurement_Raw!E308)))</f>
        <v>NetServe</v>
      </c>
      <c r="F308" t="str">
        <f>IFERROR(INDEX(Category_Targets!$A$2:$A$9,MATCH(TRIM(Procurement_Raw!F308),Category_Targets!$A$2:$A$9,0)),"Unmapped")</f>
        <v>IT &amp; Telecoms</v>
      </c>
      <c r="G308" t="str">
        <f>TRIM(Procurement_Raw!G308)</f>
        <v>INV-2025-00307</v>
      </c>
      <c r="H308" s="77">
        <f>Procurement_Raw!H308</f>
        <v>12</v>
      </c>
      <c r="I308" s="124">
        <f>Procurement_Raw!I308</f>
        <v>444.23</v>
      </c>
      <c r="J308" s="125">
        <f>IF(Procurement_Raw!J308="","",Procurement_Raw!J308)</f>
        <v>5330.76</v>
      </c>
      <c r="K308" s="77">
        <f>Procurement_Raw!K308</f>
        <v>60</v>
      </c>
      <c r="L308" t="str">
        <f>Procurement_Raw!L308</f>
        <v>Legacy Spend File</v>
      </c>
      <c r="M308" t="str">
        <f>Procurement_Raw!O308</f>
        <v>N</v>
      </c>
      <c r="N308" t="str">
        <f>IF(E308="","Missing supplier",IF(B308="","Missing site",IF(J308="","Missing spend",IF(COUNTIFS($G$2:G308,G308,$E$2:E308,E308,$J$2:J308,J308)&gt;1,"Duplicate invoice",IF(COUNTIF($G$2:$G$1801,G308)&gt;1,"Duplicate ID - review",IF(AND(P308&lt;&gt;"Unmapped",P308&lt;&gt;F308),"Category mismatch","OK"))))))</f>
        <v>OK</v>
      </c>
      <c r="O308" s="125">
        <f t="shared" si="12"/>
        <v>5330.76</v>
      </c>
      <c r="P308" t="str">
        <f>IF(E308="","Unmapped",IFERROR(INDEX(Supplier_Lookup!$B$2:$B$25,MATCH(E308,Supplier_Lookup!$A$2:$A$25,0)),"Unmapped"))</f>
        <v>IT &amp; Telecoms</v>
      </c>
      <c r="Q308" s="76">
        <f>IFERROR(INDEX(Category_Targets!$B$2:$B$9,MATCH(F308,Category_Targets!$A$2:$A$9,0)),0)</f>
        <v>0.08</v>
      </c>
      <c r="R308" s="125">
        <f t="shared" si="13"/>
        <v>426.46080000000001</v>
      </c>
      <c r="S308" s="78">
        <f t="shared" si="14"/>
        <v>45931</v>
      </c>
      <c r="T308" t="str">
        <f>IFERROR(VLOOKUP(B308,Sites!$A$2:$D$21,4,FALSE()),"Unknown")</f>
        <v>Cardiff</v>
      </c>
      <c r="U308" t="str">
        <f>IF(N308="OK","",COUNTIF($N$2:N308,"&lt;&gt;OK"))</f>
        <v/>
      </c>
      <c r="V308">
        <f>IF(OR(NOT(EXACT(E308,TRIM(Procurement_Raw!E308))),NOT(EXACT(F308,TRIM(Procurement_Raw!F308)))),1,0)</f>
        <v>0</v>
      </c>
    </row>
    <row r="309" spans="1:22" ht="15" customHeight="1" x14ac:dyDescent="0.25">
      <c r="A309" s="123">
        <f>Procurement_Raw!A309</f>
        <v>45995</v>
      </c>
      <c r="B309" t="str">
        <f>TRIM(Procurement_Raw!B309)</f>
        <v>S010</v>
      </c>
      <c r="C309" t="str">
        <f>Procurement_Raw!C309</f>
        <v>Coventry Care &amp; Education Centre</v>
      </c>
      <c r="D309" t="str">
        <f>Procurement_Raw!D309</f>
        <v>Midlands</v>
      </c>
      <c r="E309" t="str">
        <f>IF(TRIM(Procurement_Raw!E309)="","",IFERROR(INDEX(Supplier_Lookup!$A$2:$A$25,MATCH(TRIM(Procurement_Raw!E309),Supplier_Lookup!$A$2:$A$25,0)),TRIM(Procurement_Raw!E309)))</f>
        <v>CleanWorks</v>
      </c>
      <c r="F309" t="str">
        <f>IFERROR(INDEX(Category_Targets!$A$2:$A$9,MATCH(TRIM(Procurement_Raw!F309),Category_Targets!$A$2:$A$9,0)),"Unmapped")</f>
        <v>Facilities</v>
      </c>
      <c r="G309" t="str">
        <f>TRIM(Procurement_Raw!G309)</f>
        <v>INV-2025-00308</v>
      </c>
      <c r="H309" s="77">
        <f>Procurement_Raw!H309</f>
        <v>80</v>
      </c>
      <c r="I309" s="124">
        <f>Procurement_Raw!I309</f>
        <v>130.01</v>
      </c>
      <c r="J309" s="125">
        <f>IF(Procurement_Raw!J309="","",Procurement_Raw!J309)</f>
        <v>10400.6</v>
      </c>
      <c r="K309" s="77">
        <f>Procurement_Raw!K309</f>
        <v>60</v>
      </c>
      <c r="L309" t="str">
        <f>Procurement_Raw!L309</f>
        <v>Legacy Spend File</v>
      </c>
      <c r="M309" t="str">
        <f>Procurement_Raw!O309</f>
        <v>Y</v>
      </c>
      <c r="N309" t="str">
        <f>IF(E309="","Missing supplier",IF(B309="","Missing site",IF(J309="","Missing spend",IF(COUNTIFS($G$2:G309,G309,$E$2:E309,E309,$J$2:J309,J309)&gt;1,"Duplicate invoice",IF(COUNTIF($G$2:$G$1801,G309)&gt;1,"Duplicate ID - review",IF(AND(P309&lt;&gt;"Unmapped",P309&lt;&gt;F309),"Category mismatch","OK"))))))</f>
        <v>OK</v>
      </c>
      <c r="O309" s="125">
        <f t="shared" si="12"/>
        <v>10400.6</v>
      </c>
      <c r="P309" t="str">
        <f>IF(E309="","Unmapped",IFERROR(INDEX(Supplier_Lookup!$B$2:$B$25,MATCH(E309,Supplier_Lookup!$A$2:$A$25,0)),"Unmapped"))</f>
        <v>Facilities</v>
      </c>
      <c r="Q309" s="76">
        <f>IFERROR(INDEX(Category_Targets!$B$2:$B$9,MATCH(F309,Category_Targets!$A$2:$A$9,0)),0)</f>
        <v>0.05</v>
      </c>
      <c r="R309" s="125">
        <f t="shared" si="13"/>
        <v>520.03000000000009</v>
      </c>
      <c r="S309" s="78">
        <f t="shared" si="14"/>
        <v>45992</v>
      </c>
      <c r="T309" t="str">
        <f>IFERROR(VLOOKUP(B309,Sites!$A$2:$D$21,4,FALSE()),"Unknown")</f>
        <v>Coventry</v>
      </c>
      <c r="U309" t="str">
        <f>IF(N309="OK","",COUNTIF($N$2:N309,"&lt;&gt;OK"))</f>
        <v/>
      </c>
      <c r="V309">
        <f>IF(OR(NOT(EXACT(E309,TRIM(Procurement_Raw!E309))),NOT(EXACT(F309,TRIM(Procurement_Raw!F309)))),1,0)</f>
        <v>0</v>
      </c>
    </row>
    <row r="310" spans="1:22" ht="15" customHeight="1" x14ac:dyDescent="0.25">
      <c r="A310" s="123">
        <f>Procurement_Raw!A310</f>
        <v>45699</v>
      </c>
      <c r="B310" t="str">
        <f>TRIM(Procurement_Raw!B310)</f>
        <v>S005</v>
      </c>
      <c r="C310" t="str">
        <f>Procurement_Raw!C310</f>
        <v>Sheffield Care &amp; Education Centre</v>
      </c>
      <c r="D310" t="str">
        <f>Procurement_Raw!D310</f>
        <v>North</v>
      </c>
      <c r="E310" t="str">
        <f>IF(TRIM(Procurement_Raw!E310)="","",IFERROR(INDEX(Supplier_Lookup!$A$2:$A$25,MATCH(TRIM(Procurement_Raw!E310),Supplier_Lookup!$A$2:$A$25,0)),TRIM(Procurement_Raw!E310)))</f>
        <v>MediSure</v>
      </c>
      <c r="F310" t="str">
        <f>IFERROR(INDEX(Category_Targets!$A$2:$A$9,MATCH(TRIM(Procurement_Raw!F310),Category_Targets!$A$2:$A$9,0)),"Unmapped")</f>
        <v>Medical Supplies</v>
      </c>
      <c r="G310" t="str">
        <f>TRIM(Procurement_Raw!G310)</f>
        <v>INV-2025-00309</v>
      </c>
      <c r="H310" s="77">
        <f>Procurement_Raw!H310</f>
        <v>6</v>
      </c>
      <c r="I310" s="124">
        <f>Procurement_Raw!I310</f>
        <v>162.13</v>
      </c>
      <c r="J310" s="125">
        <f>IF(Procurement_Raw!J310="","",Procurement_Raw!J310)</f>
        <v>972.78</v>
      </c>
      <c r="K310" s="77">
        <f>Procurement_Raw!K310</f>
        <v>60</v>
      </c>
      <c r="L310" t="str">
        <f>Procurement_Raw!L310</f>
        <v>Legacy Spend File</v>
      </c>
      <c r="M310" t="str">
        <f>Procurement_Raw!O310</f>
        <v>Y</v>
      </c>
      <c r="N310" t="str">
        <f>IF(E310="","Missing supplier",IF(B310="","Missing site",IF(J310="","Missing spend",IF(COUNTIFS($G$2:G310,G310,$E$2:E310,E310,$J$2:J310,J310)&gt;1,"Duplicate invoice",IF(COUNTIF($G$2:$G$1801,G310)&gt;1,"Duplicate ID - review",IF(AND(P310&lt;&gt;"Unmapped",P310&lt;&gt;F310),"Category mismatch","OK"))))))</f>
        <v>OK</v>
      </c>
      <c r="O310" s="125">
        <f t="shared" si="12"/>
        <v>972.78</v>
      </c>
      <c r="P310" t="str">
        <f>IF(E310="","Unmapped",IFERROR(INDEX(Supplier_Lookup!$B$2:$B$25,MATCH(E310,Supplier_Lookup!$A$2:$A$25,0)),"Unmapped"))</f>
        <v>Medical Supplies</v>
      </c>
      <c r="Q310" s="76">
        <f>IFERROR(INDEX(Category_Targets!$B$2:$B$9,MATCH(F310,Category_Targets!$A$2:$A$9,0)),0)</f>
        <v>0.06</v>
      </c>
      <c r="R310" s="125">
        <f t="shared" si="13"/>
        <v>58.366799999999998</v>
      </c>
      <c r="S310" s="78">
        <f t="shared" si="14"/>
        <v>45689</v>
      </c>
      <c r="T310" t="str">
        <f>IFERROR(VLOOKUP(B310,Sites!$A$2:$D$21,4,FALSE()),"Unknown")</f>
        <v>Sheffield</v>
      </c>
      <c r="U310" t="str">
        <f>IF(N310="OK","",COUNTIF($N$2:N310,"&lt;&gt;OK"))</f>
        <v/>
      </c>
      <c r="V310">
        <f>IF(OR(NOT(EXACT(E310,TRIM(Procurement_Raw!E310))),NOT(EXACT(F310,TRIM(Procurement_Raw!F310)))),1,0)</f>
        <v>0</v>
      </c>
    </row>
    <row r="311" spans="1:22" ht="15" customHeight="1" x14ac:dyDescent="0.25">
      <c r="A311" s="123">
        <f>Procurement_Raw!A311</f>
        <v>45871</v>
      </c>
      <c r="B311" t="str">
        <f>TRIM(Procurement_Raw!B311)</f>
        <v>S004</v>
      </c>
      <c r="C311" t="str">
        <f>Procurement_Raw!C311</f>
        <v>Newcastle Care &amp; Education Centre</v>
      </c>
      <c r="D311" t="str">
        <f>Procurement_Raw!D311</f>
        <v>North</v>
      </c>
      <c r="E311" t="str">
        <f>IF(TRIM(Procurement_Raw!E311)="","",IFERROR(INDEX(Supplier_Lookup!$A$2:$A$25,MATCH(TRIM(Procurement_Raw!E311),Supplier_Lookup!$A$2:$A$25,0)),TRIM(Procurement_Raw!E311)))</f>
        <v>PowerDirect</v>
      </c>
      <c r="F311" t="str">
        <f>IFERROR(INDEX(Category_Targets!$A$2:$A$9,MATCH(TRIM(Procurement_Raw!F311),Category_Targets!$A$2:$A$9,0)),"Unmapped")</f>
        <v>Utilities</v>
      </c>
      <c r="G311" t="str">
        <f>TRIM(Procurement_Raw!G311)</f>
        <v>INV-2025-00310</v>
      </c>
      <c r="H311" s="77">
        <f>Procurement_Raw!H311</f>
        <v>80</v>
      </c>
      <c r="I311" s="124">
        <f>Procurement_Raw!I311</f>
        <v>223.69</v>
      </c>
      <c r="J311" s="125">
        <f>IF(Procurement_Raw!J311="","",Procurement_Raw!J311)</f>
        <v>17895.09</v>
      </c>
      <c r="K311" s="77">
        <f>Procurement_Raw!K311</f>
        <v>60</v>
      </c>
      <c r="L311" t="str">
        <f>Procurement_Raw!L311</f>
        <v>ERP</v>
      </c>
      <c r="M311" t="str">
        <f>Procurement_Raw!O311</f>
        <v>N</v>
      </c>
      <c r="N311" t="str">
        <f>IF(E311="","Missing supplier",IF(B311="","Missing site",IF(J311="","Missing spend",IF(COUNTIFS($G$2:G311,G311,$E$2:E311,E311,$J$2:J311,J311)&gt;1,"Duplicate invoice",IF(COUNTIF($G$2:$G$1801,G311)&gt;1,"Duplicate ID - review",IF(AND(P311&lt;&gt;"Unmapped",P311&lt;&gt;F311),"Category mismatch","OK"))))))</f>
        <v>OK</v>
      </c>
      <c r="O311" s="125">
        <f t="shared" si="12"/>
        <v>17895.09</v>
      </c>
      <c r="P311" t="str">
        <f>IF(E311="","Unmapped",IFERROR(INDEX(Supplier_Lookup!$B$2:$B$25,MATCH(E311,Supplier_Lookup!$A$2:$A$25,0)),"Unmapped"))</f>
        <v>Utilities</v>
      </c>
      <c r="Q311" s="76">
        <f>IFERROR(INDEX(Category_Targets!$B$2:$B$9,MATCH(F311,Category_Targets!$A$2:$A$9,0)),0)</f>
        <v>0.03</v>
      </c>
      <c r="R311" s="125">
        <f t="shared" si="13"/>
        <v>536.85270000000003</v>
      </c>
      <c r="S311" s="78">
        <f t="shared" si="14"/>
        <v>45870</v>
      </c>
      <c r="T311" t="str">
        <f>IFERROR(VLOOKUP(B311,Sites!$A$2:$D$21,4,FALSE()),"Unknown")</f>
        <v>Newcastle</v>
      </c>
      <c r="U311" t="str">
        <f>IF(N311="OK","",COUNTIF($N$2:N311,"&lt;&gt;OK"))</f>
        <v/>
      </c>
      <c r="V311">
        <f>IF(OR(NOT(EXACT(E311,TRIM(Procurement_Raw!E311))),NOT(EXACT(F311,TRIM(Procurement_Raw!F311)))),1,0)</f>
        <v>0</v>
      </c>
    </row>
    <row r="312" spans="1:22" ht="15" customHeight="1" x14ac:dyDescent="0.25">
      <c r="A312" s="123">
        <f>Procurement_Raw!A312</f>
        <v>45812</v>
      </c>
      <c r="B312" t="str">
        <f>TRIM(Procurement_Raw!B312)</f>
        <v>S011</v>
      </c>
      <c r="C312" t="str">
        <f>Procurement_Raw!C312</f>
        <v>London Care &amp; Education Centre</v>
      </c>
      <c r="D312" t="str">
        <f>Procurement_Raw!D312</f>
        <v>South</v>
      </c>
      <c r="E312" t="str">
        <f>IF(TRIM(Procurement_Raw!E312)="","",IFERROR(INDEX(Supplier_Lookup!$A$2:$A$25,MATCH(TRIM(Procurement_Raw!E312),Supplier_Lookup!$A$2:$A$25,0)),TRIM(Procurement_Raw!E312)))</f>
        <v>NetServe</v>
      </c>
      <c r="F312" t="str">
        <f>IFERROR(INDEX(Category_Targets!$A$2:$A$9,MATCH(TRIM(Procurement_Raw!F312),Category_Targets!$A$2:$A$9,0)),"Unmapped")</f>
        <v>IT &amp; Telecoms</v>
      </c>
      <c r="G312" t="str">
        <f>TRIM(Procurement_Raw!G312)</f>
        <v>INV-2025-00311</v>
      </c>
      <c r="H312" s="77">
        <f>Procurement_Raw!H312</f>
        <v>62</v>
      </c>
      <c r="I312" s="124">
        <f>Procurement_Raw!I312</f>
        <v>195.18</v>
      </c>
      <c r="J312" s="125">
        <f>IF(Procurement_Raw!J312="","",Procurement_Raw!J312)</f>
        <v>12100.93</v>
      </c>
      <c r="K312" s="77">
        <f>Procurement_Raw!K312</f>
        <v>30</v>
      </c>
      <c r="L312" t="str">
        <f>Procurement_Raw!L312</f>
        <v>Legacy Spend File</v>
      </c>
      <c r="M312" t="str">
        <f>Procurement_Raw!O312</f>
        <v>N</v>
      </c>
      <c r="N312" t="str">
        <f>IF(E312="","Missing supplier",IF(B312="","Missing site",IF(J312="","Missing spend",IF(COUNTIFS($G$2:G312,G312,$E$2:E312,E312,$J$2:J312,J312)&gt;1,"Duplicate invoice",IF(COUNTIF($G$2:$G$1801,G312)&gt;1,"Duplicate ID - review",IF(AND(P312&lt;&gt;"Unmapped",P312&lt;&gt;F312),"Category mismatch","OK"))))))</f>
        <v>OK</v>
      </c>
      <c r="O312" s="125">
        <f t="shared" si="12"/>
        <v>12100.93</v>
      </c>
      <c r="P312" t="str">
        <f>IF(E312="","Unmapped",IFERROR(INDEX(Supplier_Lookup!$B$2:$B$25,MATCH(E312,Supplier_Lookup!$A$2:$A$25,0)),"Unmapped"))</f>
        <v>IT &amp; Telecoms</v>
      </c>
      <c r="Q312" s="76">
        <f>IFERROR(INDEX(Category_Targets!$B$2:$B$9,MATCH(F312,Category_Targets!$A$2:$A$9,0)),0)</f>
        <v>0.08</v>
      </c>
      <c r="R312" s="125">
        <f t="shared" si="13"/>
        <v>968.07440000000008</v>
      </c>
      <c r="S312" s="78">
        <f t="shared" si="14"/>
        <v>45809</v>
      </c>
      <c r="T312" t="str">
        <f>IFERROR(VLOOKUP(B312,Sites!$A$2:$D$21,4,FALSE()),"Unknown")</f>
        <v>London</v>
      </c>
      <c r="U312" t="str">
        <f>IF(N312="OK","",COUNTIF($N$2:N312,"&lt;&gt;OK"))</f>
        <v/>
      </c>
      <c r="V312">
        <f>IF(OR(NOT(EXACT(E312,TRIM(Procurement_Raw!E312))),NOT(EXACT(F312,TRIM(Procurement_Raw!F312)))),1,0)</f>
        <v>0</v>
      </c>
    </row>
    <row r="313" spans="1:22" ht="15" customHeight="1" x14ac:dyDescent="0.25">
      <c r="A313" s="123">
        <f>Procurement_Raw!A313</f>
        <v>45695</v>
      </c>
      <c r="B313" t="str">
        <f>TRIM(Procurement_Raw!B313)</f>
        <v>S006</v>
      </c>
      <c r="C313" t="str">
        <f>Procurement_Raw!C313</f>
        <v>Birmingham Care &amp; Education Centre</v>
      </c>
      <c r="D313" t="str">
        <f>Procurement_Raw!D313</f>
        <v>Midlands</v>
      </c>
      <c r="E313" t="str">
        <f>IF(TRIM(Procurement_Raw!E313)="","",IFERROR(INDEX(Supplier_Lookup!$A$2:$A$25,MATCH(TRIM(Procurement_Raw!E313),Supplier_Lookup!$A$2:$A$25,0)),TRIM(Procurement_Raw!E313)))</f>
        <v>TeleCare IT</v>
      </c>
      <c r="F313" t="str">
        <f>IFERROR(INDEX(Category_Targets!$A$2:$A$9,MATCH(TRIM(Procurement_Raw!F313),Category_Targets!$A$2:$A$9,0)),"Unmapped")</f>
        <v>IT &amp; Telecoms</v>
      </c>
      <c r="G313" t="str">
        <f>TRIM(Procurement_Raw!G313)</f>
        <v>INV-2025-00312</v>
      </c>
      <c r="H313" s="77">
        <f>Procurement_Raw!H313</f>
        <v>8</v>
      </c>
      <c r="I313" s="124">
        <f>Procurement_Raw!I313</f>
        <v>402.6</v>
      </c>
      <c r="J313" s="125">
        <f>IF(Procurement_Raw!J313="","",Procurement_Raw!J313)</f>
        <v>3220.84</v>
      </c>
      <c r="K313" s="77">
        <f>Procurement_Raw!K313</f>
        <v>30</v>
      </c>
      <c r="L313" t="str">
        <f>Procurement_Raw!L313</f>
        <v>Procurement Portal</v>
      </c>
      <c r="M313" t="str">
        <f>Procurement_Raw!O313</f>
        <v>N</v>
      </c>
      <c r="N313" t="str">
        <f>IF(E313="","Missing supplier",IF(B313="","Missing site",IF(J313="","Missing spend",IF(COUNTIFS($G$2:G313,G313,$E$2:E313,E313,$J$2:J313,J313)&gt;1,"Duplicate invoice",IF(COUNTIF($G$2:$G$1801,G313)&gt;1,"Duplicate ID - review",IF(AND(P313&lt;&gt;"Unmapped",P313&lt;&gt;F313),"Category mismatch","OK"))))))</f>
        <v>OK</v>
      </c>
      <c r="O313" s="125">
        <f t="shared" si="12"/>
        <v>3220.84</v>
      </c>
      <c r="P313" t="str">
        <f>IF(E313="","Unmapped",IFERROR(INDEX(Supplier_Lookup!$B$2:$B$25,MATCH(E313,Supplier_Lookup!$A$2:$A$25,0)),"Unmapped"))</f>
        <v>IT &amp; Telecoms</v>
      </c>
      <c r="Q313" s="76">
        <f>IFERROR(INDEX(Category_Targets!$B$2:$B$9,MATCH(F313,Category_Targets!$A$2:$A$9,0)),0)</f>
        <v>0.08</v>
      </c>
      <c r="R313" s="125">
        <f t="shared" si="13"/>
        <v>257.66720000000004</v>
      </c>
      <c r="S313" s="78">
        <f t="shared" si="14"/>
        <v>45689</v>
      </c>
      <c r="T313" t="str">
        <f>IFERROR(VLOOKUP(B313,Sites!$A$2:$D$21,4,FALSE()),"Unknown")</f>
        <v>Birmingham</v>
      </c>
      <c r="U313" t="str">
        <f>IF(N313="OK","",COUNTIF($N$2:N313,"&lt;&gt;OK"))</f>
        <v/>
      </c>
      <c r="V313">
        <f>IF(OR(NOT(EXACT(E313,TRIM(Procurement_Raw!E313))),NOT(EXACT(F313,TRIM(Procurement_Raw!F313)))),1,0)</f>
        <v>0</v>
      </c>
    </row>
    <row r="314" spans="1:22" ht="15" customHeight="1" x14ac:dyDescent="0.25">
      <c r="A314" s="123">
        <f>Procurement_Raw!A314</f>
        <v>45762</v>
      </c>
      <c r="B314" t="str">
        <f>TRIM(Procurement_Raw!B314)</f>
        <v>S015</v>
      </c>
      <c r="C314" t="str">
        <f>Procurement_Raw!C314</f>
        <v>Brighton Care &amp; Education Centre</v>
      </c>
      <c r="D314" t="str">
        <f>Procurement_Raw!D314</f>
        <v>South</v>
      </c>
      <c r="E314" t="str">
        <f>IF(TRIM(Procurement_Raw!E314)="","",IFERROR(INDEX(Supplier_Lookup!$A$2:$A$25,MATCH(TRIM(Procurement_Raw!E314),Supplier_Lookup!$A$2:$A$25,0)),TRIM(Procurement_Raw!E314)))</f>
        <v>LearnWell</v>
      </c>
      <c r="F314" t="str">
        <f>IFERROR(INDEX(Category_Targets!$A$2:$A$9,MATCH(TRIM(Procurement_Raw!F314),Category_Targets!$A$2:$A$9,0)),"Unmapped")</f>
        <v>Office &amp; Training</v>
      </c>
      <c r="G314" t="str">
        <f>TRIM(Procurement_Raw!G314)</f>
        <v>INV-2025-00313</v>
      </c>
      <c r="H314" s="77">
        <f>Procurement_Raw!H314</f>
        <v>44</v>
      </c>
      <c r="I314" s="124">
        <f>Procurement_Raw!I314</f>
        <v>118.09</v>
      </c>
      <c r="J314" s="125">
        <f>IF(Procurement_Raw!J314="","",Procurement_Raw!J314)</f>
        <v>5196.0600000000004</v>
      </c>
      <c r="K314" s="77">
        <f>Procurement_Raw!K314</f>
        <v>60</v>
      </c>
      <c r="L314" t="str">
        <f>Procurement_Raw!L314</f>
        <v>ERP</v>
      </c>
      <c r="M314" t="str">
        <f>Procurement_Raw!O314</f>
        <v>N</v>
      </c>
      <c r="N314" t="str">
        <f>IF(E314="","Missing supplier",IF(B314="","Missing site",IF(J314="","Missing spend",IF(COUNTIFS($G$2:G314,G314,$E$2:E314,E314,$J$2:J314,J314)&gt;1,"Duplicate invoice",IF(COUNTIF($G$2:$G$1801,G314)&gt;1,"Duplicate ID - review",IF(AND(P314&lt;&gt;"Unmapped",P314&lt;&gt;F314),"Category mismatch","OK"))))))</f>
        <v>OK</v>
      </c>
      <c r="O314" s="125">
        <f t="shared" si="12"/>
        <v>5196.0600000000004</v>
      </c>
      <c r="P314" t="str">
        <f>IF(E314="","Unmapped",IFERROR(INDEX(Supplier_Lookup!$B$2:$B$25,MATCH(E314,Supplier_Lookup!$A$2:$A$25,0)),"Unmapped"))</f>
        <v>Office &amp; Training</v>
      </c>
      <c r="Q314" s="76">
        <f>IFERROR(INDEX(Category_Targets!$B$2:$B$9,MATCH(F314,Category_Targets!$A$2:$A$9,0)),0)</f>
        <v>0.04</v>
      </c>
      <c r="R314" s="125">
        <f t="shared" si="13"/>
        <v>207.84240000000003</v>
      </c>
      <c r="S314" s="78">
        <f t="shared" si="14"/>
        <v>45748</v>
      </c>
      <c r="T314" t="str">
        <f>IFERROR(VLOOKUP(B314,Sites!$A$2:$D$21,4,FALSE()),"Unknown")</f>
        <v>Brighton</v>
      </c>
      <c r="U314" t="str">
        <f>IF(N314="OK","",COUNTIF($N$2:N314,"&lt;&gt;OK"))</f>
        <v/>
      </c>
      <c r="V314">
        <f>IF(OR(NOT(EXACT(E314,TRIM(Procurement_Raw!E314))),NOT(EXACT(F314,TRIM(Procurement_Raw!F314)))),1,0)</f>
        <v>0</v>
      </c>
    </row>
    <row r="315" spans="1:22" ht="15" customHeight="1" x14ac:dyDescent="0.25">
      <c r="A315" s="123">
        <f>Procurement_Raw!A315</f>
        <v>45834</v>
      </c>
      <c r="B315" t="str">
        <f>TRIM(Procurement_Raw!B315)</f>
        <v>S004</v>
      </c>
      <c r="C315" t="str">
        <f>Procurement_Raw!C315</f>
        <v>Newcastle Care &amp; Education Centre</v>
      </c>
      <c r="D315" t="str">
        <f>Procurement_Raw!D315</f>
        <v>North</v>
      </c>
      <c r="E315" t="str">
        <f>IF(TRIM(Procurement_Raw!E315)="","",IFERROR(INDEX(Supplier_Lookup!$A$2:$A$25,MATCH(TRIM(Procurement_Raw!E315),Supplier_Lookup!$A$2:$A$25,0)),TRIM(Procurement_Raw!E315)))</f>
        <v>AutoCare</v>
      </c>
      <c r="F315" t="str">
        <f>IFERROR(INDEX(Category_Targets!$A$2:$A$9,MATCH(TRIM(Procurement_Raw!F315),Category_Targets!$A$2:$A$9,0)),"Unmapped")</f>
        <v>Vehicle &amp; Fuel</v>
      </c>
      <c r="G315" t="str">
        <f>TRIM(Procurement_Raw!G315)</f>
        <v>INV-2025-00314</v>
      </c>
      <c r="H315" s="77">
        <f>Procurement_Raw!H315</f>
        <v>52</v>
      </c>
      <c r="I315" s="124">
        <f>Procurement_Raw!I315</f>
        <v>148.61000000000001</v>
      </c>
      <c r="J315" s="125">
        <f>IF(Procurement_Raw!J315="","",Procurement_Raw!J315)</f>
        <v>7727.58</v>
      </c>
      <c r="K315" s="77">
        <f>Procurement_Raw!K315</f>
        <v>30</v>
      </c>
      <c r="L315" t="str">
        <f>Procurement_Raw!L315</f>
        <v>Procurement Portal</v>
      </c>
      <c r="M315" t="str">
        <f>Procurement_Raw!O315</f>
        <v>N</v>
      </c>
      <c r="N315" t="str">
        <f>IF(E315="","Missing supplier",IF(B315="","Missing site",IF(J315="","Missing spend",IF(COUNTIFS($G$2:G315,G315,$E$2:E315,E315,$J$2:J315,J315)&gt;1,"Duplicate invoice",IF(COUNTIF($G$2:$G$1801,G315)&gt;1,"Duplicate ID - review",IF(AND(P315&lt;&gt;"Unmapped",P315&lt;&gt;F315),"Category mismatch","OK"))))))</f>
        <v>OK</v>
      </c>
      <c r="O315" s="125">
        <f t="shared" si="12"/>
        <v>7727.58</v>
      </c>
      <c r="P315" t="str">
        <f>IF(E315="","Unmapped",IFERROR(INDEX(Supplier_Lookup!$B$2:$B$25,MATCH(E315,Supplier_Lookup!$A$2:$A$25,0)),"Unmapped"))</f>
        <v>Vehicle &amp; Fuel</v>
      </c>
      <c r="Q315" s="76">
        <f>IFERROR(INDEX(Category_Targets!$B$2:$B$9,MATCH(F315,Category_Targets!$A$2:$A$9,0)),0)</f>
        <v>0.05</v>
      </c>
      <c r="R315" s="125">
        <f t="shared" si="13"/>
        <v>386.37900000000002</v>
      </c>
      <c r="S315" s="78">
        <f t="shared" si="14"/>
        <v>45809</v>
      </c>
      <c r="T315" t="str">
        <f>IFERROR(VLOOKUP(B315,Sites!$A$2:$D$21,4,FALSE()),"Unknown")</f>
        <v>Newcastle</v>
      </c>
      <c r="U315" t="str">
        <f>IF(N315="OK","",COUNTIF($N$2:N315,"&lt;&gt;OK"))</f>
        <v/>
      </c>
      <c r="V315">
        <f>IF(OR(NOT(EXACT(E315,TRIM(Procurement_Raw!E315))),NOT(EXACT(F315,TRIM(Procurement_Raw!F315)))),1,0)</f>
        <v>0</v>
      </c>
    </row>
    <row r="316" spans="1:22" ht="15" customHeight="1" x14ac:dyDescent="0.25">
      <c r="A316" s="123">
        <f>Procurement_Raw!A316</f>
        <v>45781</v>
      </c>
      <c r="B316" t="str">
        <f>TRIM(Procurement_Raw!B316)</f>
        <v>S019</v>
      </c>
      <c r="C316" t="str">
        <f>Procurement_Raw!C316</f>
        <v>Wrexham Care &amp; Education Centre</v>
      </c>
      <c r="D316" t="str">
        <f>Procurement_Raw!D316</f>
        <v>Wales</v>
      </c>
      <c r="E316" t="str">
        <f>IF(TRIM(Procurement_Raw!E316)="","",IFERROR(INDEX(Supplier_Lookup!$A$2:$A$25,MATCH(TRIM(Procurement_Raw!E316),Supplier_Lookup!$A$2:$A$25,0)),TRIM(Procurement_Raw!E316)))</f>
        <v>NourishCo</v>
      </c>
      <c r="F316" t="str">
        <f>IFERROR(INDEX(Category_Targets!$A$2:$A$9,MATCH(TRIM(Procurement_Raw!F316),Category_Targets!$A$2:$A$9,0)),"Unmapped")</f>
        <v>Food &amp; Catering</v>
      </c>
      <c r="G316" t="str">
        <f>TRIM(Procurement_Raw!G316)</f>
        <v>INV-2025-00315</v>
      </c>
      <c r="H316" s="77">
        <f>Procurement_Raw!H316</f>
        <v>60</v>
      </c>
      <c r="I316" s="124">
        <f>Procurement_Raw!I316</f>
        <v>133.27000000000001</v>
      </c>
      <c r="J316" s="125">
        <f>IF(Procurement_Raw!J316="","",Procurement_Raw!J316)</f>
        <v>7996.39</v>
      </c>
      <c r="K316" s="77">
        <f>Procurement_Raw!K316</f>
        <v>30</v>
      </c>
      <c r="L316" t="str">
        <f>Procurement_Raw!L316</f>
        <v>Procurement Portal</v>
      </c>
      <c r="M316" t="str">
        <f>Procurement_Raw!O316</f>
        <v>N</v>
      </c>
      <c r="N316" t="str">
        <f>IF(E316="","Missing supplier",IF(B316="","Missing site",IF(J316="","Missing spend",IF(COUNTIFS($G$2:G316,G316,$E$2:E316,E316,$J$2:J316,J316)&gt;1,"Duplicate invoice",IF(COUNTIF($G$2:$G$1801,G316)&gt;1,"Duplicate ID - review",IF(AND(P316&lt;&gt;"Unmapped",P316&lt;&gt;F316),"Category mismatch","OK"))))))</f>
        <v>OK</v>
      </c>
      <c r="O316" s="125">
        <f t="shared" si="12"/>
        <v>7996.39</v>
      </c>
      <c r="P316" t="str">
        <f>IF(E316="","Unmapped",IFERROR(INDEX(Supplier_Lookup!$B$2:$B$25,MATCH(E316,Supplier_Lookup!$A$2:$A$25,0)),"Unmapped"))</f>
        <v>Food &amp; Catering</v>
      </c>
      <c r="Q316" s="76">
        <f>IFERROR(INDEX(Category_Targets!$B$2:$B$9,MATCH(F316,Category_Targets!$A$2:$A$9,0)),0)</f>
        <v>0.04</v>
      </c>
      <c r="R316" s="125">
        <f t="shared" si="13"/>
        <v>319.85560000000004</v>
      </c>
      <c r="S316" s="78">
        <f t="shared" si="14"/>
        <v>45778</v>
      </c>
      <c r="T316" t="str">
        <f>IFERROR(VLOOKUP(B316,Sites!$A$2:$D$21,4,FALSE()),"Unknown")</f>
        <v>Wrexham</v>
      </c>
      <c r="U316" t="str">
        <f>IF(N316="OK","",COUNTIF($N$2:N316,"&lt;&gt;OK"))</f>
        <v/>
      </c>
      <c r="V316">
        <f>IF(OR(NOT(EXACT(E316,TRIM(Procurement_Raw!E316))),NOT(EXACT(F316,TRIM(Procurement_Raw!F316)))),1,0)</f>
        <v>0</v>
      </c>
    </row>
    <row r="317" spans="1:22" ht="15" customHeight="1" x14ac:dyDescent="0.25">
      <c r="A317" s="123">
        <f>Procurement_Raw!A317</f>
        <v>45707</v>
      </c>
      <c r="B317" t="str">
        <f>TRIM(Procurement_Raw!B317)</f>
        <v>S004</v>
      </c>
      <c r="C317" t="str">
        <f>Procurement_Raw!C317</f>
        <v>Newcastle Care &amp; Education Centre</v>
      </c>
      <c r="D317" t="str">
        <f>Procurement_Raw!D317</f>
        <v>North</v>
      </c>
      <c r="E317" t="str">
        <f>IF(TRIM(Procurement_Raw!E317)="","",IFERROR(INDEX(Supplier_Lookup!$A$2:$A$25,MATCH(TRIM(Procurement_Raw!E317),Supplier_Lookup!$A$2:$A$25,0)),TRIM(Procurement_Raw!E317)))</f>
        <v>UK Energy Partners</v>
      </c>
      <c r="F317" t="str">
        <f>IFERROR(INDEX(Category_Targets!$A$2:$A$9,MATCH(TRIM(Procurement_Raw!F317),Category_Targets!$A$2:$A$9,0)),"Unmapped")</f>
        <v>Utilities</v>
      </c>
      <c r="G317" t="str">
        <f>TRIM(Procurement_Raw!G317)</f>
        <v>INV-2025-00316</v>
      </c>
      <c r="H317" s="77">
        <f>Procurement_Raw!H317</f>
        <v>7</v>
      </c>
      <c r="I317" s="124">
        <f>Procurement_Raw!I317</f>
        <v>252.9</v>
      </c>
      <c r="J317" s="125">
        <f>IF(Procurement_Raw!J317="","",Procurement_Raw!J317)</f>
        <v>1770.33</v>
      </c>
      <c r="K317" s="77">
        <f>Procurement_Raw!K317</f>
        <v>45</v>
      </c>
      <c r="L317" t="str">
        <f>Procurement_Raw!L317</f>
        <v>Procurement Portal</v>
      </c>
      <c r="M317" t="str">
        <f>Procurement_Raw!O317</f>
        <v>N</v>
      </c>
      <c r="N317" t="str">
        <f>IF(E317="","Missing supplier",IF(B317="","Missing site",IF(J317="","Missing spend",IF(COUNTIFS($G$2:G317,G317,$E$2:E317,E317,$J$2:J317,J317)&gt;1,"Duplicate invoice",IF(COUNTIF($G$2:$G$1801,G317)&gt;1,"Duplicate ID - review",IF(AND(P317&lt;&gt;"Unmapped",P317&lt;&gt;F317),"Category mismatch","OK"))))))</f>
        <v>OK</v>
      </c>
      <c r="O317" s="125">
        <f t="shared" si="12"/>
        <v>1770.33</v>
      </c>
      <c r="P317" t="str">
        <f>IF(E317="","Unmapped",IFERROR(INDEX(Supplier_Lookup!$B$2:$B$25,MATCH(E317,Supplier_Lookup!$A$2:$A$25,0)),"Unmapped"))</f>
        <v>Utilities</v>
      </c>
      <c r="Q317" s="76">
        <f>IFERROR(INDEX(Category_Targets!$B$2:$B$9,MATCH(F317,Category_Targets!$A$2:$A$9,0)),0)</f>
        <v>0.03</v>
      </c>
      <c r="R317" s="125">
        <f t="shared" si="13"/>
        <v>53.109899999999996</v>
      </c>
      <c r="S317" s="78">
        <f t="shared" si="14"/>
        <v>45689</v>
      </c>
      <c r="T317" t="str">
        <f>IFERROR(VLOOKUP(B317,Sites!$A$2:$D$21,4,FALSE()),"Unknown")</f>
        <v>Newcastle</v>
      </c>
      <c r="U317" t="str">
        <f>IF(N317="OK","",COUNTIF($N$2:N317,"&lt;&gt;OK"))</f>
        <v/>
      </c>
      <c r="V317">
        <f>IF(OR(NOT(EXACT(E317,TRIM(Procurement_Raw!E317))),NOT(EXACT(F317,TRIM(Procurement_Raw!F317)))),1,0)</f>
        <v>0</v>
      </c>
    </row>
    <row r="318" spans="1:22" ht="15" customHeight="1" x14ac:dyDescent="0.25">
      <c r="A318" s="123">
        <f>Procurement_Raw!A318</f>
        <v>45739</v>
      </c>
      <c r="B318" t="str">
        <f>TRIM(Procurement_Raw!B318)</f>
        <v>S020</v>
      </c>
      <c r="C318" t="str">
        <f>Procurement_Raw!C318</f>
        <v>Bangor Care &amp; Education Centre</v>
      </c>
      <c r="D318" t="str">
        <f>Procurement_Raw!D318</f>
        <v>Wales</v>
      </c>
      <c r="E318" t="str">
        <f>IF(TRIM(Procurement_Raw!E318)="","",IFERROR(INDEX(Supplier_Lookup!$A$2:$A$25,MATCH(TRIM(Procurement_Raw!E318),Supplier_Lookup!$A$2:$A$25,0)),TRIM(Procurement_Raw!E318)))</f>
        <v>HealthStaffing</v>
      </c>
      <c r="F318" t="str">
        <f>IFERROR(INDEX(Category_Targets!$A$2:$A$9,MATCH(TRIM(Procurement_Raw!F318),Category_Targets!$A$2:$A$9,0)),"Unmapped")</f>
        <v>Agency Labour</v>
      </c>
      <c r="G318" t="str">
        <f>TRIM(Procurement_Raw!G318)</f>
        <v>INV-2025-00317</v>
      </c>
      <c r="H318" s="77">
        <f>Procurement_Raw!H318</f>
        <v>42</v>
      </c>
      <c r="I318" s="124">
        <f>Procurement_Raw!I318</f>
        <v>436.53</v>
      </c>
      <c r="J318" s="125">
        <f>IF(Procurement_Raw!J318="","",Procurement_Raw!J318)</f>
        <v>18334.25</v>
      </c>
      <c r="K318" s="77">
        <f>Procurement_Raw!K318</f>
        <v>60</v>
      </c>
      <c r="L318" t="str">
        <f>Procurement_Raw!L318</f>
        <v>Legacy Spend File</v>
      </c>
      <c r="M318" t="str">
        <f>Procurement_Raw!O318</f>
        <v>N</v>
      </c>
      <c r="N318" t="str">
        <f>IF(E318="","Missing supplier",IF(B318="","Missing site",IF(J318="","Missing spend",IF(COUNTIFS($G$2:G318,G318,$E$2:E318,E318,$J$2:J318,J318)&gt;1,"Duplicate invoice",IF(COUNTIF($G$2:$G$1801,G318)&gt;1,"Duplicate ID - review",IF(AND(P318&lt;&gt;"Unmapped",P318&lt;&gt;F318),"Category mismatch","OK"))))))</f>
        <v>OK</v>
      </c>
      <c r="O318" s="125">
        <f t="shared" si="12"/>
        <v>18334.25</v>
      </c>
      <c r="P318" t="str">
        <f>IF(E318="","Unmapped",IFERROR(INDEX(Supplier_Lookup!$B$2:$B$25,MATCH(E318,Supplier_Lookup!$A$2:$A$25,0)),"Unmapped"))</f>
        <v>Agency Labour</v>
      </c>
      <c r="Q318" s="76">
        <f>IFERROR(INDEX(Category_Targets!$B$2:$B$9,MATCH(F318,Category_Targets!$A$2:$A$9,0)),0)</f>
        <v>7.0000000000000007E-2</v>
      </c>
      <c r="R318" s="125">
        <f t="shared" si="13"/>
        <v>1283.3975</v>
      </c>
      <c r="S318" s="78">
        <f t="shared" si="14"/>
        <v>45717</v>
      </c>
      <c r="T318" t="str">
        <f>IFERROR(VLOOKUP(B318,Sites!$A$2:$D$21,4,FALSE()),"Unknown")</f>
        <v>Bangor</v>
      </c>
      <c r="U318" t="str">
        <f>IF(N318="OK","",COUNTIF($N$2:N318,"&lt;&gt;OK"))</f>
        <v/>
      </c>
      <c r="V318">
        <f>IF(OR(NOT(EXACT(E318,TRIM(Procurement_Raw!E318))),NOT(EXACT(F318,TRIM(Procurement_Raw!F318)))),1,0)</f>
        <v>0</v>
      </c>
    </row>
    <row r="319" spans="1:22" ht="15" customHeight="1" x14ac:dyDescent="0.25">
      <c r="A319" s="123">
        <f>Procurement_Raw!A319</f>
        <v>45913</v>
      </c>
      <c r="B319" t="str">
        <f>TRIM(Procurement_Raw!B319)</f>
        <v>S015</v>
      </c>
      <c r="C319" t="str">
        <f>Procurement_Raw!C319</f>
        <v>Brighton Care &amp; Education Centre</v>
      </c>
      <c r="D319" t="str">
        <f>Procurement_Raw!D319</f>
        <v>South</v>
      </c>
      <c r="E319" t="str">
        <f>IF(TRIM(Procurement_Raw!E319)="","",IFERROR(INDEX(Supplier_Lookup!$A$2:$A$25,MATCH(TRIM(Procurement_Raw!E319),Supplier_Lookup!$A$2:$A$25,0)),TRIM(Procurement_Raw!E319)))</f>
        <v>UK Energy Partners</v>
      </c>
      <c r="F319" t="str">
        <f>IFERROR(INDEX(Category_Targets!$A$2:$A$9,MATCH(TRIM(Procurement_Raw!F319),Category_Targets!$A$2:$A$9,0)),"Unmapped")</f>
        <v>Utilities</v>
      </c>
      <c r="G319" t="str">
        <f>TRIM(Procurement_Raw!G319)</f>
        <v>INV-2025-00318</v>
      </c>
      <c r="H319" s="77">
        <f>Procurement_Raw!H319</f>
        <v>66</v>
      </c>
      <c r="I319" s="124">
        <f>Procurement_Raw!I319</f>
        <v>210.78</v>
      </c>
      <c r="J319" s="125">
        <f>IF(Procurement_Raw!J319="","",Procurement_Raw!J319)</f>
        <v>13911.47</v>
      </c>
      <c r="K319" s="77">
        <f>Procurement_Raw!K319</f>
        <v>45</v>
      </c>
      <c r="L319" t="str">
        <f>Procurement_Raw!L319</f>
        <v>Procurement Portal</v>
      </c>
      <c r="M319" t="str">
        <f>Procurement_Raw!O319</f>
        <v>N</v>
      </c>
      <c r="N319" t="str">
        <f>IF(E319="","Missing supplier",IF(B319="","Missing site",IF(J319="","Missing spend",IF(COUNTIFS($G$2:G319,G319,$E$2:E319,E319,$J$2:J319,J319)&gt;1,"Duplicate invoice",IF(COUNTIF($G$2:$G$1801,G319)&gt;1,"Duplicate ID - review",IF(AND(P319&lt;&gt;"Unmapped",P319&lt;&gt;F319),"Category mismatch","OK"))))))</f>
        <v>OK</v>
      </c>
      <c r="O319" s="125">
        <f t="shared" si="12"/>
        <v>13911.47</v>
      </c>
      <c r="P319" t="str">
        <f>IF(E319="","Unmapped",IFERROR(INDEX(Supplier_Lookup!$B$2:$B$25,MATCH(E319,Supplier_Lookup!$A$2:$A$25,0)),"Unmapped"))</f>
        <v>Utilities</v>
      </c>
      <c r="Q319" s="76">
        <f>IFERROR(INDEX(Category_Targets!$B$2:$B$9,MATCH(F319,Category_Targets!$A$2:$A$9,0)),0)</f>
        <v>0.03</v>
      </c>
      <c r="R319" s="125">
        <f t="shared" si="13"/>
        <v>417.34409999999997</v>
      </c>
      <c r="S319" s="78">
        <f t="shared" si="14"/>
        <v>45901</v>
      </c>
      <c r="T319" t="str">
        <f>IFERROR(VLOOKUP(B319,Sites!$A$2:$D$21,4,FALSE()),"Unknown")</f>
        <v>Brighton</v>
      </c>
      <c r="U319" t="str">
        <f>IF(N319="OK","",COUNTIF($N$2:N319,"&lt;&gt;OK"))</f>
        <v/>
      </c>
      <c r="V319">
        <f>IF(OR(NOT(EXACT(E319,TRIM(Procurement_Raw!E319))),NOT(EXACT(F319,TRIM(Procurement_Raw!F319)))),1,0)</f>
        <v>0</v>
      </c>
    </row>
    <row r="320" spans="1:22" ht="15" customHeight="1" x14ac:dyDescent="0.25">
      <c r="A320" s="123">
        <f>Procurement_Raw!A320</f>
        <v>45704</v>
      </c>
      <c r="B320" t="str">
        <f>TRIM(Procurement_Raw!B320)</f>
        <v>S016</v>
      </c>
      <c r="C320" t="str">
        <f>Procurement_Raw!C320</f>
        <v>Cardiff Care &amp; Education Centre</v>
      </c>
      <c r="D320" t="str">
        <f>Procurement_Raw!D320</f>
        <v>Wales</v>
      </c>
      <c r="E320" t="str">
        <f>IF(TRIM(Procurement_Raw!E320)="","",IFERROR(INDEX(Supplier_Lookup!$A$2:$A$25,MATCH(TRIM(Procurement_Raw!E320),Supplier_Lookup!$A$2:$A$25,0)),TRIM(Procurement_Raw!E320)))</f>
        <v>OfficePlus</v>
      </c>
      <c r="F320" t="str">
        <f>IFERROR(INDEX(Category_Targets!$A$2:$A$9,MATCH(TRIM(Procurement_Raw!F320),Category_Targets!$A$2:$A$9,0)),"Unmapped")</f>
        <v>Office &amp; Training</v>
      </c>
      <c r="G320" t="str">
        <f>TRIM(Procurement_Raw!G320)</f>
        <v>INV-2025-00319</v>
      </c>
      <c r="H320" s="77">
        <f>Procurement_Raw!H320</f>
        <v>51</v>
      </c>
      <c r="I320" s="124">
        <f>Procurement_Raw!I320</f>
        <v>89.64</v>
      </c>
      <c r="J320" s="125">
        <f>IF(Procurement_Raw!J320="","",Procurement_Raw!J320)</f>
        <v>4571.54</v>
      </c>
      <c r="K320" s="77">
        <f>Procurement_Raw!K320</f>
        <v>60</v>
      </c>
      <c r="L320" t="str">
        <f>Procurement_Raw!L320</f>
        <v>Procurement Portal</v>
      </c>
      <c r="M320" t="str">
        <f>Procurement_Raw!O320</f>
        <v>N</v>
      </c>
      <c r="N320" t="str">
        <f>IF(E320="","Missing supplier",IF(B320="","Missing site",IF(J320="","Missing spend",IF(COUNTIFS($G$2:G320,G320,$E$2:E320,E320,$J$2:J320,J320)&gt;1,"Duplicate invoice",IF(COUNTIF($G$2:$G$1801,G320)&gt;1,"Duplicate ID - review",IF(AND(P320&lt;&gt;"Unmapped",P320&lt;&gt;F320),"Category mismatch","OK"))))))</f>
        <v>OK</v>
      </c>
      <c r="O320" s="125">
        <f t="shared" si="12"/>
        <v>4571.54</v>
      </c>
      <c r="P320" t="str">
        <f>IF(E320="","Unmapped",IFERROR(INDEX(Supplier_Lookup!$B$2:$B$25,MATCH(E320,Supplier_Lookup!$A$2:$A$25,0)),"Unmapped"))</f>
        <v>Office &amp; Training</v>
      </c>
      <c r="Q320" s="76">
        <f>IFERROR(INDEX(Category_Targets!$B$2:$B$9,MATCH(F320,Category_Targets!$A$2:$A$9,0)),0)</f>
        <v>0.04</v>
      </c>
      <c r="R320" s="125">
        <f t="shared" si="13"/>
        <v>182.86160000000001</v>
      </c>
      <c r="S320" s="78">
        <f t="shared" si="14"/>
        <v>45689</v>
      </c>
      <c r="T320" t="str">
        <f>IFERROR(VLOOKUP(B320,Sites!$A$2:$D$21,4,FALSE()),"Unknown")</f>
        <v>Cardiff</v>
      </c>
      <c r="U320" t="str">
        <f>IF(N320="OK","",COUNTIF($N$2:N320,"&lt;&gt;OK"))</f>
        <v/>
      </c>
      <c r="V320">
        <f>IF(OR(NOT(EXACT(E320,TRIM(Procurement_Raw!E320))),NOT(EXACT(F320,TRIM(Procurement_Raw!F320)))),1,0)</f>
        <v>0</v>
      </c>
    </row>
    <row r="321" spans="1:22" ht="15" customHeight="1" x14ac:dyDescent="0.25">
      <c r="A321" s="123">
        <f>Procurement_Raw!A321</f>
        <v>45838</v>
      </c>
      <c r="B321" t="str">
        <f>TRIM(Procurement_Raw!B321)</f>
        <v>S015</v>
      </c>
      <c r="C321" t="str">
        <f>Procurement_Raw!C321</f>
        <v>Brighton Care &amp; Education Centre</v>
      </c>
      <c r="D321" t="str">
        <f>Procurement_Raw!D321</f>
        <v>South</v>
      </c>
      <c r="E321" t="str">
        <f>IF(TRIM(Procurement_Raw!E321)="","",IFERROR(INDEX(Supplier_Lookup!$A$2:$A$25,MATCH(TRIM(Procurement_Raw!E321),Supplier_Lookup!$A$2:$A$25,0)),TRIM(Procurement_Raw!E321)))</f>
        <v>PowerDirect</v>
      </c>
      <c r="F321" t="str">
        <f>IFERROR(INDEX(Category_Targets!$A$2:$A$9,MATCH(TRIM(Procurement_Raw!F321),Category_Targets!$A$2:$A$9,0)),"Unmapped")</f>
        <v>Utilities</v>
      </c>
      <c r="G321" t="str">
        <f>TRIM(Procurement_Raw!G321)</f>
        <v>INV-2025-00320</v>
      </c>
      <c r="H321" s="77">
        <f>Procurement_Raw!H321</f>
        <v>7</v>
      </c>
      <c r="I321" s="124">
        <f>Procurement_Raw!I321</f>
        <v>232.73</v>
      </c>
      <c r="J321" s="125">
        <f>IF(Procurement_Raw!J321="","",Procurement_Raw!J321)</f>
        <v>1629.12</v>
      </c>
      <c r="K321" s="77">
        <f>Procurement_Raw!K321</f>
        <v>30</v>
      </c>
      <c r="L321" t="str">
        <f>Procurement_Raw!L321</f>
        <v>Procurement Portal</v>
      </c>
      <c r="M321" t="str">
        <f>Procurement_Raw!O321</f>
        <v>N</v>
      </c>
      <c r="N321" t="str">
        <f>IF(E321="","Missing supplier",IF(B321="","Missing site",IF(J321="","Missing spend",IF(COUNTIFS($G$2:G321,G321,$E$2:E321,E321,$J$2:J321,J321)&gt;1,"Duplicate invoice",IF(COUNTIF($G$2:$G$1801,G321)&gt;1,"Duplicate ID - review",IF(AND(P321&lt;&gt;"Unmapped",P321&lt;&gt;F321),"Category mismatch","OK"))))))</f>
        <v>OK</v>
      </c>
      <c r="O321" s="125">
        <f t="shared" si="12"/>
        <v>1629.12</v>
      </c>
      <c r="P321" t="str">
        <f>IF(E321="","Unmapped",IFERROR(INDEX(Supplier_Lookup!$B$2:$B$25,MATCH(E321,Supplier_Lookup!$A$2:$A$25,0)),"Unmapped"))</f>
        <v>Utilities</v>
      </c>
      <c r="Q321" s="76">
        <f>IFERROR(INDEX(Category_Targets!$B$2:$B$9,MATCH(F321,Category_Targets!$A$2:$A$9,0)),0)</f>
        <v>0.03</v>
      </c>
      <c r="R321" s="125">
        <f t="shared" si="13"/>
        <v>48.873599999999996</v>
      </c>
      <c r="S321" s="78">
        <f t="shared" si="14"/>
        <v>45809</v>
      </c>
      <c r="T321" t="str">
        <f>IFERROR(VLOOKUP(B321,Sites!$A$2:$D$21,4,FALSE()),"Unknown")</f>
        <v>Brighton</v>
      </c>
      <c r="U321" t="str">
        <f>IF(N321="OK","",COUNTIF($N$2:N321,"&lt;&gt;OK"))</f>
        <v/>
      </c>
      <c r="V321">
        <f>IF(OR(NOT(EXACT(E321,TRIM(Procurement_Raw!E321))),NOT(EXACT(F321,TRIM(Procurement_Raw!F321)))),1,0)</f>
        <v>0</v>
      </c>
    </row>
    <row r="322" spans="1:22" ht="15" customHeight="1" x14ac:dyDescent="0.25">
      <c r="A322" s="123">
        <f>Procurement_Raw!A322</f>
        <v>45932</v>
      </c>
      <c r="B322" t="str">
        <f>TRIM(Procurement_Raw!B322)</f>
        <v>S016</v>
      </c>
      <c r="C322" t="str">
        <f>Procurement_Raw!C322</f>
        <v>Cardiff Care &amp; Education Centre</v>
      </c>
      <c r="D322" t="str">
        <f>Procurement_Raw!D322</f>
        <v>Wales</v>
      </c>
      <c r="E322" t="str">
        <f>IF(TRIM(Procurement_Raw!E322)="","",IFERROR(INDEX(Supplier_Lookup!$A$2:$A$25,MATCH(TRIM(Procurement_Raw!E322),Supplier_Lookup!$A$2:$A$25,0)),TRIM(Procurement_Raw!E322)))</f>
        <v>LearnWell</v>
      </c>
      <c r="F322" t="str">
        <f>IFERROR(INDEX(Category_Targets!$A$2:$A$9,MATCH(TRIM(Procurement_Raw!F322),Category_Targets!$A$2:$A$9,0)),"Unmapped")</f>
        <v>Office &amp; Training</v>
      </c>
      <c r="G322" t="str">
        <f>TRIM(Procurement_Raw!G322)</f>
        <v>INV-2025-00321</v>
      </c>
      <c r="H322" s="77">
        <f>Procurement_Raw!H322</f>
        <v>2</v>
      </c>
      <c r="I322" s="124">
        <f>Procurement_Raw!I322</f>
        <v>79.11</v>
      </c>
      <c r="J322" s="125">
        <f>IF(Procurement_Raw!J322="","",Procurement_Raw!J322)</f>
        <v>158.22</v>
      </c>
      <c r="K322" s="77">
        <f>Procurement_Raw!K322</f>
        <v>30</v>
      </c>
      <c r="L322" t="str">
        <f>Procurement_Raw!L322</f>
        <v>Procurement Portal</v>
      </c>
      <c r="M322" t="str">
        <f>Procurement_Raw!O322</f>
        <v>N</v>
      </c>
      <c r="N322" t="str">
        <f>IF(E322="","Missing supplier",IF(B322="","Missing site",IF(J322="","Missing spend",IF(COUNTIFS($G$2:G322,G322,$E$2:E322,E322,$J$2:J322,J322)&gt;1,"Duplicate invoice",IF(COUNTIF($G$2:$G$1801,G322)&gt;1,"Duplicate ID - review",IF(AND(P322&lt;&gt;"Unmapped",P322&lt;&gt;F322),"Category mismatch","OK"))))))</f>
        <v>OK</v>
      </c>
      <c r="O322" s="125">
        <f t="shared" ref="O322:O385" si="15">IF(OR(N322="Missing spend",N322="Duplicate invoice"),0,J322)</f>
        <v>158.22</v>
      </c>
      <c r="P322" t="str">
        <f>IF(E322="","Unmapped",IFERROR(INDEX(Supplier_Lookup!$B$2:$B$25,MATCH(E322,Supplier_Lookup!$A$2:$A$25,0)),"Unmapped"))</f>
        <v>Office &amp; Training</v>
      </c>
      <c r="Q322" s="76">
        <f>IFERROR(INDEX(Category_Targets!$B$2:$B$9,MATCH(F322,Category_Targets!$A$2:$A$9,0)),0)</f>
        <v>0.04</v>
      </c>
      <c r="R322" s="125">
        <f t="shared" ref="R322:R385" si="16">O322*Q322</f>
        <v>6.3288000000000002</v>
      </c>
      <c r="S322" s="78">
        <f t="shared" ref="S322:S385" si="17">DATE(YEAR(A322),MONTH(A322),1)</f>
        <v>45931</v>
      </c>
      <c r="T322" t="str">
        <f>IFERROR(VLOOKUP(B322,Sites!$A$2:$D$21,4,FALSE()),"Unknown")</f>
        <v>Cardiff</v>
      </c>
      <c r="U322" t="str">
        <f>IF(N322="OK","",COUNTIF($N$2:N322,"&lt;&gt;OK"))</f>
        <v/>
      </c>
      <c r="V322">
        <f>IF(OR(NOT(EXACT(E322,TRIM(Procurement_Raw!E322))),NOT(EXACT(F322,TRIM(Procurement_Raw!F322)))),1,0)</f>
        <v>0</v>
      </c>
    </row>
    <row r="323" spans="1:22" ht="15" customHeight="1" x14ac:dyDescent="0.25">
      <c r="A323" s="123">
        <f>Procurement_Raw!A323</f>
        <v>45845</v>
      </c>
      <c r="B323" t="str">
        <f>TRIM(Procurement_Raw!B323)</f>
        <v>S002</v>
      </c>
      <c r="C323" t="str">
        <f>Procurement_Raw!C323</f>
        <v>Manchester Care &amp; Education Centre</v>
      </c>
      <c r="D323" t="str">
        <f>Procurement_Raw!D323</f>
        <v>North</v>
      </c>
      <c r="E323" t="str">
        <f>IF(TRIM(Procurement_Raw!E323)="","",IFERROR(INDEX(Supplier_Lookup!$A$2:$A$25,MATCH(TRIM(Procurement_Raw!E323),Supplier_Lookup!$A$2:$A$25,0)),TRIM(Procurement_Raw!E323)))</f>
        <v>NetServe</v>
      </c>
      <c r="F323" t="str">
        <f>IFERROR(INDEX(Category_Targets!$A$2:$A$9,MATCH(TRIM(Procurement_Raw!F323),Category_Targets!$A$2:$A$9,0)),"Unmapped")</f>
        <v>IT &amp; Telecoms</v>
      </c>
      <c r="G323" t="str">
        <f>TRIM(Procurement_Raw!G323)</f>
        <v>INV-2025-00322</v>
      </c>
      <c r="H323" s="77">
        <f>Procurement_Raw!H323</f>
        <v>52</v>
      </c>
      <c r="I323" s="124">
        <f>Procurement_Raw!I323</f>
        <v>305.2</v>
      </c>
      <c r="J323" s="125">
        <f>IF(Procurement_Raw!J323="","",Procurement_Raw!J323)</f>
        <v>15870.35</v>
      </c>
      <c r="K323" s="77">
        <f>Procurement_Raw!K323</f>
        <v>45</v>
      </c>
      <c r="L323" t="str">
        <f>Procurement_Raw!L323</f>
        <v>ERP</v>
      </c>
      <c r="M323" t="str">
        <f>Procurement_Raw!O323</f>
        <v>N</v>
      </c>
      <c r="N323" t="str">
        <f>IF(E323="","Missing supplier",IF(B323="","Missing site",IF(J323="","Missing spend",IF(COUNTIFS($G$2:G323,G323,$E$2:E323,E323,$J$2:J323,J323)&gt;1,"Duplicate invoice",IF(COUNTIF($G$2:$G$1801,G323)&gt;1,"Duplicate ID - review",IF(AND(P323&lt;&gt;"Unmapped",P323&lt;&gt;F323),"Category mismatch","OK"))))))</f>
        <v>OK</v>
      </c>
      <c r="O323" s="125">
        <f t="shared" si="15"/>
        <v>15870.35</v>
      </c>
      <c r="P323" t="str">
        <f>IF(E323="","Unmapped",IFERROR(INDEX(Supplier_Lookup!$B$2:$B$25,MATCH(E323,Supplier_Lookup!$A$2:$A$25,0)),"Unmapped"))</f>
        <v>IT &amp; Telecoms</v>
      </c>
      <c r="Q323" s="76">
        <f>IFERROR(INDEX(Category_Targets!$B$2:$B$9,MATCH(F323,Category_Targets!$A$2:$A$9,0)),0)</f>
        <v>0.08</v>
      </c>
      <c r="R323" s="125">
        <f t="shared" si="16"/>
        <v>1269.6280000000002</v>
      </c>
      <c r="S323" s="78">
        <f t="shared" si="17"/>
        <v>45839</v>
      </c>
      <c r="T323" t="str">
        <f>IFERROR(VLOOKUP(B323,Sites!$A$2:$D$21,4,FALSE()),"Unknown")</f>
        <v>Manchester</v>
      </c>
      <c r="U323" t="str">
        <f>IF(N323="OK","",COUNTIF($N$2:N323,"&lt;&gt;OK"))</f>
        <v/>
      </c>
      <c r="V323">
        <f>IF(OR(NOT(EXACT(E323,TRIM(Procurement_Raw!E323))),NOT(EXACT(F323,TRIM(Procurement_Raw!F323)))),1,0)</f>
        <v>0</v>
      </c>
    </row>
    <row r="324" spans="1:22" ht="15" customHeight="1" x14ac:dyDescent="0.25">
      <c r="A324" s="123">
        <f>Procurement_Raw!A324</f>
        <v>45945</v>
      </c>
      <c r="B324" t="str">
        <f>TRIM(Procurement_Raw!B324)</f>
        <v>S018</v>
      </c>
      <c r="C324" t="str">
        <f>Procurement_Raw!C324</f>
        <v>Newport Care &amp; Education Centre</v>
      </c>
      <c r="D324" t="str">
        <f>Procurement_Raw!D324</f>
        <v>Wales</v>
      </c>
      <c r="E324" t="str">
        <f>IF(TRIM(Procurement_Raw!E324)="","",IFERROR(INDEX(Supplier_Lookup!$A$2:$A$25,MATCH(TRIM(Procurement_Raw!E324),Supplier_Lookup!$A$2:$A$25,0)),TRIM(Procurement_Raw!E324)))</f>
        <v>ClinEquip</v>
      </c>
      <c r="F324" t="str">
        <f>IFERROR(INDEX(Category_Targets!$A$2:$A$9,MATCH(TRIM(Procurement_Raw!F324),Category_Targets!$A$2:$A$9,0)),"Unmapped")</f>
        <v>Medical Supplies</v>
      </c>
      <c r="G324" t="str">
        <f>TRIM(Procurement_Raw!G324)</f>
        <v>INV-2025-00323</v>
      </c>
      <c r="H324" s="77">
        <f>Procurement_Raw!H324</f>
        <v>25</v>
      </c>
      <c r="I324" s="124">
        <f>Procurement_Raw!I324</f>
        <v>76.510000000000005</v>
      </c>
      <c r="J324" s="125">
        <f>IF(Procurement_Raw!J324="","",Procurement_Raw!J324)</f>
        <v>1912.84</v>
      </c>
      <c r="K324" s="77">
        <f>Procurement_Raw!K324</f>
        <v>45</v>
      </c>
      <c r="L324" t="str">
        <f>Procurement_Raw!L324</f>
        <v>Legacy Spend File</v>
      </c>
      <c r="M324" t="str">
        <f>Procurement_Raw!O324</f>
        <v>N</v>
      </c>
      <c r="N324" t="str">
        <f>IF(E324="","Missing supplier",IF(B324="","Missing site",IF(J324="","Missing spend",IF(COUNTIFS($G$2:G324,G324,$E$2:E324,E324,$J$2:J324,J324)&gt;1,"Duplicate invoice",IF(COUNTIF($G$2:$G$1801,G324)&gt;1,"Duplicate ID - review",IF(AND(P324&lt;&gt;"Unmapped",P324&lt;&gt;F324),"Category mismatch","OK"))))))</f>
        <v>OK</v>
      </c>
      <c r="O324" s="125">
        <f t="shared" si="15"/>
        <v>1912.84</v>
      </c>
      <c r="P324" t="str">
        <f>IF(E324="","Unmapped",IFERROR(INDEX(Supplier_Lookup!$B$2:$B$25,MATCH(E324,Supplier_Lookup!$A$2:$A$25,0)),"Unmapped"))</f>
        <v>Medical Supplies</v>
      </c>
      <c r="Q324" s="76">
        <f>IFERROR(INDEX(Category_Targets!$B$2:$B$9,MATCH(F324,Category_Targets!$A$2:$A$9,0)),0)</f>
        <v>0.06</v>
      </c>
      <c r="R324" s="125">
        <f t="shared" si="16"/>
        <v>114.7704</v>
      </c>
      <c r="S324" s="78">
        <f t="shared" si="17"/>
        <v>45931</v>
      </c>
      <c r="T324" t="str">
        <f>IFERROR(VLOOKUP(B324,Sites!$A$2:$D$21,4,FALSE()),"Unknown")</f>
        <v>Newport</v>
      </c>
      <c r="U324" t="str">
        <f>IF(N324="OK","",COUNTIF($N$2:N324,"&lt;&gt;OK"))</f>
        <v/>
      </c>
      <c r="V324">
        <f>IF(OR(NOT(EXACT(E324,TRIM(Procurement_Raw!E324))),NOT(EXACT(F324,TRIM(Procurement_Raw!F324)))),1,0)</f>
        <v>0</v>
      </c>
    </row>
    <row r="325" spans="1:22" ht="15" customHeight="1" x14ac:dyDescent="0.25">
      <c r="A325" s="123">
        <f>Procurement_Raw!A325</f>
        <v>45916</v>
      </c>
      <c r="B325" t="str">
        <f>TRIM(Procurement_Raw!B325)</f>
        <v>S019</v>
      </c>
      <c r="C325" t="str">
        <f>Procurement_Raw!C325</f>
        <v>Wrexham Care &amp; Education Centre</v>
      </c>
      <c r="D325" t="str">
        <f>Procurement_Raw!D325</f>
        <v>Wales</v>
      </c>
      <c r="E325" t="str">
        <f>IF(TRIM(Procurement_Raw!E325)="","",IFERROR(INDEX(Supplier_Lookup!$A$2:$A$25,MATCH(TRIM(Procurement_Raw!E325),Supplier_Lookup!$A$2:$A$25,0)),TRIM(Procurement_Raw!E325)))</f>
        <v>NourishCo</v>
      </c>
      <c r="F325" t="str">
        <f>IFERROR(INDEX(Category_Targets!$A$2:$A$9,MATCH(TRIM(Procurement_Raw!F325),Category_Targets!$A$2:$A$9,0)),"Unmapped")</f>
        <v>Food &amp; Catering</v>
      </c>
      <c r="G325" t="str">
        <f>TRIM(Procurement_Raw!G325)</f>
        <v>INV-2025-00324</v>
      </c>
      <c r="H325" s="77">
        <f>Procurement_Raw!H325</f>
        <v>58</v>
      </c>
      <c r="I325" s="124">
        <f>Procurement_Raw!I325</f>
        <v>205.45</v>
      </c>
      <c r="J325" s="125">
        <f>IF(Procurement_Raw!J325="","",Procurement_Raw!J325)</f>
        <v>11916.07</v>
      </c>
      <c r="K325" s="77">
        <f>Procurement_Raw!K325</f>
        <v>60</v>
      </c>
      <c r="L325" t="str">
        <f>Procurement_Raw!L325</f>
        <v>Procurement Portal</v>
      </c>
      <c r="M325" t="str">
        <f>Procurement_Raw!O325</f>
        <v>N</v>
      </c>
      <c r="N325" t="str">
        <f>IF(E325="","Missing supplier",IF(B325="","Missing site",IF(J325="","Missing spend",IF(COUNTIFS($G$2:G325,G325,$E$2:E325,E325,$J$2:J325,J325)&gt;1,"Duplicate invoice",IF(COUNTIF($G$2:$G$1801,G325)&gt;1,"Duplicate ID - review",IF(AND(P325&lt;&gt;"Unmapped",P325&lt;&gt;F325),"Category mismatch","OK"))))))</f>
        <v>OK</v>
      </c>
      <c r="O325" s="125">
        <f t="shared" si="15"/>
        <v>11916.07</v>
      </c>
      <c r="P325" t="str">
        <f>IF(E325="","Unmapped",IFERROR(INDEX(Supplier_Lookup!$B$2:$B$25,MATCH(E325,Supplier_Lookup!$A$2:$A$25,0)),"Unmapped"))</f>
        <v>Food &amp; Catering</v>
      </c>
      <c r="Q325" s="76">
        <f>IFERROR(INDEX(Category_Targets!$B$2:$B$9,MATCH(F325,Category_Targets!$A$2:$A$9,0)),0)</f>
        <v>0.04</v>
      </c>
      <c r="R325" s="125">
        <f t="shared" si="16"/>
        <v>476.64280000000002</v>
      </c>
      <c r="S325" s="78">
        <f t="shared" si="17"/>
        <v>45901</v>
      </c>
      <c r="T325" t="str">
        <f>IFERROR(VLOOKUP(B325,Sites!$A$2:$D$21,4,FALSE()),"Unknown")</f>
        <v>Wrexham</v>
      </c>
      <c r="U325" t="str">
        <f>IF(N325="OK","",COUNTIF($N$2:N325,"&lt;&gt;OK"))</f>
        <v/>
      </c>
      <c r="V325">
        <f>IF(OR(NOT(EXACT(E325,TRIM(Procurement_Raw!E325))),NOT(EXACT(F325,TRIM(Procurement_Raw!F325)))),1,0)</f>
        <v>0</v>
      </c>
    </row>
    <row r="326" spans="1:22" ht="15" customHeight="1" x14ac:dyDescent="0.25">
      <c r="A326" s="123">
        <f>Procurement_Raw!A326</f>
        <v>45707</v>
      </c>
      <c r="B326" t="str">
        <f>TRIM(Procurement_Raw!B326)</f>
        <v>S007</v>
      </c>
      <c r="C326" t="str">
        <f>Procurement_Raw!C326</f>
        <v>Nottingham Care &amp; Education Centre</v>
      </c>
      <c r="D326" t="str">
        <f>Procurement_Raw!D326</f>
        <v>Midlands</v>
      </c>
      <c r="E326" t="str">
        <f>IF(TRIM(Procurement_Raw!E326)="","",IFERROR(INDEX(Supplier_Lookup!$A$2:$A$25,MATCH(TRIM(Procurement_Raw!E326),Supplier_Lookup!$A$2:$A$25,0)),TRIM(Procurement_Raw!E326)))</f>
        <v>FreshServe</v>
      </c>
      <c r="F326" t="str">
        <f>IFERROR(INDEX(Category_Targets!$A$2:$A$9,MATCH(TRIM(Procurement_Raw!F326),Category_Targets!$A$2:$A$9,0)),"Unmapped")</f>
        <v>Food &amp; Catering</v>
      </c>
      <c r="G326" t="str">
        <f>TRIM(Procurement_Raw!G326)</f>
        <v>INV-2025-00325</v>
      </c>
      <c r="H326" s="77">
        <f>Procurement_Raw!H326</f>
        <v>51</v>
      </c>
      <c r="I326" s="124">
        <f>Procurement_Raw!I326</f>
        <v>37.380000000000003</v>
      </c>
      <c r="J326" s="125">
        <f>IF(Procurement_Raw!J326="","",Procurement_Raw!J326)</f>
        <v>1906.27</v>
      </c>
      <c r="K326" s="77">
        <f>Procurement_Raw!K326</f>
        <v>45</v>
      </c>
      <c r="L326" t="str">
        <f>Procurement_Raw!L326</f>
        <v>Procurement Portal</v>
      </c>
      <c r="M326" t="str">
        <f>Procurement_Raw!O326</f>
        <v>Y</v>
      </c>
      <c r="N326" t="str">
        <f>IF(E326="","Missing supplier",IF(B326="","Missing site",IF(J326="","Missing spend",IF(COUNTIFS($G$2:G326,G326,$E$2:E326,E326,$J$2:J326,J326)&gt;1,"Duplicate invoice",IF(COUNTIF($G$2:$G$1801,G326)&gt;1,"Duplicate ID - review",IF(AND(P326&lt;&gt;"Unmapped",P326&lt;&gt;F326),"Category mismatch","OK"))))))</f>
        <v>OK</v>
      </c>
      <c r="O326" s="125">
        <f t="shared" si="15"/>
        <v>1906.27</v>
      </c>
      <c r="P326" t="str">
        <f>IF(E326="","Unmapped",IFERROR(INDEX(Supplier_Lookup!$B$2:$B$25,MATCH(E326,Supplier_Lookup!$A$2:$A$25,0)),"Unmapped"))</f>
        <v>Food &amp; Catering</v>
      </c>
      <c r="Q326" s="76">
        <f>IFERROR(INDEX(Category_Targets!$B$2:$B$9,MATCH(F326,Category_Targets!$A$2:$A$9,0)),0)</f>
        <v>0.04</v>
      </c>
      <c r="R326" s="125">
        <f t="shared" si="16"/>
        <v>76.250799999999998</v>
      </c>
      <c r="S326" s="78">
        <f t="shared" si="17"/>
        <v>45689</v>
      </c>
      <c r="T326" t="str">
        <f>IFERROR(VLOOKUP(B326,Sites!$A$2:$D$21,4,FALSE()),"Unknown")</f>
        <v>Nottingham</v>
      </c>
      <c r="U326" t="str">
        <f>IF(N326="OK","",COUNTIF($N$2:N326,"&lt;&gt;OK"))</f>
        <v/>
      </c>
      <c r="V326">
        <f>IF(OR(NOT(EXACT(E326,TRIM(Procurement_Raw!E326))),NOT(EXACT(F326,TRIM(Procurement_Raw!F326)))),1,0)</f>
        <v>0</v>
      </c>
    </row>
    <row r="327" spans="1:22" ht="15" customHeight="1" x14ac:dyDescent="0.25">
      <c r="A327" s="123">
        <f>Procurement_Raw!A327</f>
        <v>45759</v>
      </c>
      <c r="B327" t="str">
        <f>TRIM(Procurement_Raw!B327)</f>
        <v>S017</v>
      </c>
      <c r="C327" t="str">
        <f>Procurement_Raw!C327</f>
        <v>Swansea Care &amp; Education Centre</v>
      </c>
      <c r="D327" t="str">
        <f>Procurement_Raw!D327</f>
        <v>Wales</v>
      </c>
      <c r="E327" t="str">
        <f>IF(TRIM(Procurement_Raw!E327)="","",IFERROR(INDEX(Supplier_Lookup!$A$2:$A$25,MATCH(TRIM(Procurement_Raw!E327),Supplier_Lookup!$A$2:$A$25,0)),TRIM(Procurement_Raw!E327)))</f>
        <v>FleetFuel</v>
      </c>
      <c r="F327" t="str">
        <f>IFERROR(INDEX(Category_Targets!$A$2:$A$9,MATCH(TRIM(Procurement_Raw!F327),Category_Targets!$A$2:$A$9,0)),"Unmapped")</f>
        <v>Vehicle &amp; Fuel</v>
      </c>
      <c r="G327" t="str">
        <f>TRIM(Procurement_Raw!G327)</f>
        <v>INV-2025-00326</v>
      </c>
      <c r="H327" s="77">
        <f>Procurement_Raw!H327</f>
        <v>78</v>
      </c>
      <c r="I327" s="124">
        <f>Procurement_Raw!I327</f>
        <v>48.72</v>
      </c>
      <c r="J327" s="125">
        <f>IF(Procurement_Raw!J327="","",Procurement_Raw!J327)</f>
        <v>3800.1</v>
      </c>
      <c r="K327" s="77">
        <f>Procurement_Raw!K327</f>
        <v>60</v>
      </c>
      <c r="L327" t="str">
        <f>Procurement_Raw!L327</f>
        <v>Procurement Portal</v>
      </c>
      <c r="M327" t="str">
        <f>Procurement_Raw!O327</f>
        <v>Y</v>
      </c>
      <c r="N327" t="str">
        <f>IF(E327="","Missing supplier",IF(B327="","Missing site",IF(J327="","Missing spend",IF(COUNTIFS($G$2:G327,G327,$E$2:E327,E327,$J$2:J327,J327)&gt;1,"Duplicate invoice",IF(COUNTIF($G$2:$G$1801,G327)&gt;1,"Duplicate ID - review",IF(AND(P327&lt;&gt;"Unmapped",P327&lt;&gt;F327),"Category mismatch","OK"))))))</f>
        <v>OK</v>
      </c>
      <c r="O327" s="125">
        <f t="shared" si="15"/>
        <v>3800.1</v>
      </c>
      <c r="P327" t="str">
        <f>IF(E327="","Unmapped",IFERROR(INDEX(Supplier_Lookup!$B$2:$B$25,MATCH(E327,Supplier_Lookup!$A$2:$A$25,0)),"Unmapped"))</f>
        <v>Vehicle &amp; Fuel</v>
      </c>
      <c r="Q327" s="76">
        <f>IFERROR(INDEX(Category_Targets!$B$2:$B$9,MATCH(F327,Category_Targets!$A$2:$A$9,0)),0)</f>
        <v>0.05</v>
      </c>
      <c r="R327" s="125">
        <f t="shared" si="16"/>
        <v>190.005</v>
      </c>
      <c r="S327" s="78">
        <f t="shared" si="17"/>
        <v>45748</v>
      </c>
      <c r="T327" t="str">
        <f>IFERROR(VLOOKUP(B327,Sites!$A$2:$D$21,4,FALSE()),"Unknown")</f>
        <v>Swansea</v>
      </c>
      <c r="U327" t="str">
        <f>IF(N327="OK","",COUNTIF($N$2:N327,"&lt;&gt;OK"))</f>
        <v/>
      </c>
      <c r="V327">
        <f>IF(OR(NOT(EXACT(E327,TRIM(Procurement_Raw!E327))),NOT(EXACT(F327,TRIM(Procurement_Raw!F327)))),1,0)</f>
        <v>0</v>
      </c>
    </row>
    <row r="328" spans="1:22" ht="15" customHeight="1" x14ac:dyDescent="0.25">
      <c r="A328" s="123">
        <f>Procurement_Raw!A328</f>
        <v>45677</v>
      </c>
      <c r="B328" t="str">
        <f>TRIM(Procurement_Raw!B328)</f>
        <v>S004</v>
      </c>
      <c r="C328" t="str">
        <f>Procurement_Raw!C328</f>
        <v>Newcastle Care &amp; Education Centre</v>
      </c>
      <c r="D328" t="str">
        <f>Procurement_Raw!D328</f>
        <v>North</v>
      </c>
      <c r="E328" t="str">
        <f>IF(TRIM(Procurement_Raw!E328)="","",IFERROR(INDEX(Supplier_Lookup!$A$2:$A$25,MATCH(TRIM(Procurement_Raw!E328),Supplier_Lookup!$A$2:$A$25,0)),TRIM(Procurement_Raw!E328)))</f>
        <v>MediSure</v>
      </c>
      <c r="F328" t="str">
        <f>IFERROR(INDEX(Category_Targets!$A$2:$A$9,MATCH(TRIM(Procurement_Raw!F328),Category_Targets!$A$2:$A$9,0)),"Unmapped")</f>
        <v>Medical Supplies</v>
      </c>
      <c r="G328" t="str">
        <f>TRIM(Procurement_Raw!G328)</f>
        <v>INV-2025-00327</v>
      </c>
      <c r="H328" s="77">
        <f>Procurement_Raw!H328</f>
        <v>18</v>
      </c>
      <c r="I328" s="124">
        <f>Procurement_Raw!I328</f>
        <v>226.89</v>
      </c>
      <c r="J328" s="125">
        <f>IF(Procurement_Raw!J328="","",Procurement_Raw!J328)</f>
        <v>4083.97</v>
      </c>
      <c r="K328" s="77">
        <f>Procurement_Raw!K328</f>
        <v>60</v>
      </c>
      <c r="L328" t="str">
        <f>Procurement_Raw!L328</f>
        <v>Procurement Portal</v>
      </c>
      <c r="M328" t="str">
        <f>Procurement_Raw!O328</f>
        <v>Y</v>
      </c>
      <c r="N328" t="str">
        <f>IF(E328="","Missing supplier",IF(B328="","Missing site",IF(J328="","Missing spend",IF(COUNTIFS($G$2:G328,G328,$E$2:E328,E328,$J$2:J328,J328)&gt;1,"Duplicate invoice",IF(COUNTIF($G$2:$G$1801,G328)&gt;1,"Duplicate ID - review",IF(AND(P328&lt;&gt;"Unmapped",P328&lt;&gt;F328),"Category mismatch","OK"))))))</f>
        <v>OK</v>
      </c>
      <c r="O328" s="125">
        <f t="shared" si="15"/>
        <v>4083.97</v>
      </c>
      <c r="P328" t="str">
        <f>IF(E328="","Unmapped",IFERROR(INDEX(Supplier_Lookup!$B$2:$B$25,MATCH(E328,Supplier_Lookup!$A$2:$A$25,0)),"Unmapped"))</f>
        <v>Medical Supplies</v>
      </c>
      <c r="Q328" s="76">
        <f>IFERROR(INDEX(Category_Targets!$B$2:$B$9,MATCH(F328,Category_Targets!$A$2:$A$9,0)),0)</f>
        <v>0.06</v>
      </c>
      <c r="R328" s="125">
        <f t="shared" si="16"/>
        <v>245.03819999999999</v>
      </c>
      <c r="S328" s="78">
        <f t="shared" si="17"/>
        <v>45658</v>
      </c>
      <c r="T328" t="str">
        <f>IFERROR(VLOOKUP(B328,Sites!$A$2:$D$21,4,FALSE()),"Unknown")</f>
        <v>Newcastle</v>
      </c>
      <c r="U328" t="str">
        <f>IF(N328="OK","",COUNTIF($N$2:N328,"&lt;&gt;OK"))</f>
        <v/>
      </c>
      <c r="V328">
        <f>IF(OR(NOT(EXACT(E328,TRIM(Procurement_Raw!E328))),NOT(EXACT(F328,TRIM(Procurement_Raw!F328)))),1,0)</f>
        <v>0</v>
      </c>
    </row>
    <row r="329" spans="1:22" ht="15" customHeight="1" x14ac:dyDescent="0.25">
      <c r="A329" s="123">
        <f>Procurement_Raw!A329</f>
        <v>45968</v>
      </c>
      <c r="B329" t="str">
        <f>TRIM(Procurement_Raw!B329)</f>
        <v>S011</v>
      </c>
      <c r="C329" t="str">
        <f>Procurement_Raw!C329</f>
        <v>London Care &amp; Education Centre</v>
      </c>
      <c r="D329" t="str">
        <f>Procurement_Raw!D329</f>
        <v>South</v>
      </c>
      <c r="E329" t="str">
        <f>IF(TRIM(Procurement_Raw!E329)="","",IFERROR(INDEX(Supplier_Lookup!$A$2:$A$25,MATCH(TRIM(Procurement_Raw!E329),Supplier_Lookup!$A$2:$A$25,0)),TRIM(Procurement_Raw!E329)))</f>
        <v>OfficePlus</v>
      </c>
      <c r="F329" t="str">
        <f>IFERROR(INDEX(Category_Targets!$A$2:$A$9,MATCH(TRIM(Procurement_Raw!F329),Category_Targets!$A$2:$A$9,0)),"Unmapped")</f>
        <v>Office &amp; Training</v>
      </c>
      <c r="G329" t="str">
        <f>TRIM(Procurement_Raw!G329)</f>
        <v>INV-2025-00328</v>
      </c>
      <c r="H329" s="77">
        <f>Procurement_Raw!H329</f>
        <v>66</v>
      </c>
      <c r="I329" s="124">
        <f>Procurement_Raw!I329</f>
        <v>115.92</v>
      </c>
      <c r="J329" s="125">
        <f>IF(Procurement_Raw!J329="","",Procurement_Raw!J329)</f>
        <v>7650.74</v>
      </c>
      <c r="K329" s="77">
        <f>Procurement_Raw!K329</f>
        <v>30</v>
      </c>
      <c r="L329" t="str">
        <f>Procurement_Raw!L329</f>
        <v>Procurement Portal</v>
      </c>
      <c r="M329" t="str">
        <f>Procurement_Raw!O329</f>
        <v>N</v>
      </c>
      <c r="N329" t="str">
        <f>IF(E329="","Missing supplier",IF(B329="","Missing site",IF(J329="","Missing spend",IF(COUNTIFS($G$2:G329,G329,$E$2:E329,E329,$J$2:J329,J329)&gt;1,"Duplicate invoice",IF(COUNTIF($G$2:$G$1801,G329)&gt;1,"Duplicate ID - review",IF(AND(P329&lt;&gt;"Unmapped",P329&lt;&gt;F329),"Category mismatch","OK"))))))</f>
        <v>OK</v>
      </c>
      <c r="O329" s="125">
        <f t="shared" si="15"/>
        <v>7650.74</v>
      </c>
      <c r="P329" t="str">
        <f>IF(E329="","Unmapped",IFERROR(INDEX(Supplier_Lookup!$B$2:$B$25,MATCH(E329,Supplier_Lookup!$A$2:$A$25,0)),"Unmapped"))</f>
        <v>Office &amp; Training</v>
      </c>
      <c r="Q329" s="76">
        <f>IFERROR(INDEX(Category_Targets!$B$2:$B$9,MATCH(F329,Category_Targets!$A$2:$A$9,0)),0)</f>
        <v>0.04</v>
      </c>
      <c r="R329" s="125">
        <f t="shared" si="16"/>
        <v>306.02960000000002</v>
      </c>
      <c r="S329" s="78">
        <f t="shared" si="17"/>
        <v>45962</v>
      </c>
      <c r="T329" t="str">
        <f>IFERROR(VLOOKUP(B329,Sites!$A$2:$D$21,4,FALSE()),"Unknown")</f>
        <v>London</v>
      </c>
      <c r="U329" t="str">
        <f>IF(N329="OK","",COUNTIF($N$2:N329,"&lt;&gt;OK"))</f>
        <v/>
      </c>
      <c r="V329">
        <f>IF(OR(NOT(EXACT(E329,TRIM(Procurement_Raw!E329))),NOT(EXACT(F329,TRIM(Procurement_Raw!F329)))),1,0)</f>
        <v>0</v>
      </c>
    </row>
    <row r="330" spans="1:22" ht="15" customHeight="1" x14ac:dyDescent="0.25">
      <c r="A330" s="123">
        <f>Procurement_Raw!A330</f>
        <v>45859</v>
      </c>
      <c r="B330" t="str">
        <f>TRIM(Procurement_Raw!B330)</f>
        <v>S002</v>
      </c>
      <c r="C330" t="str">
        <f>Procurement_Raw!C330</f>
        <v>Manchester Care &amp; Education Centre</v>
      </c>
      <c r="D330" t="str">
        <f>Procurement_Raw!D330</f>
        <v>North</v>
      </c>
      <c r="E330" t="str">
        <f>IF(TRIM(Procurement_Raw!E330)="","",IFERROR(INDEX(Supplier_Lookup!$A$2:$A$25,MATCH(TRIM(Procurement_Raw!E330),Supplier_Lookup!$A$2:$A$25,0)),TRIM(Procurement_Raw!E330)))</f>
        <v>FleetFuel</v>
      </c>
      <c r="F330" t="str">
        <f>IFERROR(INDEX(Category_Targets!$A$2:$A$9,MATCH(TRIM(Procurement_Raw!F330),Category_Targets!$A$2:$A$9,0)),"Unmapped")</f>
        <v>Vehicle &amp; Fuel</v>
      </c>
      <c r="G330" t="str">
        <f>TRIM(Procurement_Raw!G330)</f>
        <v>INV-2025-00329</v>
      </c>
      <c r="H330" s="77">
        <f>Procurement_Raw!H330</f>
        <v>79</v>
      </c>
      <c r="I330" s="124">
        <f>Procurement_Raw!I330</f>
        <v>133.91</v>
      </c>
      <c r="J330" s="125">
        <f>IF(Procurement_Raw!J330="","",Procurement_Raw!J330)</f>
        <v>10578.62</v>
      </c>
      <c r="K330" s="77">
        <f>Procurement_Raw!K330</f>
        <v>60</v>
      </c>
      <c r="L330" t="str">
        <f>Procurement_Raw!L330</f>
        <v>Procurement Portal</v>
      </c>
      <c r="M330" t="str">
        <f>Procurement_Raw!O330</f>
        <v>Y</v>
      </c>
      <c r="N330" t="str">
        <f>IF(E330="","Missing supplier",IF(B330="","Missing site",IF(J330="","Missing spend",IF(COUNTIFS($G$2:G330,G330,$E$2:E330,E330,$J$2:J330,J330)&gt;1,"Duplicate invoice",IF(COUNTIF($G$2:$G$1801,G330)&gt;1,"Duplicate ID - review",IF(AND(P330&lt;&gt;"Unmapped",P330&lt;&gt;F330),"Category mismatch","OK"))))))</f>
        <v>OK</v>
      </c>
      <c r="O330" s="125">
        <f t="shared" si="15"/>
        <v>10578.62</v>
      </c>
      <c r="P330" t="str">
        <f>IF(E330="","Unmapped",IFERROR(INDEX(Supplier_Lookup!$B$2:$B$25,MATCH(E330,Supplier_Lookup!$A$2:$A$25,0)),"Unmapped"))</f>
        <v>Vehicle &amp; Fuel</v>
      </c>
      <c r="Q330" s="76">
        <f>IFERROR(INDEX(Category_Targets!$B$2:$B$9,MATCH(F330,Category_Targets!$A$2:$A$9,0)),0)</f>
        <v>0.05</v>
      </c>
      <c r="R330" s="125">
        <f t="shared" si="16"/>
        <v>528.93100000000004</v>
      </c>
      <c r="S330" s="78">
        <f t="shared" si="17"/>
        <v>45839</v>
      </c>
      <c r="T330" t="str">
        <f>IFERROR(VLOOKUP(B330,Sites!$A$2:$D$21,4,FALSE()),"Unknown")</f>
        <v>Manchester</v>
      </c>
      <c r="U330" t="str">
        <f>IF(N330="OK","",COUNTIF($N$2:N330,"&lt;&gt;OK"))</f>
        <v/>
      </c>
      <c r="V330">
        <f>IF(OR(NOT(EXACT(E330,TRIM(Procurement_Raw!E330))),NOT(EXACT(F330,TRIM(Procurement_Raw!F330)))),1,0)</f>
        <v>0</v>
      </c>
    </row>
    <row r="331" spans="1:22" ht="15" customHeight="1" x14ac:dyDescent="0.25">
      <c r="A331" s="123">
        <f>Procurement_Raw!A331</f>
        <v>45918</v>
      </c>
      <c r="B331" t="str">
        <f>TRIM(Procurement_Raw!B331)</f>
        <v>S014</v>
      </c>
      <c r="C331" t="str">
        <f>Procurement_Raw!C331</f>
        <v>Southampton Care &amp; Education Centre</v>
      </c>
      <c r="D331" t="str">
        <f>Procurement_Raw!D331</f>
        <v>South</v>
      </c>
      <c r="E331" t="str">
        <f>IF(TRIM(Procurement_Raw!E331)="","",IFERROR(INDEX(Supplier_Lookup!$A$2:$A$25,MATCH(TRIM(Procurement_Raw!E331),Supplier_Lookup!$A$2:$A$25,0)),TRIM(Procurement_Raw!E331)))</f>
        <v>AutoCare</v>
      </c>
      <c r="F331" t="str">
        <f>IFERROR(INDEX(Category_Targets!$A$2:$A$9,MATCH(TRIM(Procurement_Raw!F331),Category_Targets!$A$2:$A$9,0)),"Unmapped")</f>
        <v>Vehicle &amp; Fuel</v>
      </c>
      <c r="G331" t="str">
        <f>TRIM(Procurement_Raw!G331)</f>
        <v>INV-2025-00330</v>
      </c>
      <c r="H331" s="77">
        <f>Procurement_Raw!H331</f>
        <v>69</v>
      </c>
      <c r="I331" s="124">
        <f>Procurement_Raw!I331</f>
        <v>134.22</v>
      </c>
      <c r="J331" s="125">
        <f>IF(Procurement_Raw!J331="","",Procurement_Raw!J331)</f>
        <v>9261.06</v>
      </c>
      <c r="K331" s="77">
        <f>Procurement_Raw!K331</f>
        <v>45</v>
      </c>
      <c r="L331" t="str">
        <f>Procurement_Raw!L331</f>
        <v>Legacy Spend File</v>
      </c>
      <c r="M331" t="str">
        <f>Procurement_Raw!O331</f>
        <v>N</v>
      </c>
      <c r="N331" t="str">
        <f>IF(E331="","Missing supplier",IF(B331="","Missing site",IF(J331="","Missing spend",IF(COUNTIFS($G$2:G331,G331,$E$2:E331,E331,$J$2:J331,J331)&gt;1,"Duplicate invoice",IF(COUNTIF($G$2:$G$1801,G331)&gt;1,"Duplicate ID - review",IF(AND(P331&lt;&gt;"Unmapped",P331&lt;&gt;F331),"Category mismatch","OK"))))))</f>
        <v>OK</v>
      </c>
      <c r="O331" s="125">
        <f t="shared" si="15"/>
        <v>9261.06</v>
      </c>
      <c r="P331" t="str">
        <f>IF(E331="","Unmapped",IFERROR(INDEX(Supplier_Lookup!$B$2:$B$25,MATCH(E331,Supplier_Lookup!$A$2:$A$25,0)),"Unmapped"))</f>
        <v>Vehicle &amp; Fuel</v>
      </c>
      <c r="Q331" s="76">
        <f>IFERROR(INDEX(Category_Targets!$B$2:$B$9,MATCH(F331,Category_Targets!$A$2:$A$9,0)),0)</f>
        <v>0.05</v>
      </c>
      <c r="R331" s="125">
        <f t="shared" si="16"/>
        <v>463.053</v>
      </c>
      <c r="S331" s="78">
        <f t="shared" si="17"/>
        <v>45901</v>
      </c>
      <c r="T331" t="str">
        <f>IFERROR(VLOOKUP(B331,Sites!$A$2:$D$21,4,FALSE()),"Unknown")</f>
        <v>Southampton</v>
      </c>
      <c r="U331" t="str">
        <f>IF(N331="OK","",COUNTIF($N$2:N331,"&lt;&gt;OK"))</f>
        <v/>
      </c>
      <c r="V331">
        <f>IF(OR(NOT(EXACT(E331,TRIM(Procurement_Raw!E331))),NOT(EXACT(F331,TRIM(Procurement_Raw!F331)))),1,0)</f>
        <v>0</v>
      </c>
    </row>
    <row r="332" spans="1:22" ht="15" customHeight="1" x14ac:dyDescent="0.25">
      <c r="A332" s="123">
        <f>Procurement_Raw!A332</f>
        <v>45666</v>
      </c>
      <c r="B332" t="str">
        <f>TRIM(Procurement_Raw!B332)</f>
        <v>S006</v>
      </c>
      <c r="C332" t="str">
        <f>Procurement_Raw!C332</f>
        <v>Birmingham Care &amp; Education Centre</v>
      </c>
      <c r="D332" t="str">
        <f>Procurement_Raw!D332</f>
        <v>Midlands</v>
      </c>
      <c r="E332" t="str">
        <f>IF(TRIM(Procurement_Raw!E332)="","",IFERROR(INDEX(Supplier_Lookup!$A$2:$A$25,MATCH(TRIM(Procurement_Raw!E332),Supplier_Lookup!$A$2:$A$25,0)),TRIM(Procurement_Raw!E332)))</f>
        <v>TeleCare IT</v>
      </c>
      <c r="F332" t="str">
        <f>IFERROR(INDEX(Category_Targets!$A$2:$A$9,MATCH(TRIM(Procurement_Raw!F332),Category_Targets!$A$2:$A$9,0)),"Unmapped")</f>
        <v>IT &amp; Telecoms</v>
      </c>
      <c r="G332" t="str">
        <f>TRIM(Procurement_Raw!G332)</f>
        <v>INV-2025-00331</v>
      </c>
      <c r="H332" s="77">
        <f>Procurement_Raw!H332</f>
        <v>48</v>
      </c>
      <c r="I332" s="124">
        <f>Procurement_Raw!I332</f>
        <v>218.52</v>
      </c>
      <c r="J332" s="125">
        <f>IF(Procurement_Raw!J332="","",Procurement_Raw!J332)</f>
        <v>10489.11</v>
      </c>
      <c r="K332" s="77">
        <f>Procurement_Raw!K332</f>
        <v>45</v>
      </c>
      <c r="L332" t="str">
        <f>Procurement_Raw!L332</f>
        <v>Legacy Spend File</v>
      </c>
      <c r="M332" t="str">
        <f>Procurement_Raw!O332</f>
        <v>N</v>
      </c>
      <c r="N332" t="str">
        <f>IF(E332="","Missing supplier",IF(B332="","Missing site",IF(J332="","Missing spend",IF(COUNTIFS($G$2:G332,G332,$E$2:E332,E332,$J$2:J332,J332)&gt;1,"Duplicate invoice",IF(COUNTIF($G$2:$G$1801,G332)&gt;1,"Duplicate ID - review",IF(AND(P332&lt;&gt;"Unmapped",P332&lt;&gt;F332),"Category mismatch","OK"))))))</f>
        <v>OK</v>
      </c>
      <c r="O332" s="125">
        <f t="shared" si="15"/>
        <v>10489.11</v>
      </c>
      <c r="P332" t="str">
        <f>IF(E332="","Unmapped",IFERROR(INDEX(Supplier_Lookup!$B$2:$B$25,MATCH(E332,Supplier_Lookup!$A$2:$A$25,0)),"Unmapped"))</f>
        <v>IT &amp; Telecoms</v>
      </c>
      <c r="Q332" s="76">
        <f>IFERROR(INDEX(Category_Targets!$B$2:$B$9,MATCH(F332,Category_Targets!$A$2:$A$9,0)),0)</f>
        <v>0.08</v>
      </c>
      <c r="R332" s="125">
        <f t="shared" si="16"/>
        <v>839.12880000000007</v>
      </c>
      <c r="S332" s="78">
        <f t="shared" si="17"/>
        <v>45658</v>
      </c>
      <c r="T332" t="str">
        <f>IFERROR(VLOOKUP(B332,Sites!$A$2:$D$21,4,FALSE()),"Unknown")</f>
        <v>Birmingham</v>
      </c>
      <c r="U332" t="str">
        <f>IF(N332="OK","",COUNTIF($N$2:N332,"&lt;&gt;OK"))</f>
        <v/>
      </c>
      <c r="V332">
        <f>IF(OR(NOT(EXACT(E332,TRIM(Procurement_Raw!E332))),NOT(EXACT(F332,TRIM(Procurement_Raw!F332)))),1,0)</f>
        <v>0</v>
      </c>
    </row>
    <row r="333" spans="1:22" ht="15" customHeight="1" x14ac:dyDescent="0.25">
      <c r="A333" s="123">
        <f>Procurement_Raw!A333</f>
        <v>45815</v>
      </c>
      <c r="B333" t="str">
        <f>TRIM(Procurement_Raw!B333)</f>
        <v>S010</v>
      </c>
      <c r="C333" t="str">
        <f>Procurement_Raw!C333</f>
        <v>Coventry Care &amp; Education Centre</v>
      </c>
      <c r="D333" t="str">
        <f>Procurement_Raw!D333</f>
        <v>Midlands</v>
      </c>
      <c r="E333" t="str">
        <f>IF(TRIM(Procurement_Raw!E333)="","",IFERROR(INDEX(Supplier_Lookup!$A$2:$A$25,MATCH(TRIM(Procurement_Raw!E333),Supplier_Lookup!$A$2:$A$25,0)),TRIM(Procurement_Raw!E333)))</f>
        <v>NurseLink</v>
      </c>
      <c r="F333" t="str">
        <f>IFERROR(INDEX(Category_Targets!$A$2:$A$9,MATCH(TRIM(Procurement_Raw!F333),Category_Targets!$A$2:$A$9,0)),"Unmapped")</f>
        <v>Agency Labour</v>
      </c>
      <c r="G333" t="str">
        <f>TRIM(Procurement_Raw!G333)</f>
        <v>INV-2025-00332</v>
      </c>
      <c r="H333" s="77">
        <f>Procurement_Raw!H333</f>
        <v>4</v>
      </c>
      <c r="I333" s="124">
        <f>Procurement_Raw!I333</f>
        <v>183.15</v>
      </c>
      <c r="J333" s="125">
        <f>IF(Procurement_Raw!J333="","",Procurement_Raw!J333)</f>
        <v>732.59</v>
      </c>
      <c r="K333" s="77">
        <f>Procurement_Raw!K333</f>
        <v>60</v>
      </c>
      <c r="L333" t="str">
        <f>Procurement_Raw!L333</f>
        <v>Procurement Portal</v>
      </c>
      <c r="M333" t="str">
        <f>Procurement_Raw!O333</f>
        <v>N</v>
      </c>
      <c r="N333" t="str">
        <f>IF(E333="","Missing supplier",IF(B333="","Missing site",IF(J333="","Missing spend",IF(COUNTIFS($G$2:G333,G333,$E$2:E333,E333,$J$2:J333,J333)&gt;1,"Duplicate invoice",IF(COUNTIF($G$2:$G$1801,G333)&gt;1,"Duplicate ID - review",IF(AND(P333&lt;&gt;"Unmapped",P333&lt;&gt;F333),"Category mismatch","OK"))))))</f>
        <v>OK</v>
      </c>
      <c r="O333" s="125">
        <f t="shared" si="15"/>
        <v>732.59</v>
      </c>
      <c r="P333" t="str">
        <f>IF(E333="","Unmapped",IFERROR(INDEX(Supplier_Lookup!$B$2:$B$25,MATCH(E333,Supplier_Lookup!$A$2:$A$25,0)),"Unmapped"))</f>
        <v>Agency Labour</v>
      </c>
      <c r="Q333" s="76">
        <f>IFERROR(INDEX(Category_Targets!$B$2:$B$9,MATCH(F333,Category_Targets!$A$2:$A$9,0)),0)</f>
        <v>7.0000000000000007E-2</v>
      </c>
      <c r="R333" s="125">
        <f t="shared" si="16"/>
        <v>51.281300000000009</v>
      </c>
      <c r="S333" s="78">
        <f t="shared" si="17"/>
        <v>45809</v>
      </c>
      <c r="T333" t="str">
        <f>IFERROR(VLOOKUP(B333,Sites!$A$2:$D$21,4,FALSE()),"Unknown")</f>
        <v>Coventry</v>
      </c>
      <c r="U333" t="str">
        <f>IF(N333="OK","",COUNTIF($N$2:N333,"&lt;&gt;OK"))</f>
        <v/>
      </c>
      <c r="V333">
        <f>IF(OR(NOT(EXACT(E333,TRIM(Procurement_Raw!E333))),NOT(EXACT(F333,TRIM(Procurement_Raw!F333)))),1,0)</f>
        <v>0</v>
      </c>
    </row>
    <row r="334" spans="1:22" ht="15" customHeight="1" x14ac:dyDescent="0.25">
      <c r="A334" s="123">
        <f>Procurement_Raw!A334</f>
        <v>45684</v>
      </c>
      <c r="B334" t="str">
        <f>TRIM(Procurement_Raw!B334)</f>
        <v>S019</v>
      </c>
      <c r="C334" t="str">
        <f>Procurement_Raw!C334</f>
        <v>Wrexham Care &amp; Education Centre</v>
      </c>
      <c r="D334" t="str">
        <f>Procurement_Raw!D334</f>
        <v>Wales</v>
      </c>
      <c r="E334" t="str">
        <f>IF(TRIM(Procurement_Raw!E334)="","",IFERROR(INDEX(Supplier_Lookup!$A$2:$A$25,MATCH(TRIM(Procurement_Raw!E334),Supplier_Lookup!$A$2:$A$25,0)),TRIM(Procurement_Raw!E334)))</f>
        <v>PowerDirect</v>
      </c>
      <c r="F334" t="str">
        <f>IFERROR(INDEX(Category_Targets!$A$2:$A$9,MATCH(TRIM(Procurement_Raw!F334),Category_Targets!$A$2:$A$9,0)),"Unmapped")</f>
        <v>Utilities</v>
      </c>
      <c r="G334" t="str">
        <f>TRIM(Procurement_Raw!G334)</f>
        <v>INV-2025-00333</v>
      </c>
      <c r="H334" s="77">
        <f>Procurement_Raw!H334</f>
        <v>75</v>
      </c>
      <c r="I334" s="124">
        <f>Procurement_Raw!I334</f>
        <v>260.64</v>
      </c>
      <c r="J334" s="125">
        <f>IF(Procurement_Raw!J334="","",Procurement_Raw!J334)</f>
        <v>19548.259999999998</v>
      </c>
      <c r="K334" s="77">
        <f>Procurement_Raw!K334</f>
        <v>45</v>
      </c>
      <c r="L334" t="str">
        <f>Procurement_Raw!L334</f>
        <v>ERP</v>
      </c>
      <c r="M334" t="str">
        <f>Procurement_Raw!O334</f>
        <v>N</v>
      </c>
      <c r="N334" t="str">
        <f>IF(E334="","Missing supplier",IF(B334="","Missing site",IF(J334="","Missing spend",IF(COUNTIFS($G$2:G334,G334,$E$2:E334,E334,$J$2:J334,J334)&gt;1,"Duplicate invoice",IF(COUNTIF($G$2:$G$1801,G334)&gt;1,"Duplicate ID - review",IF(AND(P334&lt;&gt;"Unmapped",P334&lt;&gt;F334),"Category mismatch","OK"))))))</f>
        <v>OK</v>
      </c>
      <c r="O334" s="125">
        <f t="shared" si="15"/>
        <v>19548.259999999998</v>
      </c>
      <c r="P334" t="str">
        <f>IF(E334="","Unmapped",IFERROR(INDEX(Supplier_Lookup!$B$2:$B$25,MATCH(E334,Supplier_Lookup!$A$2:$A$25,0)),"Unmapped"))</f>
        <v>Utilities</v>
      </c>
      <c r="Q334" s="76">
        <f>IFERROR(INDEX(Category_Targets!$B$2:$B$9,MATCH(F334,Category_Targets!$A$2:$A$9,0)),0)</f>
        <v>0.03</v>
      </c>
      <c r="R334" s="125">
        <f t="shared" si="16"/>
        <v>586.44779999999992</v>
      </c>
      <c r="S334" s="78">
        <f t="shared" si="17"/>
        <v>45658</v>
      </c>
      <c r="T334" t="str">
        <f>IFERROR(VLOOKUP(B334,Sites!$A$2:$D$21,4,FALSE()),"Unknown")</f>
        <v>Wrexham</v>
      </c>
      <c r="U334" t="str">
        <f>IF(N334="OK","",COUNTIF($N$2:N334,"&lt;&gt;OK"))</f>
        <v/>
      </c>
      <c r="V334">
        <f>IF(OR(NOT(EXACT(E334,TRIM(Procurement_Raw!E334))),NOT(EXACT(F334,TRIM(Procurement_Raw!F334)))),1,0)</f>
        <v>0</v>
      </c>
    </row>
    <row r="335" spans="1:22" ht="15" customHeight="1" x14ac:dyDescent="0.25">
      <c r="A335" s="123">
        <f>Procurement_Raw!A335</f>
        <v>46006</v>
      </c>
      <c r="B335" t="str">
        <f>TRIM(Procurement_Raw!B335)</f>
        <v>S010</v>
      </c>
      <c r="C335" t="str">
        <f>Procurement_Raw!C335</f>
        <v>Coventry Care &amp; Education Centre</v>
      </c>
      <c r="D335" t="str">
        <f>Procurement_Raw!D335</f>
        <v>Midlands</v>
      </c>
      <c r="E335" t="str">
        <f>IF(TRIM(Procurement_Raw!E335)="","",IFERROR(INDEX(Supplier_Lookup!$A$2:$A$25,MATCH(TRIM(Procurement_Raw!E335),Supplier_Lookup!$A$2:$A$25,0)),TRIM(Procurement_Raw!E335)))</f>
        <v>HealthStaffing</v>
      </c>
      <c r="F335" t="str">
        <f>IFERROR(INDEX(Category_Targets!$A$2:$A$9,MATCH(TRIM(Procurement_Raw!F335),Category_Targets!$A$2:$A$9,0)),"Unmapped")</f>
        <v>Agency Labour</v>
      </c>
      <c r="G335" t="str">
        <f>TRIM(Procurement_Raw!G335)</f>
        <v>INV-2025-00334</v>
      </c>
      <c r="H335" s="77">
        <f>Procurement_Raw!H335</f>
        <v>32</v>
      </c>
      <c r="I335" s="124">
        <f>Procurement_Raw!I335</f>
        <v>206.72</v>
      </c>
      <c r="J335" s="125">
        <f>IF(Procurement_Raw!J335="","",Procurement_Raw!J335)</f>
        <v>6614.9</v>
      </c>
      <c r="K335" s="77">
        <f>Procurement_Raw!K335</f>
        <v>30</v>
      </c>
      <c r="L335" t="str">
        <f>Procurement_Raw!L335</f>
        <v>Legacy Spend File</v>
      </c>
      <c r="M335" t="str">
        <f>Procurement_Raw!O335</f>
        <v>N</v>
      </c>
      <c r="N335" t="str">
        <f>IF(E335="","Missing supplier",IF(B335="","Missing site",IF(J335="","Missing spend",IF(COUNTIFS($G$2:G335,G335,$E$2:E335,E335,$J$2:J335,J335)&gt;1,"Duplicate invoice",IF(COUNTIF($G$2:$G$1801,G335)&gt;1,"Duplicate ID - review",IF(AND(P335&lt;&gt;"Unmapped",P335&lt;&gt;F335),"Category mismatch","OK"))))))</f>
        <v>OK</v>
      </c>
      <c r="O335" s="125">
        <f t="shared" si="15"/>
        <v>6614.9</v>
      </c>
      <c r="P335" t="str">
        <f>IF(E335="","Unmapped",IFERROR(INDEX(Supplier_Lookup!$B$2:$B$25,MATCH(E335,Supplier_Lookup!$A$2:$A$25,0)),"Unmapped"))</f>
        <v>Agency Labour</v>
      </c>
      <c r="Q335" s="76">
        <f>IFERROR(INDEX(Category_Targets!$B$2:$B$9,MATCH(F335,Category_Targets!$A$2:$A$9,0)),0)</f>
        <v>7.0000000000000007E-2</v>
      </c>
      <c r="R335" s="125">
        <f t="shared" si="16"/>
        <v>463.04300000000001</v>
      </c>
      <c r="S335" s="78">
        <f t="shared" si="17"/>
        <v>45992</v>
      </c>
      <c r="T335" t="str">
        <f>IFERROR(VLOOKUP(B335,Sites!$A$2:$D$21,4,FALSE()),"Unknown")</f>
        <v>Coventry</v>
      </c>
      <c r="U335" t="str">
        <f>IF(N335="OK","",COUNTIF($N$2:N335,"&lt;&gt;OK"))</f>
        <v/>
      </c>
      <c r="V335">
        <f>IF(OR(NOT(EXACT(E335,TRIM(Procurement_Raw!E335))),NOT(EXACT(F335,TRIM(Procurement_Raw!F335)))),1,0)</f>
        <v>0</v>
      </c>
    </row>
    <row r="336" spans="1:22" ht="15" customHeight="1" x14ac:dyDescent="0.25">
      <c r="A336" s="123">
        <f>Procurement_Raw!A336</f>
        <v>45667</v>
      </c>
      <c r="B336" t="str">
        <f>TRIM(Procurement_Raw!B336)</f>
        <v>S002</v>
      </c>
      <c r="C336" t="str">
        <f>Procurement_Raw!C336</f>
        <v>Manchester Care &amp; Education Centre</v>
      </c>
      <c r="D336" t="str">
        <f>Procurement_Raw!D336</f>
        <v>North</v>
      </c>
      <c r="E336" t="str">
        <f>IF(TRIM(Procurement_Raw!E336)="","",IFERROR(INDEX(Supplier_Lookup!$A$2:$A$25,MATCH(TRIM(Procurement_Raw!E336),Supplier_Lookup!$A$2:$A$25,0)),TRIM(Procurement_Raw!E336)))</f>
        <v>FreshServe</v>
      </c>
      <c r="F336" t="str">
        <f>IFERROR(INDEX(Category_Targets!$A$2:$A$9,MATCH(TRIM(Procurement_Raw!F336),Category_Targets!$A$2:$A$9,0)),"Unmapped")</f>
        <v>Food &amp; Catering</v>
      </c>
      <c r="G336" t="str">
        <f>TRIM(Procurement_Raw!G336)</f>
        <v>INV-2025-00335</v>
      </c>
      <c r="H336" s="77">
        <f>Procurement_Raw!H336</f>
        <v>57</v>
      </c>
      <c r="I336" s="124">
        <f>Procurement_Raw!I336</f>
        <v>111.13</v>
      </c>
      <c r="J336" s="125">
        <f>IF(Procurement_Raw!J336="","",Procurement_Raw!J336)</f>
        <v>6334.43</v>
      </c>
      <c r="K336" s="77">
        <f>Procurement_Raw!K336</f>
        <v>45</v>
      </c>
      <c r="L336" t="str">
        <f>Procurement_Raw!L336</f>
        <v>Procurement Portal</v>
      </c>
      <c r="M336" t="str">
        <f>Procurement_Raw!O336</f>
        <v>Y</v>
      </c>
      <c r="N336" t="str">
        <f>IF(E336="","Missing supplier",IF(B336="","Missing site",IF(J336="","Missing spend",IF(COUNTIFS($G$2:G336,G336,$E$2:E336,E336,$J$2:J336,J336)&gt;1,"Duplicate invoice",IF(COUNTIF($G$2:$G$1801,G336)&gt;1,"Duplicate ID - review",IF(AND(P336&lt;&gt;"Unmapped",P336&lt;&gt;F336),"Category mismatch","OK"))))))</f>
        <v>OK</v>
      </c>
      <c r="O336" s="125">
        <f t="shared" si="15"/>
        <v>6334.43</v>
      </c>
      <c r="P336" t="str">
        <f>IF(E336="","Unmapped",IFERROR(INDEX(Supplier_Lookup!$B$2:$B$25,MATCH(E336,Supplier_Lookup!$A$2:$A$25,0)),"Unmapped"))</f>
        <v>Food &amp; Catering</v>
      </c>
      <c r="Q336" s="76">
        <f>IFERROR(INDEX(Category_Targets!$B$2:$B$9,MATCH(F336,Category_Targets!$A$2:$A$9,0)),0)</f>
        <v>0.04</v>
      </c>
      <c r="R336" s="125">
        <f t="shared" si="16"/>
        <v>253.37720000000002</v>
      </c>
      <c r="S336" s="78">
        <f t="shared" si="17"/>
        <v>45658</v>
      </c>
      <c r="T336" t="str">
        <f>IFERROR(VLOOKUP(B336,Sites!$A$2:$D$21,4,FALSE()),"Unknown")</f>
        <v>Manchester</v>
      </c>
      <c r="U336" t="str">
        <f>IF(N336="OK","",COUNTIF($N$2:N336,"&lt;&gt;OK"))</f>
        <v/>
      </c>
      <c r="V336">
        <f>IF(OR(NOT(EXACT(E336,TRIM(Procurement_Raw!E336))),NOT(EXACT(F336,TRIM(Procurement_Raw!F336)))),1,0)</f>
        <v>0</v>
      </c>
    </row>
    <row r="337" spans="1:22" ht="15" customHeight="1" x14ac:dyDescent="0.25">
      <c r="A337" s="123">
        <f>Procurement_Raw!A337</f>
        <v>45762</v>
      </c>
      <c r="B337" t="str">
        <f>TRIM(Procurement_Raw!B337)</f>
        <v>S019</v>
      </c>
      <c r="C337" t="str">
        <f>Procurement_Raw!C337</f>
        <v>Wrexham Care &amp; Education Centre</v>
      </c>
      <c r="D337" t="str">
        <f>Procurement_Raw!D337</f>
        <v>Wales</v>
      </c>
      <c r="E337" t="str">
        <f>IF(TRIM(Procurement_Raw!E337)="","",IFERROR(INDEX(Supplier_Lookup!$A$2:$A$25,MATCH(TRIM(Procurement_Raw!E337),Supplier_Lookup!$A$2:$A$25,0)),TRIM(Procurement_Raw!E337)))</f>
        <v>NurseLink</v>
      </c>
      <c r="F337" t="str">
        <f>IFERROR(INDEX(Category_Targets!$A$2:$A$9,MATCH(TRIM(Procurement_Raw!F337),Category_Targets!$A$2:$A$9,0)),"Unmapped")</f>
        <v>Agency Labour</v>
      </c>
      <c r="G337" t="str">
        <f>TRIM(Procurement_Raw!G337)</f>
        <v>INV-2025-00336</v>
      </c>
      <c r="H337" s="77">
        <f>Procurement_Raw!H337</f>
        <v>53</v>
      </c>
      <c r="I337" s="124">
        <f>Procurement_Raw!I337</f>
        <v>276.69</v>
      </c>
      <c r="J337" s="125">
        <f>IF(Procurement_Raw!J337="","",Procurement_Raw!J337)</f>
        <v>14664.62</v>
      </c>
      <c r="K337" s="77">
        <f>Procurement_Raw!K337</f>
        <v>60</v>
      </c>
      <c r="L337" t="str">
        <f>Procurement_Raw!L337</f>
        <v>Legacy Spend File</v>
      </c>
      <c r="M337" t="str">
        <f>Procurement_Raw!O337</f>
        <v>N</v>
      </c>
      <c r="N337" t="str">
        <f>IF(E337="","Missing supplier",IF(B337="","Missing site",IF(J337="","Missing spend",IF(COUNTIFS($G$2:G337,G337,$E$2:E337,E337,$J$2:J337,J337)&gt;1,"Duplicate invoice",IF(COUNTIF($G$2:$G$1801,G337)&gt;1,"Duplicate ID - review",IF(AND(P337&lt;&gt;"Unmapped",P337&lt;&gt;F337),"Category mismatch","OK"))))))</f>
        <v>OK</v>
      </c>
      <c r="O337" s="125">
        <f t="shared" si="15"/>
        <v>14664.62</v>
      </c>
      <c r="P337" t="str">
        <f>IF(E337="","Unmapped",IFERROR(INDEX(Supplier_Lookup!$B$2:$B$25,MATCH(E337,Supplier_Lookup!$A$2:$A$25,0)),"Unmapped"))</f>
        <v>Agency Labour</v>
      </c>
      <c r="Q337" s="76">
        <f>IFERROR(INDEX(Category_Targets!$B$2:$B$9,MATCH(F337,Category_Targets!$A$2:$A$9,0)),0)</f>
        <v>7.0000000000000007E-2</v>
      </c>
      <c r="R337" s="125">
        <f t="shared" si="16"/>
        <v>1026.5234000000003</v>
      </c>
      <c r="S337" s="78">
        <f t="shared" si="17"/>
        <v>45748</v>
      </c>
      <c r="T337" t="str">
        <f>IFERROR(VLOOKUP(B337,Sites!$A$2:$D$21,4,FALSE()),"Unknown")</f>
        <v>Wrexham</v>
      </c>
      <c r="U337" t="str">
        <f>IF(N337="OK","",COUNTIF($N$2:N337,"&lt;&gt;OK"))</f>
        <v/>
      </c>
      <c r="V337">
        <f>IF(OR(NOT(EXACT(E337,TRIM(Procurement_Raw!E337))),NOT(EXACT(F337,TRIM(Procurement_Raw!F337)))),1,0)</f>
        <v>0</v>
      </c>
    </row>
    <row r="338" spans="1:22" ht="15" customHeight="1" x14ac:dyDescent="0.25">
      <c r="A338" s="123">
        <f>Procurement_Raw!A338</f>
        <v>45728</v>
      </c>
      <c r="B338" t="str">
        <f>TRIM(Procurement_Raw!B338)</f>
        <v>S012</v>
      </c>
      <c r="C338" t="str">
        <f>Procurement_Raw!C338</f>
        <v>Bristol Care &amp; Education Centre</v>
      </c>
      <c r="D338" t="str">
        <f>Procurement_Raw!D338</f>
        <v>South</v>
      </c>
      <c r="E338" t="str">
        <f>IF(TRIM(Procurement_Raw!E338)="","",IFERROR(INDEX(Supplier_Lookup!$A$2:$A$25,MATCH(TRIM(Procurement_Raw!E338),Supplier_Lookup!$A$2:$A$25,0)),TRIM(Procurement_Raw!E338)))</f>
        <v>ClinEquip</v>
      </c>
      <c r="F338" t="str">
        <f>IFERROR(INDEX(Category_Targets!$A$2:$A$9,MATCH(TRIM(Procurement_Raw!F338),Category_Targets!$A$2:$A$9,0)),"Unmapped")</f>
        <v>Medical Supplies</v>
      </c>
      <c r="G338" t="str">
        <f>TRIM(Procurement_Raw!G338)</f>
        <v>INV-2025-00337</v>
      </c>
      <c r="H338" s="77">
        <f>Procurement_Raw!H338</f>
        <v>67</v>
      </c>
      <c r="I338" s="124">
        <f>Procurement_Raw!I338</f>
        <v>76.209999999999994</v>
      </c>
      <c r="J338" s="125">
        <f>IF(Procurement_Raw!J338="","",Procurement_Raw!J338)</f>
        <v>5105.95</v>
      </c>
      <c r="K338" s="77">
        <f>Procurement_Raw!K338</f>
        <v>30</v>
      </c>
      <c r="L338" t="str">
        <f>Procurement_Raw!L338</f>
        <v>Legacy Spend File</v>
      </c>
      <c r="M338" t="str">
        <f>Procurement_Raw!O338</f>
        <v>N</v>
      </c>
      <c r="N338" t="str">
        <f>IF(E338="","Missing supplier",IF(B338="","Missing site",IF(J338="","Missing spend",IF(COUNTIFS($G$2:G338,G338,$E$2:E338,E338,$J$2:J338,J338)&gt;1,"Duplicate invoice",IF(COUNTIF($G$2:$G$1801,G338)&gt;1,"Duplicate ID - review",IF(AND(P338&lt;&gt;"Unmapped",P338&lt;&gt;F338),"Category mismatch","OK"))))))</f>
        <v>OK</v>
      </c>
      <c r="O338" s="125">
        <f t="shared" si="15"/>
        <v>5105.95</v>
      </c>
      <c r="P338" t="str">
        <f>IF(E338="","Unmapped",IFERROR(INDEX(Supplier_Lookup!$B$2:$B$25,MATCH(E338,Supplier_Lookup!$A$2:$A$25,0)),"Unmapped"))</f>
        <v>Medical Supplies</v>
      </c>
      <c r="Q338" s="76">
        <f>IFERROR(INDEX(Category_Targets!$B$2:$B$9,MATCH(F338,Category_Targets!$A$2:$A$9,0)),0)</f>
        <v>0.06</v>
      </c>
      <c r="R338" s="125">
        <f t="shared" si="16"/>
        <v>306.35699999999997</v>
      </c>
      <c r="S338" s="78">
        <f t="shared" si="17"/>
        <v>45717</v>
      </c>
      <c r="T338" t="str">
        <f>IFERROR(VLOOKUP(B338,Sites!$A$2:$D$21,4,FALSE()),"Unknown")</f>
        <v>Bristol</v>
      </c>
      <c r="U338" t="str">
        <f>IF(N338="OK","",COUNTIF($N$2:N338,"&lt;&gt;OK"))</f>
        <v/>
      </c>
      <c r="V338">
        <f>IF(OR(NOT(EXACT(E338,TRIM(Procurement_Raw!E338))),NOT(EXACT(F338,TRIM(Procurement_Raw!F338)))),1,0)</f>
        <v>0</v>
      </c>
    </row>
    <row r="339" spans="1:22" ht="15" customHeight="1" x14ac:dyDescent="0.25">
      <c r="A339" s="123">
        <f>Procurement_Raw!A339</f>
        <v>45850</v>
      </c>
      <c r="B339" t="str">
        <f>TRIM(Procurement_Raw!B339)</f>
        <v>S007</v>
      </c>
      <c r="C339" t="str">
        <f>Procurement_Raw!C339</f>
        <v>Nottingham Care &amp; Education Centre</v>
      </c>
      <c r="D339" t="str">
        <f>Procurement_Raw!D339</f>
        <v>Midlands</v>
      </c>
      <c r="E339" t="str">
        <f>IF(TRIM(Procurement_Raw!E339)="","",IFERROR(INDEX(Supplier_Lookup!$A$2:$A$25,MATCH(TRIM(Procurement_Raw!E339),Supplier_Lookup!$A$2:$A$25,0)),TRIM(Procurement_Raw!E339)))</f>
        <v>PrintCo</v>
      </c>
      <c r="F339" t="str">
        <f>IFERROR(INDEX(Category_Targets!$A$2:$A$9,MATCH(TRIM(Procurement_Raw!F339),Category_Targets!$A$2:$A$9,0)),"Unmapped")</f>
        <v>Office &amp; Training</v>
      </c>
      <c r="G339" t="str">
        <f>TRIM(Procurement_Raw!G339)</f>
        <v>INV-2025-00338</v>
      </c>
      <c r="H339" s="77">
        <f>Procurement_Raw!H339</f>
        <v>41</v>
      </c>
      <c r="I339" s="124">
        <f>Procurement_Raw!I339</f>
        <v>62.85</v>
      </c>
      <c r="J339" s="125">
        <f>IF(Procurement_Raw!J339="","",Procurement_Raw!J339)</f>
        <v>2576.79</v>
      </c>
      <c r="K339" s="77">
        <f>Procurement_Raw!K339</f>
        <v>30</v>
      </c>
      <c r="L339" t="str">
        <f>Procurement_Raw!L339</f>
        <v>Procurement Portal</v>
      </c>
      <c r="M339" t="str">
        <f>Procurement_Raw!O339</f>
        <v>N</v>
      </c>
      <c r="N339" t="str">
        <f>IF(E339="","Missing supplier",IF(B339="","Missing site",IF(J339="","Missing spend",IF(COUNTIFS($G$2:G339,G339,$E$2:E339,E339,$J$2:J339,J339)&gt;1,"Duplicate invoice",IF(COUNTIF($G$2:$G$1801,G339)&gt;1,"Duplicate ID - review",IF(AND(P339&lt;&gt;"Unmapped",P339&lt;&gt;F339),"Category mismatch","OK"))))))</f>
        <v>OK</v>
      </c>
      <c r="O339" s="125">
        <f t="shared" si="15"/>
        <v>2576.79</v>
      </c>
      <c r="P339" t="str">
        <f>IF(E339="","Unmapped",IFERROR(INDEX(Supplier_Lookup!$B$2:$B$25,MATCH(E339,Supplier_Lookup!$A$2:$A$25,0)),"Unmapped"))</f>
        <v>Office &amp; Training</v>
      </c>
      <c r="Q339" s="76">
        <f>IFERROR(INDEX(Category_Targets!$B$2:$B$9,MATCH(F339,Category_Targets!$A$2:$A$9,0)),0)</f>
        <v>0.04</v>
      </c>
      <c r="R339" s="125">
        <f t="shared" si="16"/>
        <v>103.0716</v>
      </c>
      <c r="S339" s="78">
        <f t="shared" si="17"/>
        <v>45839</v>
      </c>
      <c r="T339" t="str">
        <f>IFERROR(VLOOKUP(B339,Sites!$A$2:$D$21,4,FALSE()),"Unknown")</f>
        <v>Nottingham</v>
      </c>
      <c r="U339" t="str">
        <f>IF(N339="OK","",COUNTIF($N$2:N339,"&lt;&gt;OK"))</f>
        <v/>
      </c>
      <c r="V339">
        <f>IF(OR(NOT(EXACT(E339,TRIM(Procurement_Raw!E339))),NOT(EXACT(F339,TRIM(Procurement_Raw!F339)))),1,0)</f>
        <v>0</v>
      </c>
    </row>
    <row r="340" spans="1:22" ht="15" customHeight="1" x14ac:dyDescent="0.25">
      <c r="A340" s="123">
        <f>Procurement_Raw!A340</f>
        <v>45839</v>
      </c>
      <c r="B340" t="str">
        <f>TRIM(Procurement_Raw!B340)</f>
        <v>S018</v>
      </c>
      <c r="C340" t="str">
        <f>Procurement_Raw!C340</f>
        <v>Newport Care &amp; Education Centre</v>
      </c>
      <c r="D340" t="str">
        <f>Procurement_Raw!D340</f>
        <v>Wales</v>
      </c>
      <c r="E340" t="str">
        <f>IF(TRIM(Procurement_Raw!E340)="","",IFERROR(INDEX(Supplier_Lookup!$A$2:$A$25,MATCH(TRIM(Procurement_Raw!E340),Supplier_Lookup!$A$2:$A$25,0)),TRIM(Procurement_Raw!E340)))</f>
        <v>AutoCare</v>
      </c>
      <c r="F340" t="str">
        <f>IFERROR(INDEX(Category_Targets!$A$2:$A$9,MATCH(TRIM(Procurement_Raw!F340),Category_Targets!$A$2:$A$9,0)),"Unmapped")</f>
        <v>Vehicle &amp; Fuel</v>
      </c>
      <c r="G340" t="str">
        <f>TRIM(Procurement_Raw!G340)</f>
        <v>INV-2025-00339</v>
      </c>
      <c r="H340" s="77">
        <f>Procurement_Raw!H340</f>
        <v>34</v>
      </c>
      <c r="I340" s="124">
        <f>Procurement_Raw!I340</f>
        <v>119.22</v>
      </c>
      <c r="J340" s="125">
        <f>IF(Procurement_Raw!J340="","",Procurement_Raw!J340)</f>
        <v>4053.56</v>
      </c>
      <c r="K340" s="77">
        <f>Procurement_Raw!K340</f>
        <v>60</v>
      </c>
      <c r="L340" t="str">
        <f>Procurement_Raw!L340</f>
        <v>Procurement Portal</v>
      </c>
      <c r="M340" t="str">
        <f>Procurement_Raw!O340</f>
        <v>N</v>
      </c>
      <c r="N340" t="str">
        <f>IF(E340="","Missing supplier",IF(B340="","Missing site",IF(J340="","Missing spend",IF(COUNTIFS($G$2:G340,G340,$E$2:E340,E340,$J$2:J340,J340)&gt;1,"Duplicate invoice",IF(COUNTIF($G$2:$G$1801,G340)&gt;1,"Duplicate ID - review",IF(AND(P340&lt;&gt;"Unmapped",P340&lt;&gt;F340),"Category mismatch","OK"))))))</f>
        <v>OK</v>
      </c>
      <c r="O340" s="125">
        <f t="shared" si="15"/>
        <v>4053.56</v>
      </c>
      <c r="P340" t="str">
        <f>IF(E340="","Unmapped",IFERROR(INDEX(Supplier_Lookup!$B$2:$B$25,MATCH(E340,Supplier_Lookup!$A$2:$A$25,0)),"Unmapped"))</f>
        <v>Vehicle &amp; Fuel</v>
      </c>
      <c r="Q340" s="76">
        <f>IFERROR(INDEX(Category_Targets!$B$2:$B$9,MATCH(F340,Category_Targets!$A$2:$A$9,0)),0)</f>
        <v>0.05</v>
      </c>
      <c r="R340" s="125">
        <f t="shared" si="16"/>
        <v>202.678</v>
      </c>
      <c r="S340" s="78">
        <f t="shared" si="17"/>
        <v>45839</v>
      </c>
      <c r="T340" t="str">
        <f>IFERROR(VLOOKUP(B340,Sites!$A$2:$D$21,4,FALSE()),"Unknown")</f>
        <v>Newport</v>
      </c>
      <c r="U340" t="str">
        <f>IF(N340="OK","",COUNTIF($N$2:N340,"&lt;&gt;OK"))</f>
        <v/>
      </c>
      <c r="V340">
        <f>IF(OR(NOT(EXACT(E340,TRIM(Procurement_Raw!E340))),NOT(EXACT(F340,TRIM(Procurement_Raw!F340)))),1,0)</f>
        <v>0</v>
      </c>
    </row>
    <row r="341" spans="1:22" ht="15" customHeight="1" x14ac:dyDescent="0.25">
      <c r="A341" s="123">
        <f>Procurement_Raw!A341</f>
        <v>45943</v>
      </c>
      <c r="B341" t="str">
        <f>TRIM(Procurement_Raw!B341)</f>
        <v>S011</v>
      </c>
      <c r="C341" t="str">
        <f>Procurement_Raw!C341</f>
        <v>London Care &amp; Education Centre</v>
      </c>
      <c r="D341" t="str">
        <f>Procurement_Raw!D341</f>
        <v>South</v>
      </c>
      <c r="E341" t="str">
        <f>IF(TRIM(Procurement_Raw!E341)="","",IFERROR(INDEX(Supplier_Lookup!$A$2:$A$25,MATCH(TRIM(Procurement_Raw!E341),Supplier_Lookup!$A$2:$A$25,0)),TRIM(Procurement_Raw!E341)))</f>
        <v>WaterGrid</v>
      </c>
      <c r="F341" t="str">
        <f>IFERROR(INDEX(Category_Targets!$A$2:$A$9,MATCH(TRIM(Procurement_Raw!F341),Category_Targets!$A$2:$A$9,0)),"Unmapped")</f>
        <v>Utilities</v>
      </c>
      <c r="G341" t="str">
        <f>TRIM(Procurement_Raw!G341)</f>
        <v>INV-2025-00340</v>
      </c>
      <c r="H341" s="77">
        <f>Procurement_Raw!H341</f>
        <v>39</v>
      </c>
      <c r="I341" s="124">
        <f>Procurement_Raw!I341</f>
        <v>183.35</v>
      </c>
      <c r="J341" s="125">
        <f>IF(Procurement_Raw!J341="","",Procurement_Raw!J341)</f>
        <v>7150.76</v>
      </c>
      <c r="K341" s="77">
        <f>Procurement_Raw!K341</f>
        <v>30</v>
      </c>
      <c r="L341" t="str">
        <f>Procurement_Raw!L341</f>
        <v>Procurement Portal</v>
      </c>
      <c r="M341" t="str">
        <f>Procurement_Raw!O341</f>
        <v>N</v>
      </c>
      <c r="N341" t="str">
        <f>IF(E341="","Missing supplier",IF(B341="","Missing site",IF(J341="","Missing spend",IF(COUNTIFS($G$2:G341,G341,$E$2:E341,E341,$J$2:J341,J341)&gt;1,"Duplicate invoice",IF(COUNTIF($G$2:$G$1801,G341)&gt;1,"Duplicate ID - review",IF(AND(P341&lt;&gt;"Unmapped",P341&lt;&gt;F341),"Category mismatch","OK"))))))</f>
        <v>OK</v>
      </c>
      <c r="O341" s="125">
        <f t="shared" si="15"/>
        <v>7150.76</v>
      </c>
      <c r="P341" t="str">
        <f>IF(E341="","Unmapped",IFERROR(INDEX(Supplier_Lookup!$B$2:$B$25,MATCH(E341,Supplier_Lookup!$A$2:$A$25,0)),"Unmapped"))</f>
        <v>Utilities</v>
      </c>
      <c r="Q341" s="76">
        <f>IFERROR(INDEX(Category_Targets!$B$2:$B$9,MATCH(F341,Category_Targets!$A$2:$A$9,0)),0)</f>
        <v>0.03</v>
      </c>
      <c r="R341" s="125">
        <f t="shared" si="16"/>
        <v>214.52279999999999</v>
      </c>
      <c r="S341" s="78">
        <f t="shared" si="17"/>
        <v>45931</v>
      </c>
      <c r="T341" t="str">
        <f>IFERROR(VLOOKUP(B341,Sites!$A$2:$D$21,4,FALSE()),"Unknown")</f>
        <v>London</v>
      </c>
      <c r="U341" t="str">
        <f>IF(N341="OK","",COUNTIF($N$2:N341,"&lt;&gt;OK"))</f>
        <v/>
      </c>
      <c r="V341">
        <f>IF(OR(NOT(EXACT(E341,TRIM(Procurement_Raw!E341))),NOT(EXACT(F341,TRIM(Procurement_Raw!F341)))),1,0)</f>
        <v>0</v>
      </c>
    </row>
    <row r="342" spans="1:22" ht="15" customHeight="1" x14ac:dyDescent="0.25">
      <c r="A342" s="123">
        <f>Procurement_Raw!A342</f>
        <v>46018</v>
      </c>
      <c r="B342" t="str">
        <f>TRIM(Procurement_Raw!B342)</f>
        <v>S006</v>
      </c>
      <c r="C342" t="str">
        <f>Procurement_Raw!C342</f>
        <v>Birmingham Care &amp; Education Centre</v>
      </c>
      <c r="D342" t="str">
        <f>Procurement_Raw!D342</f>
        <v>Midlands</v>
      </c>
      <c r="E342" t="str">
        <f>IF(TRIM(Procurement_Raw!E342)="","",IFERROR(INDEX(Supplier_Lookup!$A$2:$A$25,MATCH(TRIM(Procurement_Raw!E342),Supplier_Lookup!$A$2:$A$25,0)),TRIM(Procurement_Raw!E342)))</f>
        <v>PowerDirect</v>
      </c>
      <c r="F342" t="str">
        <f>IFERROR(INDEX(Category_Targets!$A$2:$A$9,MATCH(TRIM(Procurement_Raw!F342),Category_Targets!$A$2:$A$9,0)),"Unmapped")</f>
        <v>Utilities</v>
      </c>
      <c r="G342" t="str">
        <f>TRIM(Procurement_Raw!G342)</f>
        <v>INV-2025-00341</v>
      </c>
      <c r="H342" s="77">
        <f>Procurement_Raw!H342</f>
        <v>63</v>
      </c>
      <c r="I342" s="124">
        <f>Procurement_Raw!I342</f>
        <v>159.05000000000001</v>
      </c>
      <c r="J342" s="125">
        <f>IF(Procurement_Raw!J342="","",Procurement_Raw!J342)</f>
        <v>10020.36</v>
      </c>
      <c r="K342" s="77">
        <f>Procurement_Raw!K342</f>
        <v>45</v>
      </c>
      <c r="L342" t="str">
        <f>Procurement_Raw!L342</f>
        <v>Procurement Portal</v>
      </c>
      <c r="M342" t="str">
        <f>Procurement_Raw!O342</f>
        <v>N</v>
      </c>
      <c r="N342" t="str">
        <f>IF(E342="","Missing supplier",IF(B342="","Missing site",IF(J342="","Missing spend",IF(COUNTIFS($G$2:G342,G342,$E$2:E342,E342,$J$2:J342,J342)&gt;1,"Duplicate invoice",IF(COUNTIF($G$2:$G$1801,G342)&gt;1,"Duplicate ID - review",IF(AND(P342&lt;&gt;"Unmapped",P342&lt;&gt;F342),"Category mismatch","OK"))))))</f>
        <v>OK</v>
      </c>
      <c r="O342" s="125">
        <f t="shared" si="15"/>
        <v>10020.36</v>
      </c>
      <c r="P342" t="str">
        <f>IF(E342="","Unmapped",IFERROR(INDEX(Supplier_Lookup!$B$2:$B$25,MATCH(E342,Supplier_Lookup!$A$2:$A$25,0)),"Unmapped"))</f>
        <v>Utilities</v>
      </c>
      <c r="Q342" s="76">
        <f>IFERROR(INDEX(Category_Targets!$B$2:$B$9,MATCH(F342,Category_Targets!$A$2:$A$9,0)),0)</f>
        <v>0.03</v>
      </c>
      <c r="R342" s="125">
        <f t="shared" si="16"/>
        <v>300.61079999999998</v>
      </c>
      <c r="S342" s="78">
        <f t="shared" si="17"/>
        <v>45992</v>
      </c>
      <c r="T342" t="str">
        <f>IFERROR(VLOOKUP(B342,Sites!$A$2:$D$21,4,FALSE()),"Unknown")</f>
        <v>Birmingham</v>
      </c>
      <c r="U342" t="str">
        <f>IF(N342="OK","",COUNTIF($N$2:N342,"&lt;&gt;OK"))</f>
        <v/>
      </c>
      <c r="V342">
        <f>IF(OR(NOT(EXACT(E342,TRIM(Procurement_Raw!E342))),NOT(EXACT(F342,TRIM(Procurement_Raw!F342)))),1,0)</f>
        <v>0</v>
      </c>
    </row>
    <row r="343" spans="1:22" ht="15" customHeight="1" x14ac:dyDescent="0.25">
      <c r="A343" s="123">
        <f>Procurement_Raw!A343</f>
        <v>45720</v>
      </c>
      <c r="B343" t="str">
        <f>TRIM(Procurement_Raw!B343)</f>
        <v>S004</v>
      </c>
      <c r="C343" t="str">
        <f>Procurement_Raw!C343</f>
        <v>Newcastle Care &amp; Education Centre</v>
      </c>
      <c r="D343" t="str">
        <f>Procurement_Raw!D343</f>
        <v>North</v>
      </c>
      <c r="E343" t="str">
        <f>IF(TRIM(Procurement_Raw!E343)="","",IFERROR(INDEX(Supplier_Lookup!$A$2:$A$25,MATCH(TRIM(Procurement_Raw!E343),Supplier_Lookup!$A$2:$A$25,0)),TRIM(Procurement_Raw!E343)))</f>
        <v>TeleCare IT</v>
      </c>
      <c r="F343" t="str">
        <f>IFERROR(INDEX(Category_Targets!$A$2:$A$9,MATCH(TRIM(Procurement_Raw!F343),Category_Targets!$A$2:$A$9,0)),"Unmapped")</f>
        <v>IT &amp; Telecoms</v>
      </c>
      <c r="G343" t="str">
        <f>TRIM(Procurement_Raw!G343)</f>
        <v>INV-2025-00342</v>
      </c>
      <c r="H343" s="77">
        <f>Procurement_Raw!H343</f>
        <v>74</v>
      </c>
      <c r="I343" s="124">
        <f>Procurement_Raw!I343</f>
        <v>251.55</v>
      </c>
      <c r="J343" s="125">
        <f>IF(Procurement_Raw!J343="","",Procurement_Raw!J343)</f>
        <v>18614.96</v>
      </c>
      <c r="K343" s="77">
        <f>Procurement_Raw!K343</f>
        <v>60</v>
      </c>
      <c r="L343" t="str">
        <f>Procurement_Raw!L343</f>
        <v>Legacy Spend File</v>
      </c>
      <c r="M343" t="str">
        <f>Procurement_Raw!O343</f>
        <v>N</v>
      </c>
      <c r="N343" t="str">
        <f>IF(E343="","Missing supplier",IF(B343="","Missing site",IF(J343="","Missing spend",IF(COUNTIFS($G$2:G343,G343,$E$2:E343,E343,$J$2:J343,J343)&gt;1,"Duplicate invoice",IF(COUNTIF($G$2:$G$1801,G343)&gt;1,"Duplicate ID - review",IF(AND(P343&lt;&gt;"Unmapped",P343&lt;&gt;F343),"Category mismatch","OK"))))))</f>
        <v>OK</v>
      </c>
      <c r="O343" s="125">
        <f t="shared" si="15"/>
        <v>18614.96</v>
      </c>
      <c r="P343" t="str">
        <f>IF(E343="","Unmapped",IFERROR(INDEX(Supplier_Lookup!$B$2:$B$25,MATCH(E343,Supplier_Lookup!$A$2:$A$25,0)),"Unmapped"))</f>
        <v>IT &amp; Telecoms</v>
      </c>
      <c r="Q343" s="76">
        <f>IFERROR(INDEX(Category_Targets!$B$2:$B$9,MATCH(F343,Category_Targets!$A$2:$A$9,0)),0)</f>
        <v>0.08</v>
      </c>
      <c r="R343" s="125">
        <f t="shared" si="16"/>
        <v>1489.1967999999999</v>
      </c>
      <c r="S343" s="78">
        <f t="shared" si="17"/>
        <v>45717</v>
      </c>
      <c r="T343" t="str">
        <f>IFERROR(VLOOKUP(B343,Sites!$A$2:$D$21,4,FALSE()),"Unknown")</f>
        <v>Newcastle</v>
      </c>
      <c r="U343" t="str">
        <f>IF(N343="OK","",COUNTIF($N$2:N343,"&lt;&gt;OK"))</f>
        <v/>
      </c>
      <c r="V343">
        <f>IF(OR(NOT(EXACT(E343,TRIM(Procurement_Raw!E343))),NOT(EXACT(F343,TRIM(Procurement_Raw!F343)))),1,0)</f>
        <v>0</v>
      </c>
    </row>
    <row r="344" spans="1:22" ht="15" customHeight="1" x14ac:dyDescent="0.25">
      <c r="A344" s="123">
        <f>Procurement_Raw!A344</f>
        <v>45732</v>
      </c>
      <c r="B344" t="str">
        <f>TRIM(Procurement_Raw!B344)</f>
        <v>S014</v>
      </c>
      <c r="C344" t="str">
        <f>Procurement_Raw!C344</f>
        <v>Southampton Care &amp; Education Centre</v>
      </c>
      <c r="D344" t="str">
        <f>Procurement_Raw!D344</f>
        <v>South</v>
      </c>
      <c r="E344" t="str">
        <f>IF(TRIM(Procurement_Raw!E344)="","",IFERROR(INDEX(Supplier_Lookup!$A$2:$A$25,MATCH(TRIM(Procurement_Raw!E344),Supplier_Lookup!$A$2:$A$25,0)),TRIM(Procurement_Raw!E344)))</f>
        <v>CareTemps</v>
      </c>
      <c r="F344" t="str">
        <f>IFERROR(INDEX(Category_Targets!$A$2:$A$9,MATCH(TRIM(Procurement_Raw!F344),Category_Targets!$A$2:$A$9,0)),"Unmapped")</f>
        <v>Agency Labour</v>
      </c>
      <c r="G344" t="str">
        <f>TRIM(Procurement_Raw!G344)</f>
        <v>INV-2025-00343</v>
      </c>
      <c r="H344" s="77">
        <f>Procurement_Raw!H344</f>
        <v>38</v>
      </c>
      <c r="I344" s="124">
        <f>Procurement_Raw!I344</f>
        <v>343.27</v>
      </c>
      <c r="J344" s="125">
        <f>IF(Procurement_Raw!J344="","",Procurement_Raw!J344)</f>
        <v>13044.22</v>
      </c>
      <c r="K344" s="77">
        <f>Procurement_Raw!K344</f>
        <v>30</v>
      </c>
      <c r="L344" t="str">
        <f>Procurement_Raw!L344</f>
        <v>Procurement Portal</v>
      </c>
      <c r="M344" t="str">
        <f>Procurement_Raw!O344</f>
        <v>N</v>
      </c>
      <c r="N344" t="str">
        <f>IF(E344="","Missing supplier",IF(B344="","Missing site",IF(J344="","Missing spend",IF(COUNTIFS($G$2:G344,G344,$E$2:E344,E344,$J$2:J344,J344)&gt;1,"Duplicate invoice",IF(COUNTIF($G$2:$G$1801,G344)&gt;1,"Duplicate ID - review",IF(AND(P344&lt;&gt;"Unmapped",P344&lt;&gt;F344),"Category mismatch","OK"))))))</f>
        <v>OK</v>
      </c>
      <c r="O344" s="125">
        <f t="shared" si="15"/>
        <v>13044.22</v>
      </c>
      <c r="P344" t="str">
        <f>IF(E344="","Unmapped",IFERROR(INDEX(Supplier_Lookup!$B$2:$B$25,MATCH(E344,Supplier_Lookup!$A$2:$A$25,0)),"Unmapped"))</f>
        <v>Agency Labour</v>
      </c>
      <c r="Q344" s="76">
        <f>IFERROR(INDEX(Category_Targets!$B$2:$B$9,MATCH(F344,Category_Targets!$A$2:$A$9,0)),0)</f>
        <v>7.0000000000000007E-2</v>
      </c>
      <c r="R344" s="125">
        <f t="shared" si="16"/>
        <v>913.09540000000004</v>
      </c>
      <c r="S344" s="78">
        <f t="shared" si="17"/>
        <v>45717</v>
      </c>
      <c r="T344" t="str">
        <f>IFERROR(VLOOKUP(B344,Sites!$A$2:$D$21,4,FALSE()),"Unknown")</f>
        <v>Southampton</v>
      </c>
      <c r="U344" t="str">
        <f>IF(N344="OK","",COUNTIF($N$2:N344,"&lt;&gt;OK"))</f>
        <v/>
      </c>
      <c r="V344">
        <f>IF(OR(NOT(EXACT(E344,TRIM(Procurement_Raw!E344))),NOT(EXACT(F344,TRIM(Procurement_Raw!F344)))),1,0)</f>
        <v>0</v>
      </c>
    </row>
    <row r="345" spans="1:22" ht="15" customHeight="1" x14ac:dyDescent="0.25">
      <c r="A345" s="123">
        <f>Procurement_Raw!A345</f>
        <v>45884</v>
      </c>
      <c r="B345" t="str">
        <f>TRIM(Procurement_Raw!B345)</f>
        <v>S011</v>
      </c>
      <c r="C345" t="str">
        <f>Procurement_Raw!C345</f>
        <v>London Care &amp; Education Centre</v>
      </c>
      <c r="D345" t="str">
        <f>Procurement_Raw!D345</f>
        <v>South</v>
      </c>
      <c r="E345" t="str">
        <f>IF(TRIM(Procurement_Raw!E345)="","",IFERROR(INDEX(Supplier_Lookup!$A$2:$A$25,MATCH(TRIM(Procurement_Raw!E345),Supplier_Lookup!$A$2:$A$25,0)),TRIM(Procurement_Raw!E345)))</f>
        <v>NourishCo</v>
      </c>
      <c r="F345" t="str">
        <f>IFERROR(INDEX(Category_Targets!$A$2:$A$9,MATCH(TRIM(Procurement_Raw!F345),Category_Targets!$A$2:$A$9,0)),"Unmapped")</f>
        <v>Food &amp; Catering</v>
      </c>
      <c r="G345" t="str">
        <f>TRIM(Procurement_Raw!G345)</f>
        <v>INV-2025-00344</v>
      </c>
      <c r="H345" s="77">
        <f>Procurement_Raw!H345</f>
        <v>33</v>
      </c>
      <c r="I345" s="124">
        <f>Procurement_Raw!I345</f>
        <v>49.18</v>
      </c>
      <c r="J345" s="125">
        <f>IF(Procurement_Raw!J345="","",Procurement_Raw!J345)</f>
        <v>1623.07</v>
      </c>
      <c r="K345" s="77">
        <f>Procurement_Raw!K345</f>
        <v>60</v>
      </c>
      <c r="L345" t="str">
        <f>Procurement_Raw!L345</f>
        <v>Procurement Portal</v>
      </c>
      <c r="M345" t="str">
        <f>Procurement_Raw!O345</f>
        <v>N</v>
      </c>
      <c r="N345" t="str">
        <f>IF(E345="","Missing supplier",IF(B345="","Missing site",IF(J345="","Missing spend",IF(COUNTIFS($G$2:G345,G345,$E$2:E345,E345,$J$2:J345,J345)&gt;1,"Duplicate invoice",IF(COUNTIF($G$2:$G$1801,G345)&gt;1,"Duplicate ID - review",IF(AND(P345&lt;&gt;"Unmapped",P345&lt;&gt;F345),"Category mismatch","OK"))))))</f>
        <v>OK</v>
      </c>
      <c r="O345" s="125">
        <f t="shared" si="15"/>
        <v>1623.07</v>
      </c>
      <c r="P345" t="str">
        <f>IF(E345="","Unmapped",IFERROR(INDEX(Supplier_Lookup!$B$2:$B$25,MATCH(E345,Supplier_Lookup!$A$2:$A$25,0)),"Unmapped"))</f>
        <v>Food &amp; Catering</v>
      </c>
      <c r="Q345" s="76">
        <f>IFERROR(INDEX(Category_Targets!$B$2:$B$9,MATCH(F345,Category_Targets!$A$2:$A$9,0)),0)</f>
        <v>0.04</v>
      </c>
      <c r="R345" s="125">
        <f t="shared" si="16"/>
        <v>64.922799999999995</v>
      </c>
      <c r="S345" s="78">
        <f t="shared" si="17"/>
        <v>45870</v>
      </c>
      <c r="T345" t="str">
        <f>IFERROR(VLOOKUP(B345,Sites!$A$2:$D$21,4,FALSE()),"Unknown")</f>
        <v>London</v>
      </c>
      <c r="U345" t="str">
        <f>IF(N345="OK","",COUNTIF($N$2:N345,"&lt;&gt;OK"))</f>
        <v/>
      </c>
      <c r="V345">
        <f>IF(OR(NOT(EXACT(E345,TRIM(Procurement_Raw!E345))),NOT(EXACT(F345,TRIM(Procurement_Raw!F345)))),1,0)</f>
        <v>0</v>
      </c>
    </row>
    <row r="346" spans="1:22" ht="15" customHeight="1" x14ac:dyDescent="0.25">
      <c r="A346" s="123">
        <f>Procurement_Raw!A346</f>
        <v>45796</v>
      </c>
      <c r="B346" t="str">
        <f>TRIM(Procurement_Raw!B346)</f>
        <v>S017</v>
      </c>
      <c r="C346" t="str">
        <f>Procurement_Raw!C346</f>
        <v>Swansea Care &amp; Education Centre</v>
      </c>
      <c r="D346" t="str">
        <f>Procurement_Raw!D346</f>
        <v>Wales</v>
      </c>
      <c r="E346" t="str">
        <f>IF(TRIM(Procurement_Raw!E346)="","",IFERROR(INDEX(Supplier_Lookup!$A$2:$A$25,MATCH(TRIM(Procurement_Raw!E346),Supplier_Lookup!$A$2:$A$25,0)),TRIM(Procurement_Raw!E346)))</f>
        <v>PowerDirect</v>
      </c>
      <c r="F346" t="str">
        <f>IFERROR(INDEX(Category_Targets!$A$2:$A$9,MATCH(TRIM(Procurement_Raw!F346),Category_Targets!$A$2:$A$9,0)),"Unmapped")</f>
        <v>Utilities</v>
      </c>
      <c r="G346" t="str">
        <f>TRIM(Procurement_Raw!G346)</f>
        <v>INV-2025-00345</v>
      </c>
      <c r="H346" s="77">
        <f>Procurement_Raw!H346</f>
        <v>72</v>
      </c>
      <c r="I346" s="124">
        <f>Procurement_Raw!I346</f>
        <v>192.94</v>
      </c>
      <c r="J346" s="125">
        <f>IF(Procurement_Raw!J346="","",Procurement_Raw!J346)</f>
        <v>13891.83</v>
      </c>
      <c r="K346" s="77">
        <f>Procurement_Raw!K346</f>
        <v>60</v>
      </c>
      <c r="L346" t="str">
        <f>Procurement_Raw!L346</f>
        <v>Procurement Portal</v>
      </c>
      <c r="M346" t="str">
        <f>Procurement_Raw!O346</f>
        <v>N</v>
      </c>
      <c r="N346" t="str">
        <f>IF(E346="","Missing supplier",IF(B346="","Missing site",IF(J346="","Missing spend",IF(COUNTIFS($G$2:G346,G346,$E$2:E346,E346,$J$2:J346,J346)&gt;1,"Duplicate invoice",IF(COUNTIF($G$2:$G$1801,G346)&gt;1,"Duplicate ID - review",IF(AND(P346&lt;&gt;"Unmapped",P346&lt;&gt;F346),"Category mismatch","OK"))))))</f>
        <v>OK</v>
      </c>
      <c r="O346" s="125">
        <f t="shared" si="15"/>
        <v>13891.83</v>
      </c>
      <c r="P346" t="str">
        <f>IF(E346="","Unmapped",IFERROR(INDEX(Supplier_Lookup!$B$2:$B$25,MATCH(E346,Supplier_Lookup!$A$2:$A$25,0)),"Unmapped"))</f>
        <v>Utilities</v>
      </c>
      <c r="Q346" s="76">
        <f>IFERROR(INDEX(Category_Targets!$B$2:$B$9,MATCH(F346,Category_Targets!$A$2:$A$9,0)),0)</f>
        <v>0.03</v>
      </c>
      <c r="R346" s="125">
        <f t="shared" si="16"/>
        <v>416.75489999999996</v>
      </c>
      <c r="S346" s="78">
        <f t="shared" si="17"/>
        <v>45778</v>
      </c>
      <c r="T346" t="str">
        <f>IFERROR(VLOOKUP(B346,Sites!$A$2:$D$21,4,FALSE()),"Unknown")</f>
        <v>Swansea</v>
      </c>
      <c r="U346" t="str">
        <f>IF(N346="OK","",COUNTIF($N$2:N346,"&lt;&gt;OK"))</f>
        <v/>
      </c>
      <c r="V346">
        <f>IF(OR(NOT(EXACT(E346,TRIM(Procurement_Raw!E346))),NOT(EXACT(F346,TRIM(Procurement_Raw!F346)))),1,0)</f>
        <v>0</v>
      </c>
    </row>
    <row r="347" spans="1:22" ht="15" customHeight="1" x14ac:dyDescent="0.25">
      <c r="A347" s="123">
        <f>Procurement_Raw!A347</f>
        <v>45958</v>
      </c>
      <c r="B347" t="str">
        <f>TRIM(Procurement_Raw!B347)</f>
        <v>S017</v>
      </c>
      <c r="C347" t="str">
        <f>Procurement_Raw!C347</f>
        <v>Swansea Care &amp; Education Centre</v>
      </c>
      <c r="D347" t="str">
        <f>Procurement_Raw!D347</f>
        <v>Wales</v>
      </c>
      <c r="E347" t="str">
        <f>IF(TRIM(Procurement_Raw!E347)="","",IFERROR(INDEX(Supplier_Lookup!$A$2:$A$25,MATCH(TRIM(Procurement_Raw!E347),Supplier_Lookup!$A$2:$A$25,0)),TRIM(Procurement_Raw!E347)))</f>
        <v>KitchenPro</v>
      </c>
      <c r="F347" t="str">
        <f>IFERROR(INDEX(Category_Targets!$A$2:$A$9,MATCH(TRIM(Procurement_Raw!F347),Category_Targets!$A$2:$A$9,0)),"Unmapped")</f>
        <v>Food &amp; Catering</v>
      </c>
      <c r="G347" t="str">
        <f>TRIM(Procurement_Raw!G347)</f>
        <v>INV-2025-00346</v>
      </c>
      <c r="H347" s="77">
        <f>Procurement_Raw!H347</f>
        <v>31</v>
      </c>
      <c r="I347" s="124">
        <f>Procurement_Raw!I347</f>
        <v>73.849999999999994</v>
      </c>
      <c r="J347" s="125">
        <f>IF(Procurement_Raw!J347="","",Procurement_Raw!J347)</f>
        <v>2289.3000000000002</v>
      </c>
      <c r="K347" s="77">
        <f>Procurement_Raw!K347</f>
        <v>30</v>
      </c>
      <c r="L347" t="str">
        <f>Procurement_Raw!L347</f>
        <v>ERP</v>
      </c>
      <c r="M347" t="str">
        <f>Procurement_Raw!O347</f>
        <v>N</v>
      </c>
      <c r="N347" t="str">
        <f>IF(E347="","Missing supplier",IF(B347="","Missing site",IF(J347="","Missing spend",IF(COUNTIFS($G$2:G347,G347,$E$2:E347,E347,$J$2:J347,J347)&gt;1,"Duplicate invoice",IF(COUNTIF($G$2:$G$1801,G347)&gt;1,"Duplicate ID - review",IF(AND(P347&lt;&gt;"Unmapped",P347&lt;&gt;F347),"Category mismatch","OK"))))))</f>
        <v>OK</v>
      </c>
      <c r="O347" s="125">
        <f t="shared" si="15"/>
        <v>2289.3000000000002</v>
      </c>
      <c r="P347" t="str">
        <f>IF(E347="","Unmapped",IFERROR(INDEX(Supplier_Lookup!$B$2:$B$25,MATCH(E347,Supplier_Lookup!$A$2:$A$25,0)),"Unmapped"))</f>
        <v>Food &amp; Catering</v>
      </c>
      <c r="Q347" s="76">
        <f>IFERROR(INDEX(Category_Targets!$B$2:$B$9,MATCH(F347,Category_Targets!$A$2:$A$9,0)),0)</f>
        <v>0.04</v>
      </c>
      <c r="R347" s="125">
        <f t="shared" si="16"/>
        <v>91.572000000000003</v>
      </c>
      <c r="S347" s="78">
        <f t="shared" si="17"/>
        <v>45931</v>
      </c>
      <c r="T347" t="str">
        <f>IFERROR(VLOOKUP(B347,Sites!$A$2:$D$21,4,FALSE()),"Unknown")</f>
        <v>Swansea</v>
      </c>
      <c r="U347" t="str">
        <f>IF(N347="OK","",COUNTIF($N$2:N347,"&lt;&gt;OK"))</f>
        <v/>
      </c>
      <c r="V347">
        <f>IF(OR(NOT(EXACT(E347,TRIM(Procurement_Raw!E347))),NOT(EXACT(F347,TRIM(Procurement_Raw!F347)))),1,0)</f>
        <v>0</v>
      </c>
    </row>
    <row r="348" spans="1:22" ht="15" customHeight="1" x14ac:dyDescent="0.25">
      <c r="A348" s="123">
        <f>Procurement_Raw!A348</f>
        <v>45777</v>
      </c>
      <c r="B348" t="str">
        <f>TRIM(Procurement_Raw!B348)</f>
        <v>S020</v>
      </c>
      <c r="C348" t="str">
        <f>Procurement_Raw!C348</f>
        <v>Bangor Care &amp; Education Centre</v>
      </c>
      <c r="D348" t="str">
        <f>Procurement_Raw!D348</f>
        <v>Wales</v>
      </c>
      <c r="E348" t="str">
        <f>IF(TRIM(Procurement_Raw!E348)="","",IFERROR(INDEX(Supplier_Lookup!$A$2:$A$25,MATCH(TRIM(Procurement_Raw!E348),Supplier_Lookup!$A$2:$A$25,0)),TRIM(Procurement_Raw!E348)))</f>
        <v>PowerDirect</v>
      </c>
      <c r="F348" t="str">
        <f>IFERROR(INDEX(Category_Targets!$A$2:$A$9,MATCH(TRIM(Procurement_Raw!F348),Category_Targets!$A$2:$A$9,0)),"Unmapped")</f>
        <v>Utilities</v>
      </c>
      <c r="G348" t="str">
        <f>TRIM(Procurement_Raw!G348)</f>
        <v>INV-2025-00347</v>
      </c>
      <c r="H348" s="77">
        <f>Procurement_Raw!H348</f>
        <v>7</v>
      </c>
      <c r="I348" s="124">
        <f>Procurement_Raw!I348</f>
        <v>112.73</v>
      </c>
      <c r="J348" s="125">
        <f>IF(Procurement_Raw!J348="","",Procurement_Raw!J348)</f>
        <v>789.12</v>
      </c>
      <c r="K348" s="77">
        <f>Procurement_Raw!K348</f>
        <v>30</v>
      </c>
      <c r="L348" t="str">
        <f>Procurement_Raw!L348</f>
        <v>Procurement Portal</v>
      </c>
      <c r="M348" t="str">
        <f>Procurement_Raw!O348</f>
        <v>N</v>
      </c>
      <c r="N348" t="str">
        <f>IF(E348="","Missing supplier",IF(B348="","Missing site",IF(J348="","Missing spend",IF(COUNTIFS($G$2:G348,G348,$E$2:E348,E348,$J$2:J348,J348)&gt;1,"Duplicate invoice",IF(COUNTIF($G$2:$G$1801,G348)&gt;1,"Duplicate ID - review",IF(AND(P348&lt;&gt;"Unmapped",P348&lt;&gt;F348),"Category mismatch","OK"))))))</f>
        <v>OK</v>
      </c>
      <c r="O348" s="125">
        <f t="shared" si="15"/>
        <v>789.12</v>
      </c>
      <c r="P348" t="str">
        <f>IF(E348="","Unmapped",IFERROR(INDEX(Supplier_Lookup!$B$2:$B$25,MATCH(E348,Supplier_Lookup!$A$2:$A$25,0)),"Unmapped"))</f>
        <v>Utilities</v>
      </c>
      <c r="Q348" s="76">
        <f>IFERROR(INDEX(Category_Targets!$B$2:$B$9,MATCH(F348,Category_Targets!$A$2:$A$9,0)),0)</f>
        <v>0.03</v>
      </c>
      <c r="R348" s="125">
        <f t="shared" si="16"/>
        <v>23.6736</v>
      </c>
      <c r="S348" s="78">
        <f t="shared" si="17"/>
        <v>45748</v>
      </c>
      <c r="T348" t="str">
        <f>IFERROR(VLOOKUP(B348,Sites!$A$2:$D$21,4,FALSE()),"Unknown")</f>
        <v>Bangor</v>
      </c>
      <c r="U348" t="str">
        <f>IF(N348="OK","",COUNTIF($N$2:N348,"&lt;&gt;OK"))</f>
        <v/>
      </c>
      <c r="V348">
        <f>IF(OR(NOT(EXACT(E348,TRIM(Procurement_Raw!E348))),NOT(EXACT(F348,TRIM(Procurement_Raw!F348)))),1,0)</f>
        <v>0</v>
      </c>
    </row>
    <row r="349" spans="1:22" ht="15" customHeight="1" x14ac:dyDescent="0.25">
      <c r="A349" s="123">
        <f>Procurement_Raw!A349</f>
        <v>46006</v>
      </c>
      <c r="B349" t="str">
        <f>TRIM(Procurement_Raw!B349)</f>
        <v>S020</v>
      </c>
      <c r="C349" t="str">
        <f>Procurement_Raw!C349</f>
        <v>Bangor Care &amp; Education Centre</v>
      </c>
      <c r="D349" t="str">
        <f>Procurement_Raw!D349</f>
        <v>Wales</v>
      </c>
      <c r="E349" t="str">
        <f>IF(TRIM(Procurement_Raw!E349)="","",IFERROR(INDEX(Supplier_Lookup!$A$2:$A$25,MATCH(TRIM(Procurement_Raw!E349),Supplier_Lookup!$A$2:$A$25,0)),TRIM(Procurement_Raw!E349)))</f>
        <v>OfficePlus</v>
      </c>
      <c r="F349" t="str">
        <f>IFERROR(INDEX(Category_Targets!$A$2:$A$9,MATCH(TRIM(Procurement_Raw!F349),Category_Targets!$A$2:$A$9,0)),"Unmapped")</f>
        <v>Office &amp; Training</v>
      </c>
      <c r="G349" t="str">
        <f>TRIM(Procurement_Raw!G349)</f>
        <v>INV-2025-00348</v>
      </c>
      <c r="H349" s="77">
        <f>Procurement_Raw!H349</f>
        <v>18</v>
      </c>
      <c r="I349" s="124">
        <f>Procurement_Raw!I349</f>
        <v>34.58</v>
      </c>
      <c r="J349" s="125">
        <f>IF(Procurement_Raw!J349="","",Procurement_Raw!J349)</f>
        <v>622.51</v>
      </c>
      <c r="K349" s="77">
        <f>Procurement_Raw!K349</f>
        <v>30</v>
      </c>
      <c r="L349" t="str">
        <f>Procurement_Raw!L349</f>
        <v>Legacy Spend File</v>
      </c>
      <c r="M349" t="str">
        <f>Procurement_Raw!O349</f>
        <v>N</v>
      </c>
      <c r="N349" t="str">
        <f>IF(E349="","Missing supplier",IF(B349="","Missing site",IF(J349="","Missing spend",IF(COUNTIFS($G$2:G349,G349,$E$2:E349,E349,$J$2:J349,J349)&gt;1,"Duplicate invoice",IF(COUNTIF($G$2:$G$1801,G349)&gt;1,"Duplicate ID - review",IF(AND(P349&lt;&gt;"Unmapped",P349&lt;&gt;F349),"Category mismatch","OK"))))))</f>
        <v>OK</v>
      </c>
      <c r="O349" s="125">
        <f t="shared" si="15"/>
        <v>622.51</v>
      </c>
      <c r="P349" t="str">
        <f>IF(E349="","Unmapped",IFERROR(INDEX(Supplier_Lookup!$B$2:$B$25,MATCH(E349,Supplier_Lookup!$A$2:$A$25,0)),"Unmapped"))</f>
        <v>Office &amp; Training</v>
      </c>
      <c r="Q349" s="76">
        <f>IFERROR(INDEX(Category_Targets!$B$2:$B$9,MATCH(F349,Category_Targets!$A$2:$A$9,0)),0)</f>
        <v>0.04</v>
      </c>
      <c r="R349" s="125">
        <f t="shared" si="16"/>
        <v>24.900400000000001</v>
      </c>
      <c r="S349" s="78">
        <f t="shared" si="17"/>
        <v>45992</v>
      </c>
      <c r="T349" t="str">
        <f>IFERROR(VLOOKUP(B349,Sites!$A$2:$D$21,4,FALSE()),"Unknown")</f>
        <v>Bangor</v>
      </c>
      <c r="U349" t="str">
        <f>IF(N349="OK","",COUNTIF($N$2:N349,"&lt;&gt;OK"))</f>
        <v/>
      </c>
      <c r="V349">
        <f>IF(OR(NOT(EXACT(E349,TRIM(Procurement_Raw!E349))),NOT(EXACT(F349,TRIM(Procurement_Raw!F349)))),1,0)</f>
        <v>0</v>
      </c>
    </row>
    <row r="350" spans="1:22" ht="15" customHeight="1" x14ac:dyDescent="0.25">
      <c r="A350" s="123">
        <f>Procurement_Raw!A350</f>
        <v>45901</v>
      </c>
      <c r="B350" t="str">
        <f>TRIM(Procurement_Raw!B350)</f>
        <v>S012</v>
      </c>
      <c r="C350" t="str">
        <f>Procurement_Raw!C350</f>
        <v>Bristol Care &amp; Education Centre</v>
      </c>
      <c r="D350" t="str">
        <f>Procurement_Raw!D350</f>
        <v>South</v>
      </c>
      <c r="E350" t="str">
        <f>IF(TRIM(Procurement_Raw!E350)="","",IFERROR(INDEX(Supplier_Lookup!$A$2:$A$25,MATCH(TRIM(Procurement_Raw!E350),Supplier_Lookup!$A$2:$A$25,0)),TRIM(Procurement_Raw!E350)))</f>
        <v>NurseLink</v>
      </c>
      <c r="F350" t="str">
        <f>IFERROR(INDEX(Category_Targets!$A$2:$A$9,MATCH(TRIM(Procurement_Raw!F350),Category_Targets!$A$2:$A$9,0)),"Unmapped")</f>
        <v>Agency Labour</v>
      </c>
      <c r="G350" t="str">
        <f>TRIM(Procurement_Raw!G350)</f>
        <v>INV-2025-00349</v>
      </c>
      <c r="H350" s="77">
        <f>Procurement_Raw!H350</f>
        <v>62</v>
      </c>
      <c r="I350" s="124">
        <f>Procurement_Raw!I350</f>
        <v>202.07</v>
      </c>
      <c r="J350" s="125">
        <f>IF(Procurement_Raw!J350="","",Procurement_Raw!J350)</f>
        <v>12528.64</v>
      </c>
      <c r="K350" s="77">
        <f>Procurement_Raw!K350</f>
        <v>60</v>
      </c>
      <c r="L350" t="str">
        <f>Procurement_Raw!L350</f>
        <v>ERP</v>
      </c>
      <c r="M350" t="str">
        <f>Procurement_Raw!O350</f>
        <v>N</v>
      </c>
      <c r="N350" t="str">
        <f>IF(E350="","Missing supplier",IF(B350="","Missing site",IF(J350="","Missing spend",IF(COUNTIFS($G$2:G350,G350,$E$2:E350,E350,$J$2:J350,J350)&gt;1,"Duplicate invoice",IF(COUNTIF($G$2:$G$1801,G350)&gt;1,"Duplicate ID - review",IF(AND(P350&lt;&gt;"Unmapped",P350&lt;&gt;F350),"Category mismatch","OK"))))))</f>
        <v>OK</v>
      </c>
      <c r="O350" s="125">
        <f t="shared" si="15"/>
        <v>12528.64</v>
      </c>
      <c r="P350" t="str">
        <f>IF(E350="","Unmapped",IFERROR(INDEX(Supplier_Lookup!$B$2:$B$25,MATCH(E350,Supplier_Lookup!$A$2:$A$25,0)),"Unmapped"))</f>
        <v>Agency Labour</v>
      </c>
      <c r="Q350" s="76">
        <f>IFERROR(INDEX(Category_Targets!$B$2:$B$9,MATCH(F350,Category_Targets!$A$2:$A$9,0)),0)</f>
        <v>7.0000000000000007E-2</v>
      </c>
      <c r="R350" s="125">
        <f t="shared" si="16"/>
        <v>877.00480000000005</v>
      </c>
      <c r="S350" s="78">
        <f t="shared" si="17"/>
        <v>45901</v>
      </c>
      <c r="T350" t="str">
        <f>IFERROR(VLOOKUP(B350,Sites!$A$2:$D$21,4,FALSE()),"Unknown")</f>
        <v>Bristol</v>
      </c>
      <c r="U350" t="str">
        <f>IF(N350="OK","",COUNTIF($N$2:N350,"&lt;&gt;OK"))</f>
        <v/>
      </c>
      <c r="V350">
        <f>IF(OR(NOT(EXACT(E350,TRIM(Procurement_Raw!E350))),NOT(EXACT(F350,TRIM(Procurement_Raw!F350)))),1,0)</f>
        <v>0</v>
      </c>
    </row>
    <row r="351" spans="1:22" ht="15" customHeight="1" x14ac:dyDescent="0.25">
      <c r="A351" s="123">
        <f>Procurement_Raw!A351</f>
        <v>45804</v>
      </c>
      <c r="B351" t="str">
        <f>TRIM(Procurement_Raw!B351)</f>
        <v>S020</v>
      </c>
      <c r="C351" t="str">
        <f>Procurement_Raw!C351</f>
        <v>Bangor Care &amp; Education Centre</v>
      </c>
      <c r="D351" t="str">
        <f>Procurement_Raw!D351</f>
        <v>Wales</v>
      </c>
      <c r="E351" t="str">
        <f>IF(TRIM(Procurement_Raw!E351)="","",IFERROR(INDEX(Supplier_Lookup!$A$2:$A$25,MATCH(TRIM(Procurement_Raw!E351),Supplier_Lookup!$A$2:$A$25,0)),TRIM(Procurement_Raw!E351)))</f>
        <v>TeleCare IT</v>
      </c>
      <c r="F351" t="str">
        <f>IFERROR(INDEX(Category_Targets!$A$2:$A$9,MATCH(TRIM(Procurement_Raw!F351),Category_Targets!$A$2:$A$9,0)),"Unmapped")</f>
        <v>IT &amp; Telecoms</v>
      </c>
      <c r="G351" t="str">
        <f>TRIM(Procurement_Raw!G351)</f>
        <v>INV-2025-00350</v>
      </c>
      <c r="H351" s="77">
        <f>Procurement_Raw!H351</f>
        <v>8</v>
      </c>
      <c r="I351" s="124">
        <f>Procurement_Raw!I351</f>
        <v>195.63</v>
      </c>
      <c r="J351" s="125">
        <f>IF(Procurement_Raw!J351="","",Procurement_Raw!J351)</f>
        <v>1565.05</v>
      </c>
      <c r="K351" s="77">
        <f>Procurement_Raw!K351</f>
        <v>30</v>
      </c>
      <c r="L351" t="str">
        <f>Procurement_Raw!L351</f>
        <v>Legacy Spend File</v>
      </c>
      <c r="M351" t="str">
        <f>Procurement_Raw!O351</f>
        <v>N</v>
      </c>
      <c r="N351" t="str">
        <f>IF(E351="","Missing supplier",IF(B351="","Missing site",IF(J351="","Missing spend",IF(COUNTIFS($G$2:G351,G351,$E$2:E351,E351,$J$2:J351,J351)&gt;1,"Duplicate invoice",IF(COUNTIF($G$2:$G$1801,G351)&gt;1,"Duplicate ID - review",IF(AND(P351&lt;&gt;"Unmapped",P351&lt;&gt;F351),"Category mismatch","OK"))))))</f>
        <v>OK</v>
      </c>
      <c r="O351" s="125">
        <f t="shared" si="15"/>
        <v>1565.05</v>
      </c>
      <c r="P351" t="str">
        <f>IF(E351="","Unmapped",IFERROR(INDEX(Supplier_Lookup!$B$2:$B$25,MATCH(E351,Supplier_Lookup!$A$2:$A$25,0)),"Unmapped"))</f>
        <v>IT &amp; Telecoms</v>
      </c>
      <c r="Q351" s="76">
        <f>IFERROR(INDEX(Category_Targets!$B$2:$B$9,MATCH(F351,Category_Targets!$A$2:$A$9,0)),0)</f>
        <v>0.08</v>
      </c>
      <c r="R351" s="125">
        <f t="shared" si="16"/>
        <v>125.20399999999999</v>
      </c>
      <c r="S351" s="78">
        <f t="shared" si="17"/>
        <v>45778</v>
      </c>
      <c r="T351" t="str">
        <f>IFERROR(VLOOKUP(B351,Sites!$A$2:$D$21,4,FALSE()),"Unknown")</f>
        <v>Bangor</v>
      </c>
      <c r="U351" t="str">
        <f>IF(N351="OK","",COUNTIF($N$2:N351,"&lt;&gt;OK"))</f>
        <v/>
      </c>
      <c r="V351">
        <f>IF(OR(NOT(EXACT(E351,TRIM(Procurement_Raw!E351))),NOT(EXACT(F351,TRIM(Procurement_Raw!F351)))),1,0)</f>
        <v>0</v>
      </c>
    </row>
    <row r="352" spans="1:22" ht="15" customHeight="1" x14ac:dyDescent="0.25">
      <c r="A352" s="123">
        <f>Procurement_Raw!A352</f>
        <v>45677</v>
      </c>
      <c r="B352" t="str">
        <f>TRIM(Procurement_Raw!B352)</f>
        <v>S005</v>
      </c>
      <c r="C352" t="str">
        <f>Procurement_Raw!C352</f>
        <v>Sheffield Care &amp; Education Centre</v>
      </c>
      <c r="D352" t="str">
        <f>Procurement_Raw!D352</f>
        <v>North</v>
      </c>
      <c r="E352" t="str">
        <f>IF(TRIM(Procurement_Raw!E352)="","",IFERROR(INDEX(Supplier_Lookup!$A$2:$A$25,MATCH(TRIM(Procurement_Raw!E352),Supplier_Lookup!$A$2:$A$25,0)),TRIM(Procurement_Raw!E352)))</f>
        <v>PowerDirect</v>
      </c>
      <c r="F352" t="str">
        <f>IFERROR(INDEX(Category_Targets!$A$2:$A$9,MATCH(TRIM(Procurement_Raw!F352),Category_Targets!$A$2:$A$9,0)),"Unmapped")</f>
        <v>Utilities</v>
      </c>
      <c r="G352" t="str">
        <f>TRIM(Procurement_Raw!G352)</f>
        <v>INV-2025-00351</v>
      </c>
      <c r="H352" s="77">
        <f>Procurement_Raw!H352</f>
        <v>23</v>
      </c>
      <c r="I352" s="124">
        <f>Procurement_Raw!I352</f>
        <v>296.62</v>
      </c>
      <c r="J352" s="125">
        <f>IF(Procurement_Raw!J352="","",Procurement_Raw!J352)</f>
        <v>6822.32</v>
      </c>
      <c r="K352" s="77">
        <f>Procurement_Raw!K352</f>
        <v>45</v>
      </c>
      <c r="L352" t="str">
        <f>Procurement_Raw!L352</f>
        <v>ERP</v>
      </c>
      <c r="M352" t="str">
        <f>Procurement_Raw!O352</f>
        <v>N</v>
      </c>
      <c r="N352" t="str">
        <f>IF(E352="","Missing supplier",IF(B352="","Missing site",IF(J352="","Missing spend",IF(COUNTIFS($G$2:G352,G352,$E$2:E352,E352,$J$2:J352,J352)&gt;1,"Duplicate invoice",IF(COUNTIF($G$2:$G$1801,G352)&gt;1,"Duplicate ID - review",IF(AND(P352&lt;&gt;"Unmapped",P352&lt;&gt;F352),"Category mismatch","OK"))))))</f>
        <v>OK</v>
      </c>
      <c r="O352" s="125">
        <f t="shared" si="15"/>
        <v>6822.32</v>
      </c>
      <c r="P352" t="str">
        <f>IF(E352="","Unmapped",IFERROR(INDEX(Supplier_Lookup!$B$2:$B$25,MATCH(E352,Supplier_Lookup!$A$2:$A$25,0)),"Unmapped"))</f>
        <v>Utilities</v>
      </c>
      <c r="Q352" s="76">
        <f>IFERROR(INDEX(Category_Targets!$B$2:$B$9,MATCH(F352,Category_Targets!$A$2:$A$9,0)),0)</f>
        <v>0.03</v>
      </c>
      <c r="R352" s="125">
        <f t="shared" si="16"/>
        <v>204.66959999999997</v>
      </c>
      <c r="S352" s="78">
        <f t="shared" si="17"/>
        <v>45658</v>
      </c>
      <c r="T352" t="str">
        <f>IFERROR(VLOOKUP(B352,Sites!$A$2:$D$21,4,FALSE()),"Unknown")</f>
        <v>Sheffield</v>
      </c>
      <c r="U352" t="str">
        <f>IF(N352="OK","",COUNTIF($N$2:N352,"&lt;&gt;OK"))</f>
        <v/>
      </c>
      <c r="V352">
        <f>IF(OR(NOT(EXACT(E352,TRIM(Procurement_Raw!E352))),NOT(EXACT(F352,TRIM(Procurement_Raw!F352)))),1,0)</f>
        <v>0</v>
      </c>
    </row>
    <row r="353" spans="1:22" ht="15" customHeight="1" x14ac:dyDescent="0.25">
      <c r="A353" s="123">
        <f>Procurement_Raw!A353</f>
        <v>45753</v>
      </c>
      <c r="B353" t="str">
        <f>TRIM(Procurement_Raw!B353)</f>
        <v>S005</v>
      </c>
      <c r="C353" t="str">
        <f>Procurement_Raw!C353</f>
        <v>Sheffield Care &amp; Education Centre</v>
      </c>
      <c r="D353" t="str">
        <f>Procurement_Raw!D353</f>
        <v>North</v>
      </c>
      <c r="E353" t="str">
        <f>IF(TRIM(Procurement_Raw!E353)="","",IFERROR(INDEX(Supplier_Lookup!$A$2:$A$25,MATCH(TRIM(Procurement_Raw!E353),Supplier_Lookup!$A$2:$A$25,0)),TRIM(Procurement_Raw!E353)))</f>
        <v>CareTemps</v>
      </c>
      <c r="F353" t="str">
        <f>IFERROR(INDEX(Category_Targets!$A$2:$A$9,MATCH(TRIM(Procurement_Raw!F353),Category_Targets!$A$2:$A$9,0)),"Unmapped")</f>
        <v>Agency Labour</v>
      </c>
      <c r="G353" t="str">
        <f>TRIM(Procurement_Raw!G353)</f>
        <v>INV-2025-00352</v>
      </c>
      <c r="H353" s="77">
        <f>Procurement_Raw!H353</f>
        <v>38</v>
      </c>
      <c r="I353" s="124">
        <f>Procurement_Raw!I353</f>
        <v>675.35</v>
      </c>
      <c r="J353" s="125">
        <f>IF(Procurement_Raw!J353="","",Procurement_Raw!J353)</f>
        <v>25663.23</v>
      </c>
      <c r="K353" s="77">
        <f>Procurement_Raw!K353</f>
        <v>30</v>
      </c>
      <c r="L353" t="str">
        <f>Procurement_Raw!L353</f>
        <v>ERP</v>
      </c>
      <c r="M353" t="str">
        <f>Procurement_Raw!O353</f>
        <v>N</v>
      </c>
      <c r="N353" t="str">
        <f>IF(E353="","Missing supplier",IF(B353="","Missing site",IF(J353="","Missing spend",IF(COUNTIFS($G$2:G353,G353,$E$2:E353,E353,$J$2:J353,J353)&gt;1,"Duplicate invoice",IF(COUNTIF($G$2:$G$1801,G353)&gt;1,"Duplicate ID - review",IF(AND(P353&lt;&gt;"Unmapped",P353&lt;&gt;F353),"Category mismatch","OK"))))))</f>
        <v>OK</v>
      </c>
      <c r="O353" s="125">
        <f t="shared" si="15"/>
        <v>25663.23</v>
      </c>
      <c r="P353" t="str">
        <f>IF(E353="","Unmapped",IFERROR(INDEX(Supplier_Lookup!$B$2:$B$25,MATCH(E353,Supplier_Lookup!$A$2:$A$25,0)),"Unmapped"))</f>
        <v>Agency Labour</v>
      </c>
      <c r="Q353" s="76">
        <f>IFERROR(INDEX(Category_Targets!$B$2:$B$9,MATCH(F353,Category_Targets!$A$2:$A$9,0)),0)</f>
        <v>7.0000000000000007E-2</v>
      </c>
      <c r="R353" s="125">
        <f t="shared" si="16"/>
        <v>1796.4261000000001</v>
      </c>
      <c r="S353" s="78">
        <f t="shared" si="17"/>
        <v>45748</v>
      </c>
      <c r="T353" t="str">
        <f>IFERROR(VLOOKUP(B353,Sites!$A$2:$D$21,4,FALSE()),"Unknown")</f>
        <v>Sheffield</v>
      </c>
      <c r="U353" t="str">
        <f>IF(N353="OK","",COUNTIF($N$2:N353,"&lt;&gt;OK"))</f>
        <v/>
      </c>
      <c r="V353">
        <f>IF(OR(NOT(EXACT(E353,TRIM(Procurement_Raw!E353))),NOT(EXACT(F353,TRIM(Procurement_Raw!F353)))),1,0)</f>
        <v>0</v>
      </c>
    </row>
    <row r="354" spans="1:22" ht="15" customHeight="1" x14ac:dyDescent="0.25">
      <c r="A354" s="123">
        <f>Procurement_Raw!A354</f>
        <v>45803</v>
      </c>
      <c r="B354" t="str">
        <f>TRIM(Procurement_Raw!B354)</f>
        <v>S020</v>
      </c>
      <c r="C354" t="str">
        <f>Procurement_Raw!C354</f>
        <v>Bangor Care &amp; Education Centre</v>
      </c>
      <c r="D354" t="str">
        <f>Procurement_Raw!D354</f>
        <v>Wales</v>
      </c>
      <c r="E354" t="str">
        <f>IF(TRIM(Procurement_Raw!E354)="","",IFERROR(INDEX(Supplier_Lookup!$A$2:$A$25,MATCH(TRIM(Procurement_Raw!E354),Supplier_Lookup!$A$2:$A$25,0)),TRIM(Procurement_Raw!E354)))</f>
        <v>NourishCo</v>
      </c>
      <c r="F354" t="str">
        <f>IFERROR(INDEX(Category_Targets!$A$2:$A$9,MATCH(TRIM(Procurement_Raw!F354),Category_Targets!$A$2:$A$9,0)),"Unmapped")</f>
        <v>Food &amp; Catering</v>
      </c>
      <c r="G354" t="str">
        <f>TRIM(Procurement_Raw!G354)</f>
        <v>INV-2025-00353</v>
      </c>
      <c r="H354" s="77">
        <f>Procurement_Raw!H354</f>
        <v>59</v>
      </c>
      <c r="I354" s="124">
        <f>Procurement_Raw!I354</f>
        <v>104.18</v>
      </c>
      <c r="J354" s="125">
        <f>IF(Procurement_Raw!J354="","",Procurement_Raw!J354)</f>
        <v>6146.5</v>
      </c>
      <c r="K354" s="77">
        <f>Procurement_Raw!K354</f>
        <v>60</v>
      </c>
      <c r="L354" t="str">
        <f>Procurement_Raw!L354</f>
        <v>Legacy Spend File</v>
      </c>
      <c r="M354" t="str">
        <f>Procurement_Raw!O354</f>
        <v>N</v>
      </c>
      <c r="N354" t="str">
        <f>IF(E354="","Missing supplier",IF(B354="","Missing site",IF(J354="","Missing spend",IF(COUNTIFS($G$2:G354,G354,$E$2:E354,E354,$J$2:J354,J354)&gt;1,"Duplicate invoice",IF(COUNTIF($G$2:$G$1801,G354)&gt;1,"Duplicate ID - review",IF(AND(P354&lt;&gt;"Unmapped",P354&lt;&gt;F354),"Category mismatch","OK"))))))</f>
        <v>OK</v>
      </c>
      <c r="O354" s="125">
        <f t="shared" si="15"/>
        <v>6146.5</v>
      </c>
      <c r="P354" t="str">
        <f>IF(E354="","Unmapped",IFERROR(INDEX(Supplier_Lookup!$B$2:$B$25,MATCH(E354,Supplier_Lookup!$A$2:$A$25,0)),"Unmapped"))</f>
        <v>Food &amp; Catering</v>
      </c>
      <c r="Q354" s="76">
        <f>IFERROR(INDEX(Category_Targets!$B$2:$B$9,MATCH(F354,Category_Targets!$A$2:$A$9,0)),0)</f>
        <v>0.04</v>
      </c>
      <c r="R354" s="125">
        <f t="shared" si="16"/>
        <v>245.86</v>
      </c>
      <c r="S354" s="78">
        <f t="shared" si="17"/>
        <v>45778</v>
      </c>
      <c r="T354" t="str">
        <f>IFERROR(VLOOKUP(B354,Sites!$A$2:$D$21,4,FALSE()),"Unknown")</f>
        <v>Bangor</v>
      </c>
      <c r="U354" t="str">
        <f>IF(N354="OK","",COUNTIF($N$2:N354,"&lt;&gt;OK"))</f>
        <v/>
      </c>
      <c r="V354">
        <f>IF(OR(NOT(EXACT(E354,TRIM(Procurement_Raw!E354))),NOT(EXACT(F354,TRIM(Procurement_Raw!F354)))),1,0)</f>
        <v>0</v>
      </c>
    </row>
    <row r="355" spans="1:22" ht="15" customHeight="1" x14ac:dyDescent="0.25">
      <c r="A355" s="123">
        <f>Procurement_Raw!A355</f>
        <v>45916</v>
      </c>
      <c r="B355" t="str">
        <f>TRIM(Procurement_Raw!B355)</f>
        <v>S005</v>
      </c>
      <c r="C355" t="str">
        <f>Procurement_Raw!C355</f>
        <v>Sheffield Care &amp; Education Centre</v>
      </c>
      <c r="D355" t="str">
        <f>Procurement_Raw!D355</f>
        <v>North</v>
      </c>
      <c r="E355" t="str">
        <f>IF(TRIM(Procurement_Raw!E355)="","",IFERROR(INDEX(Supplier_Lookup!$A$2:$A$25,MATCH(TRIM(Procurement_Raw!E355),Supplier_Lookup!$A$2:$A$25,0)),TRIM(Procurement_Raw!E355)))</f>
        <v>OfficePlus</v>
      </c>
      <c r="F355" t="str">
        <f>IFERROR(INDEX(Category_Targets!$A$2:$A$9,MATCH(TRIM(Procurement_Raw!F355),Category_Targets!$A$2:$A$9,0)),"Unmapped")</f>
        <v>Office &amp; Training</v>
      </c>
      <c r="G355" t="str">
        <f>TRIM(Procurement_Raw!G355)</f>
        <v>INV-2025-00354</v>
      </c>
      <c r="H355" s="77">
        <f>Procurement_Raw!H355</f>
        <v>60</v>
      </c>
      <c r="I355" s="124">
        <f>Procurement_Raw!I355</f>
        <v>68.680000000000007</v>
      </c>
      <c r="J355" s="125">
        <f>IF(Procurement_Raw!J355="","",Procurement_Raw!J355)</f>
        <v>4121.0600000000004</v>
      </c>
      <c r="K355" s="77">
        <f>Procurement_Raw!K355</f>
        <v>45</v>
      </c>
      <c r="L355" t="str">
        <f>Procurement_Raw!L355</f>
        <v>ERP</v>
      </c>
      <c r="M355" t="str">
        <f>Procurement_Raw!O355</f>
        <v>N</v>
      </c>
      <c r="N355" t="str">
        <f>IF(E355="","Missing supplier",IF(B355="","Missing site",IF(J355="","Missing spend",IF(COUNTIFS($G$2:G355,G355,$E$2:E355,E355,$J$2:J355,J355)&gt;1,"Duplicate invoice",IF(COUNTIF($G$2:$G$1801,G355)&gt;1,"Duplicate ID - review",IF(AND(P355&lt;&gt;"Unmapped",P355&lt;&gt;F355),"Category mismatch","OK"))))))</f>
        <v>OK</v>
      </c>
      <c r="O355" s="125">
        <f t="shared" si="15"/>
        <v>4121.0600000000004</v>
      </c>
      <c r="P355" t="str">
        <f>IF(E355="","Unmapped",IFERROR(INDEX(Supplier_Lookup!$B$2:$B$25,MATCH(E355,Supplier_Lookup!$A$2:$A$25,0)),"Unmapped"))</f>
        <v>Office &amp; Training</v>
      </c>
      <c r="Q355" s="76">
        <f>IFERROR(INDEX(Category_Targets!$B$2:$B$9,MATCH(F355,Category_Targets!$A$2:$A$9,0)),0)</f>
        <v>0.04</v>
      </c>
      <c r="R355" s="125">
        <f t="shared" si="16"/>
        <v>164.84240000000003</v>
      </c>
      <c r="S355" s="78">
        <f t="shared" si="17"/>
        <v>45901</v>
      </c>
      <c r="T355" t="str">
        <f>IFERROR(VLOOKUP(B355,Sites!$A$2:$D$21,4,FALSE()),"Unknown")</f>
        <v>Sheffield</v>
      </c>
      <c r="U355" t="str">
        <f>IF(N355="OK","",COUNTIF($N$2:N355,"&lt;&gt;OK"))</f>
        <v/>
      </c>
      <c r="V355">
        <f>IF(OR(NOT(EXACT(E355,TRIM(Procurement_Raw!E355))),NOT(EXACT(F355,TRIM(Procurement_Raw!F355)))),1,0)</f>
        <v>0</v>
      </c>
    </row>
    <row r="356" spans="1:22" ht="15" customHeight="1" x14ac:dyDescent="0.25">
      <c r="A356" s="123">
        <f>Procurement_Raw!A356</f>
        <v>45892</v>
      </c>
      <c r="B356" t="str">
        <f>TRIM(Procurement_Raw!B356)</f>
        <v>S005</v>
      </c>
      <c r="C356" t="str">
        <f>Procurement_Raw!C356</f>
        <v>Sheffield Care &amp; Education Centre</v>
      </c>
      <c r="D356" t="str">
        <f>Procurement_Raw!D356</f>
        <v>North</v>
      </c>
      <c r="E356" t="str">
        <f>IF(TRIM(Procurement_Raw!E356)="","",IFERROR(INDEX(Supplier_Lookup!$A$2:$A$25,MATCH(TRIM(Procurement_Raw!E356),Supplier_Lookup!$A$2:$A$25,0)),TRIM(Procurement_Raw!E356)))</f>
        <v>FleetFuel</v>
      </c>
      <c r="F356" t="str">
        <f>IFERROR(INDEX(Category_Targets!$A$2:$A$9,MATCH(TRIM(Procurement_Raw!F356),Category_Targets!$A$2:$A$9,0)),"Unmapped")</f>
        <v>Vehicle &amp; Fuel</v>
      </c>
      <c r="G356" t="str">
        <f>TRIM(Procurement_Raw!G356)</f>
        <v>INV-2025-00355</v>
      </c>
      <c r="H356" s="77">
        <f>Procurement_Raw!H356</f>
        <v>33</v>
      </c>
      <c r="I356" s="124">
        <f>Procurement_Raw!I356</f>
        <v>94.01</v>
      </c>
      <c r="J356" s="125">
        <f>IF(Procurement_Raw!J356="","",Procurement_Raw!J356)</f>
        <v>3102.38</v>
      </c>
      <c r="K356" s="77">
        <f>Procurement_Raw!K356</f>
        <v>60</v>
      </c>
      <c r="L356" t="str">
        <f>Procurement_Raw!L356</f>
        <v>ERP</v>
      </c>
      <c r="M356" t="str">
        <f>Procurement_Raw!O356</f>
        <v>Y</v>
      </c>
      <c r="N356" t="str">
        <f>IF(E356="","Missing supplier",IF(B356="","Missing site",IF(J356="","Missing spend",IF(COUNTIFS($G$2:G356,G356,$E$2:E356,E356,$J$2:J356,J356)&gt;1,"Duplicate invoice",IF(COUNTIF($G$2:$G$1801,G356)&gt;1,"Duplicate ID - review",IF(AND(P356&lt;&gt;"Unmapped",P356&lt;&gt;F356),"Category mismatch","OK"))))))</f>
        <v>OK</v>
      </c>
      <c r="O356" s="125">
        <f t="shared" si="15"/>
        <v>3102.38</v>
      </c>
      <c r="P356" t="str">
        <f>IF(E356="","Unmapped",IFERROR(INDEX(Supplier_Lookup!$B$2:$B$25,MATCH(E356,Supplier_Lookup!$A$2:$A$25,0)),"Unmapped"))</f>
        <v>Vehicle &amp; Fuel</v>
      </c>
      <c r="Q356" s="76">
        <f>IFERROR(INDEX(Category_Targets!$B$2:$B$9,MATCH(F356,Category_Targets!$A$2:$A$9,0)),0)</f>
        <v>0.05</v>
      </c>
      <c r="R356" s="125">
        <f t="shared" si="16"/>
        <v>155.11900000000003</v>
      </c>
      <c r="S356" s="78">
        <f t="shared" si="17"/>
        <v>45870</v>
      </c>
      <c r="T356" t="str">
        <f>IFERROR(VLOOKUP(B356,Sites!$A$2:$D$21,4,FALSE()),"Unknown")</f>
        <v>Sheffield</v>
      </c>
      <c r="U356" t="str">
        <f>IF(N356="OK","",COUNTIF($N$2:N356,"&lt;&gt;OK"))</f>
        <v/>
      </c>
      <c r="V356">
        <f>IF(OR(NOT(EXACT(E356,TRIM(Procurement_Raw!E356))),NOT(EXACT(F356,TRIM(Procurement_Raw!F356)))),1,0)</f>
        <v>0</v>
      </c>
    </row>
    <row r="357" spans="1:22" ht="15" customHeight="1" x14ac:dyDescent="0.25">
      <c r="A357" s="123">
        <f>Procurement_Raw!A357</f>
        <v>45948</v>
      </c>
      <c r="B357" t="str">
        <f>TRIM(Procurement_Raw!B357)</f>
        <v>S004</v>
      </c>
      <c r="C357" t="str">
        <f>Procurement_Raw!C357</f>
        <v>Newcastle Care &amp; Education Centre</v>
      </c>
      <c r="D357" t="str">
        <f>Procurement_Raw!D357</f>
        <v>North</v>
      </c>
      <c r="E357" t="str">
        <f>IF(TRIM(Procurement_Raw!E357)="","",IFERROR(INDEX(Supplier_Lookup!$A$2:$A$25,MATCH(TRIM(Procurement_Raw!E357),Supplier_Lookup!$A$2:$A$25,0)),TRIM(Procurement_Raw!E357)))</f>
        <v>RoadReady</v>
      </c>
      <c r="F357" t="str">
        <f>IFERROR(INDEX(Category_Targets!$A$2:$A$9,MATCH(TRIM(Procurement_Raw!F357),Category_Targets!$A$2:$A$9,0)),"Unmapped")</f>
        <v>Vehicle &amp; Fuel</v>
      </c>
      <c r="G357" t="str">
        <f>TRIM(Procurement_Raw!G357)</f>
        <v>INV-2025-00356</v>
      </c>
      <c r="H357" s="77">
        <f>Procurement_Raw!H357</f>
        <v>25</v>
      </c>
      <c r="I357" s="124">
        <f>Procurement_Raw!I357</f>
        <v>54.73</v>
      </c>
      <c r="J357" s="125">
        <f>IF(Procurement_Raw!J357="","",Procurement_Raw!J357)</f>
        <v>1368.35</v>
      </c>
      <c r="K357" s="77">
        <f>Procurement_Raw!K357</f>
        <v>30</v>
      </c>
      <c r="L357" t="str">
        <f>Procurement_Raw!L357</f>
        <v>Legacy Spend File</v>
      </c>
      <c r="M357" t="str">
        <f>Procurement_Raw!O357</f>
        <v>N</v>
      </c>
      <c r="N357" t="str">
        <f>IF(E357="","Missing supplier",IF(B357="","Missing site",IF(J357="","Missing spend",IF(COUNTIFS($G$2:G357,G357,$E$2:E357,E357,$J$2:J357,J357)&gt;1,"Duplicate invoice",IF(COUNTIF($G$2:$G$1801,G357)&gt;1,"Duplicate ID - review",IF(AND(P357&lt;&gt;"Unmapped",P357&lt;&gt;F357),"Category mismatch","OK"))))))</f>
        <v>OK</v>
      </c>
      <c r="O357" s="125">
        <f t="shared" si="15"/>
        <v>1368.35</v>
      </c>
      <c r="P357" t="str">
        <f>IF(E357="","Unmapped",IFERROR(INDEX(Supplier_Lookup!$B$2:$B$25,MATCH(E357,Supplier_Lookup!$A$2:$A$25,0)),"Unmapped"))</f>
        <v>Vehicle &amp; Fuel</v>
      </c>
      <c r="Q357" s="76">
        <f>IFERROR(INDEX(Category_Targets!$B$2:$B$9,MATCH(F357,Category_Targets!$A$2:$A$9,0)),0)</f>
        <v>0.05</v>
      </c>
      <c r="R357" s="125">
        <f t="shared" si="16"/>
        <v>68.417500000000004</v>
      </c>
      <c r="S357" s="78">
        <f t="shared" si="17"/>
        <v>45931</v>
      </c>
      <c r="T357" t="str">
        <f>IFERROR(VLOOKUP(B357,Sites!$A$2:$D$21,4,FALSE()),"Unknown")</f>
        <v>Newcastle</v>
      </c>
      <c r="U357" t="str">
        <f>IF(N357="OK","",COUNTIF($N$2:N357,"&lt;&gt;OK"))</f>
        <v/>
      </c>
      <c r="V357">
        <f>IF(OR(NOT(EXACT(E357,TRIM(Procurement_Raw!E357))),NOT(EXACT(F357,TRIM(Procurement_Raw!F357)))),1,0)</f>
        <v>0</v>
      </c>
    </row>
    <row r="358" spans="1:22" ht="15" customHeight="1" x14ac:dyDescent="0.25">
      <c r="A358" s="123">
        <f>Procurement_Raw!A358</f>
        <v>45921</v>
      </c>
      <c r="B358" t="str">
        <f>TRIM(Procurement_Raw!B358)</f>
        <v>S020</v>
      </c>
      <c r="C358" t="str">
        <f>Procurement_Raw!C358</f>
        <v>Bangor Care &amp; Education Centre</v>
      </c>
      <c r="D358" t="str">
        <f>Procurement_Raw!D358</f>
        <v>Wales</v>
      </c>
      <c r="E358" t="str">
        <f>IF(TRIM(Procurement_Raw!E358)="","",IFERROR(INDEX(Supplier_Lookup!$A$2:$A$25,MATCH(TRIM(Procurement_Raw!E358),Supplier_Lookup!$A$2:$A$25,0)),TRIM(Procurement_Raw!E358)))</f>
        <v>CareTemps</v>
      </c>
      <c r="F358" t="str">
        <f>IFERROR(INDEX(Category_Targets!$A$2:$A$9,MATCH(TRIM(Procurement_Raw!F358),Category_Targets!$A$2:$A$9,0)),"Unmapped")</f>
        <v>Agency Labour</v>
      </c>
      <c r="G358" t="str">
        <f>TRIM(Procurement_Raw!G358)</f>
        <v>INV-2025-00357</v>
      </c>
      <c r="H358" s="77">
        <f>Procurement_Raw!H358</f>
        <v>42</v>
      </c>
      <c r="I358" s="124">
        <f>Procurement_Raw!I358</f>
        <v>296.95999999999998</v>
      </c>
      <c r="J358" s="125">
        <f>IF(Procurement_Raw!J358="","",Procurement_Raw!J358)</f>
        <v>12472.35</v>
      </c>
      <c r="K358" s="77">
        <f>Procurement_Raw!K358</f>
        <v>30</v>
      </c>
      <c r="L358" t="str">
        <f>Procurement_Raw!L358</f>
        <v>Procurement Portal</v>
      </c>
      <c r="M358" t="str">
        <f>Procurement_Raw!O358</f>
        <v>N</v>
      </c>
      <c r="N358" t="str">
        <f>IF(E358="","Missing supplier",IF(B358="","Missing site",IF(J358="","Missing spend",IF(COUNTIFS($G$2:G358,G358,$E$2:E358,E358,$J$2:J358,J358)&gt;1,"Duplicate invoice",IF(COUNTIF($G$2:$G$1801,G358)&gt;1,"Duplicate ID - review",IF(AND(P358&lt;&gt;"Unmapped",P358&lt;&gt;F358),"Category mismatch","OK"))))))</f>
        <v>OK</v>
      </c>
      <c r="O358" s="125">
        <f t="shared" si="15"/>
        <v>12472.35</v>
      </c>
      <c r="P358" t="str">
        <f>IF(E358="","Unmapped",IFERROR(INDEX(Supplier_Lookup!$B$2:$B$25,MATCH(E358,Supplier_Lookup!$A$2:$A$25,0)),"Unmapped"))</f>
        <v>Agency Labour</v>
      </c>
      <c r="Q358" s="76">
        <f>IFERROR(INDEX(Category_Targets!$B$2:$B$9,MATCH(F358,Category_Targets!$A$2:$A$9,0)),0)</f>
        <v>7.0000000000000007E-2</v>
      </c>
      <c r="R358" s="125">
        <f t="shared" si="16"/>
        <v>873.06450000000007</v>
      </c>
      <c r="S358" s="78">
        <f t="shared" si="17"/>
        <v>45901</v>
      </c>
      <c r="T358" t="str">
        <f>IFERROR(VLOOKUP(B358,Sites!$A$2:$D$21,4,FALSE()),"Unknown")</f>
        <v>Bangor</v>
      </c>
      <c r="U358" t="str">
        <f>IF(N358="OK","",COUNTIF($N$2:N358,"&lt;&gt;OK"))</f>
        <v/>
      </c>
      <c r="V358">
        <f>IF(OR(NOT(EXACT(E358,TRIM(Procurement_Raw!E358))),NOT(EXACT(F358,TRIM(Procurement_Raw!F358)))),1,0)</f>
        <v>0</v>
      </c>
    </row>
    <row r="359" spans="1:22" ht="15" customHeight="1" x14ac:dyDescent="0.25">
      <c r="A359" s="123">
        <f>Procurement_Raw!A359</f>
        <v>45729</v>
      </c>
      <c r="B359" t="str">
        <f>TRIM(Procurement_Raw!B359)</f>
        <v>S014</v>
      </c>
      <c r="C359" t="str">
        <f>Procurement_Raw!C359</f>
        <v>Southampton Care &amp; Education Centre</v>
      </c>
      <c r="D359" t="str">
        <f>Procurement_Raw!D359</f>
        <v>South</v>
      </c>
      <c r="E359" t="str">
        <f>IF(TRIM(Procurement_Raw!E359)="","",IFERROR(INDEX(Supplier_Lookup!$A$2:$A$25,MATCH(TRIM(Procurement_Raw!E359),Supplier_Lookup!$A$2:$A$25,0)),TRIM(Procurement_Raw!E359)))</f>
        <v>FreshServe</v>
      </c>
      <c r="F359" t="str">
        <f>IFERROR(INDEX(Category_Targets!$A$2:$A$9,MATCH(TRIM(Procurement_Raw!F359),Category_Targets!$A$2:$A$9,0)),"Unmapped")</f>
        <v>Food &amp; Catering</v>
      </c>
      <c r="G359" t="str">
        <f>TRIM(Procurement_Raw!G359)</f>
        <v>INV-2025-00358</v>
      </c>
      <c r="H359" s="77">
        <f>Procurement_Raw!H359</f>
        <v>62</v>
      </c>
      <c r="I359" s="124">
        <f>Procurement_Raw!I359</f>
        <v>55.46</v>
      </c>
      <c r="J359" s="125">
        <f>IF(Procurement_Raw!J359="","",Procurement_Raw!J359)</f>
        <v>3438.39</v>
      </c>
      <c r="K359" s="77">
        <f>Procurement_Raw!K359</f>
        <v>45</v>
      </c>
      <c r="L359" t="str">
        <f>Procurement_Raw!L359</f>
        <v>ERP</v>
      </c>
      <c r="M359" t="str">
        <f>Procurement_Raw!O359</f>
        <v>Y</v>
      </c>
      <c r="N359" t="str">
        <f>IF(E359="","Missing supplier",IF(B359="","Missing site",IF(J359="","Missing spend",IF(COUNTIFS($G$2:G359,G359,$E$2:E359,E359,$J$2:J359,J359)&gt;1,"Duplicate invoice",IF(COUNTIF($G$2:$G$1801,G359)&gt;1,"Duplicate ID - review",IF(AND(P359&lt;&gt;"Unmapped",P359&lt;&gt;F359),"Category mismatch","OK"))))))</f>
        <v>OK</v>
      </c>
      <c r="O359" s="125">
        <f t="shared" si="15"/>
        <v>3438.39</v>
      </c>
      <c r="P359" t="str">
        <f>IF(E359="","Unmapped",IFERROR(INDEX(Supplier_Lookup!$B$2:$B$25,MATCH(E359,Supplier_Lookup!$A$2:$A$25,0)),"Unmapped"))</f>
        <v>Food &amp; Catering</v>
      </c>
      <c r="Q359" s="76">
        <f>IFERROR(INDEX(Category_Targets!$B$2:$B$9,MATCH(F359,Category_Targets!$A$2:$A$9,0)),0)</f>
        <v>0.04</v>
      </c>
      <c r="R359" s="125">
        <f t="shared" si="16"/>
        <v>137.53559999999999</v>
      </c>
      <c r="S359" s="78">
        <f t="shared" si="17"/>
        <v>45717</v>
      </c>
      <c r="T359" t="str">
        <f>IFERROR(VLOOKUP(B359,Sites!$A$2:$D$21,4,FALSE()),"Unknown")</f>
        <v>Southampton</v>
      </c>
      <c r="U359" t="str">
        <f>IF(N359="OK","",COUNTIF($N$2:N359,"&lt;&gt;OK"))</f>
        <v/>
      </c>
      <c r="V359">
        <f>IF(OR(NOT(EXACT(E359,TRIM(Procurement_Raw!E359))),NOT(EXACT(F359,TRIM(Procurement_Raw!F359)))),1,0)</f>
        <v>0</v>
      </c>
    </row>
    <row r="360" spans="1:22" ht="15" customHeight="1" x14ac:dyDescent="0.25">
      <c r="A360" s="123">
        <f>Procurement_Raw!A360</f>
        <v>45778</v>
      </c>
      <c r="B360" t="str">
        <f>TRIM(Procurement_Raw!B360)</f>
        <v>S004</v>
      </c>
      <c r="C360" t="str">
        <f>Procurement_Raw!C360</f>
        <v>Newcastle Care &amp; Education Centre</v>
      </c>
      <c r="D360" t="str">
        <f>Procurement_Raw!D360</f>
        <v>North</v>
      </c>
      <c r="E360" t="str">
        <f>IF(TRIM(Procurement_Raw!E360)="","",IFERROR(INDEX(Supplier_Lookup!$A$2:$A$25,MATCH(TRIM(Procurement_Raw!E360),Supplier_Lookup!$A$2:$A$25,0)),TRIM(Procurement_Raw!E360)))</f>
        <v>TeleCare IT</v>
      </c>
      <c r="F360" t="str">
        <f>IFERROR(INDEX(Category_Targets!$A$2:$A$9,MATCH(TRIM(Procurement_Raw!F360),Category_Targets!$A$2:$A$9,0)),"Unmapped")</f>
        <v>IT &amp; Telecoms</v>
      </c>
      <c r="G360" t="str">
        <f>TRIM(Procurement_Raw!G360)</f>
        <v>INV-2025-00359</v>
      </c>
      <c r="H360" s="77">
        <f>Procurement_Raw!H360</f>
        <v>58</v>
      </c>
      <c r="I360" s="124">
        <f>Procurement_Raw!I360</f>
        <v>262.73</v>
      </c>
      <c r="J360" s="125">
        <f>IF(Procurement_Raw!J360="","",Procurement_Raw!J360)</f>
        <v>15238.28</v>
      </c>
      <c r="K360" s="77">
        <f>Procurement_Raw!K360</f>
        <v>45</v>
      </c>
      <c r="L360" t="str">
        <f>Procurement_Raw!L360</f>
        <v>Procurement Portal</v>
      </c>
      <c r="M360" t="str">
        <f>Procurement_Raw!O360</f>
        <v>N</v>
      </c>
      <c r="N360" t="str">
        <f>IF(E360="","Missing supplier",IF(B360="","Missing site",IF(J360="","Missing spend",IF(COUNTIFS($G$2:G360,G360,$E$2:E360,E360,$J$2:J360,J360)&gt;1,"Duplicate invoice",IF(COUNTIF($G$2:$G$1801,G360)&gt;1,"Duplicate ID - review",IF(AND(P360&lt;&gt;"Unmapped",P360&lt;&gt;F360),"Category mismatch","OK"))))))</f>
        <v>OK</v>
      </c>
      <c r="O360" s="125">
        <f t="shared" si="15"/>
        <v>15238.28</v>
      </c>
      <c r="P360" t="str">
        <f>IF(E360="","Unmapped",IFERROR(INDEX(Supplier_Lookup!$B$2:$B$25,MATCH(E360,Supplier_Lookup!$A$2:$A$25,0)),"Unmapped"))</f>
        <v>IT &amp; Telecoms</v>
      </c>
      <c r="Q360" s="76">
        <f>IFERROR(INDEX(Category_Targets!$B$2:$B$9,MATCH(F360,Category_Targets!$A$2:$A$9,0)),0)</f>
        <v>0.08</v>
      </c>
      <c r="R360" s="125">
        <f t="shared" si="16"/>
        <v>1219.0624</v>
      </c>
      <c r="S360" s="78">
        <f t="shared" si="17"/>
        <v>45778</v>
      </c>
      <c r="T360" t="str">
        <f>IFERROR(VLOOKUP(B360,Sites!$A$2:$D$21,4,FALSE()),"Unknown")</f>
        <v>Newcastle</v>
      </c>
      <c r="U360" t="str">
        <f>IF(N360="OK","",COUNTIF($N$2:N360,"&lt;&gt;OK"))</f>
        <v/>
      </c>
      <c r="V360">
        <f>IF(OR(NOT(EXACT(E360,TRIM(Procurement_Raw!E360))),NOT(EXACT(F360,TRIM(Procurement_Raw!F360)))),1,0)</f>
        <v>0</v>
      </c>
    </row>
    <row r="361" spans="1:22" ht="15" customHeight="1" x14ac:dyDescent="0.25">
      <c r="A361" s="123">
        <f>Procurement_Raw!A361</f>
        <v>45992</v>
      </c>
      <c r="B361" t="str">
        <f>TRIM(Procurement_Raw!B361)</f>
        <v>S002</v>
      </c>
      <c r="C361" t="str">
        <f>Procurement_Raw!C361</f>
        <v>Manchester Care &amp; Education Centre</v>
      </c>
      <c r="D361" t="str">
        <f>Procurement_Raw!D361</f>
        <v>North</v>
      </c>
      <c r="E361" t="str">
        <f>IF(TRIM(Procurement_Raw!E361)="","",IFERROR(INDEX(Supplier_Lookup!$A$2:$A$25,MATCH(TRIM(Procurement_Raw!E361),Supplier_Lookup!$A$2:$A$25,0)),TRIM(Procurement_Raw!E361)))</f>
        <v>CareMed</v>
      </c>
      <c r="F361" t="str">
        <f>IFERROR(INDEX(Category_Targets!$A$2:$A$9,MATCH(TRIM(Procurement_Raw!F361),Category_Targets!$A$2:$A$9,0)),"Unmapped")</f>
        <v>Medical Supplies</v>
      </c>
      <c r="G361" t="str">
        <f>TRIM(Procurement_Raw!G361)</f>
        <v>INV-2025-00360</v>
      </c>
      <c r="H361" s="77">
        <f>Procurement_Raw!H361</f>
        <v>47</v>
      </c>
      <c r="I361" s="124">
        <f>Procurement_Raw!I361</f>
        <v>76.14</v>
      </c>
      <c r="J361" s="125">
        <f>IF(Procurement_Raw!J361="","",Procurement_Raw!J361)</f>
        <v>3578.37</v>
      </c>
      <c r="K361" s="77">
        <f>Procurement_Raw!K361</f>
        <v>60</v>
      </c>
      <c r="L361" t="str">
        <f>Procurement_Raw!L361</f>
        <v>ERP</v>
      </c>
      <c r="M361" t="str">
        <f>Procurement_Raw!O361</f>
        <v>N</v>
      </c>
      <c r="N361" t="str">
        <f>IF(E361="","Missing supplier",IF(B361="","Missing site",IF(J361="","Missing spend",IF(COUNTIFS($G$2:G361,G361,$E$2:E361,E361,$J$2:J361,J361)&gt;1,"Duplicate invoice",IF(COUNTIF($G$2:$G$1801,G361)&gt;1,"Duplicate ID - review",IF(AND(P361&lt;&gt;"Unmapped",P361&lt;&gt;F361),"Category mismatch","OK"))))))</f>
        <v>OK</v>
      </c>
      <c r="O361" s="125">
        <f t="shared" si="15"/>
        <v>3578.37</v>
      </c>
      <c r="P361" t="str">
        <f>IF(E361="","Unmapped",IFERROR(INDEX(Supplier_Lookup!$B$2:$B$25,MATCH(E361,Supplier_Lookup!$A$2:$A$25,0)),"Unmapped"))</f>
        <v>Medical Supplies</v>
      </c>
      <c r="Q361" s="76">
        <f>IFERROR(INDEX(Category_Targets!$B$2:$B$9,MATCH(F361,Category_Targets!$A$2:$A$9,0)),0)</f>
        <v>0.06</v>
      </c>
      <c r="R361" s="125">
        <f t="shared" si="16"/>
        <v>214.70219999999998</v>
      </c>
      <c r="S361" s="78">
        <f t="shared" si="17"/>
        <v>45992</v>
      </c>
      <c r="T361" t="str">
        <f>IFERROR(VLOOKUP(B361,Sites!$A$2:$D$21,4,FALSE()),"Unknown")</f>
        <v>Manchester</v>
      </c>
      <c r="U361" t="str">
        <f>IF(N361="OK","",COUNTIF($N$2:N361,"&lt;&gt;OK"))</f>
        <v/>
      </c>
      <c r="V361">
        <f>IF(OR(NOT(EXACT(E361,TRIM(Procurement_Raw!E361))),NOT(EXACT(F361,TRIM(Procurement_Raw!F361)))),1,0)</f>
        <v>0</v>
      </c>
    </row>
    <row r="362" spans="1:22" ht="15" customHeight="1" x14ac:dyDescent="0.25">
      <c r="A362" s="123">
        <f>Procurement_Raw!A362</f>
        <v>45815</v>
      </c>
      <c r="B362" t="str">
        <f>TRIM(Procurement_Raw!B362)</f>
        <v>S002</v>
      </c>
      <c r="C362" t="str">
        <f>Procurement_Raw!C362</f>
        <v>Manchester Care &amp; Education Centre</v>
      </c>
      <c r="D362" t="str">
        <f>Procurement_Raw!D362</f>
        <v>North</v>
      </c>
      <c r="E362" t="str">
        <f>IF(TRIM(Procurement_Raw!E362)="","",IFERROR(INDEX(Supplier_Lookup!$A$2:$A$25,MATCH(TRIM(Procurement_Raw!E362),Supplier_Lookup!$A$2:$A$25,0)),TRIM(Procurement_Raw!E362)))</f>
        <v>NourishCo</v>
      </c>
      <c r="F362" t="str">
        <f>IFERROR(INDEX(Category_Targets!$A$2:$A$9,MATCH(TRIM(Procurement_Raw!F362),Category_Targets!$A$2:$A$9,0)),"Unmapped")</f>
        <v>Food &amp; Catering</v>
      </c>
      <c r="G362" t="str">
        <f>TRIM(Procurement_Raw!G362)</f>
        <v>INV-2025-00361</v>
      </c>
      <c r="H362" s="77">
        <f>Procurement_Raw!H362</f>
        <v>21</v>
      </c>
      <c r="I362" s="124">
        <f>Procurement_Raw!I362</f>
        <v>86.49</v>
      </c>
      <c r="J362" s="125">
        <f>IF(Procurement_Raw!J362="","",Procurement_Raw!J362)</f>
        <v>1816.29</v>
      </c>
      <c r="K362" s="77">
        <f>Procurement_Raw!K362</f>
        <v>45</v>
      </c>
      <c r="L362" t="str">
        <f>Procurement_Raw!L362</f>
        <v>Legacy Spend File</v>
      </c>
      <c r="M362" t="str">
        <f>Procurement_Raw!O362</f>
        <v>N</v>
      </c>
      <c r="N362" t="str">
        <f>IF(E362="","Missing supplier",IF(B362="","Missing site",IF(J362="","Missing spend",IF(COUNTIFS($G$2:G362,G362,$E$2:E362,E362,$J$2:J362,J362)&gt;1,"Duplicate invoice",IF(COUNTIF($G$2:$G$1801,G362)&gt;1,"Duplicate ID - review",IF(AND(P362&lt;&gt;"Unmapped",P362&lt;&gt;F362),"Category mismatch","OK"))))))</f>
        <v>OK</v>
      </c>
      <c r="O362" s="125">
        <f t="shared" si="15"/>
        <v>1816.29</v>
      </c>
      <c r="P362" t="str">
        <f>IF(E362="","Unmapped",IFERROR(INDEX(Supplier_Lookup!$B$2:$B$25,MATCH(E362,Supplier_Lookup!$A$2:$A$25,0)),"Unmapped"))</f>
        <v>Food &amp; Catering</v>
      </c>
      <c r="Q362" s="76">
        <f>IFERROR(INDEX(Category_Targets!$B$2:$B$9,MATCH(F362,Category_Targets!$A$2:$A$9,0)),0)</f>
        <v>0.04</v>
      </c>
      <c r="R362" s="125">
        <f t="shared" si="16"/>
        <v>72.651600000000002</v>
      </c>
      <c r="S362" s="78">
        <f t="shared" si="17"/>
        <v>45809</v>
      </c>
      <c r="T362" t="str">
        <f>IFERROR(VLOOKUP(B362,Sites!$A$2:$D$21,4,FALSE()),"Unknown")</f>
        <v>Manchester</v>
      </c>
      <c r="U362" t="str">
        <f>IF(N362="OK","",COUNTIF($N$2:N362,"&lt;&gt;OK"))</f>
        <v/>
      </c>
      <c r="V362">
        <f>IF(OR(NOT(EXACT(E362,TRIM(Procurement_Raw!E362))),NOT(EXACT(F362,TRIM(Procurement_Raw!F362)))),1,0)</f>
        <v>0</v>
      </c>
    </row>
    <row r="363" spans="1:22" ht="15" customHeight="1" x14ac:dyDescent="0.25">
      <c r="A363" s="123">
        <f>Procurement_Raw!A363</f>
        <v>45718</v>
      </c>
      <c r="B363" t="str">
        <f>TRIM(Procurement_Raw!B363)</f>
        <v>S001</v>
      </c>
      <c r="C363" t="str">
        <f>Procurement_Raw!C363</f>
        <v>Preston Care &amp; Education Centre</v>
      </c>
      <c r="D363" t="str">
        <f>Procurement_Raw!D363</f>
        <v>North</v>
      </c>
      <c r="E363" t="str">
        <f>IF(TRIM(Procurement_Raw!E363)="","",IFERROR(INDEX(Supplier_Lookup!$A$2:$A$25,MATCH(TRIM(Procurement_Raw!E363),Supplier_Lookup!$A$2:$A$25,0)),TRIM(Procurement_Raw!E363)))</f>
        <v>NetServe</v>
      </c>
      <c r="F363" t="str">
        <f>IFERROR(INDEX(Category_Targets!$A$2:$A$9,MATCH(TRIM(Procurement_Raw!F363),Category_Targets!$A$2:$A$9,0)),"Unmapped")</f>
        <v>IT &amp; Telecoms</v>
      </c>
      <c r="G363" t="str">
        <f>TRIM(Procurement_Raw!G363)</f>
        <v>INV-2025-00362</v>
      </c>
      <c r="H363" s="77">
        <f>Procurement_Raw!H363</f>
        <v>38</v>
      </c>
      <c r="I363" s="124">
        <f>Procurement_Raw!I363</f>
        <v>511.14</v>
      </c>
      <c r="J363" s="125">
        <f>IF(Procurement_Raw!J363="","",Procurement_Raw!J363)</f>
        <v>19423.13</v>
      </c>
      <c r="K363" s="77">
        <f>Procurement_Raw!K363</f>
        <v>45</v>
      </c>
      <c r="L363" t="str">
        <f>Procurement_Raw!L363</f>
        <v>Legacy Spend File</v>
      </c>
      <c r="M363" t="str">
        <f>Procurement_Raw!O363</f>
        <v>N</v>
      </c>
      <c r="N363" t="str">
        <f>IF(E363="","Missing supplier",IF(B363="","Missing site",IF(J363="","Missing spend",IF(COUNTIFS($G$2:G363,G363,$E$2:E363,E363,$J$2:J363,J363)&gt;1,"Duplicate invoice",IF(COUNTIF($G$2:$G$1801,G363)&gt;1,"Duplicate ID - review",IF(AND(P363&lt;&gt;"Unmapped",P363&lt;&gt;F363),"Category mismatch","OK"))))))</f>
        <v>OK</v>
      </c>
      <c r="O363" s="125">
        <f t="shared" si="15"/>
        <v>19423.13</v>
      </c>
      <c r="P363" t="str">
        <f>IF(E363="","Unmapped",IFERROR(INDEX(Supplier_Lookup!$B$2:$B$25,MATCH(E363,Supplier_Lookup!$A$2:$A$25,0)),"Unmapped"))</f>
        <v>IT &amp; Telecoms</v>
      </c>
      <c r="Q363" s="76">
        <f>IFERROR(INDEX(Category_Targets!$B$2:$B$9,MATCH(F363,Category_Targets!$A$2:$A$9,0)),0)</f>
        <v>0.08</v>
      </c>
      <c r="R363" s="125">
        <f t="shared" si="16"/>
        <v>1553.8504</v>
      </c>
      <c r="S363" s="78">
        <f t="shared" si="17"/>
        <v>45717</v>
      </c>
      <c r="T363" t="str">
        <f>IFERROR(VLOOKUP(B363,Sites!$A$2:$D$21,4,FALSE()),"Unknown")</f>
        <v>Preston</v>
      </c>
      <c r="U363" t="str">
        <f>IF(N363="OK","",COUNTIF($N$2:N363,"&lt;&gt;OK"))</f>
        <v/>
      </c>
      <c r="V363">
        <f>IF(OR(NOT(EXACT(E363,TRIM(Procurement_Raw!E363))),NOT(EXACT(F363,TRIM(Procurement_Raw!F363)))),1,0)</f>
        <v>0</v>
      </c>
    </row>
    <row r="364" spans="1:22" ht="15" customHeight="1" x14ac:dyDescent="0.25">
      <c r="A364" s="123">
        <f>Procurement_Raw!A364</f>
        <v>45902</v>
      </c>
      <c r="B364" t="str">
        <f>TRIM(Procurement_Raw!B364)</f>
        <v>S012</v>
      </c>
      <c r="C364" t="str">
        <f>Procurement_Raw!C364</f>
        <v>Bristol Care &amp; Education Centre</v>
      </c>
      <c r="D364" t="str">
        <f>Procurement_Raw!D364</f>
        <v>South</v>
      </c>
      <c r="E364" t="str">
        <f>IF(TRIM(Procurement_Raw!E364)="","",IFERROR(INDEX(Supplier_Lookup!$A$2:$A$25,MATCH(TRIM(Procurement_Raw!E364),Supplier_Lookup!$A$2:$A$25,0)),TRIM(Procurement_Raw!E364)))</f>
        <v>UK Energy Partners</v>
      </c>
      <c r="F364" t="str">
        <f>IFERROR(INDEX(Category_Targets!$A$2:$A$9,MATCH(TRIM(Procurement_Raw!F364),Category_Targets!$A$2:$A$9,0)),"Unmapped")</f>
        <v>Utilities</v>
      </c>
      <c r="G364" t="str">
        <f>TRIM(Procurement_Raw!G364)</f>
        <v>INV-2025-00363</v>
      </c>
      <c r="H364" s="77">
        <f>Procurement_Raw!H364</f>
        <v>20</v>
      </c>
      <c r="I364" s="124">
        <f>Procurement_Raw!I364</f>
        <v>235.48</v>
      </c>
      <c r="J364" s="125">
        <f>IF(Procurement_Raw!J364="","",Procurement_Raw!J364)</f>
        <v>4709.68</v>
      </c>
      <c r="K364" s="77">
        <f>Procurement_Raw!K364</f>
        <v>45</v>
      </c>
      <c r="L364" t="str">
        <f>Procurement_Raw!L364</f>
        <v>Legacy Spend File</v>
      </c>
      <c r="M364" t="str">
        <f>Procurement_Raw!O364</f>
        <v>N</v>
      </c>
      <c r="N364" t="str">
        <f>IF(E364="","Missing supplier",IF(B364="","Missing site",IF(J364="","Missing spend",IF(COUNTIFS($G$2:G364,G364,$E$2:E364,E364,$J$2:J364,J364)&gt;1,"Duplicate invoice",IF(COUNTIF($G$2:$G$1801,G364)&gt;1,"Duplicate ID - review",IF(AND(P364&lt;&gt;"Unmapped",P364&lt;&gt;F364),"Category mismatch","OK"))))))</f>
        <v>OK</v>
      </c>
      <c r="O364" s="125">
        <f t="shared" si="15"/>
        <v>4709.68</v>
      </c>
      <c r="P364" t="str">
        <f>IF(E364="","Unmapped",IFERROR(INDEX(Supplier_Lookup!$B$2:$B$25,MATCH(E364,Supplier_Lookup!$A$2:$A$25,0)),"Unmapped"))</f>
        <v>Utilities</v>
      </c>
      <c r="Q364" s="76">
        <f>IFERROR(INDEX(Category_Targets!$B$2:$B$9,MATCH(F364,Category_Targets!$A$2:$A$9,0)),0)</f>
        <v>0.03</v>
      </c>
      <c r="R364" s="125">
        <f t="shared" si="16"/>
        <v>141.29040000000001</v>
      </c>
      <c r="S364" s="78">
        <f t="shared" si="17"/>
        <v>45901</v>
      </c>
      <c r="T364" t="str">
        <f>IFERROR(VLOOKUP(B364,Sites!$A$2:$D$21,4,FALSE()),"Unknown")</f>
        <v>Bristol</v>
      </c>
      <c r="U364" t="str">
        <f>IF(N364="OK","",COUNTIF($N$2:N364,"&lt;&gt;OK"))</f>
        <v/>
      </c>
      <c r="V364">
        <f>IF(OR(NOT(EXACT(E364,TRIM(Procurement_Raw!E364))),NOT(EXACT(F364,TRIM(Procurement_Raw!F364)))),1,0)</f>
        <v>0</v>
      </c>
    </row>
    <row r="365" spans="1:22" ht="15" customHeight="1" x14ac:dyDescent="0.25">
      <c r="A365" s="123">
        <f>Procurement_Raw!A365</f>
        <v>46017</v>
      </c>
      <c r="B365" t="str">
        <f>TRIM(Procurement_Raw!B365)</f>
        <v>S018</v>
      </c>
      <c r="C365" t="str">
        <f>Procurement_Raw!C365</f>
        <v>Newport Care &amp; Education Centre</v>
      </c>
      <c r="D365" t="str">
        <f>Procurement_Raw!D365</f>
        <v>Wales</v>
      </c>
      <c r="E365" t="str">
        <f>IF(TRIM(Procurement_Raw!E365)="","",IFERROR(INDEX(Supplier_Lookup!$A$2:$A$25,MATCH(TRIM(Procurement_Raw!E365),Supplier_Lookup!$A$2:$A$25,0)),TRIM(Procurement_Raw!E365)))</f>
        <v>RoadReady</v>
      </c>
      <c r="F365" t="str">
        <f>IFERROR(INDEX(Category_Targets!$A$2:$A$9,MATCH(TRIM(Procurement_Raw!F365),Category_Targets!$A$2:$A$9,0)),"Unmapped")</f>
        <v>Vehicle &amp; Fuel</v>
      </c>
      <c r="G365" t="str">
        <f>TRIM(Procurement_Raw!G365)</f>
        <v>INV-2025-00364</v>
      </c>
      <c r="H365" s="77">
        <f>Procurement_Raw!H365</f>
        <v>71</v>
      </c>
      <c r="I365" s="124">
        <f>Procurement_Raw!I365</f>
        <v>118.49</v>
      </c>
      <c r="J365" s="125">
        <f>IF(Procurement_Raw!J365="","",Procurement_Raw!J365)</f>
        <v>8412.7000000000007</v>
      </c>
      <c r="K365" s="77">
        <f>Procurement_Raw!K365</f>
        <v>45</v>
      </c>
      <c r="L365" t="str">
        <f>Procurement_Raw!L365</f>
        <v>Legacy Spend File</v>
      </c>
      <c r="M365" t="str">
        <f>Procurement_Raw!O365</f>
        <v>N</v>
      </c>
      <c r="N365" t="str">
        <f>IF(E365="","Missing supplier",IF(B365="","Missing site",IF(J365="","Missing spend",IF(COUNTIFS($G$2:G365,G365,$E$2:E365,E365,$J$2:J365,J365)&gt;1,"Duplicate invoice",IF(COUNTIF($G$2:$G$1801,G365)&gt;1,"Duplicate ID - review",IF(AND(P365&lt;&gt;"Unmapped",P365&lt;&gt;F365),"Category mismatch","OK"))))))</f>
        <v>OK</v>
      </c>
      <c r="O365" s="125">
        <f t="shared" si="15"/>
        <v>8412.7000000000007</v>
      </c>
      <c r="P365" t="str">
        <f>IF(E365="","Unmapped",IFERROR(INDEX(Supplier_Lookup!$B$2:$B$25,MATCH(E365,Supplier_Lookup!$A$2:$A$25,0)),"Unmapped"))</f>
        <v>Vehicle &amp; Fuel</v>
      </c>
      <c r="Q365" s="76">
        <f>IFERROR(INDEX(Category_Targets!$B$2:$B$9,MATCH(F365,Category_Targets!$A$2:$A$9,0)),0)</f>
        <v>0.05</v>
      </c>
      <c r="R365" s="125">
        <f t="shared" si="16"/>
        <v>420.63500000000005</v>
      </c>
      <c r="S365" s="78">
        <f t="shared" si="17"/>
        <v>45992</v>
      </c>
      <c r="T365" t="str">
        <f>IFERROR(VLOOKUP(B365,Sites!$A$2:$D$21,4,FALSE()),"Unknown")</f>
        <v>Newport</v>
      </c>
      <c r="U365" t="str">
        <f>IF(N365="OK","",COUNTIF($N$2:N365,"&lt;&gt;OK"))</f>
        <v/>
      </c>
      <c r="V365">
        <f>IF(OR(NOT(EXACT(E365,TRIM(Procurement_Raw!E365))),NOT(EXACT(F365,TRIM(Procurement_Raw!F365)))),1,0)</f>
        <v>0</v>
      </c>
    </row>
    <row r="366" spans="1:22" ht="15" customHeight="1" x14ac:dyDescent="0.25">
      <c r="A366" s="123">
        <f>Procurement_Raw!A366</f>
        <v>46006</v>
      </c>
      <c r="B366" t="str">
        <f>TRIM(Procurement_Raw!B366)</f>
        <v>S012</v>
      </c>
      <c r="C366" t="str">
        <f>Procurement_Raw!C366</f>
        <v>Bristol Care &amp; Education Centre</v>
      </c>
      <c r="D366" t="str">
        <f>Procurement_Raw!D366</f>
        <v>South</v>
      </c>
      <c r="E366" t="str">
        <f>IF(TRIM(Procurement_Raw!E366)="","",IFERROR(INDEX(Supplier_Lookup!$A$2:$A$25,MATCH(TRIM(Procurement_Raw!E366),Supplier_Lookup!$A$2:$A$25,0)),TRIM(Procurement_Raw!E366)))</f>
        <v>UK Energy Partners</v>
      </c>
      <c r="F366" t="str">
        <f>IFERROR(INDEX(Category_Targets!$A$2:$A$9,MATCH(TRIM(Procurement_Raw!F366),Category_Targets!$A$2:$A$9,0)),"Unmapped")</f>
        <v>Utilities</v>
      </c>
      <c r="G366" t="str">
        <f>TRIM(Procurement_Raw!G366)</f>
        <v>INV-2025-00365</v>
      </c>
      <c r="H366" s="77">
        <f>Procurement_Raw!H366</f>
        <v>77</v>
      </c>
      <c r="I366" s="124">
        <f>Procurement_Raw!I366</f>
        <v>365.42</v>
      </c>
      <c r="J366" s="125">
        <f>IF(Procurement_Raw!J366="","",Procurement_Raw!J366)</f>
        <v>28137.14</v>
      </c>
      <c r="K366" s="77">
        <f>Procurement_Raw!K366</f>
        <v>30</v>
      </c>
      <c r="L366" t="str">
        <f>Procurement_Raw!L366</f>
        <v>Legacy Spend File</v>
      </c>
      <c r="M366" t="str">
        <f>Procurement_Raw!O366</f>
        <v>N</v>
      </c>
      <c r="N366" t="str">
        <f>IF(E366="","Missing supplier",IF(B366="","Missing site",IF(J366="","Missing spend",IF(COUNTIFS($G$2:G366,G366,$E$2:E366,E366,$J$2:J366,J366)&gt;1,"Duplicate invoice",IF(COUNTIF($G$2:$G$1801,G366)&gt;1,"Duplicate ID - review",IF(AND(P366&lt;&gt;"Unmapped",P366&lt;&gt;F366),"Category mismatch","OK"))))))</f>
        <v>OK</v>
      </c>
      <c r="O366" s="125">
        <f t="shared" si="15"/>
        <v>28137.14</v>
      </c>
      <c r="P366" t="str">
        <f>IF(E366="","Unmapped",IFERROR(INDEX(Supplier_Lookup!$B$2:$B$25,MATCH(E366,Supplier_Lookup!$A$2:$A$25,0)),"Unmapped"))</f>
        <v>Utilities</v>
      </c>
      <c r="Q366" s="76">
        <f>IFERROR(INDEX(Category_Targets!$B$2:$B$9,MATCH(F366,Category_Targets!$A$2:$A$9,0)),0)</f>
        <v>0.03</v>
      </c>
      <c r="R366" s="125">
        <f t="shared" si="16"/>
        <v>844.11419999999998</v>
      </c>
      <c r="S366" s="78">
        <f t="shared" si="17"/>
        <v>45992</v>
      </c>
      <c r="T366" t="str">
        <f>IFERROR(VLOOKUP(B366,Sites!$A$2:$D$21,4,FALSE()),"Unknown")</f>
        <v>Bristol</v>
      </c>
      <c r="U366" t="str">
        <f>IF(N366="OK","",COUNTIF($N$2:N366,"&lt;&gt;OK"))</f>
        <v/>
      </c>
      <c r="V366">
        <f>IF(OR(NOT(EXACT(E366,TRIM(Procurement_Raw!E366))),NOT(EXACT(F366,TRIM(Procurement_Raw!F366)))),1,0)</f>
        <v>0</v>
      </c>
    </row>
    <row r="367" spans="1:22" ht="15" customHeight="1" x14ac:dyDescent="0.25">
      <c r="A367" s="123">
        <f>Procurement_Raw!A367</f>
        <v>45946</v>
      </c>
      <c r="B367" t="str">
        <f>TRIM(Procurement_Raw!B367)</f>
        <v>S019</v>
      </c>
      <c r="C367" t="str">
        <f>Procurement_Raw!C367</f>
        <v>Wrexham Care &amp; Education Centre</v>
      </c>
      <c r="D367" t="str">
        <f>Procurement_Raw!D367</f>
        <v>Wales</v>
      </c>
      <c r="E367" t="str">
        <f>IF(TRIM(Procurement_Raw!E367)="","",IFERROR(INDEX(Supplier_Lookup!$A$2:$A$25,MATCH(TRIM(Procurement_Raw!E367),Supplier_Lookup!$A$2:$A$25,0)),TRIM(Procurement_Raw!E367)))</f>
        <v>FleetFuel</v>
      </c>
      <c r="F367" t="str">
        <f>IFERROR(INDEX(Category_Targets!$A$2:$A$9,MATCH(TRIM(Procurement_Raw!F367),Category_Targets!$A$2:$A$9,0)),"Unmapped")</f>
        <v>Vehicle &amp; Fuel</v>
      </c>
      <c r="G367" t="str">
        <f>TRIM(Procurement_Raw!G367)</f>
        <v>INV-2025-00366</v>
      </c>
      <c r="H367" s="77">
        <f>Procurement_Raw!H367</f>
        <v>15</v>
      </c>
      <c r="I367" s="124">
        <f>Procurement_Raw!I367</f>
        <v>76.19</v>
      </c>
      <c r="J367" s="125">
        <f>IF(Procurement_Raw!J367="","",Procurement_Raw!J367)</f>
        <v>1142.82</v>
      </c>
      <c r="K367" s="77">
        <f>Procurement_Raw!K367</f>
        <v>30</v>
      </c>
      <c r="L367" t="str">
        <f>Procurement_Raw!L367</f>
        <v>Legacy Spend File</v>
      </c>
      <c r="M367" t="str">
        <f>Procurement_Raw!O367</f>
        <v>Y</v>
      </c>
      <c r="N367" t="str">
        <f>IF(E367="","Missing supplier",IF(B367="","Missing site",IF(J367="","Missing spend",IF(COUNTIFS($G$2:G367,G367,$E$2:E367,E367,$J$2:J367,J367)&gt;1,"Duplicate invoice",IF(COUNTIF($G$2:$G$1801,G367)&gt;1,"Duplicate ID - review",IF(AND(P367&lt;&gt;"Unmapped",P367&lt;&gt;F367),"Category mismatch","OK"))))))</f>
        <v>OK</v>
      </c>
      <c r="O367" s="125">
        <f t="shared" si="15"/>
        <v>1142.82</v>
      </c>
      <c r="P367" t="str">
        <f>IF(E367="","Unmapped",IFERROR(INDEX(Supplier_Lookup!$B$2:$B$25,MATCH(E367,Supplier_Lookup!$A$2:$A$25,0)),"Unmapped"))</f>
        <v>Vehicle &amp; Fuel</v>
      </c>
      <c r="Q367" s="76">
        <f>IFERROR(INDEX(Category_Targets!$B$2:$B$9,MATCH(F367,Category_Targets!$A$2:$A$9,0)),0)</f>
        <v>0.05</v>
      </c>
      <c r="R367" s="125">
        <f t="shared" si="16"/>
        <v>57.140999999999998</v>
      </c>
      <c r="S367" s="78">
        <f t="shared" si="17"/>
        <v>45931</v>
      </c>
      <c r="T367" t="str">
        <f>IFERROR(VLOOKUP(B367,Sites!$A$2:$D$21,4,FALSE()),"Unknown")</f>
        <v>Wrexham</v>
      </c>
      <c r="U367" t="str">
        <f>IF(N367="OK","",COUNTIF($N$2:N367,"&lt;&gt;OK"))</f>
        <v/>
      </c>
      <c r="V367">
        <f>IF(OR(NOT(EXACT(E367,TRIM(Procurement_Raw!E367))),NOT(EXACT(F367,TRIM(Procurement_Raw!F367)))),1,0)</f>
        <v>0</v>
      </c>
    </row>
    <row r="368" spans="1:22" ht="15" customHeight="1" x14ac:dyDescent="0.25">
      <c r="A368" s="123">
        <f>Procurement_Raw!A368</f>
        <v>45932</v>
      </c>
      <c r="B368" t="str">
        <f>TRIM(Procurement_Raw!B368)</f>
        <v>S019</v>
      </c>
      <c r="C368" t="str">
        <f>Procurement_Raw!C368</f>
        <v>Wrexham Care &amp; Education Centre</v>
      </c>
      <c r="D368" t="str">
        <f>Procurement_Raw!D368</f>
        <v>Wales</v>
      </c>
      <c r="E368" t="str">
        <f>IF(TRIM(Procurement_Raw!E368)="","",IFERROR(INDEX(Supplier_Lookup!$A$2:$A$25,MATCH(TRIM(Procurement_Raw!E368),Supplier_Lookup!$A$2:$A$25,0)),TRIM(Procurement_Raw!E368)))</f>
        <v>PowerDirect</v>
      </c>
      <c r="F368" t="str">
        <f>IFERROR(INDEX(Category_Targets!$A$2:$A$9,MATCH(TRIM(Procurement_Raw!F368),Category_Targets!$A$2:$A$9,0)),"Unmapped")</f>
        <v>Utilities</v>
      </c>
      <c r="G368" t="str">
        <f>TRIM(Procurement_Raw!G368)</f>
        <v>INV-2025-00367</v>
      </c>
      <c r="H368" s="77">
        <f>Procurement_Raw!H368</f>
        <v>20</v>
      </c>
      <c r="I368" s="124">
        <f>Procurement_Raw!I368</f>
        <v>282.79000000000002</v>
      </c>
      <c r="J368" s="125">
        <f>IF(Procurement_Raw!J368="","",Procurement_Raw!J368)</f>
        <v>5655.84</v>
      </c>
      <c r="K368" s="77">
        <f>Procurement_Raw!K368</f>
        <v>30</v>
      </c>
      <c r="L368" t="str">
        <f>Procurement_Raw!L368</f>
        <v>Procurement Portal</v>
      </c>
      <c r="M368" t="str">
        <f>Procurement_Raw!O368</f>
        <v>N</v>
      </c>
      <c r="N368" t="str">
        <f>IF(E368="","Missing supplier",IF(B368="","Missing site",IF(J368="","Missing spend",IF(COUNTIFS($G$2:G368,G368,$E$2:E368,E368,$J$2:J368,J368)&gt;1,"Duplicate invoice",IF(COUNTIF($G$2:$G$1801,G368)&gt;1,"Duplicate ID - review",IF(AND(P368&lt;&gt;"Unmapped",P368&lt;&gt;F368),"Category mismatch","OK"))))))</f>
        <v>OK</v>
      </c>
      <c r="O368" s="125">
        <f t="shared" si="15"/>
        <v>5655.84</v>
      </c>
      <c r="P368" t="str">
        <f>IF(E368="","Unmapped",IFERROR(INDEX(Supplier_Lookup!$B$2:$B$25,MATCH(E368,Supplier_Lookup!$A$2:$A$25,0)),"Unmapped"))</f>
        <v>Utilities</v>
      </c>
      <c r="Q368" s="76">
        <f>IFERROR(INDEX(Category_Targets!$B$2:$B$9,MATCH(F368,Category_Targets!$A$2:$A$9,0)),0)</f>
        <v>0.03</v>
      </c>
      <c r="R368" s="125">
        <f t="shared" si="16"/>
        <v>169.67519999999999</v>
      </c>
      <c r="S368" s="78">
        <f t="shared" si="17"/>
        <v>45931</v>
      </c>
      <c r="T368" t="str">
        <f>IFERROR(VLOOKUP(B368,Sites!$A$2:$D$21,4,FALSE()),"Unknown")</f>
        <v>Wrexham</v>
      </c>
      <c r="U368" t="str">
        <f>IF(N368="OK","",COUNTIF($N$2:N368,"&lt;&gt;OK"))</f>
        <v/>
      </c>
      <c r="V368">
        <f>IF(OR(NOT(EXACT(E368,TRIM(Procurement_Raw!E368))),NOT(EXACT(F368,TRIM(Procurement_Raw!F368)))),1,0)</f>
        <v>0</v>
      </c>
    </row>
    <row r="369" spans="1:22" ht="15" customHeight="1" x14ac:dyDescent="0.25">
      <c r="A369" s="123">
        <f>Procurement_Raw!A369</f>
        <v>46006</v>
      </c>
      <c r="B369" t="str">
        <f>TRIM(Procurement_Raw!B369)</f>
        <v>S020</v>
      </c>
      <c r="C369" t="str">
        <f>Procurement_Raw!C369</f>
        <v>Bangor Care &amp; Education Centre</v>
      </c>
      <c r="D369" t="str">
        <f>Procurement_Raw!D369</f>
        <v>Wales</v>
      </c>
      <c r="E369" t="str">
        <f>IF(TRIM(Procurement_Raw!E369)="","",IFERROR(INDEX(Supplier_Lookup!$A$2:$A$25,MATCH(TRIM(Procurement_Raw!E369),Supplier_Lookup!$A$2:$A$25,0)),TRIM(Procurement_Raw!E369)))</f>
        <v>OfficePlus</v>
      </c>
      <c r="F369" t="str">
        <f>IFERROR(INDEX(Category_Targets!$A$2:$A$9,MATCH(TRIM(Procurement_Raw!F369),Category_Targets!$A$2:$A$9,0)),"Unmapped")</f>
        <v>Office &amp; Training</v>
      </c>
      <c r="G369" t="str">
        <f>TRIM(Procurement_Raw!G369)</f>
        <v>INV-2025-00368</v>
      </c>
      <c r="H369" s="77">
        <f>Procurement_Raw!H369</f>
        <v>27</v>
      </c>
      <c r="I369" s="124">
        <f>Procurement_Raw!I369</f>
        <v>75.52</v>
      </c>
      <c r="J369" s="125">
        <f>IF(Procurement_Raw!J369="","",Procurement_Raw!J369)</f>
        <v>2039.07</v>
      </c>
      <c r="K369" s="77">
        <f>Procurement_Raw!K369</f>
        <v>60</v>
      </c>
      <c r="L369" t="str">
        <f>Procurement_Raw!L369</f>
        <v>Legacy Spend File</v>
      </c>
      <c r="M369" t="str">
        <f>Procurement_Raw!O369</f>
        <v>N</v>
      </c>
      <c r="N369" t="str">
        <f>IF(E369="","Missing supplier",IF(B369="","Missing site",IF(J369="","Missing spend",IF(COUNTIFS($G$2:G369,G369,$E$2:E369,E369,$J$2:J369,J369)&gt;1,"Duplicate invoice",IF(COUNTIF($G$2:$G$1801,G369)&gt;1,"Duplicate ID - review",IF(AND(P369&lt;&gt;"Unmapped",P369&lt;&gt;F369),"Category mismatch","OK"))))))</f>
        <v>OK</v>
      </c>
      <c r="O369" s="125">
        <f t="shared" si="15"/>
        <v>2039.07</v>
      </c>
      <c r="P369" t="str">
        <f>IF(E369="","Unmapped",IFERROR(INDEX(Supplier_Lookup!$B$2:$B$25,MATCH(E369,Supplier_Lookup!$A$2:$A$25,0)),"Unmapped"))</f>
        <v>Office &amp; Training</v>
      </c>
      <c r="Q369" s="76">
        <f>IFERROR(INDEX(Category_Targets!$B$2:$B$9,MATCH(F369,Category_Targets!$A$2:$A$9,0)),0)</f>
        <v>0.04</v>
      </c>
      <c r="R369" s="125">
        <f t="shared" si="16"/>
        <v>81.562799999999996</v>
      </c>
      <c r="S369" s="78">
        <f t="shared" si="17"/>
        <v>45992</v>
      </c>
      <c r="T369" t="str">
        <f>IFERROR(VLOOKUP(B369,Sites!$A$2:$D$21,4,FALSE()),"Unknown")</f>
        <v>Bangor</v>
      </c>
      <c r="U369" t="str">
        <f>IF(N369="OK","",COUNTIF($N$2:N369,"&lt;&gt;OK"))</f>
        <v/>
      </c>
      <c r="V369">
        <f>IF(OR(NOT(EXACT(E369,TRIM(Procurement_Raw!E369))),NOT(EXACT(F369,TRIM(Procurement_Raw!F369)))),1,0)</f>
        <v>0</v>
      </c>
    </row>
    <row r="370" spans="1:22" ht="15" customHeight="1" x14ac:dyDescent="0.25">
      <c r="A370" s="123">
        <f>Procurement_Raw!A370</f>
        <v>45886</v>
      </c>
      <c r="B370" t="str">
        <f>TRIM(Procurement_Raw!B370)</f>
        <v>S009</v>
      </c>
      <c r="C370" t="str">
        <f>Procurement_Raw!C370</f>
        <v>Derby Care &amp; Education Centre</v>
      </c>
      <c r="D370" t="str">
        <f>Procurement_Raw!D370</f>
        <v>Midlands</v>
      </c>
      <c r="E370" t="str">
        <f>IF(TRIM(Procurement_Raw!E370)="","",IFERROR(INDEX(Supplier_Lookup!$A$2:$A$25,MATCH(TRIM(Procurement_Raw!E370),Supplier_Lookup!$A$2:$A$25,0)),TRIM(Procurement_Raw!E370)))</f>
        <v>KitchenPro</v>
      </c>
      <c r="F370" t="str">
        <f>IFERROR(INDEX(Category_Targets!$A$2:$A$9,MATCH(TRIM(Procurement_Raw!F370),Category_Targets!$A$2:$A$9,0)),"Unmapped")</f>
        <v>Food &amp; Catering</v>
      </c>
      <c r="G370" t="str">
        <f>TRIM(Procurement_Raw!G370)</f>
        <v>INV-2025-00369</v>
      </c>
      <c r="H370" s="77">
        <f>Procurement_Raw!H370</f>
        <v>8</v>
      </c>
      <c r="I370" s="124">
        <f>Procurement_Raw!I370</f>
        <v>68.59</v>
      </c>
      <c r="J370" s="125">
        <f>IF(Procurement_Raw!J370="","",Procurement_Raw!J370)</f>
        <v>548.70000000000005</v>
      </c>
      <c r="K370" s="77">
        <f>Procurement_Raw!K370</f>
        <v>45</v>
      </c>
      <c r="L370" t="str">
        <f>Procurement_Raw!L370</f>
        <v>ERP</v>
      </c>
      <c r="M370" t="str">
        <f>Procurement_Raw!O370</f>
        <v>N</v>
      </c>
      <c r="N370" t="str">
        <f>IF(E370="","Missing supplier",IF(B370="","Missing site",IF(J370="","Missing spend",IF(COUNTIFS($G$2:G370,G370,$E$2:E370,E370,$J$2:J370,J370)&gt;1,"Duplicate invoice",IF(COUNTIF($G$2:$G$1801,G370)&gt;1,"Duplicate ID - review",IF(AND(P370&lt;&gt;"Unmapped",P370&lt;&gt;F370),"Category mismatch","OK"))))))</f>
        <v>OK</v>
      </c>
      <c r="O370" s="125">
        <f t="shared" si="15"/>
        <v>548.70000000000005</v>
      </c>
      <c r="P370" t="str">
        <f>IF(E370="","Unmapped",IFERROR(INDEX(Supplier_Lookup!$B$2:$B$25,MATCH(E370,Supplier_Lookup!$A$2:$A$25,0)),"Unmapped"))</f>
        <v>Food &amp; Catering</v>
      </c>
      <c r="Q370" s="76">
        <f>IFERROR(INDEX(Category_Targets!$B$2:$B$9,MATCH(F370,Category_Targets!$A$2:$A$9,0)),0)</f>
        <v>0.04</v>
      </c>
      <c r="R370" s="125">
        <f t="shared" si="16"/>
        <v>21.948000000000004</v>
      </c>
      <c r="S370" s="78">
        <f t="shared" si="17"/>
        <v>45870</v>
      </c>
      <c r="T370" t="str">
        <f>IFERROR(VLOOKUP(B370,Sites!$A$2:$D$21,4,FALSE()),"Unknown")</f>
        <v>Derby</v>
      </c>
      <c r="U370" t="str">
        <f>IF(N370="OK","",COUNTIF($N$2:N370,"&lt;&gt;OK"))</f>
        <v/>
      </c>
      <c r="V370">
        <f>IF(OR(NOT(EXACT(E370,TRIM(Procurement_Raw!E370))),NOT(EXACT(F370,TRIM(Procurement_Raw!F370)))),1,0)</f>
        <v>0</v>
      </c>
    </row>
    <row r="371" spans="1:22" ht="15" customHeight="1" x14ac:dyDescent="0.25">
      <c r="A371" s="123">
        <f>Procurement_Raw!A371</f>
        <v>45946</v>
      </c>
      <c r="B371" t="str">
        <f>TRIM(Procurement_Raw!B371)</f>
        <v>S019</v>
      </c>
      <c r="C371" t="str">
        <f>Procurement_Raw!C371</f>
        <v>Wrexham Care &amp; Education Centre</v>
      </c>
      <c r="D371" t="str">
        <f>Procurement_Raw!D371</f>
        <v>Wales</v>
      </c>
      <c r="E371" t="str">
        <f>IF(TRIM(Procurement_Raw!E371)="","",IFERROR(INDEX(Supplier_Lookup!$A$2:$A$25,MATCH(TRIM(Procurement_Raw!E371),Supplier_Lookup!$A$2:$A$25,0)),TRIM(Procurement_Raw!E371)))</f>
        <v>CareTemps</v>
      </c>
      <c r="F371" t="str">
        <f>IFERROR(INDEX(Category_Targets!$A$2:$A$9,MATCH(TRIM(Procurement_Raw!F371),Category_Targets!$A$2:$A$9,0)),"Unmapped")</f>
        <v>Agency Labour</v>
      </c>
      <c r="G371" t="str">
        <f>TRIM(Procurement_Raw!G371)</f>
        <v>INV-2025-00370</v>
      </c>
      <c r="H371" s="77">
        <f>Procurement_Raw!H371</f>
        <v>8</v>
      </c>
      <c r="I371" s="124">
        <f>Procurement_Raw!I371</f>
        <v>196.1</v>
      </c>
      <c r="J371" s="125">
        <f>IF(Procurement_Raw!J371="","",Procurement_Raw!J371)</f>
        <v>1568.8</v>
      </c>
      <c r="K371" s="77">
        <f>Procurement_Raw!K371</f>
        <v>60</v>
      </c>
      <c r="L371" t="str">
        <f>Procurement_Raw!L371</f>
        <v>Procurement Portal</v>
      </c>
      <c r="M371" t="str">
        <f>Procurement_Raw!O371</f>
        <v>N</v>
      </c>
      <c r="N371" t="str">
        <f>IF(E371="","Missing supplier",IF(B371="","Missing site",IF(J371="","Missing spend",IF(COUNTIFS($G$2:G371,G371,$E$2:E371,E371,$J$2:J371,J371)&gt;1,"Duplicate invoice",IF(COUNTIF($G$2:$G$1801,G371)&gt;1,"Duplicate ID - review",IF(AND(P371&lt;&gt;"Unmapped",P371&lt;&gt;F371),"Category mismatch","OK"))))))</f>
        <v>OK</v>
      </c>
      <c r="O371" s="125">
        <f t="shared" si="15"/>
        <v>1568.8</v>
      </c>
      <c r="P371" t="str">
        <f>IF(E371="","Unmapped",IFERROR(INDEX(Supplier_Lookup!$B$2:$B$25,MATCH(E371,Supplier_Lookup!$A$2:$A$25,0)),"Unmapped"))</f>
        <v>Agency Labour</v>
      </c>
      <c r="Q371" s="76">
        <f>IFERROR(INDEX(Category_Targets!$B$2:$B$9,MATCH(F371,Category_Targets!$A$2:$A$9,0)),0)</f>
        <v>7.0000000000000007E-2</v>
      </c>
      <c r="R371" s="125">
        <f t="shared" si="16"/>
        <v>109.816</v>
      </c>
      <c r="S371" s="78">
        <f t="shared" si="17"/>
        <v>45931</v>
      </c>
      <c r="T371" t="str">
        <f>IFERROR(VLOOKUP(B371,Sites!$A$2:$D$21,4,FALSE()),"Unknown")</f>
        <v>Wrexham</v>
      </c>
      <c r="U371" t="str">
        <f>IF(N371="OK","",COUNTIF($N$2:N371,"&lt;&gt;OK"))</f>
        <v/>
      </c>
      <c r="V371">
        <f>IF(OR(NOT(EXACT(E371,TRIM(Procurement_Raw!E371))),NOT(EXACT(F371,TRIM(Procurement_Raw!F371)))),1,0)</f>
        <v>0</v>
      </c>
    </row>
    <row r="372" spans="1:22" ht="15" customHeight="1" x14ac:dyDescent="0.25">
      <c r="A372" s="123">
        <f>Procurement_Raw!A372</f>
        <v>45669</v>
      </c>
      <c r="B372" t="str">
        <f>TRIM(Procurement_Raw!B372)</f>
        <v>S019</v>
      </c>
      <c r="C372" t="str">
        <f>Procurement_Raw!C372</f>
        <v>Wrexham Care &amp; Education Centre</v>
      </c>
      <c r="D372" t="str">
        <f>Procurement_Raw!D372</f>
        <v>Wales</v>
      </c>
      <c r="E372" t="str">
        <f>IF(TRIM(Procurement_Raw!E372)="","",IFERROR(INDEX(Supplier_Lookup!$A$2:$A$25,MATCH(TRIM(Procurement_Raw!E372),Supplier_Lookup!$A$2:$A$25,0)),TRIM(Procurement_Raw!E372)))</f>
        <v>NetServe</v>
      </c>
      <c r="F372" t="str">
        <f>IFERROR(INDEX(Category_Targets!$A$2:$A$9,MATCH(TRIM(Procurement_Raw!F372),Category_Targets!$A$2:$A$9,0)),"Unmapped")</f>
        <v>IT &amp; Telecoms</v>
      </c>
      <c r="G372" t="str">
        <f>TRIM(Procurement_Raw!G372)</f>
        <v>INV-2025-00371</v>
      </c>
      <c r="H372" s="77">
        <f>Procurement_Raw!H372</f>
        <v>51</v>
      </c>
      <c r="I372" s="124">
        <f>Procurement_Raw!I372</f>
        <v>222.99</v>
      </c>
      <c r="J372" s="125">
        <f>IF(Procurement_Raw!J372="","",Procurement_Raw!J372)</f>
        <v>11372.28</v>
      </c>
      <c r="K372" s="77">
        <f>Procurement_Raw!K372</f>
        <v>45</v>
      </c>
      <c r="L372" t="str">
        <f>Procurement_Raw!L372</f>
        <v>ERP</v>
      </c>
      <c r="M372" t="str">
        <f>Procurement_Raw!O372</f>
        <v>N</v>
      </c>
      <c r="N372" t="str">
        <f>IF(E372="","Missing supplier",IF(B372="","Missing site",IF(J372="","Missing spend",IF(COUNTIFS($G$2:G372,G372,$E$2:E372,E372,$J$2:J372,J372)&gt;1,"Duplicate invoice",IF(COUNTIF($G$2:$G$1801,G372)&gt;1,"Duplicate ID - review",IF(AND(P372&lt;&gt;"Unmapped",P372&lt;&gt;F372),"Category mismatch","OK"))))))</f>
        <v>OK</v>
      </c>
      <c r="O372" s="125">
        <f t="shared" si="15"/>
        <v>11372.28</v>
      </c>
      <c r="P372" t="str">
        <f>IF(E372="","Unmapped",IFERROR(INDEX(Supplier_Lookup!$B$2:$B$25,MATCH(E372,Supplier_Lookup!$A$2:$A$25,0)),"Unmapped"))</f>
        <v>IT &amp; Telecoms</v>
      </c>
      <c r="Q372" s="76">
        <f>IFERROR(INDEX(Category_Targets!$B$2:$B$9,MATCH(F372,Category_Targets!$A$2:$A$9,0)),0)</f>
        <v>0.08</v>
      </c>
      <c r="R372" s="125">
        <f t="shared" si="16"/>
        <v>909.78240000000005</v>
      </c>
      <c r="S372" s="78">
        <f t="shared" si="17"/>
        <v>45658</v>
      </c>
      <c r="T372" t="str">
        <f>IFERROR(VLOOKUP(B372,Sites!$A$2:$D$21,4,FALSE()),"Unknown")</f>
        <v>Wrexham</v>
      </c>
      <c r="U372" t="str">
        <f>IF(N372="OK","",COUNTIF($N$2:N372,"&lt;&gt;OK"))</f>
        <v/>
      </c>
      <c r="V372">
        <f>IF(OR(NOT(EXACT(E372,TRIM(Procurement_Raw!E372))),NOT(EXACT(F372,TRIM(Procurement_Raw!F372)))),1,0)</f>
        <v>0</v>
      </c>
    </row>
    <row r="373" spans="1:22" ht="15" customHeight="1" x14ac:dyDescent="0.25">
      <c r="A373" s="123">
        <f>Procurement_Raw!A373</f>
        <v>45695</v>
      </c>
      <c r="B373" t="str">
        <f>TRIM(Procurement_Raw!B373)</f>
        <v>S019</v>
      </c>
      <c r="C373" t="str">
        <f>Procurement_Raw!C373</f>
        <v>Wrexham Care &amp; Education Centre</v>
      </c>
      <c r="D373" t="str">
        <f>Procurement_Raw!D373</f>
        <v>Wales</v>
      </c>
      <c r="E373" t="str">
        <f>IF(TRIM(Procurement_Raw!E373)="","",IFERROR(INDEX(Supplier_Lookup!$A$2:$A$25,MATCH(TRIM(Procurement_Raw!E373),Supplier_Lookup!$A$2:$A$25,0)),TRIM(Procurement_Raw!E373)))</f>
        <v>PowerDirect</v>
      </c>
      <c r="F373" t="str">
        <f>IFERROR(INDEX(Category_Targets!$A$2:$A$9,MATCH(TRIM(Procurement_Raw!F373),Category_Targets!$A$2:$A$9,0)),"Unmapped")</f>
        <v>Utilities</v>
      </c>
      <c r="G373" t="str">
        <f>TRIM(Procurement_Raw!G373)</f>
        <v>INV-2025-00372</v>
      </c>
      <c r="H373" s="77">
        <f>Procurement_Raw!H373</f>
        <v>6</v>
      </c>
      <c r="I373" s="124">
        <f>Procurement_Raw!I373</f>
        <v>328.77</v>
      </c>
      <c r="J373" s="125">
        <f>IF(Procurement_Raw!J373="","",Procurement_Raw!J373)</f>
        <v>1972.62</v>
      </c>
      <c r="K373" s="77">
        <f>Procurement_Raw!K373</f>
        <v>45</v>
      </c>
      <c r="L373" t="str">
        <f>Procurement_Raw!L373</f>
        <v>Procurement Portal</v>
      </c>
      <c r="M373" t="str">
        <f>Procurement_Raw!O373</f>
        <v>N</v>
      </c>
      <c r="N373" t="str">
        <f>IF(E373="","Missing supplier",IF(B373="","Missing site",IF(J373="","Missing spend",IF(COUNTIFS($G$2:G373,G373,$E$2:E373,E373,$J$2:J373,J373)&gt;1,"Duplicate invoice",IF(COUNTIF($G$2:$G$1801,G373)&gt;1,"Duplicate ID - review",IF(AND(P373&lt;&gt;"Unmapped",P373&lt;&gt;F373),"Category mismatch","OK"))))))</f>
        <v>OK</v>
      </c>
      <c r="O373" s="125">
        <f t="shared" si="15"/>
        <v>1972.62</v>
      </c>
      <c r="P373" t="str">
        <f>IF(E373="","Unmapped",IFERROR(INDEX(Supplier_Lookup!$B$2:$B$25,MATCH(E373,Supplier_Lookup!$A$2:$A$25,0)),"Unmapped"))</f>
        <v>Utilities</v>
      </c>
      <c r="Q373" s="76">
        <f>IFERROR(INDEX(Category_Targets!$B$2:$B$9,MATCH(F373,Category_Targets!$A$2:$A$9,0)),0)</f>
        <v>0.03</v>
      </c>
      <c r="R373" s="125">
        <f t="shared" si="16"/>
        <v>59.178599999999996</v>
      </c>
      <c r="S373" s="78">
        <f t="shared" si="17"/>
        <v>45689</v>
      </c>
      <c r="T373" t="str">
        <f>IFERROR(VLOOKUP(B373,Sites!$A$2:$D$21,4,FALSE()),"Unknown")</f>
        <v>Wrexham</v>
      </c>
      <c r="U373" t="str">
        <f>IF(N373="OK","",COUNTIF($N$2:N373,"&lt;&gt;OK"))</f>
        <v/>
      </c>
      <c r="V373">
        <f>IF(OR(NOT(EXACT(E373,TRIM(Procurement_Raw!E373))),NOT(EXACT(F373,TRIM(Procurement_Raw!F373)))),1,0)</f>
        <v>0</v>
      </c>
    </row>
    <row r="374" spans="1:22" ht="15" customHeight="1" x14ac:dyDescent="0.25">
      <c r="A374" s="123">
        <f>Procurement_Raw!A374</f>
        <v>45688</v>
      </c>
      <c r="B374" t="str">
        <f>TRIM(Procurement_Raw!B374)</f>
        <v>S004</v>
      </c>
      <c r="C374" t="str">
        <f>Procurement_Raw!C374</f>
        <v>Newcastle Care &amp; Education Centre</v>
      </c>
      <c r="D374" t="str">
        <f>Procurement_Raw!D374</f>
        <v>North</v>
      </c>
      <c r="E374" t="str">
        <f>IF(TRIM(Procurement_Raw!E374)="","",IFERROR(INDEX(Supplier_Lookup!$A$2:$A$25,MATCH(TRIM(Procurement_Raw!E374),Supplier_Lookup!$A$2:$A$25,0)),TRIM(Procurement_Raw!E374)))</f>
        <v>KitchenPro</v>
      </c>
      <c r="F374" t="str">
        <f>IFERROR(INDEX(Category_Targets!$A$2:$A$9,MATCH(TRIM(Procurement_Raw!F374),Category_Targets!$A$2:$A$9,0)),"Unmapped")</f>
        <v>Food &amp; Catering</v>
      </c>
      <c r="G374" t="str">
        <f>TRIM(Procurement_Raw!G374)</f>
        <v>INV-2025-00373</v>
      </c>
      <c r="H374" s="77">
        <f>Procurement_Raw!H374</f>
        <v>9</v>
      </c>
      <c r="I374" s="124">
        <f>Procurement_Raw!I374</f>
        <v>144.38999999999999</v>
      </c>
      <c r="J374" s="125">
        <f>IF(Procurement_Raw!J374="","",Procurement_Raw!J374)</f>
        <v>1299.51</v>
      </c>
      <c r="K374" s="77">
        <f>Procurement_Raw!K374</f>
        <v>45</v>
      </c>
      <c r="L374" t="str">
        <f>Procurement_Raw!L374</f>
        <v>ERP</v>
      </c>
      <c r="M374" t="str">
        <f>Procurement_Raw!O374</f>
        <v>N</v>
      </c>
      <c r="N374" t="str">
        <f>IF(E374="","Missing supplier",IF(B374="","Missing site",IF(J374="","Missing spend",IF(COUNTIFS($G$2:G374,G374,$E$2:E374,E374,$J$2:J374,J374)&gt;1,"Duplicate invoice",IF(COUNTIF($G$2:$G$1801,G374)&gt;1,"Duplicate ID - review",IF(AND(P374&lt;&gt;"Unmapped",P374&lt;&gt;F374),"Category mismatch","OK"))))))</f>
        <v>OK</v>
      </c>
      <c r="O374" s="125">
        <f t="shared" si="15"/>
        <v>1299.51</v>
      </c>
      <c r="P374" t="str">
        <f>IF(E374="","Unmapped",IFERROR(INDEX(Supplier_Lookup!$B$2:$B$25,MATCH(E374,Supplier_Lookup!$A$2:$A$25,0)),"Unmapped"))</f>
        <v>Food &amp; Catering</v>
      </c>
      <c r="Q374" s="76">
        <f>IFERROR(INDEX(Category_Targets!$B$2:$B$9,MATCH(F374,Category_Targets!$A$2:$A$9,0)),0)</f>
        <v>0.04</v>
      </c>
      <c r="R374" s="125">
        <f t="shared" si="16"/>
        <v>51.980400000000003</v>
      </c>
      <c r="S374" s="78">
        <f t="shared" si="17"/>
        <v>45658</v>
      </c>
      <c r="T374" t="str">
        <f>IFERROR(VLOOKUP(B374,Sites!$A$2:$D$21,4,FALSE()),"Unknown")</f>
        <v>Newcastle</v>
      </c>
      <c r="U374" t="str">
        <f>IF(N374="OK","",COUNTIF($N$2:N374,"&lt;&gt;OK"))</f>
        <v/>
      </c>
      <c r="V374">
        <f>IF(OR(NOT(EXACT(E374,TRIM(Procurement_Raw!E374))),NOT(EXACT(F374,TRIM(Procurement_Raw!F374)))),1,0)</f>
        <v>0</v>
      </c>
    </row>
    <row r="375" spans="1:22" ht="15" customHeight="1" x14ac:dyDescent="0.25">
      <c r="A375" s="123">
        <f>Procurement_Raw!A375</f>
        <v>45727</v>
      </c>
      <c r="B375" t="str">
        <f>TRIM(Procurement_Raw!B375)</f>
        <v>S010</v>
      </c>
      <c r="C375" t="str">
        <f>Procurement_Raw!C375</f>
        <v>Coventry Care &amp; Education Centre</v>
      </c>
      <c r="D375" t="str">
        <f>Procurement_Raw!D375</f>
        <v>Midlands</v>
      </c>
      <c r="E375" t="str">
        <f>IF(TRIM(Procurement_Raw!E375)="","",IFERROR(INDEX(Supplier_Lookup!$A$2:$A$25,MATCH(TRIM(Procurement_Raw!E375),Supplier_Lookup!$A$2:$A$25,0)),TRIM(Procurement_Raw!E375)))</f>
        <v>HealthStaffing</v>
      </c>
      <c r="F375" t="str">
        <f>IFERROR(INDEX(Category_Targets!$A$2:$A$9,MATCH(TRIM(Procurement_Raw!F375),Category_Targets!$A$2:$A$9,0)),"Unmapped")</f>
        <v>Agency Labour</v>
      </c>
      <c r="G375" t="str">
        <f>TRIM(Procurement_Raw!G375)</f>
        <v>INV-2025-00374</v>
      </c>
      <c r="H375" s="77">
        <f>Procurement_Raw!H375</f>
        <v>54</v>
      </c>
      <c r="I375" s="124">
        <f>Procurement_Raw!I375</f>
        <v>508.46</v>
      </c>
      <c r="J375" s="125">
        <f>IF(Procurement_Raw!J375="","",Procurement_Raw!J375)</f>
        <v>27456.7</v>
      </c>
      <c r="K375" s="77">
        <f>Procurement_Raw!K375</f>
        <v>45</v>
      </c>
      <c r="L375" t="str">
        <f>Procurement_Raw!L375</f>
        <v>Procurement Portal</v>
      </c>
      <c r="M375" t="str">
        <f>Procurement_Raw!O375</f>
        <v>N</v>
      </c>
      <c r="N375" t="str">
        <f>IF(E375="","Missing supplier",IF(B375="","Missing site",IF(J375="","Missing spend",IF(COUNTIFS($G$2:G375,G375,$E$2:E375,E375,$J$2:J375,J375)&gt;1,"Duplicate invoice",IF(COUNTIF($G$2:$G$1801,G375)&gt;1,"Duplicate ID - review",IF(AND(P375&lt;&gt;"Unmapped",P375&lt;&gt;F375),"Category mismatch","OK"))))))</f>
        <v>OK</v>
      </c>
      <c r="O375" s="125">
        <f t="shared" si="15"/>
        <v>27456.7</v>
      </c>
      <c r="P375" t="str">
        <f>IF(E375="","Unmapped",IFERROR(INDEX(Supplier_Lookup!$B$2:$B$25,MATCH(E375,Supplier_Lookup!$A$2:$A$25,0)),"Unmapped"))</f>
        <v>Agency Labour</v>
      </c>
      <c r="Q375" s="76">
        <f>IFERROR(INDEX(Category_Targets!$B$2:$B$9,MATCH(F375,Category_Targets!$A$2:$A$9,0)),0)</f>
        <v>7.0000000000000007E-2</v>
      </c>
      <c r="R375" s="125">
        <f t="shared" si="16"/>
        <v>1921.9690000000003</v>
      </c>
      <c r="S375" s="78">
        <f t="shared" si="17"/>
        <v>45717</v>
      </c>
      <c r="T375" t="str">
        <f>IFERROR(VLOOKUP(B375,Sites!$A$2:$D$21,4,FALSE()),"Unknown")</f>
        <v>Coventry</v>
      </c>
      <c r="U375" t="str">
        <f>IF(N375="OK","",COUNTIF($N$2:N375,"&lt;&gt;OK"))</f>
        <v/>
      </c>
      <c r="V375">
        <f>IF(OR(NOT(EXACT(E375,TRIM(Procurement_Raw!E375))),NOT(EXACT(F375,TRIM(Procurement_Raw!F375)))),1,0)</f>
        <v>0</v>
      </c>
    </row>
    <row r="376" spans="1:22" ht="15" customHeight="1" x14ac:dyDescent="0.25">
      <c r="A376" s="123">
        <f>Procurement_Raw!A376</f>
        <v>45699</v>
      </c>
      <c r="B376" t="str">
        <f>TRIM(Procurement_Raw!B376)</f>
        <v>S013</v>
      </c>
      <c r="C376" t="str">
        <f>Procurement_Raw!C376</f>
        <v>Reading Care &amp; Education Centre</v>
      </c>
      <c r="D376" t="str">
        <f>Procurement_Raw!D376</f>
        <v>South</v>
      </c>
      <c r="E376" t="str">
        <f>IF(TRIM(Procurement_Raw!E376)="","",IFERROR(INDEX(Supplier_Lookup!$A$2:$A$25,MATCH(TRIM(Procurement_Raw!E376),Supplier_Lookup!$A$2:$A$25,0)),TRIM(Procurement_Raw!E376)))</f>
        <v>CareTemps</v>
      </c>
      <c r="F376" t="str">
        <f>IFERROR(INDEX(Category_Targets!$A$2:$A$9,MATCH(TRIM(Procurement_Raw!F376),Category_Targets!$A$2:$A$9,0)),"Unmapped")</f>
        <v>Agency Labour</v>
      </c>
      <c r="G376" t="str">
        <f>TRIM(Procurement_Raw!G376)</f>
        <v>INV-2025-00375</v>
      </c>
      <c r="H376" s="77">
        <f>Procurement_Raw!H376</f>
        <v>70</v>
      </c>
      <c r="I376" s="124">
        <f>Procurement_Raw!I376</f>
        <v>980.47</v>
      </c>
      <c r="J376" s="125">
        <f>IF(Procurement_Raw!J376="","",Procurement_Raw!J376)</f>
        <v>68632.95</v>
      </c>
      <c r="K376" s="77">
        <f>Procurement_Raw!K376</f>
        <v>30</v>
      </c>
      <c r="L376" t="str">
        <f>Procurement_Raw!L376</f>
        <v>Legacy Spend File</v>
      </c>
      <c r="M376" t="str">
        <f>Procurement_Raw!O376</f>
        <v>N</v>
      </c>
      <c r="N376" t="str">
        <f>IF(E376="","Missing supplier",IF(B376="","Missing site",IF(J376="","Missing spend",IF(COUNTIFS($G$2:G376,G376,$E$2:E376,E376,$J$2:J376,J376)&gt;1,"Duplicate invoice",IF(COUNTIF($G$2:$G$1801,G376)&gt;1,"Duplicate ID - review",IF(AND(P376&lt;&gt;"Unmapped",P376&lt;&gt;F376),"Category mismatch","OK"))))))</f>
        <v>OK</v>
      </c>
      <c r="O376" s="125">
        <f t="shared" si="15"/>
        <v>68632.95</v>
      </c>
      <c r="P376" t="str">
        <f>IF(E376="","Unmapped",IFERROR(INDEX(Supplier_Lookup!$B$2:$B$25,MATCH(E376,Supplier_Lookup!$A$2:$A$25,0)),"Unmapped"))</f>
        <v>Agency Labour</v>
      </c>
      <c r="Q376" s="76">
        <f>IFERROR(INDEX(Category_Targets!$B$2:$B$9,MATCH(F376,Category_Targets!$A$2:$A$9,0)),0)</f>
        <v>7.0000000000000007E-2</v>
      </c>
      <c r="R376" s="125">
        <f t="shared" si="16"/>
        <v>4804.3065000000006</v>
      </c>
      <c r="S376" s="78">
        <f t="shared" si="17"/>
        <v>45689</v>
      </c>
      <c r="T376" t="str">
        <f>IFERROR(VLOOKUP(B376,Sites!$A$2:$D$21,4,FALSE()),"Unknown")</f>
        <v>Reading</v>
      </c>
      <c r="U376" t="str">
        <f>IF(N376="OK","",COUNTIF($N$2:N376,"&lt;&gt;OK"))</f>
        <v/>
      </c>
      <c r="V376">
        <f>IF(OR(NOT(EXACT(E376,TRIM(Procurement_Raw!E376))),NOT(EXACT(F376,TRIM(Procurement_Raw!F376)))),1,0)</f>
        <v>0</v>
      </c>
    </row>
    <row r="377" spans="1:22" ht="15" customHeight="1" x14ac:dyDescent="0.25">
      <c r="A377" s="123">
        <f>Procurement_Raw!A377</f>
        <v>45933</v>
      </c>
      <c r="B377" t="str">
        <f>TRIM(Procurement_Raw!B377)</f>
        <v>S005</v>
      </c>
      <c r="C377" t="str">
        <f>Procurement_Raw!C377</f>
        <v>Sheffield Care &amp; Education Centre</v>
      </c>
      <c r="D377" t="str">
        <f>Procurement_Raw!D377</f>
        <v>North</v>
      </c>
      <c r="E377" t="str">
        <f>IF(TRIM(Procurement_Raw!E377)="","",IFERROR(INDEX(Supplier_Lookup!$A$2:$A$25,MATCH(TRIM(Procurement_Raw!E377),Supplier_Lookup!$A$2:$A$25,0)),TRIM(Procurement_Raw!E377)))</f>
        <v>FreshServe</v>
      </c>
      <c r="F377" t="str">
        <f>IFERROR(INDEX(Category_Targets!$A$2:$A$9,MATCH(TRIM(Procurement_Raw!F377),Category_Targets!$A$2:$A$9,0)),"Unmapped")</f>
        <v>Food &amp; Catering</v>
      </c>
      <c r="G377" t="str">
        <f>TRIM(Procurement_Raw!G377)</f>
        <v>INV-2025-00376</v>
      </c>
      <c r="H377" s="77">
        <f>Procurement_Raw!H377</f>
        <v>51</v>
      </c>
      <c r="I377" s="124">
        <f>Procurement_Raw!I377</f>
        <v>42.62</v>
      </c>
      <c r="J377" s="125">
        <f>IF(Procurement_Raw!J377="","",Procurement_Raw!J377)</f>
        <v>2173.67</v>
      </c>
      <c r="K377" s="77">
        <f>Procurement_Raw!K377</f>
        <v>60</v>
      </c>
      <c r="L377" t="str">
        <f>Procurement_Raw!L377</f>
        <v>ERP</v>
      </c>
      <c r="M377" t="str">
        <f>Procurement_Raw!O377</f>
        <v>Y</v>
      </c>
      <c r="N377" t="str">
        <f>IF(E377="","Missing supplier",IF(B377="","Missing site",IF(J377="","Missing spend",IF(COUNTIFS($G$2:G377,G377,$E$2:E377,E377,$J$2:J377,J377)&gt;1,"Duplicate invoice",IF(COUNTIF($G$2:$G$1801,G377)&gt;1,"Duplicate ID - review",IF(AND(P377&lt;&gt;"Unmapped",P377&lt;&gt;F377),"Category mismatch","OK"))))))</f>
        <v>OK</v>
      </c>
      <c r="O377" s="125">
        <f t="shared" si="15"/>
        <v>2173.67</v>
      </c>
      <c r="P377" t="str">
        <f>IF(E377="","Unmapped",IFERROR(INDEX(Supplier_Lookup!$B$2:$B$25,MATCH(E377,Supplier_Lookup!$A$2:$A$25,0)),"Unmapped"))</f>
        <v>Food &amp; Catering</v>
      </c>
      <c r="Q377" s="76">
        <f>IFERROR(INDEX(Category_Targets!$B$2:$B$9,MATCH(F377,Category_Targets!$A$2:$A$9,0)),0)</f>
        <v>0.04</v>
      </c>
      <c r="R377" s="125">
        <f t="shared" si="16"/>
        <v>86.94680000000001</v>
      </c>
      <c r="S377" s="78">
        <f t="shared" si="17"/>
        <v>45931</v>
      </c>
      <c r="T377" t="str">
        <f>IFERROR(VLOOKUP(B377,Sites!$A$2:$D$21,4,FALSE()),"Unknown")</f>
        <v>Sheffield</v>
      </c>
      <c r="U377" t="str">
        <f>IF(N377="OK","",COUNTIF($N$2:N377,"&lt;&gt;OK"))</f>
        <v/>
      </c>
      <c r="V377">
        <f>IF(OR(NOT(EXACT(E377,TRIM(Procurement_Raw!E377))),NOT(EXACT(F377,TRIM(Procurement_Raw!F377)))),1,0)</f>
        <v>0</v>
      </c>
    </row>
    <row r="378" spans="1:22" ht="15" customHeight="1" x14ac:dyDescent="0.25">
      <c r="A378" s="123">
        <f>Procurement_Raw!A378</f>
        <v>45669</v>
      </c>
      <c r="B378" t="str">
        <f>TRIM(Procurement_Raw!B378)</f>
        <v>S013</v>
      </c>
      <c r="C378" t="str">
        <f>Procurement_Raw!C378</f>
        <v>Reading Care &amp; Education Centre</v>
      </c>
      <c r="D378" t="str">
        <f>Procurement_Raw!D378</f>
        <v>South</v>
      </c>
      <c r="E378" t="str">
        <f>IF(TRIM(Procurement_Raw!E378)="","",IFERROR(INDEX(Supplier_Lookup!$A$2:$A$25,MATCH(TRIM(Procurement_Raw!E378),Supplier_Lookup!$A$2:$A$25,0)),TRIM(Procurement_Raw!E378)))</f>
        <v>UK Energy Partners</v>
      </c>
      <c r="F378" t="str">
        <f>IFERROR(INDEX(Category_Targets!$A$2:$A$9,MATCH(TRIM(Procurement_Raw!F378),Category_Targets!$A$2:$A$9,0)),"Unmapped")</f>
        <v>Utilities</v>
      </c>
      <c r="G378" t="str">
        <f>TRIM(Procurement_Raw!G378)</f>
        <v>INV-2025-00377</v>
      </c>
      <c r="H378" s="77">
        <f>Procurement_Raw!H378</f>
        <v>39</v>
      </c>
      <c r="I378" s="124">
        <f>Procurement_Raw!I378</f>
        <v>403.93</v>
      </c>
      <c r="J378" s="125">
        <f>IF(Procurement_Raw!J378="","",Procurement_Raw!J378)</f>
        <v>15753.2</v>
      </c>
      <c r="K378" s="77">
        <f>Procurement_Raw!K378</f>
        <v>45</v>
      </c>
      <c r="L378" t="str">
        <f>Procurement_Raw!L378</f>
        <v>Legacy Spend File</v>
      </c>
      <c r="M378" t="str">
        <f>Procurement_Raw!O378</f>
        <v>N</v>
      </c>
      <c r="N378" t="str">
        <f>IF(E378="","Missing supplier",IF(B378="","Missing site",IF(J378="","Missing spend",IF(COUNTIFS($G$2:G378,G378,$E$2:E378,E378,$J$2:J378,J378)&gt;1,"Duplicate invoice",IF(COUNTIF($G$2:$G$1801,G378)&gt;1,"Duplicate ID - review",IF(AND(P378&lt;&gt;"Unmapped",P378&lt;&gt;F378),"Category mismatch","OK"))))))</f>
        <v>OK</v>
      </c>
      <c r="O378" s="125">
        <f t="shared" si="15"/>
        <v>15753.2</v>
      </c>
      <c r="P378" t="str">
        <f>IF(E378="","Unmapped",IFERROR(INDEX(Supplier_Lookup!$B$2:$B$25,MATCH(E378,Supplier_Lookup!$A$2:$A$25,0)),"Unmapped"))</f>
        <v>Utilities</v>
      </c>
      <c r="Q378" s="76">
        <f>IFERROR(INDEX(Category_Targets!$B$2:$B$9,MATCH(F378,Category_Targets!$A$2:$A$9,0)),0)</f>
        <v>0.03</v>
      </c>
      <c r="R378" s="125">
        <f t="shared" si="16"/>
        <v>472.596</v>
      </c>
      <c r="S378" s="78">
        <f t="shared" si="17"/>
        <v>45658</v>
      </c>
      <c r="T378" t="str">
        <f>IFERROR(VLOOKUP(B378,Sites!$A$2:$D$21,4,FALSE()),"Unknown")</f>
        <v>Reading</v>
      </c>
      <c r="U378" t="str">
        <f>IF(N378="OK","",COUNTIF($N$2:N378,"&lt;&gt;OK"))</f>
        <v/>
      </c>
      <c r="V378">
        <f>IF(OR(NOT(EXACT(E378,TRIM(Procurement_Raw!E378))),NOT(EXACT(F378,TRIM(Procurement_Raw!F378)))),1,0)</f>
        <v>0</v>
      </c>
    </row>
    <row r="379" spans="1:22" ht="15" customHeight="1" x14ac:dyDescent="0.25">
      <c r="A379" s="123">
        <f>Procurement_Raw!A379</f>
        <v>45852</v>
      </c>
      <c r="B379" t="str">
        <f>TRIM(Procurement_Raw!B379)</f>
        <v>S008</v>
      </c>
      <c r="C379" t="str">
        <f>Procurement_Raw!C379</f>
        <v>Leicester Care &amp; Education Centre</v>
      </c>
      <c r="D379" t="str">
        <f>Procurement_Raw!D379</f>
        <v>Midlands</v>
      </c>
      <c r="E379" t="str">
        <f>IF(TRIM(Procurement_Raw!E379)="","",IFERROR(INDEX(Supplier_Lookup!$A$2:$A$25,MATCH(TRIM(Procurement_Raw!E379),Supplier_Lookup!$A$2:$A$25,0)),TRIM(Procurement_Raw!E379)))</f>
        <v>NurseLink</v>
      </c>
      <c r="F379" t="str">
        <f>IFERROR(INDEX(Category_Targets!$A$2:$A$9,MATCH(TRIM(Procurement_Raw!F379),Category_Targets!$A$2:$A$9,0)),"Unmapped")</f>
        <v>Agency Labour</v>
      </c>
      <c r="G379" t="str">
        <f>TRIM(Procurement_Raw!G379)</f>
        <v>INV-2025-00378</v>
      </c>
      <c r="H379" s="77">
        <f>Procurement_Raw!H379</f>
        <v>30</v>
      </c>
      <c r="I379" s="124">
        <f>Procurement_Raw!I379</f>
        <v>331.83</v>
      </c>
      <c r="J379" s="125">
        <f>IF(Procurement_Raw!J379="","",Procurement_Raw!J379)</f>
        <v>9954.8799999999992</v>
      </c>
      <c r="K379" s="77">
        <f>Procurement_Raw!K379</f>
        <v>30</v>
      </c>
      <c r="L379" t="str">
        <f>Procurement_Raw!L379</f>
        <v>Procurement Portal</v>
      </c>
      <c r="M379" t="str">
        <f>Procurement_Raw!O379</f>
        <v>N</v>
      </c>
      <c r="N379" t="str">
        <f>IF(E379="","Missing supplier",IF(B379="","Missing site",IF(J379="","Missing spend",IF(COUNTIFS($G$2:G379,G379,$E$2:E379,E379,$J$2:J379,J379)&gt;1,"Duplicate invoice",IF(COUNTIF($G$2:$G$1801,G379)&gt;1,"Duplicate ID - review",IF(AND(P379&lt;&gt;"Unmapped",P379&lt;&gt;F379),"Category mismatch","OK"))))))</f>
        <v>OK</v>
      </c>
      <c r="O379" s="125">
        <f t="shared" si="15"/>
        <v>9954.8799999999992</v>
      </c>
      <c r="P379" t="str">
        <f>IF(E379="","Unmapped",IFERROR(INDEX(Supplier_Lookup!$B$2:$B$25,MATCH(E379,Supplier_Lookup!$A$2:$A$25,0)),"Unmapped"))</f>
        <v>Agency Labour</v>
      </c>
      <c r="Q379" s="76">
        <f>IFERROR(INDEX(Category_Targets!$B$2:$B$9,MATCH(F379,Category_Targets!$A$2:$A$9,0)),0)</f>
        <v>7.0000000000000007E-2</v>
      </c>
      <c r="R379" s="125">
        <f t="shared" si="16"/>
        <v>696.84159999999997</v>
      </c>
      <c r="S379" s="78">
        <f t="shared" si="17"/>
        <v>45839</v>
      </c>
      <c r="T379" t="str">
        <f>IFERROR(VLOOKUP(B379,Sites!$A$2:$D$21,4,FALSE()),"Unknown")</f>
        <v>Leicester</v>
      </c>
      <c r="U379" t="str">
        <f>IF(N379="OK","",COUNTIF($N$2:N379,"&lt;&gt;OK"))</f>
        <v/>
      </c>
      <c r="V379">
        <f>IF(OR(NOT(EXACT(E379,TRIM(Procurement_Raw!E379))),NOT(EXACT(F379,TRIM(Procurement_Raw!F379)))),1,0)</f>
        <v>0</v>
      </c>
    </row>
    <row r="380" spans="1:22" ht="15" customHeight="1" x14ac:dyDescent="0.25">
      <c r="A380" s="123">
        <f>Procurement_Raw!A380</f>
        <v>45754</v>
      </c>
      <c r="B380" t="str">
        <f>TRIM(Procurement_Raw!B380)</f>
        <v>S008</v>
      </c>
      <c r="C380" t="str">
        <f>Procurement_Raw!C380</f>
        <v>Leicester Care &amp; Education Centre</v>
      </c>
      <c r="D380" t="str">
        <f>Procurement_Raw!D380</f>
        <v>Midlands</v>
      </c>
      <c r="E380" t="str">
        <f>IF(TRIM(Procurement_Raw!E380)="","",IFERROR(INDEX(Supplier_Lookup!$A$2:$A$25,MATCH(TRIM(Procurement_Raw!E380),Supplier_Lookup!$A$2:$A$25,0)),TRIM(Procurement_Raw!E380)))</f>
        <v>SafeGuard FM</v>
      </c>
      <c r="F380" t="str">
        <f>IFERROR(INDEX(Category_Targets!$A$2:$A$9,MATCH(TRIM(Procurement_Raw!F380),Category_Targets!$A$2:$A$9,0)),"Unmapped")</f>
        <v>Facilities</v>
      </c>
      <c r="G380" t="str">
        <f>TRIM(Procurement_Raw!G380)</f>
        <v>INV-2025-00379</v>
      </c>
      <c r="H380" s="77">
        <f>Procurement_Raw!H380</f>
        <v>15</v>
      </c>
      <c r="I380" s="124">
        <f>Procurement_Raw!I380</f>
        <v>600.25</v>
      </c>
      <c r="J380" s="125">
        <f>IF(Procurement_Raw!J380="","",Procurement_Raw!J380)</f>
        <v>9003.77</v>
      </c>
      <c r="K380" s="77">
        <f>Procurement_Raw!K380</f>
        <v>30</v>
      </c>
      <c r="L380" t="str">
        <f>Procurement_Raw!L380</f>
        <v>Legacy Spend File</v>
      </c>
      <c r="M380" t="str">
        <f>Procurement_Raw!O380</f>
        <v>N</v>
      </c>
      <c r="N380" t="str">
        <f>IF(E380="","Missing supplier",IF(B380="","Missing site",IF(J380="","Missing spend",IF(COUNTIFS($G$2:G380,G380,$E$2:E380,E380,$J$2:J380,J380)&gt;1,"Duplicate invoice",IF(COUNTIF($G$2:$G$1801,G380)&gt;1,"Duplicate ID - review",IF(AND(P380&lt;&gt;"Unmapped",P380&lt;&gt;F380),"Category mismatch","OK"))))))</f>
        <v>OK</v>
      </c>
      <c r="O380" s="125">
        <f t="shared" si="15"/>
        <v>9003.77</v>
      </c>
      <c r="P380" t="str">
        <f>IF(E380="","Unmapped",IFERROR(INDEX(Supplier_Lookup!$B$2:$B$25,MATCH(E380,Supplier_Lookup!$A$2:$A$25,0)),"Unmapped"))</f>
        <v>Facilities</v>
      </c>
      <c r="Q380" s="76">
        <f>IFERROR(INDEX(Category_Targets!$B$2:$B$9,MATCH(F380,Category_Targets!$A$2:$A$9,0)),0)</f>
        <v>0.05</v>
      </c>
      <c r="R380" s="125">
        <f t="shared" si="16"/>
        <v>450.18850000000003</v>
      </c>
      <c r="S380" s="78">
        <f t="shared" si="17"/>
        <v>45748</v>
      </c>
      <c r="T380" t="str">
        <f>IFERROR(VLOOKUP(B380,Sites!$A$2:$D$21,4,FALSE()),"Unknown")</f>
        <v>Leicester</v>
      </c>
      <c r="U380" t="str">
        <f>IF(N380="OK","",COUNTIF($N$2:N380,"&lt;&gt;OK"))</f>
        <v/>
      </c>
      <c r="V380">
        <f>IF(OR(NOT(EXACT(E380,TRIM(Procurement_Raw!E380))),NOT(EXACT(F380,TRIM(Procurement_Raw!F380)))),1,0)</f>
        <v>0</v>
      </c>
    </row>
    <row r="381" spans="1:22" ht="15" customHeight="1" x14ac:dyDescent="0.25">
      <c r="A381" s="123">
        <f>Procurement_Raw!A381</f>
        <v>45763</v>
      </c>
      <c r="B381" t="str">
        <f>TRIM(Procurement_Raw!B381)</f>
        <v>S014</v>
      </c>
      <c r="C381" t="str">
        <f>Procurement_Raw!C381</f>
        <v>Southampton Care &amp; Education Centre</v>
      </c>
      <c r="D381" t="str">
        <f>Procurement_Raw!D381</f>
        <v>South</v>
      </c>
      <c r="E381" t="str">
        <f>IF(TRIM(Procurement_Raw!E381)="","",IFERROR(INDEX(Supplier_Lookup!$A$2:$A$25,MATCH(TRIM(Procurement_Raw!E381),Supplier_Lookup!$A$2:$A$25,0)),TRIM(Procurement_Raw!E381)))</f>
        <v>MediSure</v>
      </c>
      <c r="F381" t="str">
        <f>IFERROR(INDEX(Category_Targets!$A$2:$A$9,MATCH(TRIM(Procurement_Raw!F381),Category_Targets!$A$2:$A$9,0)),"Unmapped")</f>
        <v>Medical Supplies</v>
      </c>
      <c r="G381" t="str">
        <f>TRIM(Procurement_Raw!G381)</f>
        <v>INV-2025-00380</v>
      </c>
      <c r="H381" s="77">
        <f>Procurement_Raw!H381</f>
        <v>9</v>
      </c>
      <c r="I381" s="124">
        <f>Procurement_Raw!I381</f>
        <v>76.930000000000007</v>
      </c>
      <c r="J381" s="125">
        <f>IF(Procurement_Raw!J381="","",Procurement_Raw!J381)</f>
        <v>692.39</v>
      </c>
      <c r="K381" s="77">
        <f>Procurement_Raw!K381</f>
        <v>30</v>
      </c>
      <c r="L381" t="str">
        <f>Procurement_Raw!L381</f>
        <v>Legacy Spend File</v>
      </c>
      <c r="M381" t="str">
        <f>Procurement_Raw!O381</f>
        <v>Y</v>
      </c>
      <c r="N381" t="str">
        <f>IF(E381="","Missing supplier",IF(B381="","Missing site",IF(J381="","Missing spend",IF(COUNTIFS($G$2:G381,G381,$E$2:E381,E381,$J$2:J381,J381)&gt;1,"Duplicate invoice",IF(COUNTIF($G$2:$G$1801,G381)&gt;1,"Duplicate ID - review",IF(AND(P381&lt;&gt;"Unmapped",P381&lt;&gt;F381),"Category mismatch","OK"))))))</f>
        <v>OK</v>
      </c>
      <c r="O381" s="125">
        <f t="shared" si="15"/>
        <v>692.39</v>
      </c>
      <c r="P381" t="str">
        <f>IF(E381="","Unmapped",IFERROR(INDEX(Supplier_Lookup!$B$2:$B$25,MATCH(E381,Supplier_Lookup!$A$2:$A$25,0)),"Unmapped"))</f>
        <v>Medical Supplies</v>
      </c>
      <c r="Q381" s="76">
        <f>IFERROR(INDEX(Category_Targets!$B$2:$B$9,MATCH(F381,Category_Targets!$A$2:$A$9,0)),0)</f>
        <v>0.06</v>
      </c>
      <c r="R381" s="125">
        <f t="shared" si="16"/>
        <v>41.543399999999998</v>
      </c>
      <c r="S381" s="78">
        <f t="shared" si="17"/>
        <v>45748</v>
      </c>
      <c r="T381" t="str">
        <f>IFERROR(VLOOKUP(B381,Sites!$A$2:$D$21,4,FALSE()),"Unknown")</f>
        <v>Southampton</v>
      </c>
      <c r="U381" t="str">
        <f>IF(N381="OK","",COUNTIF($N$2:N381,"&lt;&gt;OK"))</f>
        <v/>
      </c>
      <c r="V381">
        <f>IF(OR(NOT(EXACT(E381,TRIM(Procurement_Raw!E381))),NOT(EXACT(F381,TRIM(Procurement_Raw!F381)))),1,0)</f>
        <v>0</v>
      </c>
    </row>
    <row r="382" spans="1:22" ht="15" customHeight="1" x14ac:dyDescent="0.25">
      <c r="A382" s="123">
        <f>Procurement_Raw!A382</f>
        <v>46002</v>
      </c>
      <c r="B382" t="str">
        <f>TRIM(Procurement_Raw!B382)</f>
        <v>S001</v>
      </c>
      <c r="C382" t="str">
        <f>Procurement_Raw!C382</f>
        <v>Preston Care &amp; Education Centre</v>
      </c>
      <c r="D382" t="str">
        <f>Procurement_Raw!D382</f>
        <v>North</v>
      </c>
      <c r="E382" t="str">
        <f>IF(TRIM(Procurement_Raw!E382)="","",IFERROR(INDEX(Supplier_Lookup!$A$2:$A$25,MATCH(TRIM(Procurement_Raw!E382),Supplier_Lookup!$A$2:$A$25,0)),TRIM(Procurement_Raw!E382)))</f>
        <v>PrintCo</v>
      </c>
      <c r="F382" t="str">
        <f>IFERROR(INDEX(Category_Targets!$A$2:$A$9,MATCH(TRIM(Procurement_Raw!F382),Category_Targets!$A$2:$A$9,0)),"Unmapped")</f>
        <v>Office &amp; Training</v>
      </c>
      <c r="G382" t="str">
        <f>TRIM(Procurement_Raw!G382)</f>
        <v>INV-2025-00381</v>
      </c>
      <c r="H382" s="77">
        <f>Procurement_Raw!H382</f>
        <v>7</v>
      </c>
      <c r="I382" s="124">
        <f>Procurement_Raw!I382</f>
        <v>47.26</v>
      </c>
      <c r="J382" s="125">
        <f>IF(Procurement_Raw!J382="","",Procurement_Raw!J382)</f>
        <v>330.81</v>
      </c>
      <c r="K382" s="77">
        <f>Procurement_Raw!K382</f>
        <v>30</v>
      </c>
      <c r="L382" t="str">
        <f>Procurement_Raw!L382</f>
        <v>Legacy Spend File</v>
      </c>
      <c r="M382" t="str">
        <f>Procurement_Raw!O382</f>
        <v>N</v>
      </c>
      <c r="N382" t="str">
        <f>IF(E382="","Missing supplier",IF(B382="","Missing site",IF(J382="","Missing spend",IF(COUNTIFS($G$2:G382,G382,$E$2:E382,E382,$J$2:J382,J382)&gt;1,"Duplicate invoice",IF(COUNTIF($G$2:$G$1801,G382)&gt;1,"Duplicate ID - review",IF(AND(P382&lt;&gt;"Unmapped",P382&lt;&gt;F382),"Category mismatch","OK"))))))</f>
        <v>OK</v>
      </c>
      <c r="O382" s="125">
        <f t="shared" si="15"/>
        <v>330.81</v>
      </c>
      <c r="P382" t="str">
        <f>IF(E382="","Unmapped",IFERROR(INDEX(Supplier_Lookup!$B$2:$B$25,MATCH(E382,Supplier_Lookup!$A$2:$A$25,0)),"Unmapped"))</f>
        <v>Office &amp; Training</v>
      </c>
      <c r="Q382" s="76">
        <f>IFERROR(INDEX(Category_Targets!$B$2:$B$9,MATCH(F382,Category_Targets!$A$2:$A$9,0)),0)</f>
        <v>0.04</v>
      </c>
      <c r="R382" s="125">
        <f t="shared" si="16"/>
        <v>13.2324</v>
      </c>
      <c r="S382" s="78">
        <f t="shared" si="17"/>
        <v>45992</v>
      </c>
      <c r="T382" t="str">
        <f>IFERROR(VLOOKUP(B382,Sites!$A$2:$D$21,4,FALSE()),"Unknown")</f>
        <v>Preston</v>
      </c>
      <c r="U382" t="str">
        <f>IF(N382="OK","",COUNTIF($N$2:N382,"&lt;&gt;OK"))</f>
        <v/>
      </c>
      <c r="V382">
        <f>IF(OR(NOT(EXACT(E382,TRIM(Procurement_Raw!E382))),NOT(EXACT(F382,TRIM(Procurement_Raw!F382)))),1,0)</f>
        <v>0</v>
      </c>
    </row>
    <row r="383" spans="1:22" ht="15" customHeight="1" x14ac:dyDescent="0.25">
      <c r="A383" s="123">
        <f>Procurement_Raw!A383</f>
        <v>45777</v>
      </c>
      <c r="B383" t="str">
        <f>TRIM(Procurement_Raw!B383)</f>
        <v>S006</v>
      </c>
      <c r="C383" t="str">
        <f>Procurement_Raw!C383</f>
        <v>Birmingham Care &amp; Education Centre</v>
      </c>
      <c r="D383" t="str">
        <f>Procurement_Raw!D383</f>
        <v>Midlands</v>
      </c>
      <c r="E383" t="str">
        <f>IF(TRIM(Procurement_Raw!E383)="","",IFERROR(INDEX(Supplier_Lookup!$A$2:$A$25,MATCH(TRIM(Procurement_Raw!E383),Supplier_Lookup!$A$2:$A$25,0)),TRIM(Procurement_Raw!E383)))</f>
        <v>CareTemps</v>
      </c>
      <c r="F383" t="str">
        <f>IFERROR(INDEX(Category_Targets!$A$2:$A$9,MATCH(TRIM(Procurement_Raw!F383),Category_Targets!$A$2:$A$9,0)),"Unmapped")</f>
        <v>Agency Labour</v>
      </c>
      <c r="G383" t="str">
        <f>TRIM(Procurement_Raw!G383)</f>
        <v>INV-2025-00382</v>
      </c>
      <c r="H383" s="77">
        <f>Procurement_Raw!H383</f>
        <v>70</v>
      </c>
      <c r="I383" s="124">
        <f>Procurement_Raw!I383</f>
        <v>215.75</v>
      </c>
      <c r="J383" s="125">
        <f>IF(Procurement_Raw!J383="","",Procurement_Raw!J383)</f>
        <v>15102.44</v>
      </c>
      <c r="K383" s="77">
        <f>Procurement_Raw!K383</f>
        <v>30</v>
      </c>
      <c r="L383" t="str">
        <f>Procurement_Raw!L383</f>
        <v>ERP</v>
      </c>
      <c r="M383" t="str">
        <f>Procurement_Raw!O383</f>
        <v>N</v>
      </c>
      <c r="N383" t="str">
        <f>IF(E383="","Missing supplier",IF(B383="","Missing site",IF(J383="","Missing spend",IF(COUNTIFS($G$2:G383,G383,$E$2:E383,E383,$J$2:J383,J383)&gt;1,"Duplicate invoice",IF(COUNTIF($G$2:$G$1801,G383)&gt;1,"Duplicate ID - review",IF(AND(P383&lt;&gt;"Unmapped",P383&lt;&gt;F383),"Category mismatch","OK"))))))</f>
        <v>OK</v>
      </c>
      <c r="O383" s="125">
        <f t="shared" si="15"/>
        <v>15102.44</v>
      </c>
      <c r="P383" t="str">
        <f>IF(E383="","Unmapped",IFERROR(INDEX(Supplier_Lookup!$B$2:$B$25,MATCH(E383,Supplier_Lookup!$A$2:$A$25,0)),"Unmapped"))</f>
        <v>Agency Labour</v>
      </c>
      <c r="Q383" s="76">
        <f>IFERROR(INDEX(Category_Targets!$B$2:$B$9,MATCH(F383,Category_Targets!$A$2:$A$9,0)),0)</f>
        <v>7.0000000000000007E-2</v>
      </c>
      <c r="R383" s="125">
        <f t="shared" si="16"/>
        <v>1057.1708000000001</v>
      </c>
      <c r="S383" s="78">
        <f t="shared" si="17"/>
        <v>45748</v>
      </c>
      <c r="T383" t="str">
        <f>IFERROR(VLOOKUP(B383,Sites!$A$2:$D$21,4,FALSE()),"Unknown")</f>
        <v>Birmingham</v>
      </c>
      <c r="U383" t="str">
        <f>IF(N383="OK","",COUNTIF($N$2:N383,"&lt;&gt;OK"))</f>
        <v/>
      </c>
      <c r="V383">
        <f>IF(OR(NOT(EXACT(E383,TRIM(Procurement_Raw!E383))),NOT(EXACT(F383,TRIM(Procurement_Raw!F383)))),1,0)</f>
        <v>0</v>
      </c>
    </row>
    <row r="384" spans="1:22" ht="15" customHeight="1" x14ac:dyDescent="0.25">
      <c r="A384" s="123">
        <f>Procurement_Raw!A384</f>
        <v>45952</v>
      </c>
      <c r="B384" t="str">
        <f>TRIM(Procurement_Raw!B384)</f>
        <v>S005</v>
      </c>
      <c r="C384" t="str">
        <f>Procurement_Raw!C384</f>
        <v>Sheffield Care &amp; Education Centre</v>
      </c>
      <c r="D384" t="str">
        <f>Procurement_Raw!D384</f>
        <v>North</v>
      </c>
      <c r="E384" t="str">
        <f>IF(TRIM(Procurement_Raw!E384)="","",IFERROR(INDEX(Supplier_Lookup!$A$2:$A$25,MATCH(TRIM(Procurement_Raw!E384),Supplier_Lookup!$A$2:$A$25,0)),TRIM(Procurement_Raw!E384)))</f>
        <v>CloudLink</v>
      </c>
      <c r="F384" t="str">
        <f>IFERROR(INDEX(Category_Targets!$A$2:$A$9,MATCH(TRIM(Procurement_Raw!F384),Category_Targets!$A$2:$A$9,0)),"Unmapped")</f>
        <v>IT &amp; Telecoms</v>
      </c>
      <c r="G384" t="str">
        <f>TRIM(Procurement_Raw!G384)</f>
        <v>INV-2025-00383</v>
      </c>
      <c r="H384" s="77">
        <f>Procurement_Raw!H384</f>
        <v>41</v>
      </c>
      <c r="I384" s="124">
        <f>Procurement_Raw!I384</f>
        <v>68.41</v>
      </c>
      <c r="J384" s="125">
        <f>IF(Procurement_Raw!J384="","",Procurement_Raw!J384)</f>
        <v>2804.71</v>
      </c>
      <c r="K384" s="77">
        <f>Procurement_Raw!K384</f>
        <v>60</v>
      </c>
      <c r="L384" t="str">
        <f>Procurement_Raw!L384</f>
        <v>Legacy Spend File</v>
      </c>
      <c r="M384" t="str">
        <f>Procurement_Raw!O384</f>
        <v>Y</v>
      </c>
      <c r="N384" t="str">
        <f>IF(E384="","Missing supplier",IF(B384="","Missing site",IF(J384="","Missing spend",IF(COUNTIFS($G$2:G384,G384,$E$2:E384,E384,$J$2:J384,J384)&gt;1,"Duplicate invoice",IF(COUNTIF($G$2:$G$1801,G384)&gt;1,"Duplicate ID - review",IF(AND(P384&lt;&gt;"Unmapped",P384&lt;&gt;F384),"Category mismatch","OK"))))))</f>
        <v>OK</v>
      </c>
      <c r="O384" s="125">
        <f t="shared" si="15"/>
        <v>2804.71</v>
      </c>
      <c r="P384" t="str">
        <f>IF(E384="","Unmapped",IFERROR(INDEX(Supplier_Lookup!$B$2:$B$25,MATCH(E384,Supplier_Lookup!$A$2:$A$25,0)),"Unmapped"))</f>
        <v>IT &amp; Telecoms</v>
      </c>
      <c r="Q384" s="76">
        <f>IFERROR(INDEX(Category_Targets!$B$2:$B$9,MATCH(F384,Category_Targets!$A$2:$A$9,0)),0)</f>
        <v>0.08</v>
      </c>
      <c r="R384" s="125">
        <f t="shared" si="16"/>
        <v>224.3768</v>
      </c>
      <c r="S384" s="78">
        <f t="shared" si="17"/>
        <v>45931</v>
      </c>
      <c r="T384" t="str">
        <f>IFERROR(VLOOKUP(B384,Sites!$A$2:$D$21,4,FALSE()),"Unknown")</f>
        <v>Sheffield</v>
      </c>
      <c r="U384" t="str">
        <f>IF(N384="OK","",COUNTIF($N$2:N384,"&lt;&gt;OK"))</f>
        <v/>
      </c>
      <c r="V384">
        <f>IF(OR(NOT(EXACT(E384,TRIM(Procurement_Raw!E384))),NOT(EXACT(F384,TRIM(Procurement_Raw!F384)))),1,0)</f>
        <v>0</v>
      </c>
    </row>
    <row r="385" spans="1:22" ht="15" customHeight="1" x14ac:dyDescent="0.25">
      <c r="A385" s="123">
        <f>Procurement_Raw!A385</f>
        <v>45812</v>
      </c>
      <c r="B385" t="str">
        <f>TRIM(Procurement_Raw!B385)</f>
        <v>S018</v>
      </c>
      <c r="C385" t="str">
        <f>Procurement_Raw!C385</f>
        <v>Newport Care &amp; Education Centre</v>
      </c>
      <c r="D385" t="str">
        <f>Procurement_Raw!D385</f>
        <v>Wales</v>
      </c>
      <c r="E385" t="str">
        <f>IF(TRIM(Procurement_Raw!E385)="","",IFERROR(INDEX(Supplier_Lookup!$A$2:$A$25,MATCH(TRIM(Procurement_Raw!E385),Supplier_Lookup!$A$2:$A$25,0)),TRIM(Procurement_Raw!E385)))</f>
        <v>FleetFuel</v>
      </c>
      <c r="F385" t="str">
        <f>IFERROR(INDEX(Category_Targets!$A$2:$A$9,MATCH(TRIM(Procurement_Raw!F385),Category_Targets!$A$2:$A$9,0)),"Unmapped")</f>
        <v>Vehicle &amp; Fuel</v>
      </c>
      <c r="G385" t="str">
        <f>TRIM(Procurement_Raw!G385)</f>
        <v>INV-2025-00384</v>
      </c>
      <c r="H385" s="77">
        <f>Procurement_Raw!H385</f>
        <v>19</v>
      </c>
      <c r="I385" s="124">
        <f>Procurement_Raw!I385</f>
        <v>71.14</v>
      </c>
      <c r="J385" s="125">
        <f>IF(Procurement_Raw!J385="","",Procurement_Raw!J385)</f>
        <v>1351.74</v>
      </c>
      <c r="K385" s="77">
        <f>Procurement_Raw!K385</f>
        <v>60</v>
      </c>
      <c r="L385" t="str">
        <f>Procurement_Raw!L385</f>
        <v>Legacy Spend File</v>
      </c>
      <c r="M385" t="str">
        <f>Procurement_Raw!O385</f>
        <v>Y</v>
      </c>
      <c r="N385" t="str">
        <f>IF(E385="","Missing supplier",IF(B385="","Missing site",IF(J385="","Missing spend",IF(COUNTIFS($G$2:G385,G385,$E$2:E385,E385,$J$2:J385,J385)&gt;1,"Duplicate invoice",IF(COUNTIF($G$2:$G$1801,G385)&gt;1,"Duplicate ID - review",IF(AND(P385&lt;&gt;"Unmapped",P385&lt;&gt;F385),"Category mismatch","OK"))))))</f>
        <v>OK</v>
      </c>
      <c r="O385" s="125">
        <f t="shared" si="15"/>
        <v>1351.74</v>
      </c>
      <c r="P385" t="str">
        <f>IF(E385="","Unmapped",IFERROR(INDEX(Supplier_Lookup!$B$2:$B$25,MATCH(E385,Supplier_Lookup!$A$2:$A$25,0)),"Unmapped"))</f>
        <v>Vehicle &amp; Fuel</v>
      </c>
      <c r="Q385" s="76">
        <f>IFERROR(INDEX(Category_Targets!$B$2:$B$9,MATCH(F385,Category_Targets!$A$2:$A$9,0)),0)</f>
        <v>0.05</v>
      </c>
      <c r="R385" s="125">
        <f t="shared" si="16"/>
        <v>67.587000000000003</v>
      </c>
      <c r="S385" s="78">
        <f t="shared" si="17"/>
        <v>45809</v>
      </c>
      <c r="T385" t="str">
        <f>IFERROR(VLOOKUP(B385,Sites!$A$2:$D$21,4,FALSE()),"Unknown")</f>
        <v>Newport</v>
      </c>
      <c r="U385" t="str">
        <f>IF(N385="OK","",COUNTIF($N$2:N385,"&lt;&gt;OK"))</f>
        <v/>
      </c>
      <c r="V385">
        <f>IF(OR(NOT(EXACT(E385,TRIM(Procurement_Raw!E385))),NOT(EXACT(F385,TRIM(Procurement_Raw!F385)))),1,0)</f>
        <v>0</v>
      </c>
    </row>
    <row r="386" spans="1:22" ht="15" customHeight="1" x14ac:dyDescent="0.25">
      <c r="A386" s="123">
        <f>Procurement_Raw!A386</f>
        <v>45798</v>
      </c>
      <c r="B386" t="str">
        <f>TRIM(Procurement_Raw!B386)</f>
        <v>S015</v>
      </c>
      <c r="C386" t="str">
        <f>Procurement_Raw!C386</f>
        <v>Brighton Care &amp; Education Centre</v>
      </c>
      <c r="D386" t="str">
        <f>Procurement_Raw!D386</f>
        <v>South</v>
      </c>
      <c r="E386" t="str">
        <f>IF(TRIM(Procurement_Raw!E386)="","",IFERROR(INDEX(Supplier_Lookup!$A$2:$A$25,MATCH(TRIM(Procurement_Raw!E386),Supplier_Lookup!$A$2:$A$25,0)),TRIM(Procurement_Raw!E386)))</f>
        <v>CareTemps</v>
      </c>
      <c r="F386" t="str">
        <f>IFERROR(INDEX(Category_Targets!$A$2:$A$9,MATCH(TRIM(Procurement_Raw!F386),Category_Targets!$A$2:$A$9,0)),"Unmapped")</f>
        <v>Agency Labour</v>
      </c>
      <c r="G386" t="str">
        <f>TRIM(Procurement_Raw!G386)</f>
        <v>INV-2025-00385</v>
      </c>
      <c r="H386" s="77">
        <f>Procurement_Raw!H386</f>
        <v>8</v>
      </c>
      <c r="I386" s="124">
        <f>Procurement_Raw!I386</f>
        <v>197.6</v>
      </c>
      <c r="J386" s="125">
        <f>IF(Procurement_Raw!J386="","",Procurement_Raw!J386)</f>
        <v>1580.82</v>
      </c>
      <c r="K386" s="77">
        <f>Procurement_Raw!K386</f>
        <v>60</v>
      </c>
      <c r="L386" t="str">
        <f>Procurement_Raw!L386</f>
        <v>Legacy Spend File</v>
      </c>
      <c r="M386" t="str">
        <f>Procurement_Raw!O386</f>
        <v>N</v>
      </c>
      <c r="N386" t="str">
        <f>IF(E386="","Missing supplier",IF(B386="","Missing site",IF(J386="","Missing spend",IF(COUNTIFS($G$2:G386,G386,$E$2:E386,E386,$J$2:J386,J386)&gt;1,"Duplicate invoice",IF(COUNTIF($G$2:$G$1801,G386)&gt;1,"Duplicate ID - review",IF(AND(P386&lt;&gt;"Unmapped",P386&lt;&gt;F386),"Category mismatch","OK"))))))</f>
        <v>OK</v>
      </c>
      <c r="O386" s="125">
        <f t="shared" ref="O386:O449" si="18">IF(OR(N386="Missing spend",N386="Duplicate invoice"),0,J386)</f>
        <v>1580.82</v>
      </c>
      <c r="P386" t="str">
        <f>IF(E386="","Unmapped",IFERROR(INDEX(Supplier_Lookup!$B$2:$B$25,MATCH(E386,Supplier_Lookup!$A$2:$A$25,0)),"Unmapped"))</f>
        <v>Agency Labour</v>
      </c>
      <c r="Q386" s="76">
        <f>IFERROR(INDEX(Category_Targets!$B$2:$B$9,MATCH(F386,Category_Targets!$A$2:$A$9,0)),0)</f>
        <v>7.0000000000000007E-2</v>
      </c>
      <c r="R386" s="125">
        <f t="shared" ref="R386:R449" si="19">O386*Q386</f>
        <v>110.65740000000001</v>
      </c>
      <c r="S386" s="78">
        <f t="shared" ref="S386:S449" si="20">DATE(YEAR(A386),MONTH(A386),1)</f>
        <v>45778</v>
      </c>
      <c r="T386" t="str">
        <f>IFERROR(VLOOKUP(B386,Sites!$A$2:$D$21,4,FALSE()),"Unknown")</f>
        <v>Brighton</v>
      </c>
      <c r="U386" t="str">
        <f>IF(N386="OK","",COUNTIF($N$2:N386,"&lt;&gt;OK"))</f>
        <v/>
      </c>
      <c r="V386">
        <f>IF(OR(NOT(EXACT(E386,TRIM(Procurement_Raw!E386))),NOT(EXACT(F386,TRIM(Procurement_Raw!F386)))),1,0)</f>
        <v>0</v>
      </c>
    </row>
    <row r="387" spans="1:22" ht="15" customHeight="1" x14ac:dyDescent="0.25">
      <c r="A387" s="123">
        <f>Procurement_Raw!A387</f>
        <v>46005</v>
      </c>
      <c r="B387" t="str">
        <f>TRIM(Procurement_Raw!B387)</f>
        <v>S015</v>
      </c>
      <c r="C387" t="str">
        <f>Procurement_Raw!C387</f>
        <v>Brighton Care &amp; Education Centre</v>
      </c>
      <c r="D387" t="str">
        <f>Procurement_Raw!D387</f>
        <v>South</v>
      </c>
      <c r="E387" t="str">
        <f>IF(TRIM(Procurement_Raw!E387)="","",IFERROR(INDEX(Supplier_Lookup!$A$2:$A$25,MATCH(TRIM(Procurement_Raw!E387),Supplier_Lookup!$A$2:$A$25,0)),TRIM(Procurement_Raw!E387)))</f>
        <v>BuildCare</v>
      </c>
      <c r="F387" t="str">
        <f>IFERROR(INDEX(Category_Targets!$A$2:$A$9,MATCH(TRIM(Procurement_Raw!F387),Category_Targets!$A$2:$A$9,0)),"Unmapped")</f>
        <v>Facilities</v>
      </c>
      <c r="G387" t="str">
        <f>TRIM(Procurement_Raw!G387)</f>
        <v>INV-2025-00386</v>
      </c>
      <c r="H387" s="77">
        <f>Procurement_Raw!H387</f>
        <v>55</v>
      </c>
      <c r="I387" s="124">
        <f>Procurement_Raw!I387</f>
        <v>195.52</v>
      </c>
      <c r="J387" s="125">
        <f>IF(Procurement_Raw!J387="","",Procurement_Raw!J387)</f>
        <v>10753.72</v>
      </c>
      <c r="K387" s="77">
        <f>Procurement_Raw!K387</f>
        <v>60</v>
      </c>
      <c r="L387" t="str">
        <f>Procurement_Raw!L387</f>
        <v>Procurement Portal</v>
      </c>
      <c r="M387" t="str">
        <f>Procurement_Raw!O387</f>
        <v>N</v>
      </c>
      <c r="N387" t="str">
        <f>IF(E387="","Missing supplier",IF(B387="","Missing site",IF(J387="","Missing spend",IF(COUNTIFS($G$2:G387,G387,$E$2:E387,E387,$J$2:J387,J387)&gt;1,"Duplicate invoice",IF(COUNTIF($G$2:$G$1801,G387)&gt;1,"Duplicate ID - review",IF(AND(P387&lt;&gt;"Unmapped",P387&lt;&gt;F387),"Category mismatch","OK"))))))</f>
        <v>OK</v>
      </c>
      <c r="O387" s="125">
        <f t="shared" si="18"/>
        <v>10753.72</v>
      </c>
      <c r="P387" t="str">
        <f>IF(E387="","Unmapped",IFERROR(INDEX(Supplier_Lookup!$B$2:$B$25,MATCH(E387,Supplier_Lookup!$A$2:$A$25,0)),"Unmapped"))</f>
        <v>Facilities</v>
      </c>
      <c r="Q387" s="76">
        <f>IFERROR(INDEX(Category_Targets!$B$2:$B$9,MATCH(F387,Category_Targets!$A$2:$A$9,0)),0)</f>
        <v>0.05</v>
      </c>
      <c r="R387" s="125">
        <f t="shared" si="19"/>
        <v>537.68600000000004</v>
      </c>
      <c r="S387" s="78">
        <f t="shared" si="20"/>
        <v>45992</v>
      </c>
      <c r="T387" t="str">
        <f>IFERROR(VLOOKUP(B387,Sites!$A$2:$D$21,4,FALSE()),"Unknown")</f>
        <v>Brighton</v>
      </c>
      <c r="U387" t="str">
        <f>IF(N387="OK","",COUNTIF($N$2:N387,"&lt;&gt;OK"))</f>
        <v/>
      </c>
      <c r="V387">
        <f>IF(OR(NOT(EXACT(E387,TRIM(Procurement_Raw!E387))),NOT(EXACT(F387,TRIM(Procurement_Raw!F387)))),1,0)</f>
        <v>0</v>
      </c>
    </row>
    <row r="388" spans="1:22" ht="15" customHeight="1" x14ac:dyDescent="0.25">
      <c r="A388" s="123">
        <f>Procurement_Raw!A388</f>
        <v>46001</v>
      </c>
      <c r="B388" t="str">
        <f>TRIM(Procurement_Raw!B388)</f>
        <v>S009</v>
      </c>
      <c r="C388" t="str">
        <f>Procurement_Raw!C388</f>
        <v>Derby Care &amp; Education Centre</v>
      </c>
      <c r="D388" t="str">
        <f>Procurement_Raw!D388</f>
        <v>Midlands</v>
      </c>
      <c r="E388" t="str">
        <f>IF(TRIM(Procurement_Raw!E388)="","",IFERROR(INDEX(Supplier_Lookup!$A$2:$A$25,MATCH(TRIM(Procurement_Raw!E388),Supplier_Lookup!$A$2:$A$25,0)),TRIM(Procurement_Raw!E388)))</f>
        <v>AutoCare</v>
      </c>
      <c r="F388" t="str">
        <f>IFERROR(INDEX(Category_Targets!$A$2:$A$9,MATCH(TRIM(Procurement_Raw!F388),Category_Targets!$A$2:$A$9,0)),"Unmapped")</f>
        <v>Vehicle &amp; Fuel</v>
      </c>
      <c r="G388" t="str">
        <f>TRIM(Procurement_Raw!G388)</f>
        <v>INV-2025-00387</v>
      </c>
      <c r="H388" s="77">
        <f>Procurement_Raw!H388</f>
        <v>49</v>
      </c>
      <c r="I388" s="124">
        <f>Procurement_Raw!I388</f>
        <v>114.65</v>
      </c>
      <c r="J388" s="125">
        <f>IF(Procurement_Raw!J388="","",Procurement_Raw!J388)</f>
        <v>5617.62</v>
      </c>
      <c r="K388" s="77">
        <f>Procurement_Raw!K388</f>
        <v>60</v>
      </c>
      <c r="L388" t="str">
        <f>Procurement_Raw!L388</f>
        <v>Procurement Portal</v>
      </c>
      <c r="M388" t="str">
        <f>Procurement_Raw!O388</f>
        <v>N</v>
      </c>
      <c r="N388" t="str">
        <f>IF(E388="","Missing supplier",IF(B388="","Missing site",IF(J388="","Missing spend",IF(COUNTIFS($G$2:G388,G388,$E$2:E388,E388,$J$2:J388,J388)&gt;1,"Duplicate invoice",IF(COUNTIF($G$2:$G$1801,G388)&gt;1,"Duplicate ID - review",IF(AND(P388&lt;&gt;"Unmapped",P388&lt;&gt;F388),"Category mismatch","OK"))))))</f>
        <v>OK</v>
      </c>
      <c r="O388" s="125">
        <f t="shared" si="18"/>
        <v>5617.62</v>
      </c>
      <c r="P388" t="str">
        <f>IF(E388="","Unmapped",IFERROR(INDEX(Supplier_Lookup!$B$2:$B$25,MATCH(E388,Supplier_Lookup!$A$2:$A$25,0)),"Unmapped"))</f>
        <v>Vehicle &amp; Fuel</v>
      </c>
      <c r="Q388" s="76">
        <f>IFERROR(INDEX(Category_Targets!$B$2:$B$9,MATCH(F388,Category_Targets!$A$2:$A$9,0)),0)</f>
        <v>0.05</v>
      </c>
      <c r="R388" s="125">
        <f t="shared" si="19"/>
        <v>280.88100000000003</v>
      </c>
      <c r="S388" s="78">
        <f t="shared" si="20"/>
        <v>45992</v>
      </c>
      <c r="T388" t="str">
        <f>IFERROR(VLOOKUP(B388,Sites!$A$2:$D$21,4,FALSE()),"Unknown")</f>
        <v>Derby</v>
      </c>
      <c r="U388" t="str">
        <f>IF(N388="OK","",COUNTIF($N$2:N388,"&lt;&gt;OK"))</f>
        <v/>
      </c>
      <c r="V388">
        <f>IF(OR(NOT(EXACT(E388,TRIM(Procurement_Raw!E388))),NOT(EXACT(F388,TRIM(Procurement_Raw!F388)))),1,0)</f>
        <v>0</v>
      </c>
    </row>
    <row r="389" spans="1:22" ht="15" customHeight="1" x14ac:dyDescent="0.25">
      <c r="A389" s="123">
        <f>Procurement_Raw!A389</f>
        <v>45734</v>
      </c>
      <c r="B389" t="str">
        <f>TRIM(Procurement_Raw!B389)</f>
        <v>S015</v>
      </c>
      <c r="C389" t="str">
        <f>Procurement_Raw!C389</f>
        <v>Brighton Care &amp; Education Centre</v>
      </c>
      <c r="D389" t="str">
        <f>Procurement_Raw!D389</f>
        <v>South</v>
      </c>
      <c r="E389" t="str">
        <f>IF(TRIM(Procurement_Raw!E389)="","",IFERROR(INDEX(Supplier_Lookup!$A$2:$A$25,MATCH(TRIM(Procurement_Raw!E389),Supplier_Lookup!$A$2:$A$25,0)),TRIM(Procurement_Raw!E389)))</f>
        <v>CareTemps</v>
      </c>
      <c r="F389" t="str">
        <f>IFERROR(INDEX(Category_Targets!$A$2:$A$9,MATCH(TRIM(Procurement_Raw!F389),Category_Targets!$A$2:$A$9,0)),"Unmapped")</f>
        <v>Agency Labour</v>
      </c>
      <c r="G389" t="str">
        <f>TRIM(Procurement_Raw!G389)</f>
        <v>INV-2025-00388</v>
      </c>
      <c r="H389" s="77">
        <f>Procurement_Raw!H389</f>
        <v>39</v>
      </c>
      <c r="I389" s="124">
        <f>Procurement_Raw!I389</f>
        <v>841.91</v>
      </c>
      <c r="J389" s="125">
        <f>IF(Procurement_Raw!J389="","",Procurement_Raw!J389)</f>
        <v>32834.6</v>
      </c>
      <c r="K389" s="77">
        <f>Procurement_Raw!K389</f>
        <v>45</v>
      </c>
      <c r="L389" t="str">
        <f>Procurement_Raw!L389</f>
        <v>ERP</v>
      </c>
      <c r="M389" t="str">
        <f>Procurement_Raw!O389</f>
        <v>N</v>
      </c>
      <c r="N389" t="str">
        <f>IF(E389="","Missing supplier",IF(B389="","Missing site",IF(J389="","Missing spend",IF(COUNTIFS($G$2:G389,G389,$E$2:E389,E389,$J$2:J389,J389)&gt;1,"Duplicate invoice",IF(COUNTIF($G$2:$G$1801,G389)&gt;1,"Duplicate ID - review",IF(AND(P389&lt;&gt;"Unmapped",P389&lt;&gt;F389),"Category mismatch","OK"))))))</f>
        <v>OK</v>
      </c>
      <c r="O389" s="125">
        <f t="shared" si="18"/>
        <v>32834.6</v>
      </c>
      <c r="P389" t="str">
        <f>IF(E389="","Unmapped",IFERROR(INDEX(Supplier_Lookup!$B$2:$B$25,MATCH(E389,Supplier_Lookup!$A$2:$A$25,0)),"Unmapped"))</f>
        <v>Agency Labour</v>
      </c>
      <c r="Q389" s="76">
        <f>IFERROR(INDEX(Category_Targets!$B$2:$B$9,MATCH(F389,Category_Targets!$A$2:$A$9,0)),0)</f>
        <v>7.0000000000000007E-2</v>
      </c>
      <c r="R389" s="125">
        <f t="shared" si="19"/>
        <v>2298.422</v>
      </c>
      <c r="S389" s="78">
        <f t="shared" si="20"/>
        <v>45717</v>
      </c>
      <c r="T389" t="str">
        <f>IFERROR(VLOOKUP(B389,Sites!$A$2:$D$21,4,FALSE()),"Unknown")</f>
        <v>Brighton</v>
      </c>
      <c r="U389" t="str">
        <f>IF(N389="OK","",COUNTIF($N$2:N389,"&lt;&gt;OK"))</f>
        <v/>
      </c>
      <c r="V389">
        <f>IF(OR(NOT(EXACT(E389,TRIM(Procurement_Raw!E389))),NOT(EXACT(F389,TRIM(Procurement_Raw!F389)))),1,0)</f>
        <v>0</v>
      </c>
    </row>
    <row r="390" spans="1:22" ht="15" customHeight="1" x14ac:dyDescent="0.25">
      <c r="A390" s="123">
        <f>Procurement_Raw!A390</f>
        <v>45773</v>
      </c>
      <c r="B390" t="str">
        <f>TRIM(Procurement_Raw!B390)</f>
        <v>S012</v>
      </c>
      <c r="C390" t="str">
        <f>Procurement_Raw!C390</f>
        <v>Bristol Care &amp; Education Centre</v>
      </c>
      <c r="D390" t="str">
        <f>Procurement_Raw!D390</f>
        <v>South</v>
      </c>
      <c r="E390" t="str">
        <f>IF(TRIM(Procurement_Raw!E390)="","",IFERROR(INDEX(Supplier_Lookup!$A$2:$A$25,MATCH(TRIM(Procurement_Raw!E390),Supplier_Lookup!$A$2:$A$25,0)),TRIM(Procurement_Raw!E390)))</f>
        <v>OfficePlus</v>
      </c>
      <c r="F390" t="str">
        <f>IFERROR(INDEX(Category_Targets!$A$2:$A$9,MATCH(TRIM(Procurement_Raw!F390),Category_Targets!$A$2:$A$9,0)),"Unmapped")</f>
        <v>Office &amp; Training</v>
      </c>
      <c r="G390" t="str">
        <f>TRIM(Procurement_Raw!G390)</f>
        <v>INV-2025-00389</v>
      </c>
      <c r="H390" s="77">
        <f>Procurement_Raw!H390</f>
        <v>39</v>
      </c>
      <c r="I390" s="124">
        <f>Procurement_Raw!I390</f>
        <v>126.5</v>
      </c>
      <c r="J390" s="125">
        <f>IF(Procurement_Raw!J390="","",Procurement_Raw!J390)</f>
        <v>4933.3999999999996</v>
      </c>
      <c r="K390" s="77">
        <f>Procurement_Raw!K390</f>
        <v>60</v>
      </c>
      <c r="L390" t="str">
        <f>Procurement_Raw!L390</f>
        <v>ERP</v>
      </c>
      <c r="M390" t="str">
        <f>Procurement_Raw!O390</f>
        <v>N</v>
      </c>
      <c r="N390" t="str">
        <f>IF(E390="","Missing supplier",IF(B390="","Missing site",IF(J390="","Missing spend",IF(COUNTIFS($G$2:G390,G390,$E$2:E390,E390,$J$2:J390,J390)&gt;1,"Duplicate invoice",IF(COUNTIF($G$2:$G$1801,G390)&gt;1,"Duplicate ID - review",IF(AND(P390&lt;&gt;"Unmapped",P390&lt;&gt;F390),"Category mismatch","OK"))))))</f>
        <v>OK</v>
      </c>
      <c r="O390" s="125">
        <f t="shared" si="18"/>
        <v>4933.3999999999996</v>
      </c>
      <c r="P390" t="str">
        <f>IF(E390="","Unmapped",IFERROR(INDEX(Supplier_Lookup!$B$2:$B$25,MATCH(E390,Supplier_Lookup!$A$2:$A$25,0)),"Unmapped"))</f>
        <v>Office &amp; Training</v>
      </c>
      <c r="Q390" s="76">
        <f>IFERROR(INDEX(Category_Targets!$B$2:$B$9,MATCH(F390,Category_Targets!$A$2:$A$9,0)),0)</f>
        <v>0.04</v>
      </c>
      <c r="R390" s="125">
        <f t="shared" si="19"/>
        <v>197.33599999999998</v>
      </c>
      <c r="S390" s="78">
        <f t="shared" si="20"/>
        <v>45748</v>
      </c>
      <c r="T390" t="str">
        <f>IFERROR(VLOOKUP(B390,Sites!$A$2:$D$21,4,FALSE()),"Unknown")</f>
        <v>Bristol</v>
      </c>
      <c r="U390" t="str">
        <f>IF(N390="OK","",COUNTIF($N$2:N390,"&lt;&gt;OK"))</f>
        <v/>
      </c>
      <c r="V390">
        <f>IF(OR(NOT(EXACT(E390,TRIM(Procurement_Raw!E390))),NOT(EXACT(F390,TRIM(Procurement_Raw!F390)))),1,0)</f>
        <v>0</v>
      </c>
    </row>
    <row r="391" spans="1:22" ht="15" customHeight="1" x14ac:dyDescent="0.25">
      <c r="A391" s="123">
        <f>Procurement_Raw!A391</f>
        <v>45869</v>
      </c>
      <c r="B391" t="str">
        <f>TRIM(Procurement_Raw!B391)</f>
        <v>S002</v>
      </c>
      <c r="C391" t="str">
        <f>Procurement_Raw!C391</f>
        <v>Manchester Care &amp; Education Centre</v>
      </c>
      <c r="D391" t="str">
        <f>Procurement_Raw!D391</f>
        <v>North</v>
      </c>
      <c r="E391" t="str">
        <f>IF(TRIM(Procurement_Raw!E391)="","",IFERROR(INDEX(Supplier_Lookup!$A$2:$A$25,MATCH(TRIM(Procurement_Raw!E391),Supplier_Lookup!$A$2:$A$25,0)),TRIM(Procurement_Raw!E391)))</f>
        <v>ClinEquip</v>
      </c>
      <c r="F391" t="str">
        <f>IFERROR(INDEX(Category_Targets!$A$2:$A$9,MATCH(TRIM(Procurement_Raw!F391),Category_Targets!$A$2:$A$9,0)),"Unmapped")</f>
        <v>Medical Supplies</v>
      </c>
      <c r="G391" t="str">
        <f>TRIM(Procurement_Raw!G391)</f>
        <v>INV-2025-00390</v>
      </c>
      <c r="H391" s="77">
        <f>Procurement_Raw!H391</f>
        <v>54</v>
      </c>
      <c r="I391" s="124">
        <f>Procurement_Raw!I391</f>
        <v>87.37</v>
      </c>
      <c r="J391" s="125">
        <f>IF(Procurement_Raw!J391="","",Procurement_Raw!J391)</f>
        <v>4718.18</v>
      </c>
      <c r="K391" s="77">
        <f>Procurement_Raw!K391</f>
        <v>60</v>
      </c>
      <c r="L391" t="str">
        <f>Procurement_Raw!L391</f>
        <v>Legacy Spend File</v>
      </c>
      <c r="M391" t="str">
        <f>Procurement_Raw!O391</f>
        <v>N</v>
      </c>
      <c r="N391" t="str">
        <f>IF(E391="","Missing supplier",IF(B391="","Missing site",IF(J391="","Missing spend",IF(COUNTIFS($G$2:G391,G391,$E$2:E391,E391,$J$2:J391,J391)&gt;1,"Duplicate invoice",IF(COUNTIF($G$2:$G$1801,G391)&gt;1,"Duplicate ID - review",IF(AND(P391&lt;&gt;"Unmapped",P391&lt;&gt;F391),"Category mismatch","OK"))))))</f>
        <v>OK</v>
      </c>
      <c r="O391" s="125">
        <f t="shared" si="18"/>
        <v>4718.18</v>
      </c>
      <c r="P391" t="str">
        <f>IF(E391="","Unmapped",IFERROR(INDEX(Supplier_Lookup!$B$2:$B$25,MATCH(E391,Supplier_Lookup!$A$2:$A$25,0)),"Unmapped"))</f>
        <v>Medical Supplies</v>
      </c>
      <c r="Q391" s="76">
        <f>IFERROR(INDEX(Category_Targets!$B$2:$B$9,MATCH(F391,Category_Targets!$A$2:$A$9,0)),0)</f>
        <v>0.06</v>
      </c>
      <c r="R391" s="125">
        <f t="shared" si="19"/>
        <v>283.0908</v>
      </c>
      <c r="S391" s="78">
        <f t="shared" si="20"/>
        <v>45839</v>
      </c>
      <c r="T391" t="str">
        <f>IFERROR(VLOOKUP(B391,Sites!$A$2:$D$21,4,FALSE()),"Unknown")</f>
        <v>Manchester</v>
      </c>
      <c r="U391" t="str">
        <f>IF(N391="OK","",COUNTIF($N$2:N391,"&lt;&gt;OK"))</f>
        <v/>
      </c>
      <c r="V391">
        <f>IF(OR(NOT(EXACT(E391,TRIM(Procurement_Raw!E391))),NOT(EXACT(F391,TRIM(Procurement_Raw!F391)))),1,0)</f>
        <v>0</v>
      </c>
    </row>
    <row r="392" spans="1:22" ht="15" customHeight="1" x14ac:dyDescent="0.25">
      <c r="A392" s="123">
        <f>Procurement_Raw!A392</f>
        <v>45788</v>
      </c>
      <c r="B392" t="str">
        <f>TRIM(Procurement_Raw!B392)</f>
        <v>S004</v>
      </c>
      <c r="C392" t="str">
        <f>Procurement_Raw!C392</f>
        <v>Newcastle Care &amp; Education Centre</v>
      </c>
      <c r="D392" t="str">
        <f>Procurement_Raw!D392</f>
        <v>North</v>
      </c>
      <c r="E392" t="str">
        <f>IF(TRIM(Procurement_Raw!E392)="","",IFERROR(INDEX(Supplier_Lookup!$A$2:$A$25,MATCH(TRIM(Procurement_Raw!E392),Supplier_Lookup!$A$2:$A$25,0)),TRIM(Procurement_Raw!E392)))</f>
        <v>HealthStaffing</v>
      </c>
      <c r="F392" t="str">
        <f>IFERROR(INDEX(Category_Targets!$A$2:$A$9,MATCH(TRIM(Procurement_Raw!F392),Category_Targets!$A$2:$A$9,0)),"Unmapped")</f>
        <v>Agency Labour</v>
      </c>
      <c r="G392" t="str">
        <f>TRIM(Procurement_Raw!G392)</f>
        <v>INV-2025-00391</v>
      </c>
      <c r="H392" s="77">
        <f>Procurement_Raw!H392</f>
        <v>27</v>
      </c>
      <c r="I392" s="124">
        <f>Procurement_Raw!I392</f>
        <v>183.03</v>
      </c>
      <c r="J392" s="125">
        <f>IF(Procurement_Raw!J392="","",Procurement_Raw!J392)</f>
        <v>4941.83</v>
      </c>
      <c r="K392" s="77">
        <f>Procurement_Raw!K392</f>
        <v>45</v>
      </c>
      <c r="L392" t="str">
        <f>Procurement_Raw!L392</f>
        <v>Legacy Spend File</v>
      </c>
      <c r="M392" t="str">
        <f>Procurement_Raw!O392</f>
        <v>N</v>
      </c>
      <c r="N392" t="str">
        <f>IF(E392="","Missing supplier",IF(B392="","Missing site",IF(J392="","Missing spend",IF(COUNTIFS($G$2:G392,G392,$E$2:E392,E392,$J$2:J392,J392)&gt;1,"Duplicate invoice",IF(COUNTIF($G$2:$G$1801,G392)&gt;1,"Duplicate ID - review",IF(AND(P392&lt;&gt;"Unmapped",P392&lt;&gt;F392),"Category mismatch","OK"))))))</f>
        <v>OK</v>
      </c>
      <c r="O392" s="125">
        <f t="shared" si="18"/>
        <v>4941.83</v>
      </c>
      <c r="P392" t="str">
        <f>IF(E392="","Unmapped",IFERROR(INDEX(Supplier_Lookup!$B$2:$B$25,MATCH(E392,Supplier_Lookup!$A$2:$A$25,0)),"Unmapped"))</f>
        <v>Agency Labour</v>
      </c>
      <c r="Q392" s="76">
        <f>IFERROR(INDEX(Category_Targets!$B$2:$B$9,MATCH(F392,Category_Targets!$A$2:$A$9,0)),0)</f>
        <v>7.0000000000000007E-2</v>
      </c>
      <c r="R392" s="125">
        <f t="shared" si="19"/>
        <v>345.92810000000003</v>
      </c>
      <c r="S392" s="78">
        <f t="shared" si="20"/>
        <v>45778</v>
      </c>
      <c r="T392" t="str">
        <f>IFERROR(VLOOKUP(B392,Sites!$A$2:$D$21,4,FALSE()),"Unknown")</f>
        <v>Newcastle</v>
      </c>
      <c r="U392" t="str">
        <f>IF(N392="OK","",COUNTIF($N$2:N392,"&lt;&gt;OK"))</f>
        <v/>
      </c>
      <c r="V392">
        <f>IF(OR(NOT(EXACT(E392,TRIM(Procurement_Raw!E392))),NOT(EXACT(F392,TRIM(Procurement_Raw!F392)))),1,0)</f>
        <v>0</v>
      </c>
    </row>
    <row r="393" spans="1:22" ht="15" customHeight="1" x14ac:dyDescent="0.25">
      <c r="A393" s="123">
        <f>Procurement_Raw!A393</f>
        <v>45705</v>
      </c>
      <c r="B393" t="str">
        <f>TRIM(Procurement_Raw!B393)</f>
        <v>S018</v>
      </c>
      <c r="C393" t="str">
        <f>Procurement_Raw!C393</f>
        <v>Newport Care &amp; Education Centre</v>
      </c>
      <c r="D393" t="str">
        <f>Procurement_Raw!D393</f>
        <v>Wales</v>
      </c>
      <c r="E393" t="str">
        <f>IF(TRIM(Procurement_Raw!E393)="","",IFERROR(INDEX(Supplier_Lookup!$A$2:$A$25,MATCH(TRIM(Procurement_Raw!E393),Supplier_Lookup!$A$2:$A$25,0)),TRIM(Procurement_Raw!E393)))</f>
        <v>LearnWell</v>
      </c>
      <c r="F393" t="str">
        <f>IFERROR(INDEX(Category_Targets!$A$2:$A$9,MATCH(TRIM(Procurement_Raw!F393),Category_Targets!$A$2:$A$9,0)),"Unmapped")</f>
        <v>Office &amp; Training</v>
      </c>
      <c r="G393" t="str">
        <f>TRIM(Procurement_Raw!G393)</f>
        <v>INV-2025-00392</v>
      </c>
      <c r="H393" s="77">
        <f>Procurement_Raw!H393</f>
        <v>69</v>
      </c>
      <c r="I393" s="124">
        <f>Procurement_Raw!I393</f>
        <v>98.3</v>
      </c>
      <c r="J393" s="125">
        <f>IF(Procurement_Raw!J393="","",Procurement_Raw!J393)</f>
        <v>6782.83</v>
      </c>
      <c r="K393" s="77">
        <f>Procurement_Raw!K393</f>
        <v>60</v>
      </c>
      <c r="L393" t="str">
        <f>Procurement_Raw!L393</f>
        <v>ERP</v>
      </c>
      <c r="M393" t="str">
        <f>Procurement_Raw!O393</f>
        <v>N</v>
      </c>
      <c r="N393" t="str">
        <f>IF(E393="","Missing supplier",IF(B393="","Missing site",IF(J393="","Missing spend",IF(COUNTIFS($G$2:G393,G393,$E$2:E393,E393,$J$2:J393,J393)&gt;1,"Duplicate invoice",IF(COUNTIF($G$2:$G$1801,G393)&gt;1,"Duplicate ID - review",IF(AND(P393&lt;&gt;"Unmapped",P393&lt;&gt;F393),"Category mismatch","OK"))))))</f>
        <v>OK</v>
      </c>
      <c r="O393" s="125">
        <f t="shared" si="18"/>
        <v>6782.83</v>
      </c>
      <c r="P393" t="str">
        <f>IF(E393="","Unmapped",IFERROR(INDEX(Supplier_Lookup!$B$2:$B$25,MATCH(E393,Supplier_Lookup!$A$2:$A$25,0)),"Unmapped"))</f>
        <v>Office &amp; Training</v>
      </c>
      <c r="Q393" s="76">
        <f>IFERROR(INDEX(Category_Targets!$B$2:$B$9,MATCH(F393,Category_Targets!$A$2:$A$9,0)),0)</f>
        <v>0.04</v>
      </c>
      <c r="R393" s="125">
        <f t="shared" si="19"/>
        <v>271.31319999999999</v>
      </c>
      <c r="S393" s="78">
        <f t="shared" si="20"/>
        <v>45689</v>
      </c>
      <c r="T393" t="str">
        <f>IFERROR(VLOOKUP(B393,Sites!$A$2:$D$21,4,FALSE()),"Unknown")</f>
        <v>Newport</v>
      </c>
      <c r="U393" t="str">
        <f>IF(N393="OK","",COUNTIF($N$2:N393,"&lt;&gt;OK"))</f>
        <v/>
      </c>
      <c r="V393">
        <f>IF(OR(NOT(EXACT(E393,TRIM(Procurement_Raw!E393))),NOT(EXACT(F393,TRIM(Procurement_Raw!F393)))),1,0)</f>
        <v>0</v>
      </c>
    </row>
    <row r="394" spans="1:22" ht="15" customHeight="1" x14ac:dyDescent="0.25">
      <c r="A394" s="123">
        <f>Procurement_Raw!A394</f>
        <v>46002</v>
      </c>
      <c r="B394" t="str">
        <f>TRIM(Procurement_Raw!B394)</f>
        <v>S012</v>
      </c>
      <c r="C394" t="str">
        <f>Procurement_Raw!C394</f>
        <v>Bristol Care &amp; Education Centre</v>
      </c>
      <c r="D394" t="str">
        <f>Procurement_Raw!D394</f>
        <v>South</v>
      </c>
      <c r="E394" t="str">
        <f>IF(TRIM(Procurement_Raw!E394)="","",IFERROR(INDEX(Supplier_Lookup!$A$2:$A$25,MATCH(TRIM(Procurement_Raw!E394),Supplier_Lookup!$A$2:$A$25,0)),TRIM(Procurement_Raw!E394)))</f>
        <v>TeleCare IT</v>
      </c>
      <c r="F394" t="str">
        <f>IFERROR(INDEX(Category_Targets!$A$2:$A$9,MATCH(TRIM(Procurement_Raw!F394),Category_Targets!$A$2:$A$9,0)),"Unmapped")</f>
        <v>IT &amp; Telecoms</v>
      </c>
      <c r="G394" t="str">
        <f>TRIM(Procurement_Raw!G394)</f>
        <v>INV-2025-00393</v>
      </c>
      <c r="H394" s="77">
        <f>Procurement_Raw!H394</f>
        <v>78</v>
      </c>
      <c r="I394" s="124">
        <f>Procurement_Raw!I394</f>
        <v>106.43</v>
      </c>
      <c r="J394" s="125">
        <f>IF(Procurement_Raw!J394="","",Procurement_Raw!J394)</f>
        <v>8301.64</v>
      </c>
      <c r="K394" s="77">
        <f>Procurement_Raw!K394</f>
        <v>60</v>
      </c>
      <c r="L394" t="str">
        <f>Procurement_Raw!L394</f>
        <v>ERP</v>
      </c>
      <c r="M394" t="str">
        <f>Procurement_Raw!O394</f>
        <v>N</v>
      </c>
      <c r="N394" t="str">
        <f>IF(E394="","Missing supplier",IF(B394="","Missing site",IF(J394="","Missing spend",IF(COUNTIFS($G$2:G394,G394,$E$2:E394,E394,$J$2:J394,J394)&gt;1,"Duplicate invoice",IF(COUNTIF($G$2:$G$1801,G394)&gt;1,"Duplicate ID - review",IF(AND(P394&lt;&gt;"Unmapped",P394&lt;&gt;F394),"Category mismatch","OK"))))))</f>
        <v>OK</v>
      </c>
      <c r="O394" s="125">
        <f t="shared" si="18"/>
        <v>8301.64</v>
      </c>
      <c r="P394" t="str">
        <f>IF(E394="","Unmapped",IFERROR(INDEX(Supplier_Lookup!$B$2:$B$25,MATCH(E394,Supplier_Lookup!$A$2:$A$25,0)),"Unmapped"))</f>
        <v>IT &amp; Telecoms</v>
      </c>
      <c r="Q394" s="76">
        <f>IFERROR(INDEX(Category_Targets!$B$2:$B$9,MATCH(F394,Category_Targets!$A$2:$A$9,0)),0)</f>
        <v>0.08</v>
      </c>
      <c r="R394" s="125">
        <f t="shared" si="19"/>
        <v>664.13119999999992</v>
      </c>
      <c r="S394" s="78">
        <f t="shared" si="20"/>
        <v>45992</v>
      </c>
      <c r="T394" t="str">
        <f>IFERROR(VLOOKUP(B394,Sites!$A$2:$D$21,4,FALSE()),"Unknown")</f>
        <v>Bristol</v>
      </c>
      <c r="U394" t="str">
        <f>IF(N394="OK","",COUNTIF($N$2:N394,"&lt;&gt;OK"))</f>
        <v/>
      </c>
      <c r="V394">
        <f>IF(OR(NOT(EXACT(E394,TRIM(Procurement_Raw!E394))),NOT(EXACT(F394,TRIM(Procurement_Raw!F394)))),1,0)</f>
        <v>0</v>
      </c>
    </row>
    <row r="395" spans="1:22" ht="15" customHeight="1" x14ac:dyDescent="0.25">
      <c r="A395" s="123">
        <f>Procurement_Raw!A395</f>
        <v>46001</v>
      </c>
      <c r="B395" t="str">
        <f>TRIM(Procurement_Raw!B395)</f>
        <v>S009</v>
      </c>
      <c r="C395" t="str">
        <f>Procurement_Raw!C395</f>
        <v>Derby Care &amp; Education Centre</v>
      </c>
      <c r="D395" t="str">
        <f>Procurement_Raw!D395</f>
        <v>Midlands</v>
      </c>
      <c r="E395" t="str">
        <f>IF(TRIM(Procurement_Raw!E395)="","",IFERROR(INDEX(Supplier_Lookup!$A$2:$A$25,MATCH(TRIM(Procurement_Raw!E395),Supplier_Lookup!$A$2:$A$25,0)),TRIM(Procurement_Raw!E395)))</f>
        <v>PowerDirect</v>
      </c>
      <c r="F395" t="str">
        <f>IFERROR(INDEX(Category_Targets!$A$2:$A$9,MATCH(TRIM(Procurement_Raw!F395),Category_Targets!$A$2:$A$9,0)),"Unmapped")</f>
        <v>Utilities</v>
      </c>
      <c r="G395" t="str">
        <f>TRIM(Procurement_Raw!G395)</f>
        <v>INV-2025-00394</v>
      </c>
      <c r="H395" s="77">
        <f>Procurement_Raw!H395</f>
        <v>72</v>
      </c>
      <c r="I395" s="124">
        <f>Procurement_Raw!I395</f>
        <v>684.55</v>
      </c>
      <c r="J395" s="125">
        <f>IF(Procurement_Raw!J395="","",Procurement_Raw!J395)</f>
        <v>49287.68</v>
      </c>
      <c r="K395" s="77">
        <f>Procurement_Raw!K395</f>
        <v>30</v>
      </c>
      <c r="L395" t="str">
        <f>Procurement_Raw!L395</f>
        <v>Procurement Portal</v>
      </c>
      <c r="M395" t="str">
        <f>Procurement_Raw!O395</f>
        <v>N</v>
      </c>
      <c r="N395" t="str">
        <f>IF(E395="","Missing supplier",IF(B395="","Missing site",IF(J395="","Missing spend",IF(COUNTIFS($G$2:G395,G395,$E$2:E395,E395,$J$2:J395,J395)&gt;1,"Duplicate invoice",IF(COUNTIF($G$2:$G$1801,G395)&gt;1,"Duplicate ID - review",IF(AND(P395&lt;&gt;"Unmapped",P395&lt;&gt;F395),"Category mismatch","OK"))))))</f>
        <v>OK</v>
      </c>
      <c r="O395" s="125">
        <f t="shared" si="18"/>
        <v>49287.68</v>
      </c>
      <c r="P395" t="str">
        <f>IF(E395="","Unmapped",IFERROR(INDEX(Supplier_Lookup!$B$2:$B$25,MATCH(E395,Supplier_Lookup!$A$2:$A$25,0)),"Unmapped"))</f>
        <v>Utilities</v>
      </c>
      <c r="Q395" s="76">
        <f>IFERROR(INDEX(Category_Targets!$B$2:$B$9,MATCH(F395,Category_Targets!$A$2:$A$9,0)),0)</f>
        <v>0.03</v>
      </c>
      <c r="R395" s="125">
        <f t="shared" si="19"/>
        <v>1478.6304</v>
      </c>
      <c r="S395" s="78">
        <f t="shared" si="20"/>
        <v>45992</v>
      </c>
      <c r="T395" t="str">
        <f>IFERROR(VLOOKUP(B395,Sites!$A$2:$D$21,4,FALSE()),"Unknown")</f>
        <v>Derby</v>
      </c>
      <c r="U395" t="str">
        <f>IF(N395="OK","",COUNTIF($N$2:N395,"&lt;&gt;OK"))</f>
        <v/>
      </c>
      <c r="V395">
        <f>IF(OR(NOT(EXACT(E395,TRIM(Procurement_Raw!E395))),NOT(EXACT(F395,TRIM(Procurement_Raw!F395)))),1,0)</f>
        <v>0</v>
      </c>
    </row>
    <row r="396" spans="1:22" ht="15" customHeight="1" x14ac:dyDescent="0.25">
      <c r="A396" s="123">
        <f>Procurement_Raw!A396</f>
        <v>45665</v>
      </c>
      <c r="B396" t="str">
        <f>TRIM(Procurement_Raw!B396)</f>
        <v>S014</v>
      </c>
      <c r="C396" t="str">
        <f>Procurement_Raw!C396</f>
        <v>Southampton Care &amp; Education Centre</v>
      </c>
      <c r="D396" t="str">
        <f>Procurement_Raw!D396</f>
        <v>South</v>
      </c>
      <c r="E396" t="str">
        <f>IF(TRIM(Procurement_Raw!E396)="","",IFERROR(INDEX(Supplier_Lookup!$A$2:$A$25,MATCH(TRIM(Procurement_Raw!E396),Supplier_Lookup!$A$2:$A$25,0)),TRIM(Procurement_Raw!E396)))</f>
        <v>RoadReady</v>
      </c>
      <c r="F396" t="str">
        <f>IFERROR(INDEX(Category_Targets!$A$2:$A$9,MATCH(TRIM(Procurement_Raw!F396),Category_Targets!$A$2:$A$9,0)),"Unmapped")</f>
        <v>Vehicle &amp; Fuel</v>
      </c>
      <c r="G396" t="str">
        <f>TRIM(Procurement_Raw!G396)</f>
        <v>INV-2025-00395</v>
      </c>
      <c r="H396" s="77">
        <f>Procurement_Raw!H396</f>
        <v>28</v>
      </c>
      <c r="I396" s="124">
        <f>Procurement_Raw!I396</f>
        <v>181.74</v>
      </c>
      <c r="J396" s="125">
        <f>IF(Procurement_Raw!J396="","",Procurement_Raw!J396)</f>
        <v>5088.68</v>
      </c>
      <c r="K396" s="77">
        <f>Procurement_Raw!K396</f>
        <v>30</v>
      </c>
      <c r="L396" t="str">
        <f>Procurement_Raw!L396</f>
        <v>Legacy Spend File</v>
      </c>
      <c r="M396" t="str">
        <f>Procurement_Raw!O396</f>
        <v>N</v>
      </c>
      <c r="N396" t="str">
        <f>IF(E396="","Missing supplier",IF(B396="","Missing site",IF(J396="","Missing spend",IF(COUNTIFS($G$2:G396,G396,$E$2:E396,E396,$J$2:J396,J396)&gt;1,"Duplicate invoice",IF(COUNTIF($G$2:$G$1801,G396)&gt;1,"Duplicate ID - review",IF(AND(P396&lt;&gt;"Unmapped",P396&lt;&gt;F396),"Category mismatch","OK"))))))</f>
        <v>OK</v>
      </c>
      <c r="O396" s="125">
        <f t="shared" si="18"/>
        <v>5088.68</v>
      </c>
      <c r="P396" t="str">
        <f>IF(E396="","Unmapped",IFERROR(INDEX(Supplier_Lookup!$B$2:$B$25,MATCH(E396,Supplier_Lookup!$A$2:$A$25,0)),"Unmapped"))</f>
        <v>Vehicle &amp; Fuel</v>
      </c>
      <c r="Q396" s="76">
        <f>IFERROR(INDEX(Category_Targets!$B$2:$B$9,MATCH(F396,Category_Targets!$A$2:$A$9,0)),0)</f>
        <v>0.05</v>
      </c>
      <c r="R396" s="125">
        <f t="shared" si="19"/>
        <v>254.43400000000003</v>
      </c>
      <c r="S396" s="78">
        <f t="shared" si="20"/>
        <v>45658</v>
      </c>
      <c r="T396" t="str">
        <f>IFERROR(VLOOKUP(B396,Sites!$A$2:$D$21,4,FALSE()),"Unknown")</f>
        <v>Southampton</v>
      </c>
      <c r="U396" t="str">
        <f>IF(N396="OK","",COUNTIF($N$2:N396,"&lt;&gt;OK"))</f>
        <v/>
      </c>
      <c r="V396">
        <f>IF(OR(NOT(EXACT(E396,TRIM(Procurement_Raw!E396))),NOT(EXACT(F396,TRIM(Procurement_Raw!F396)))),1,0)</f>
        <v>0</v>
      </c>
    </row>
    <row r="397" spans="1:22" ht="15" customHeight="1" x14ac:dyDescent="0.25">
      <c r="A397" s="123">
        <f>Procurement_Raw!A397</f>
        <v>46014</v>
      </c>
      <c r="B397" t="str">
        <f>TRIM(Procurement_Raw!B397)</f>
        <v>S002</v>
      </c>
      <c r="C397" t="str">
        <f>Procurement_Raw!C397</f>
        <v>Manchester Care &amp; Education Centre</v>
      </c>
      <c r="D397" t="str">
        <f>Procurement_Raw!D397</f>
        <v>North</v>
      </c>
      <c r="E397" t="str">
        <f>IF(TRIM(Procurement_Raw!E397)="","",IFERROR(INDEX(Supplier_Lookup!$A$2:$A$25,MATCH(TRIM(Procurement_Raw!E397),Supplier_Lookup!$A$2:$A$25,0)),TRIM(Procurement_Raw!E397)))</f>
        <v>OfficePlus</v>
      </c>
      <c r="F397" t="str">
        <f>IFERROR(INDEX(Category_Targets!$A$2:$A$9,MATCH(TRIM(Procurement_Raw!F397),Category_Targets!$A$2:$A$9,0)),"Unmapped")</f>
        <v>Office &amp; Training</v>
      </c>
      <c r="G397" t="str">
        <f>TRIM(Procurement_Raw!G397)</f>
        <v>INV-2025-00396</v>
      </c>
      <c r="H397" s="77">
        <f>Procurement_Raw!H397</f>
        <v>78</v>
      </c>
      <c r="I397" s="124">
        <f>Procurement_Raw!I397</f>
        <v>57.94</v>
      </c>
      <c r="J397" s="125">
        <f>IF(Procurement_Raw!J397="","",Procurement_Raw!J397)</f>
        <v>4519.47</v>
      </c>
      <c r="K397" s="77">
        <f>Procurement_Raw!K397</f>
        <v>60</v>
      </c>
      <c r="L397" t="str">
        <f>Procurement_Raw!L397</f>
        <v>ERP</v>
      </c>
      <c r="M397" t="str">
        <f>Procurement_Raw!O397</f>
        <v>N</v>
      </c>
      <c r="N397" t="str">
        <f>IF(E397="","Missing supplier",IF(B397="","Missing site",IF(J397="","Missing spend",IF(COUNTIFS($G$2:G397,G397,$E$2:E397,E397,$J$2:J397,J397)&gt;1,"Duplicate invoice",IF(COUNTIF($G$2:$G$1801,G397)&gt;1,"Duplicate ID - review",IF(AND(P397&lt;&gt;"Unmapped",P397&lt;&gt;F397),"Category mismatch","OK"))))))</f>
        <v>OK</v>
      </c>
      <c r="O397" s="125">
        <f t="shared" si="18"/>
        <v>4519.47</v>
      </c>
      <c r="P397" t="str">
        <f>IF(E397="","Unmapped",IFERROR(INDEX(Supplier_Lookup!$B$2:$B$25,MATCH(E397,Supplier_Lookup!$A$2:$A$25,0)),"Unmapped"))</f>
        <v>Office &amp; Training</v>
      </c>
      <c r="Q397" s="76">
        <f>IFERROR(INDEX(Category_Targets!$B$2:$B$9,MATCH(F397,Category_Targets!$A$2:$A$9,0)),0)</f>
        <v>0.04</v>
      </c>
      <c r="R397" s="125">
        <f t="shared" si="19"/>
        <v>180.77880000000002</v>
      </c>
      <c r="S397" s="78">
        <f t="shared" si="20"/>
        <v>45992</v>
      </c>
      <c r="T397" t="str">
        <f>IFERROR(VLOOKUP(B397,Sites!$A$2:$D$21,4,FALSE()),"Unknown")</f>
        <v>Manchester</v>
      </c>
      <c r="U397" t="str">
        <f>IF(N397="OK","",COUNTIF($N$2:N397,"&lt;&gt;OK"))</f>
        <v/>
      </c>
      <c r="V397">
        <f>IF(OR(NOT(EXACT(E397,TRIM(Procurement_Raw!E397))),NOT(EXACT(F397,TRIM(Procurement_Raw!F397)))),1,0)</f>
        <v>0</v>
      </c>
    </row>
    <row r="398" spans="1:22" ht="15" customHeight="1" x14ac:dyDescent="0.25">
      <c r="A398" s="123">
        <f>Procurement_Raw!A398</f>
        <v>45822</v>
      </c>
      <c r="B398" t="str">
        <f>TRIM(Procurement_Raw!B398)</f>
        <v>S002</v>
      </c>
      <c r="C398" t="str">
        <f>Procurement_Raw!C398</f>
        <v>Manchester Care &amp; Education Centre</v>
      </c>
      <c r="D398" t="str">
        <f>Procurement_Raw!D398</f>
        <v>North</v>
      </c>
      <c r="E398" t="str">
        <f>IF(TRIM(Procurement_Raw!E398)="","",IFERROR(INDEX(Supplier_Lookup!$A$2:$A$25,MATCH(TRIM(Procurement_Raw!E398),Supplier_Lookup!$A$2:$A$25,0)),TRIM(Procurement_Raw!E398)))</f>
        <v>PowerDirect</v>
      </c>
      <c r="F398" t="str">
        <f>IFERROR(INDEX(Category_Targets!$A$2:$A$9,MATCH(TRIM(Procurement_Raw!F398),Category_Targets!$A$2:$A$9,0)),"Unmapped")</f>
        <v>Utilities</v>
      </c>
      <c r="G398" t="str">
        <f>TRIM(Procurement_Raw!G398)</f>
        <v>INV-2025-00397</v>
      </c>
      <c r="H398" s="77">
        <f>Procurement_Raw!H398</f>
        <v>37</v>
      </c>
      <c r="I398" s="124">
        <f>Procurement_Raw!I398</f>
        <v>97.44</v>
      </c>
      <c r="J398" s="125">
        <f>IF(Procurement_Raw!J398="","",Procurement_Raw!J398)</f>
        <v>3605.28</v>
      </c>
      <c r="K398" s="77">
        <f>Procurement_Raw!K398</f>
        <v>45</v>
      </c>
      <c r="L398" t="str">
        <f>Procurement_Raw!L398</f>
        <v>Procurement Portal</v>
      </c>
      <c r="M398" t="str">
        <f>Procurement_Raw!O398</f>
        <v>N</v>
      </c>
      <c r="N398" t="str">
        <f>IF(E398="","Missing supplier",IF(B398="","Missing site",IF(J398="","Missing spend",IF(COUNTIFS($G$2:G398,G398,$E$2:E398,E398,$J$2:J398,J398)&gt;1,"Duplicate invoice",IF(COUNTIF($G$2:$G$1801,G398)&gt;1,"Duplicate ID - review",IF(AND(P398&lt;&gt;"Unmapped",P398&lt;&gt;F398),"Category mismatch","OK"))))))</f>
        <v>OK</v>
      </c>
      <c r="O398" s="125">
        <f t="shared" si="18"/>
        <v>3605.28</v>
      </c>
      <c r="P398" t="str">
        <f>IF(E398="","Unmapped",IFERROR(INDEX(Supplier_Lookup!$B$2:$B$25,MATCH(E398,Supplier_Lookup!$A$2:$A$25,0)),"Unmapped"))</f>
        <v>Utilities</v>
      </c>
      <c r="Q398" s="76">
        <f>IFERROR(INDEX(Category_Targets!$B$2:$B$9,MATCH(F398,Category_Targets!$A$2:$A$9,0)),0)</f>
        <v>0.03</v>
      </c>
      <c r="R398" s="125">
        <f t="shared" si="19"/>
        <v>108.1584</v>
      </c>
      <c r="S398" s="78">
        <f t="shared" si="20"/>
        <v>45809</v>
      </c>
      <c r="T398" t="str">
        <f>IFERROR(VLOOKUP(B398,Sites!$A$2:$D$21,4,FALSE()),"Unknown")</f>
        <v>Manchester</v>
      </c>
      <c r="U398" t="str">
        <f>IF(N398="OK","",COUNTIF($N$2:N398,"&lt;&gt;OK"))</f>
        <v/>
      </c>
      <c r="V398">
        <f>IF(OR(NOT(EXACT(E398,TRIM(Procurement_Raw!E398))),NOT(EXACT(F398,TRIM(Procurement_Raw!F398)))),1,0)</f>
        <v>0</v>
      </c>
    </row>
    <row r="399" spans="1:22" ht="15" customHeight="1" x14ac:dyDescent="0.25">
      <c r="A399" s="123">
        <f>Procurement_Raw!A399</f>
        <v>45791</v>
      </c>
      <c r="B399" t="str">
        <f>TRIM(Procurement_Raw!B399)</f>
        <v>S006</v>
      </c>
      <c r="C399" t="str">
        <f>Procurement_Raw!C399</f>
        <v>Birmingham Care &amp; Education Centre</v>
      </c>
      <c r="D399" t="str">
        <f>Procurement_Raw!D399</f>
        <v>Midlands</v>
      </c>
      <c r="E399" t="str">
        <f>IF(TRIM(Procurement_Raw!E399)="","",IFERROR(INDEX(Supplier_Lookup!$A$2:$A$25,MATCH(TRIM(Procurement_Raw!E399),Supplier_Lookup!$A$2:$A$25,0)),TRIM(Procurement_Raw!E399)))</f>
        <v>RoadReady</v>
      </c>
      <c r="F399" t="str">
        <f>IFERROR(INDEX(Category_Targets!$A$2:$A$9,MATCH(TRIM(Procurement_Raw!F399),Category_Targets!$A$2:$A$9,0)),"Unmapped")</f>
        <v>Vehicle &amp; Fuel</v>
      </c>
      <c r="G399" t="str">
        <f>TRIM(Procurement_Raw!G399)</f>
        <v>INV-2025-00398</v>
      </c>
      <c r="H399" s="77">
        <f>Procurement_Raw!H399</f>
        <v>47</v>
      </c>
      <c r="I399" s="124">
        <f>Procurement_Raw!I399</f>
        <v>200.04</v>
      </c>
      <c r="J399" s="125">
        <f>IF(Procurement_Raw!J399="","",Procurement_Raw!J399)</f>
        <v>9401.7800000000007</v>
      </c>
      <c r="K399" s="77">
        <f>Procurement_Raw!K399</f>
        <v>60</v>
      </c>
      <c r="L399" t="str">
        <f>Procurement_Raw!L399</f>
        <v>Procurement Portal</v>
      </c>
      <c r="M399" t="str">
        <f>Procurement_Raw!O399</f>
        <v>N</v>
      </c>
      <c r="N399" t="str">
        <f>IF(E399="","Missing supplier",IF(B399="","Missing site",IF(J399="","Missing spend",IF(COUNTIFS($G$2:G399,G399,$E$2:E399,E399,$J$2:J399,J399)&gt;1,"Duplicate invoice",IF(COUNTIF($G$2:$G$1801,G399)&gt;1,"Duplicate ID - review",IF(AND(P399&lt;&gt;"Unmapped",P399&lt;&gt;F399),"Category mismatch","OK"))))))</f>
        <v>OK</v>
      </c>
      <c r="O399" s="125">
        <f t="shared" si="18"/>
        <v>9401.7800000000007</v>
      </c>
      <c r="P399" t="str">
        <f>IF(E399="","Unmapped",IFERROR(INDEX(Supplier_Lookup!$B$2:$B$25,MATCH(E399,Supplier_Lookup!$A$2:$A$25,0)),"Unmapped"))</f>
        <v>Vehicle &amp; Fuel</v>
      </c>
      <c r="Q399" s="76">
        <f>IFERROR(INDEX(Category_Targets!$B$2:$B$9,MATCH(F399,Category_Targets!$A$2:$A$9,0)),0)</f>
        <v>0.05</v>
      </c>
      <c r="R399" s="125">
        <f t="shared" si="19"/>
        <v>470.08900000000006</v>
      </c>
      <c r="S399" s="78">
        <f t="shared" si="20"/>
        <v>45778</v>
      </c>
      <c r="T399" t="str">
        <f>IFERROR(VLOOKUP(B399,Sites!$A$2:$D$21,4,FALSE()),"Unknown")</f>
        <v>Birmingham</v>
      </c>
      <c r="U399" t="str">
        <f>IF(N399="OK","",COUNTIF($N$2:N399,"&lt;&gt;OK"))</f>
        <v/>
      </c>
      <c r="V399">
        <f>IF(OR(NOT(EXACT(E399,TRIM(Procurement_Raw!E399))),NOT(EXACT(F399,TRIM(Procurement_Raw!F399)))),1,0)</f>
        <v>0</v>
      </c>
    </row>
    <row r="400" spans="1:22" ht="15" customHeight="1" x14ac:dyDescent="0.25">
      <c r="A400" s="123">
        <f>Procurement_Raw!A400</f>
        <v>45898</v>
      </c>
      <c r="B400" t="str">
        <f>TRIM(Procurement_Raw!B400)</f>
        <v>S012</v>
      </c>
      <c r="C400" t="str">
        <f>Procurement_Raw!C400</f>
        <v>Bristol Care &amp; Education Centre</v>
      </c>
      <c r="D400" t="str">
        <f>Procurement_Raw!D400</f>
        <v>South</v>
      </c>
      <c r="E400" t="str">
        <f>IF(TRIM(Procurement_Raw!E400)="","",IFERROR(INDEX(Supplier_Lookup!$A$2:$A$25,MATCH(TRIM(Procurement_Raw!E400),Supplier_Lookup!$A$2:$A$25,0)),TRIM(Procurement_Raw!E400)))</f>
        <v>KitchenPro</v>
      </c>
      <c r="F400" t="str">
        <f>IFERROR(INDEX(Category_Targets!$A$2:$A$9,MATCH(TRIM(Procurement_Raw!F400),Category_Targets!$A$2:$A$9,0)),"Unmapped")</f>
        <v>Food &amp; Catering</v>
      </c>
      <c r="G400" t="str">
        <f>TRIM(Procurement_Raw!G400)</f>
        <v>INV-2025-00399</v>
      </c>
      <c r="H400" s="77">
        <f>Procurement_Raw!H400</f>
        <v>41</v>
      </c>
      <c r="I400" s="124">
        <f>Procurement_Raw!I400</f>
        <v>61.03</v>
      </c>
      <c r="J400" s="125">
        <f>IF(Procurement_Raw!J400="","",Procurement_Raw!J400)</f>
        <v>2502.29</v>
      </c>
      <c r="K400" s="77">
        <f>Procurement_Raw!K400</f>
        <v>30</v>
      </c>
      <c r="L400" t="str">
        <f>Procurement_Raw!L400</f>
        <v>Procurement Portal</v>
      </c>
      <c r="M400" t="str">
        <f>Procurement_Raw!O400</f>
        <v>N</v>
      </c>
      <c r="N400" t="str">
        <f>IF(E400="","Missing supplier",IF(B400="","Missing site",IF(J400="","Missing spend",IF(COUNTIFS($G$2:G400,G400,$E$2:E400,E400,$J$2:J400,J400)&gt;1,"Duplicate invoice",IF(COUNTIF($G$2:$G$1801,G400)&gt;1,"Duplicate ID - review",IF(AND(P400&lt;&gt;"Unmapped",P400&lt;&gt;F400),"Category mismatch","OK"))))))</f>
        <v>OK</v>
      </c>
      <c r="O400" s="125">
        <f t="shared" si="18"/>
        <v>2502.29</v>
      </c>
      <c r="P400" t="str">
        <f>IF(E400="","Unmapped",IFERROR(INDEX(Supplier_Lookup!$B$2:$B$25,MATCH(E400,Supplier_Lookup!$A$2:$A$25,0)),"Unmapped"))</f>
        <v>Food &amp; Catering</v>
      </c>
      <c r="Q400" s="76">
        <f>IFERROR(INDEX(Category_Targets!$B$2:$B$9,MATCH(F400,Category_Targets!$A$2:$A$9,0)),0)</f>
        <v>0.04</v>
      </c>
      <c r="R400" s="125">
        <f t="shared" si="19"/>
        <v>100.0916</v>
      </c>
      <c r="S400" s="78">
        <f t="shared" si="20"/>
        <v>45870</v>
      </c>
      <c r="T400" t="str">
        <f>IFERROR(VLOOKUP(B400,Sites!$A$2:$D$21,4,FALSE()),"Unknown")</f>
        <v>Bristol</v>
      </c>
      <c r="U400" t="str">
        <f>IF(N400="OK","",COUNTIF($N$2:N400,"&lt;&gt;OK"))</f>
        <v/>
      </c>
      <c r="V400">
        <f>IF(OR(NOT(EXACT(E400,TRIM(Procurement_Raw!E400))),NOT(EXACT(F400,TRIM(Procurement_Raw!F400)))),1,0)</f>
        <v>0</v>
      </c>
    </row>
    <row r="401" spans="1:22" ht="15" customHeight="1" x14ac:dyDescent="0.25">
      <c r="A401" s="123">
        <f>Procurement_Raw!A401</f>
        <v>45946</v>
      </c>
      <c r="B401" t="str">
        <f>TRIM(Procurement_Raw!B401)</f>
        <v>S009</v>
      </c>
      <c r="C401" t="str">
        <f>Procurement_Raw!C401</f>
        <v>Derby Care &amp; Education Centre</v>
      </c>
      <c r="D401" t="str">
        <f>Procurement_Raw!D401</f>
        <v>Midlands</v>
      </c>
      <c r="E401" t="str">
        <f>IF(TRIM(Procurement_Raw!E401)="","",IFERROR(INDEX(Supplier_Lookup!$A$2:$A$25,MATCH(TRIM(Procurement_Raw!E401),Supplier_Lookup!$A$2:$A$25,0)),TRIM(Procurement_Raw!E401)))</f>
        <v>HealthStaffing</v>
      </c>
      <c r="F401" t="str">
        <f>IFERROR(INDEX(Category_Targets!$A$2:$A$9,MATCH(TRIM(Procurement_Raw!F401),Category_Targets!$A$2:$A$9,0)),"Unmapped")</f>
        <v>Agency Labour</v>
      </c>
      <c r="G401" t="str">
        <f>TRIM(Procurement_Raw!G401)</f>
        <v>INV-2025-00400</v>
      </c>
      <c r="H401" s="77">
        <f>Procurement_Raw!H401</f>
        <v>29</v>
      </c>
      <c r="I401" s="124">
        <f>Procurement_Raw!I401</f>
        <v>592.64</v>
      </c>
      <c r="J401" s="125">
        <f>IF(Procurement_Raw!J401="","",Procurement_Raw!J401)</f>
        <v>17186.46</v>
      </c>
      <c r="K401" s="77">
        <f>Procurement_Raw!K401</f>
        <v>60</v>
      </c>
      <c r="L401" t="str">
        <f>Procurement_Raw!L401</f>
        <v>ERP</v>
      </c>
      <c r="M401" t="str">
        <f>Procurement_Raw!O401</f>
        <v>N</v>
      </c>
      <c r="N401" t="str">
        <f>IF(E401="","Missing supplier",IF(B401="","Missing site",IF(J401="","Missing spend",IF(COUNTIFS($G$2:G401,G401,$E$2:E401,E401,$J$2:J401,J401)&gt;1,"Duplicate invoice",IF(COUNTIF($G$2:$G$1801,G401)&gt;1,"Duplicate ID - review",IF(AND(P401&lt;&gt;"Unmapped",P401&lt;&gt;F401),"Category mismatch","OK"))))))</f>
        <v>OK</v>
      </c>
      <c r="O401" s="125">
        <f t="shared" si="18"/>
        <v>17186.46</v>
      </c>
      <c r="P401" t="str">
        <f>IF(E401="","Unmapped",IFERROR(INDEX(Supplier_Lookup!$B$2:$B$25,MATCH(E401,Supplier_Lookup!$A$2:$A$25,0)),"Unmapped"))</f>
        <v>Agency Labour</v>
      </c>
      <c r="Q401" s="76">
        <f>IFERROR(INDEX(Category_Targets!$B$2:$B$9,MATCH(F401,Category_Targets!$A$2:$A$9,0)),0)</f>
        <v>7.0000000000000007E-2</v>
      </c>
      <c r="R401" s="125">
        <f t="shared" si="19"/>
        <v>1203.0522000000001</v>
      </c>
      <c r="S401" s="78">
        <f t="shared" si="20"/>
        <v>45931</v>
      </c>
      <c r="T401" t="str">
        <f>IFERROR(VLOOKUP(B401,Sites!$A$2:$D$21,4,FALSE()),"Unknown")</f>
        <v>Derby</v>
      </c>
      <c r="U401" t="str">
        <f>IF(N401="OK","",COUNTIF($N$2:N401,"&lt;&gt;OK"))</f>
        <v/>
      </c>
      <c r="V401">
        <f>IF(OR(NOT(EXACT(E401,TRIM(Procurement_Raw!E401))),NOT(EXACT(F401,TRIM(Procurement_Raw!F401)))),1,0)</f>
        <v>0</v>
      </c>
    </row>
    <row r="402" spans="1:22" ht="15" customHeight="1" x14ac:dyDescent="0.25">
      <c r="A402" s="123">
        <f>Procurement_Raw!A402</f>
        <v>45957</v>
      </c>
      <c r="B402" t="str">
        <f>TRIM(Procurement_Raw!B402)</f>
        <v>S007</v>
      </c>
      <c r="C402" t="str">
        <f>Procurement_Raw!C402</f>
        <v>Nottingham Care &amp; Education Centre</v>
      </c>
      <c r="D402" t="str">
        <f>Procurement_Raw!D402</f>
        <v>Midlands</v>
      </c>
      <c r="E402" t="str">
        <f>IF(TRIM(Procurement_Raw!E402)="","",IFERROR(INDEX(Supplier_Lookup!$A$2:$A$25,MATCH(TRIM(Procurement_Raw!E402),Supplier_Lookup!$A$2:$A$25,0)),TRIM(Procurement_Raw!E402)))</f>
        <v>NetServe</v>
      </c>
      <c r="F402" t="str">
        <f>IFERROR(INDEX(Category_Targets!$A$2:$A$9,MATCH(TRIM(Procurement_Raw!F402),Category_Targets!$A$2:$A$9,0)),"Unmapped")</f>
        <v>IT &amp; Telecoms</v>
      </c>
      <c r="G402" t="str">
        <f>TRIM(Procurement_Raw!G402)</f>
        <v>INV-2025-00401</v>
      </c>
      <c r="H402" s="77">
        <f>Procurement_Raw!H402</f>
        <v>75</v>
      </c>
      <c r="I402" s="124">
        <f>Procurement_Raw!I402</f>
        <v>91.53</v>
      </c>
      <c r="J402" s="125">
        <f>IF(Procurement_Raw!J402="","",Procurement_Raw!J402)</f>
        <v>6864.93</v>
      </c>
      <c r="K402" s="77">
        <f>Procurement_Raw!K402</f>
        <v>60</v>
      </c>
      <c r="L402" t="str">
        <f>Procurement_Raw!L402</f>
        <v>Procurement Portal</v>
      </c>
      <c r="M402" t="str">
        <f>Procurement_Raw!O402</f>
        <v>N</v>
      </c>
      <c r="N402" t="str">
        <f>IF(E402="","Missing supplier",IF(B402="","Missing site",IF(J402="","Missing spend",IF(COUNTIFS($G$2:G402,G402,$E$2:E402,E402,$J$2:J402,J402)&gt;1,"Duplicate invoice",IF(COUNTIF($G$2:$G$1801,G402)&gt;1,"Duplicate ID - review",IF(AND(P402&lt;&gt;"Unmapped",P402&lt;&gt;F402),"Category mismatch","OK"))))))</f>
        <v>OK</v>
      </c>
      <c r="O402" s="125">
        <f t="shared" si="18"/>
        <v>6864.93</v>
      </c>
      <c r="P402" t="str">
        <f>IF(E402="","Unmapped",IFERROR(INDEX(Supplier_Lookup!$B$2:$B$25,MATCH(E402,Supplier_Lookup!$A$2:$A$25,0)),"Unmapped"))</f>
        <v>IT &amp; Telecoms</v>
      </c>
      <c r="Q402" s="76">
        <f>IFERROR(INDEX(Category_Targets!$B$2:$B$9,MATCH(F402,Category_Targets!$A$2:$A$9,0)),0)</f>
        <v>0.08</v>
      </c>
      <c r="R402" s="125">
        <f t="shared" si="19"/>
        <v>549.19440000000009</v>
      </c>
      <c r="S402" s="78">
        <f t="shared" si="20"/>
        <v>45931</v>
      </c>
      <c r="T402" t="str">
        <f>IFERROR(VLOOKUP(B402,Sites!$A$2:$D$21,4,FALSE()),"Unknown")</f>
        <v>Nottingham</v>
      </c>
      <c r="U402" t="str">
        <f>IF(N402="OK","",COUNTIF($N$2:N402,"&lt;&gt;OK"))</f>
        <v/>
      </c>
      <c r="V402">
        <f>IF(OR(NOT(EXACT(E402,TRIM(Procurement_Raw!E402))),NOT(EXACT(F402,TRIM(Procurement_Raw!F402)))),1,0)</f>
        <v>0</v>
      </c>
    </row>
    <row r="403" spans="1:22" ht="15" customHeight="1" x14ac:dyDescent="0.25">
      <c r="A403" s="123">
        <f>Procurement_Raw!A403</f>
        <v>45826</v>
      </c>
      <c r="B403" t="str">
        <f>TRIM(Procurement_Raw!B403)</f>
        <v>S007</v>
      </c>
      <c r="C403" t="str">
        <f>Procurement_Raw!C403</f>
        <v>Nottingham Care &amp; Education Centre</v>
      </c>
      <c r="D403" t="str">
        <f>Procurement_Raw!D403</f>
        <v>Midlands</v>
      </c>
      <c r="E403" t="str">
        <f>IF(TRIM(Procurement_Raw!E403)="","",IFERROR(INDEX(Supplier_Lookup!$A$2:$A$25,MATCH(TRIM(Procurement_Raw!E403),Supplier_Lookup!$A$2:$A$25,0)),TRIM(Procurement_Raw!E403)))</f>
        <v>CleanWorks</v>
      </c>
      <c r="F403" t="str">
        <f>IFERROR(INDEX(Category_Targets!$A$2:$A$9,MATCH(TRIM(Procurement_Raw!F403),Category_Targets!$A$2:$A$9,0)),"Unmapped")</f>
        <v>Facilities</v>
      </c>
      <c r="G403" t="str">
        <f>TRIM(Procurement_Raw!G403)</f>
        <v>INV-2025-00402</v>
      </c>
      <c r="H403" s="77">
        <f>Procurement_Raw!H403</f>
        <v>30</v>
      </c>
      <c r="I403" s="124">
        <f>Procurement_Raw!I403</f>
        <v>129.44999999999999</v>
      </c>
      <c r="J403" s="125">
        <f>IF(Procurement_Raw!J403="","",Procurement_Raw!J403)</f>
        <v>3883.52</v>
      </c>
      <c r="K403" s="77">
        <f>Procurement_Raw!K403</f>
        <v>45</v>
      </c>
      <c r="L403" t="str">
        <f>Procurement_Raw!L403</f>
        <v>Legacy Spend File</v>
      </c>
      <c r="M403" t="str">
        <f>Procurement_Raw!O403</f>
        <v>Y</v>
      </c>
      <c r="N403" t="str">
        <f>IF(E403="","Missing supplier",IF(B403="","Missing site",IF(J403="","Missing spend",IF(COUNTIFS($G$2:G403,G403,$E$2:E403,E403,$J$2:J403,J403)&gt;1,"Duplicate invoice",IF(COUNTIF($G$2:$G$1801,G403)&gt;1,"Duplicate ID - review",IF(AND(P403&lt;&gt;"Unmapped",P403&lt;&gt;F403),"Category mismatch","OK"))))))</f>
        <v>OK</v>
      </c>
      <c r="O403" s="125">
        <f t="shared" si="18"/>
        <v>3883.52</v>
      </c>
      <c r="P403" t="str">
        <f>IF(E403="","Unmapped",IFERROR(INDEX(Supplier_Lookup!$B$2:$B$25,MATCH(E403,Supplier_Lookup!$A$2:$A$25,0)),"Unmapped"))</f>
        <v>Facilities</v>
      </c>
      <c r="Q403" s="76">
        <f>IFERROR(INDEX(Category_Targets!$B$2:$B$9,MATCH(F403,Category_Targets!$A$2:$A$9,0)),0)</f>
        <v>0.05</v>
      </c>
      <c r="R403" s="125">
        <f t="shared" si="19"/>
        <v>194.17600000000002</v>
      </c>
      <c r="S403" s="78">
        <f t="shared" si="20"/>
        <v>45809</v>
      </c>
      <c r="T403" t="str">
        <f>IFERROR(VLOOKUP(B403,Sites!$A$2:$D$21,4,FALSE()),"Unknown")</f>
        <v>Nottingham</v>
      </c>
      <c r="U403" t="str">
        <f>IF(N403="OK","",COUNTIF($N$2:N403,"&lt;&gt;OK"))</f>
        <v/>
      </c>
      <c r="V403">
        <f>IF(OR(NOT(EXACT(E403,TRIM(Procurement_Raw!E403))),NOT(EXACT(F403,TRIM(Procurement_Raw!F403)))),1,0)</f>
        <v>0</v>
      </c>
    </row>
    <row r="404" spans="1:22" ht="15" customHeight="1" x14ac:dyDescent="0.25">
      <c r="A404" s="123">
        <f>Procurement_Raw!A404</f>
        <v>45993</v>
      </c>
      <c r="B404" t="str">
        <f>TRIM(Procurement_Raw!B404)</f>
        <v>S006</v>
      </c>
      <c r="C404" t="str">
        <f>Procurement_Raw!C404</f>
        <v>Birmingham Care &amp; Education Centre</v>
      </c>
      <c r="D404" t="str">
        <f>Procurement_Raw!D404</f>
        <v>Midlands</v>
      </c>
      <c r="E404" t="str">
        <f>IF(TRIM(Procurement_Raw!E404)="","",IFERROR(INDEX(Supplier_Lookup!$A$2:$A$25,MATCH(TRIM(Procurement_Raw!E404),Supplier_Lookup!$A$2:$A$25,0)),TRIM(Procurement_Raw!E404)))</f>
        <v>PrintCo</v>
      </c>
      <c r="F404" t="str">
        <f>IFERROR(INDEX(Category_Targets!$A$2:$A$9,MATCH(TRIM(Procurement_Raw!F404),Category_Targets!$A$2:$A$9,0)),"Unmapped")</f>
        <v>Office &amp; Training</v>
      </c>
      <c r="G404" t="str">
        <f>TRIM(Procurement_Raw!G404)</f>
        <v>INV-2025-00403</v>
      </c>
      <c r="H404" s="77">
        <f>Procurement_Raw!H404</f>
        <v>44</v>
      </c>
      <c r="I404" s="124">
        <f>Procurement_Raw!I404</f>
        <v>75.22</v>
      </c>
      <c r="J404" s="125">
        <f>IF(Procurement_Raw!J404="","",Procurement_Raw!J404)</f>
        <v>3309.53</v>
      </c>
      <c r="K404" s="77">
        <f>Procurement_Raw!K404</f>
        <v>45</v>
      </c>
      <c r="L404" t="str">
        <f>Procurement_Raw!L404</f>
        <v>Procurement Portal</v>
      </c>
      <c r="M404" t="str">
        <f>Procurement_Raw!O404</f>
        <v>N</v>
      </c>
      <c r="N404" t="str">
        <f>IF(E404="","Missing supplier",IF(B404="","Missing site",IF(J404="","Missing spend",IF(COUNTIFS($G$2:G404,G404,$E$2:E404,E404,$J$2:J404,J404)&gt;1,"Duplicate invoice",IF(COUNTIF($G$2:$G$1801,G404)&gt;1,"Duplicate ID - review",IF(AND(P404&lt;&gt;"Unmapped",P404&lt;&gt;F404),"Category mismatch","OK"))))))</f>
        <v>OK</v>
      </c>
      <c r="O404" s="125">
        <f t="shared" si="18"/>
        <v>3309.53</v>
      </c>
      <c r="P404" t="str">
        <f>IF(E404="","Unmapped",IFERROR(INDEX(Supplier_Lookup!$B$2:$B$25,MATCH(E404,Supplier_Lookup!$A$2:$A$25,0)),"Unmapped"))</f>
        <v>Office &amp; Training</v>
      </c>
      <c r="Q404" s="76">
        <f>IFERROR(INDEX(Category_Targets!$B$2:$B$9,MATCH(F404,Category_Targets!$A$2:$A$9,0)),0)</f>
        <v>0.04</v>
      </c>
      <c r="R404" s="125">
        <f t="shared" si="19"/>
        <v>132.38120000000001</v>
      </c>
      <c r="S404" s="78">
        <f t="shared" si="20"/>
        <v>45992</v>
      </c>
      <c r="T404" t="str">
        <f>IFERROR(VLOOKUP(B404,Sites!$A$2:$D$21,4,FALSE()),"Unknown")</f>
        <v>Birmingham</v>
      </c>
      <c r="U404" t="str">
        <f>IF(N404="OK","",COUNTIF($N$2:N404,"&lt;&gt;OK"))</f>
        <v/>
      </c>
      <c r="V404">
        <f>IF(OR(NOT(EXACT(E404,TRIM(Procurement_Raw!E404))),NOT(EXACT(F404,TRIM(Procurement_Raw!F404)))),1,0)</f>
        <v>0</v>
      </c>
    </row>
    <row r="405" spans="1:22" ht="15" customHeight="1" x14ac:dyDescent="0.25">
      <c r="A405" s="123">
        <f>Procurement_Raw!A405</f>
        <v>45744</v>
      </c>
      <c r="B405" t="str">
        <f>TRIM(Procurement_Raw!B405)</f>
        <v>S006</v>
      </c>
      <c r="C405" t="str">
        <f>Procurement_Raw!C405</f>
        <v>Birmingham Care &amp; Education Centre</v>
      </c>
      <c r="D405" t="str">
        <f>Procurement_Raw!D405</f>
        <v>Midlands</v>
      </c>
      <c r="E405" t="str">
        <f>IF(TRIM(Procurement_Raw!E405)="","",IFERROR(INDEX(Supplier_Lookup!$A$2:$A$25,MATCH(TRIM(Procurement_Raw!E405),Supplier_Lookup!$A$2:$A$25,0)),TRIM(Procurement_Raw!E405)))</f>
        <v>LearnWell</v>
      </c>
      <c r="F405" t="str">
        <f>IFERROR(INDEX(Category_Targets!$A$2:$A$9,MATCH(TRIM(Procurement_Raw!F405),Category_Targets!$A$2:$A$9,0)),"Unmapped")</f>
        <v>Office &amp; Training</v>
      </c>
      <c r="G405" t="str">
        <f>TRIM(Procurement_Raw!G405)</f>
        <v>INV-2025-00404</v>
      </c>
      <c r="H405" s="77">
        <f>Procurement_Raw!H405</f>
        <v>46</v>
      </c>
      <c r="I405" s="124">
        <f>Procurement_Raw!I405</f>
        <v>76.959999999999994</v>
      </c>
      <c r="J405" s="125">
        <f>IF(Procurement_Raw!J405="","",Procurement_Raw!J405)</f>
        <v>3540.31</v>
      </c>
      <c r="K405" s="77">
        <f>Procurement_Raw!K405</f>
        <v>30</v>
      </c>
      <c r="L405" t="str">
        <f>Procurement_Raw!L405</f>
        <v>ERP</v>
      </c>
      <c r="M405" t="str">
        <f>Procurement_Raw!O405</f>
        <v>N</v>
      </c>
      <c r="N405" t="str">
        <f>IF(E405="","Missing supplier",IF(B405="","Missing site",IF(J405="","Missing spend",IF(COUNTIFS($G$2:G405,G405,$E$2:E405,E405,$J$2:J405,J405)&gt;1,"Duplicate invoice",IF(COUNTIF($G$2:$G$1801,G405)&gt;1,"Duplicate ID - review",IF(AND(P405&lt;&gt;"Unmapped",P405&lt;&gt;F405),"Category mismatch","OK"))))))</f>
        <v>OK</v>
      </c>
      <c r="O405" s="125">
        <f t="shared" si="18"/>
        <v>3540.31</v>
      </c>
      <c r="P405" t="str">
        <f>IF(E405="","Unmapped",IFERROR(INDEX(Supplier_Lookup!$B$2:$B$25,MATCH(E405,Supplier_Lookup!$A$2:$A$25,0)),"Unmapped"))</f>
        <v>Office &amp; Training</v>
      </c>
      <c r="Q405" s="76">
        <f>IFERROR(INDEX(Category_Targets!$B$2:$B$9,MATCH(F405,Category_Targets!$A$2:$A$9,0)),0)</f>
        <v>0.04</v>
      </c>
      <c r="R405" s="125">
        <f t="shared" si="19"/>
        <v>141.61240000000001</v>
      </c>
      <c r="S405" s="78">
        <f t="shared" si="20"/>
        <v>45717</v>
      </c>
      <c r="T405" t="str">
        <f>IFERROR(VLOOKUP(B405,Sites!$A$2:$D$21,4,FALSE()),"Unknown")</f>
        <v>Birmingham</v>
      </c>
      <c r="U405" t="str">
        <f>IF(N405="OK","",COUNTIF($N$2:N405,"&lt;&gt;OK"))</f>
        <v/>
      </c>
      <c r="V405">
        <f>IF(OR(NOT(EXACT(E405,TRIM(Procurement_Raw!E405))),NOT(EXACT(F405,TRIM(Procurement_Raw!F405)))),1,0)</f>
        <v>0</v>
      </c>
    </row>
    <row r="406" spans="1:22" ht="15" customHeight="1" x14ac:dyDescent="0.25">
      <c r="A406" s="123">
        <f>Procurement_Raw!A406</f>
        <v>45935</v>
      </c>
      <c r="B406" t="str">
        <f>TRIM(Procurement_Raw!B406)</f>
        <v>S014</v>
      </c>
      <c r="C406" t="str">
        <f>Procurement_Raw!C406</f>
        <v>Southampton Care &amp; Education Centre</v>
      </c>
      <c r="D406" t="str">
        <f>Procurement_Raw!D406</f>
        <v>South</v>
      </c>
      <c r="E406" t="str">
        <f>IF(TRIM(Procurement_Raw!E406)="","",IFERROR(INDEX(Supplier_Lookup!$A$2:$A$25,MATCH(TRIM(Procurement_Raw!E406),Supplier_Lookup!$A$2:$A$25,0)),TRIM(Procurement_Raw!E406)))</f>
        <v>OfficePlus</v>
      </c>
      <c r="F406" t="str">
        <f>IFERROR(INDEX(Category_Targets!$A$2:$A$9,MATCH(TRIM(Procurement_Raw!F406),Category_Targets!$A$2:$A$9,0)),"Unmapped")</f>
        <v>Office &amp; Training</v>
      </c>
      <c r="G406" t="str">
        <f>TRIM(Procurement_Raw!G406)</f>
        <v>INV-2025-00405</v>
      </c>
      <c r="H406" s="77">
        <f>Procurement_Raw!H406</f>
        <v>8</v>
      </c>
      <c r="I406" s="124">
        <f>Procurement_Raw!I406</f>
        <v>58.55</v>
      </c>
      <c r="J406" s="125">
        <f>IF(Procurement_Raw!J406="","",Procurement_Raw!J406)</f>
        <v>468.43</v>
      </c>
      <c r="K406" s="77">
        <f>Procurement_Raw!K406</f>
        <v>60</v>
      </c>
      <c r="L406" t="str">
        <f>Procurement_Raw!L406</f>
        <v>ERP</v>
      </c>
      <c r="M406" t="str">
        <f>Procurement_Raw!O406</f>
        <v>N</v>
      </c>
      <c r="N406" t="str">
        <f>IF(E406="","Missing supplier",IF(B406="","Missing site",IF(J406="","Missing spend",IF(COUNTIFS($G$2:G406,G406,$E$2:E406,E406,$J$2:J406,J406)&gt;1,"Duplicate invoice",IF(COUNTIF($G$2:$G$1801,G406)&gt;1,"Duplicate ID - review",IF(AND(P406&lt;&gt;"Unmapped",P406&lt;&gt;F406),"Category mismatch","OK"))))))</f>
        <v>OK</v>
      </c>
      <c r="O406" s="125">
        <f t="shared" si="18"/>
        <v>468.43</v>
      </c>
      <c r="P406" t="str">
        <f>IF(E406="","Unmapped",IFERROR(INDEX(Supplier_Lookup!$B$2:$B$25,MATCH(E406,Supplier_Lookup!$A$2:$A$25,0)),"Unmapped"))</f>
        <v>Office &amp; Training</v>
      </c>
      <c r="Q406" s="76">
        <f>IFERROR(INDEX(Category_Targets!$B$2:$B$9,MATCH(F406,Category_Targets!$A$2:$A$9,0)),0)</f>
        <v>0.04</v>
      </c>
      <c r="R406" s="125">
        <f t="shared" si="19"/>
        <v>18.737200000000001</v>
      </c>
      <c r="S406" s="78">
        <f t="shared" si="20"/>
        <v>45931</v>
      </c>
      <c r="T406" t="str">
        <f>IFERROR(VLOOKUP(B406,Sites!$A$2:$D$21,4,FALSE()),"Unknown")</f>
        <v>Southampton</v>
      </c>
      <c r="U406" t="str">
        <f>IF(N406="OK","",COUNTIF($N$2:N406,"&lt;&gt;OK"))</f>
        <v/>
      </c>
      <c r="V406">
        <f>IF(OR(NOT(EXACT(E406,TRIM(Procurement_Raw!E406))),NOT(EXACT(F406,TRIM(Procurement_Raw!F406)))),1,0)</f>
        <v>0</v>
      </c>
    </row>
    <row r="407" spans="1:22" ht="15" customHeight="1" x14ac:dyDescent="0.25">
      <c r="A407" s="123">
        <f>Procurement_Raw!A407</f>
        <v>45869</v>
      </c>
      <c r="B407" t="str">
        <f>TRIM(Procurement_Raw!B407)</f>
        <v>S016</v>
      </c>
      <c r="C407" t="str">
        <f>Procurement_Raw!C407</f>
        <v>Cardiff Care &amp; Education Centre</v>
      </c>
      <c r="D407" t="str">
        <f>Procurement_Raw!D407</f>
        <v>Wales</v>
      </c>
      <c r="E407" t="str">
        <f>IF(TRIM(Procurement_Raw!E407)="","",IFERROR(INDEX(Supplier_Lookup!$A$2:$A$25,MATCH(TRIM(Procurement_Raw!E407),Supplier_Lookup!$A$2:$A$25,0)),TRIM(Procurement_Raw!E407)))</f>
        <v>MediSure</v>
      </c>
      <c r="F407" t="str">
        <f>IFERROR(INDEX(Category_Targets!$A$2:$A$9,MATCH(TRIM(Procurement_Raw!F407),Category_Targets!$A$2:$A$9,0)),"Unmapped")</f>
        <v>Medical Supplies</v>
      </c>
      <c r="G407" t="str">
        <f>TRIM(Procurement_Raw!G407)</f>
        <v>INV-2025-00406</v>
      </c>
      <c r="H407" s="77">
        <f>Procurement_Raw!H407</f>
        <v>18</v>
      </c>
      <c r="I407" s="124">
        <f>Procurement_Raw!I407</f>
        <v>169.03</v>
      </c>
      <c r="J407" s="125">
        <f>IF(Procurement_Raw!J407="","",Procurement_Raw!J407)</f>
        <v>3042.49</v>
      </c>
      <c r="K407" s="77">
        <f>Procurement_Raw!K407</f>
        <v>60</v>
      </c>
      <c r="L407" t="str">
        <f>Procurement_Raw!L407</f>
        <v>ERP</v>
      </c>
      <c r="M407" t="str">
        <f>Procurement_Raw!O407</f>
        <v>Y</v>
      </c>
      <c r="N407" t="str">
        <f>IF(E407="","Missing supplier",IF(B407="","Missing site",IF(J407="","Missing spend",IF(COUNTIFS($G$2:G407,G407,$E$2:E407,E407,$J$2:J407,J407)&gt;1,"Duplicate invoice",IF(COUNTIF($G$2:$G$1801,G407)&gt;1,"Duplicate ID - review",IF(AND(P407&lt;&gt;"Unmapped",P407&lt;&gt;F407),"Category mismatch","OK"))))))</f>
        <v>OK</v>
      </c>
      <c r="O407" s="125">
        <f t="shared" si="18"/>
        <v>3042.49</v>
      </c>
      <c r="P407" t="str">
        <f>IF(E407="","Unmapped",IFERROR(INDEX(Supplier_Lookup!$B$2:$B$25,MATCH(E407,Supplier_Lookup!$A$2:$A$25,0)),"Unmapped"))</f>
        <v>Medical Supplies</v>
      </c>
      <c r="Q407" s="76">
        <f>IFERROR(INDEX(Category_Targets!$B$2:$B$9,MATCH(F407,Category_Targets!$A$2:$A$9,0)),0)</f>
        <v>0.06</v>
      </c>
      <c r="R407" s="125">
        <f t="shared" si="19"/>
        <v>182.54939999999999</v>
      </c>
      <c r="S407" s="78">
        <f t="shared" si="20"/>
        <v>45839</v>
      </c>
      <c r="T407" t="str">
        <f>IFERROR(VLOOKUP(B407,Sites!$A$2:$D$21,4,FALSE()),"Unknown")</f>
        <v>Cardiff</v>
      </c>
      <c r="U407" t="str">
        <f>IF(N407="OK","",COUNTIF($N$2:N407,"&lt;&gt;OK"))</f>
        <v/>
      </c>
      <c r="V407">
        <f>IF(OR(NOT(EXACT(E407,TRIM(Procurement_Raw!E407))),NOT(EXACT(F407,TRIM(Procurement_Raw!F407)))),1,0)</f>
        <v>0</v>
      </c>
    </row>
    <row r="408" spans="1:22" ht="15" customHeight="1" x14ac:dyDescent="0.25">
      <c r="A408" s="123">
        <f>Procurement_Raw!A408</f>
        <v>45769</v>
      </c>
      <c r="B408" t="str">
        <f>TRIM(Procurement_Raw!B408)</f>
        <v>S016</v>
      </c>
      <c r="C408" t="str">
        <f>Procurement_Raw!C408</f>
        <v>Cardiff Care &amp; Education Centre</v>
      </c>
      <c r="D408" t="str">
        <f>Procurement_Raw!D408</f>
        <v>Wales</v>
      </c>
      <c r="E408" t="str">
        <f>IF(TRIM(Procurement_Raw!E408)="","",IFERROR(INDEX(Supplier_Lookup!$A$2:$A$25,MATCH(TRIM(Procurement_Raw!E408),Supplier_Lookup!$A$2:$A$25,0)),TRIM(Procurement_Raw!E408)))</f>
        <v>CleanWorks</v>
      </c>
      <c r="F408" t="str">
        <f>IFERROR(INDEX(Category_Targets!$A$2:$A$9,MATCH(TRIM(Procurement_Raw!F408),Category_Targets!$A$2:$A$9,0)),"Unmapped")</f>
        <v>Facilities</v>
      </c>
      <c r="G408" t="str">
        <f>TRIM(Procurement_Raw!G408)</f>
        <v>INV-2025-00407</v>
      </c>
      <c r="H408" s="77">
        <f>Procurement_Raw!H408</f>
        <v>65</v>
      </c>
      <c r="I408" s="124">
        <f>Procurement_Raw!I408</f>
        <v>100.06</v>
      </c>
      <c r="J408" s="125">
        <f>IF(Procurement_Raw!J408="","",Procurement_Raw!J408)</f>
        <v>6503.87</v>
      </c>
      <c r="K408" s="77">
        <f>Procurement_Raw!K408</f>
        <v>45</v>
      </c>
      <c r="L408" t="str">
        <f>Procurement_Raw!L408</f>
        <v>Procurement Portal</v>
      </c>
      <c r="M408" t="str">
        <f>Procurement_Raw!O408</f>
        <v>Y</v>
      </c>
      <c r="N408" t="str">
        <f>IF(E408="","Missing supplier",IF(B408="","Missing site",IF(J408="","Missing spend",IF(COUNTIFS($G$2:G408,G408,$E$2:E408,E408,$J$2:J408,J408)&gt;1,"Duplicate invoice",IF(COUNTIF($G$2:$G$1801,G408)&gt;1,"Duplicate ID - review",IF(AND(P408&lt;&gt;"Unmapped",P408&lt;&gt;F408),"Category mismatch","OK"))))))</f>
        <v>OK</v>
      </c>
      <c r="O408" s="125">
        <f t="shared" si="18"/>
        <v>6503.87</v>
      </c>
      <c r="P408" t="str">
        <f>IF(E408="","Unmapped",IFERROR(INDEX(Supplier_Lookup!$B$2:$B$25,MATCH(E408,Supplier_Lookup!$A$2:$A$25,0)),"Unmapped"))</f>
        <v>Facilities</v>
      </c>
      <c r="Q408" s="76">
        <f>IFERROR(INDEX(Category_Targets!$B$2:$B$9,MATCH(F408,Category_Targets!$A$2:$A$9,0)),0)</f>
        <v>0.05</v>
      </c>
      <c r="R408" s="125">
        <f t="shared" si="19"/>
        <v>325.19350000000003</v>
      </c>
      <c r="S408" s="78">
        <f t="shared" si="20"/>
        <v>45748</v>
      </c>
      <c r="T408" t="str">
        <f>IFERROR(VLOOKUP(B408,Sites!$A$2:$D$21,4,FALSE()),"Unknown")</f>
        <v>Cardiff</v>
      </c>
      <c r="U408" t="str">
        <f>IF(N408="OK","",COUNTIF($N$2:N408,"&lt;&gt;OK"))</f>
        <v/>
      </c>
      <c r="V408">
        <f>IF(OR(NOT(EXACT(E408,TRIM(Procurement_Raw!E408))),NOT(EXACT(F408,TRIM(Procurement_Raw!F408)))),1,0)</f>
        <v>0</v>
      </c>
    </row>
    <row r="409" spans="1:22" ht="15" customHeight="1" x14ac:dyDescent="0.25">
      <c r="A409" s="123">
        <f>Procurement_Raw!A409</f>
        <v>45907</v>
      </c>
      <c r="B409" t="str">
        <f>TRIM(Procurement_Raw!B409)</f>
        <v>S016</v>
      </c>
      <c r="C409" t="str">
        <f>Procurement_Raw!C409</f>
        <v>Cardiff Care &amp; Education Centre</v>
      </c>
      <c r="D409" t="str">
        <f>Procurement_Raw!D409</f>
        <v>Wales</v>
      </c>
      <c r="E409" t="str">
        <f>IF(TRIM(Procurement_Raw!E409)="","",IFERROR(INDEX(Supplier_Lookup!$A$2:$A$25,MATCH(TRIM(Procurement_Raw!E409),Supplier_Lookup!$A$2:$A$25,0)),TRIM(Procurement_Raw!E409)))</f>
        <v>PrintCo</v>
      </c>
      <c r="F409" t="str">
        <f>IFERROR(INDEX(Category_Targets!$A$2:$A$9,MATCH(TRIM(Procurement_Raw!F409),Category_Targets!$A$2:$A$9,0)),"Unmapped")</f>
        <v>Office &amp; Training</v>
      </c>
      <c r="G409" t="str">
        <f>TRIM(Procurement_Raw!G409)</f>
        <v>INV-2025-00408</v>
      </c>
      <c r="H409" s="77">
        <f>Procurement_Raw!H409</f>
        <v>3</v>
      </c>
      <c r="I409" s="124">
        <f>Procurement_Raw!I409</f>
        <v>69.349999999999994</v>
      </c>
      <c r="J409" s="125">
        <f>IF(Procurement_Raw!J409="","",Procurement_Raw!J409)</f>
        <v>208.05</v>
      </c>
      <c r="K409" s="77">
        <f>Procurement_Raw!K409</f>
        <v>30</v>
      </c>
      <c r="L409" t="str">
        <f>Procurement_Raw!L409</f>
        <v>Legacy Spend File</v>
      </c>
      <c r="M409" t="str">
        <f>Procurement_Raw!O409</f>
        <v>N</v>
      </c>
      <c r="N409" t="str">
        <f>IF(E409="","Missing supplier",IF(B409="","Missing site",IF(J409="","Missing spend",IF(COUNTIFS($G$2:G409,G409,$E$2:E409,E409,$J$2:J409,J409)&gt;1,"Duplicate invoice",IF(COUNTIF($G$2:$G$1801,G409)&gt;1,"Duplicate ID - review",IF(AND(P409&lt;&gt;"Unmapped",P409&lt;&gt;F409),"Category mismatch","OK"))))))</f>
        <v>OK</v>
      </c>
      <c r="O409" s="125">
        <f t="shared" si="18"/>
        <v>208.05</v>
      </c>
      <c r="P409" t="str">
        <f>IF(E409="","Unmapped",IFERROR(INDEX(Supplier_Lookup!$B$2:$B$25,MATCH(E409,Supplier_Lookup!$A$2:$A$25,0)),"Unmapped"))</f>
        <v>Office &amp; Training</v>
      </c>
      <c r="Q409" s="76">
        <f>IFERROR(INDEX(Category_Targets!$B$2:$B$9,MATCH(F409,Category_Targets!$A$2:$A$9,0)),0)</f>
        <v>0.04</v>
      </c>
      <c r="R409" s="125">
        <f t="shared" si="19"/>
        <v>8.322000000000001</v>
      </c>
      <c r="S409" s="78">
        <f t="shared" si="20"/>
        <v>45901</v>
      </c>
      <c r="T409" t="str">
        <f>IFERROR(VLOOKUP(B409,Sites!$A$2:$D$21,4,FALSE()),"Unknown")</f>
        <v>Cardiff</v>
      </c>
      <c r="U409" t="str">
        <f>IF(N409="OK","",COUNTIF($N$2:N409,"&lt;&gt;OK"))</f>
        <v/>
      </c>
      <c r="V409">
        <f>IF(OR(NOT(EXACT(E409,TRIM(Procurement_Raw!E409))),NOT(EXACT(F409,TRIM(Procurement_Raw!F409)))),1,0)</f>
        <v>0</v>
      </c>
    </row>
    <row r="410" spans="1:22" ht="15" customHeight="1" x14ac:dyDescent="0.25">
      <c r="A410" s="123">
        <f>Procurement_Raw!A410</f>
        <v>45666</v>
      </c>
      <c r="B410" t="str">
        <f>TRIM(Procurement_Raw!B410)</f>
        <v>S011</v>
      </c>
      <c r="C410" t="str">
        <f>Procurement_Raw!C410</f>
        <v>London Care &amp; Education Centre</v>
      </c>
      <c r="D410" t="str">
        <f>Procurement_Raw!D410</f>
        <v>South</v>
      </c>
      <c r="E410" t="str">
        <f>IF(TRIM(Procurement_Raw!E410)="","",IFERROR(INDEX(Supplier_Lookup!$A$2:$A$25,MATCH(TRIM(Procurement_Raw!E410),Supplier_Lookup!$A$2:$A$25,0)),TRIM(Procurement_Raw!E410)))</f>
        <v>HealthStaffing</v>
      </c>
      <c r="F410" t="str">
        <f>IFERROR(INDEX(Category_Targets!$A$2:$A$9,MATCH(TRIM(Procurement_Raw!F410),Category_Targets!$A$2:$A$9,0)),"Unmapped")</f>
        <v>Agency Labour</v>
      </c>
      <c r="G410" t="str">
        <f>TRIM(Procurement_Raw!G410)</f>
        <v>INV-2025-00409</v>
      </c>
      <c r="H410" s="77">
        <f>Procurement_Raw!H410</f>
        <v>68</v>
      </c>
      <c r="I410" s="124">
        <f>Procurement_Raw!I410</f>
        <v>320.52</v>
      </c>
      <c r="J410" s="125">
        <f>IF(Procurement_Raw!J410="","",Procurement_Raw!J410)</f>
        <v>21795.37</v>
      </c>
      <c r="K410" s="77">
        <f>Procurement_Raw!K410</f>
        <v>60</v>
      </c>
      <c r="L410" t="str">
        <f>Procurement_Raw!L410</f>
        <v>Procurement Portal</v>
      </c>
      <c r="M410" t="str">
        <f>Procurement_Raw!O410</f>
        <v>N</v>
      </c>
      <c r="N410" t="str">
        <f>IF(E410="","Missing supplier",IF(B410="","Missing site",IF(J410="","Missing spend",IF(COUNTIFS($G$2:G410,G410,$E$2:E410,E410,$J$2:J410,J410)&gt;1,"Duplicate invoice",IF(COUNTIF($G$2:$G$1801,G410)&gt;1,"Duplicate ID - review",IF(AND(P410&lt;&gt;"Unmapped",P410&lt;&gt;F410),"Category mismatch","OK"))))))</f>
        <v>OK</v>
      </c>
      <c r="O410" s="125">
        <f t="shared" si="18"/>
        <v>21795.37</v>
      </c>
      <c r="P410" t="str">
        <f>IF(E410="","Unmapped",IFERROR(INDEX(Supplier_Lookup!$B$2:$B$25,MATCH(E410,Supplier_Lookup!$A$2:$A$25,0)),"Unmapped"))</f>
        <v>Agency Labour</v>
      </c>
      <c r="Q410" s="76">
        <f>IFERROR(INDEX(Category_Targets!$B$2:$B$9,MATCH(F410,Category_Targets!$A$2:$A$9,0)),0)</f>
        <v>7.0000000000000007E-2</v>
      </c>
      <c r="R410" s="125">
        <f t="shared" si="19"/>
        <v>1525.6759000000002</v>
      </c>
      <c r="S410" s="78">
        <f t="shared" si="20"/>
        <v>45658</v>
      </c>
      <c r="T410" t="str">
        <f>IFERROR(VLOOKUP(B410,Sites!$A$2:$D$21,4,FALSE()),"Unknown")</f>
        <v>London</v>
      </c>
      <c r="U410" t="str">
        <f>IF(N410="OK","",COUNTIF($N$2:N410,"&lt;&gt;OK"))</f>
        <v/>
      </c>
      <c r="V410">
        <f>IF(OR(NOT(EXACT(E410,TRIM(Procurement_Raw!E410))),NOT(EXACT(F410,TRIM(Procurement_Raw!F410)))),1,0)</f>
        <v>0</v>
      </c>
    </row>
    <row r="411" spans="1:22" ht="15" customHeight="1" x14ac:dyDescent="0.25">
      <c r="A411" s="123">
        <f>Procurement_Raw!A411</f>
        <v>45915</v>
      </c>
      <c r="B411" t="str">
        <f>TRIM(Procurement_Raw!B411)</f>
        <v>S007</v>
      </c>
      <c r="C411" t="str">
        <f>Procurement_Raw!C411</f>
        <v>Nottingham Care &amp; Education Centre</v>
      </c>
      <c r="D411" t="str">
        <f>Procurement_Raw!D411</f>
        <v>Midlands</v>
      </c>
      <c r="E411" t="str">
        <f>IF(TRIM(Procurement_Raw!E411)="","",IFERROR(INDEX(Supplier_Lookup!$A$2:$A$25,MATCH(TRIM(Procurement_Raw!E411),Supplier_Lookup!$A$2:$A$25,0)),TRIM(Procurement_Raw!E411)))</f>
        <v>CloudLink</v>
      </c>
      <c r="F411" t="str">
        <f>IFERROR(INDEX(Category_Targets!$A$2:$A$9,MATCH(TRIM(Procurement_Raw!F411),Category_Targets!$A$2:$A$9,0)),"Unmapped")</f>
        <v>IT &amp; Telecoms</v>
      </c>
      <c r="G411" t="str">
        <f>TRIM(Procurement_Raw!G411)</f>
        <v>INV-2025-00410</v>
      </c>
      <c r="H411" s="77">
        <f>Procurement_Raw!H411</f>
        <v>56</v>
      </c>
      <c r="I411" s="124">
        <f>Procurement_Raw!I411</f>
        <v>291.95</v>
      </c>
      <c r="J411" s="125">
        <f>IF(Procurement_Raw!J411="","",Procurement_Raw!J411)</f>
        <v>16348.98</v>
      </c>
      <c r="K411" s="77">
        <f>Procurement_Raw!K411</f>
        <v>30</v>
      </c>
      <c r="L411" t="str">
        <f>Procurement_Raw!L411</f>
        <v>ERP</v>
      </c>
      <c r="M411" t="str">
        <f>Procurement_Raw!O411</f>
        <v>Y</v>
      </c>
      <c r="N411" t="str">
        <f>IF(E411="","Missing supplier",IF(B411="","Missing site",IF(J411="","Missing spend",IF(COUNTIFS($G$2:G411,G411,$E$2:E411,E411,$J$2:J411,J411)&gt;1,"Duplicate invoice",IF(COUNTIF($G$2:$G$1801,G411)&gt;1,"Duplicate ID - review",IF(AND(P411&lt;&gt;"Unmapped",P411&lt;&gt;F411),"Category mismatch","OK"))))))</f>
        <v>OK</v>
      </c>
      <c r="O411" s="125">
        <f t="shared" si="18"/>
        <v>16348.98</v>
      </c>
      <c r="P411" t="str">
        <f>IF(E411="","Unmapped",IFERROR(INDEX(Supplier_Lookup!$B$2:$B$25,MATCH(E411,Supplier_Lookup!$A$2:$A$25,0)),"Unmapped"))</f>
        <v>IT &amp; Telecoms</v>
      </c>
      <c r="Q411" s="76">
        <f>IFERROR(INDEX(Category_Targets!$B$2:$B$9,MATCH(F411,Category_Targets!$A$2:$A$9,0)),0)</f>
        <v>0.08</v>
      </c>
      <c r="R411" s="125">
        <f t="shared" si="19"/>
        <v>1307.9184</v>
      </c>
      <c r="S411" s="78">
        <f t="shared" si="20"/>
        <v>45901</v>
      </c>
      <c r="T411" t="str">
        <f>IFERROR(VLOOKUP(B411,Sites!$A$2:$D$21,4,FALSE()),"Unknown")</f>
        <v>Nottingham</v>
      </c>
      <c r="U411" t="str">
        <f>IF(N411="OK","",COUNTIF($N$2:N411,"&lt;&gt;OK"))</f>
        <v/>
      </c>
      <c r="V411">
        <f>IF(OR(NOT(EXACT(E411,TRIM(Procurement_Raw!E411))),NOT(EXACT(F411,TRIM(Procurement_Raw!F411)))),1,0)</f>
        <v>0</v>
      </c>
    </row>
    <row r="412" spans="1:22" ht="15" customHeight="1" x14ac:dyDescent="0.25">
      <c r="A412" s="123">
        <f>Procurement_Raw!A412</f>
        <v>45756</v>
      </c>
      <c r="B412" t="str">
        <f>TRIM(Procurement_Raw!B412)</f>
        <v>S010</v>
      </c>
      <c r="C412" t="str">
        <f>Procurement_Raw!C412</f>
        <v>Coventry Care &amp; Education Centre</v>
      </c>
      <c r="D412" t="str">
        <f>Procurement_Raw!D412</f>
        <v>Midlands</v>
      </c>
      <c r="E412" t="str">
        <f>IF(TRIM(Procurement_Raw!E412)="","",IFERROR(INDEX(Supplier_Lookup!$A$2:$A$25,MATCH(TRIM(Procurement_Raw!E412),Supplier_Lookup!$A$2:$A$25,0)),TRIM(Procurement_Raw!E412)))</f>
        <v>CleanWorks</v>
      </c>
      <c r="F412" t="str">
        <f>IFERROR(INDEX(Category_Targets!$A$2:$A$9,MATCH(TRIM(Procurement_Raw!F412),Category_Targets!$A$2:$A$9,0)),"Unmapped")</f>
        <v>Facilities</v>
      </c>
      <c r="G412" t="str">
        <f>TRIM(Procurement_Raw!G412)</f>
        <v>INV-2025-00411</v>
      </c>
      <c r="H412" s="77">
        <f>Procurement_Raw!H412</f>
        <v>80</v>
      </c>
      <c r="I412" s="124">
        <f>Procurement_Raw!I412</f>
        <v>266.23</v>
      </c>
      <c r="J412" s="125">
        <f>IF(Procurement_Raw!J412="","",Procurement_Raw!J412)</f>
        <v>21298.07</v>
      </c>
      <c r="K412" s="77">
        <f>Procurement_Raw!K412</f>
        <v>60</v>
      </c>
      <c r="L412" t="str">
        <f>Procurement_Raw!L412</f>
        <v>Procurement Portal</v>
      </c>
      <c r="M412" t="str">
        <f>Procurement_Raw!O412</f>
        <v>Y</v>
      </c>
      <c r="N412" t="str">
        <f>IF(E412="","Missing supplier",IF(B412="","Missing site",IF(J412="","Missing spend",IF(COUNTIFS($G$2:G412,G412,$E$2:E412,E412,$J$2:J412,J412)&gt;1,"Duplicate invoice",IF(COUNTIF($G$2:$G$1801,G412)&gt;1,"Duplicate ID - review",IF(AND(P412&lt;&gt;"Unmapped",P412&lt;&gt;F412),"Category mismatch","OK"))))))</f>
        <v>OK</v>
      </c>
      <c r="O412" s="125">
        <f t="shared" si="18"/>
        <v>21298.07</v>
      </c>
      <c r="P412" t="str">
        <f>IF(E412="","Unmapped",IFERROR(INDEX(Supplier_Lookup!$B$2:$B$25,MATCH(E412,Supplier_Lookup!$A$2:$A$25,0)),"Unmapped"))</f>
        <v>Facilities</v>
      </c>
      <c r="Q412" s="76">
        <f>IFERROR(INDEX(Category_Targets!$B$2:$B$9,MATCH(F412,Category_Targets!$A$2:$A$9,0)),0)</f>
        <v>0.05</v>
      </c>
      <c r="R412" s="125">
        <f t="shared" si="19"/>
        <v>1064.9035000000001</v>
      </c>
      <c r="S412" s="78">
        <f t="shared" si="20"/>
        <v>45748</v>
      </c>
      <c r="T412" t="str">
        <f>IFERROR(VLOOKUP(B412,Sites!$A$2:$D$21,4,FALSE()),"Unknown")</f>
        <v>Coventry</v>
      </c>
      <c r="U412" t="str">
        <f>IF(N412="OK","",COUNTIF($N$2:N412,"&lt;&gt;OK"))</f>
        <v/>
      </c>
      <c r="V412">
        <f>IF(OR(NOT(EXACT(E412,TRIM(Procurement_Raw!E412))),NOT(EXACT(F412,TRIM(Procurement_Raw!F412)))),1,0)</f>
        <v>0</v>
      </c>
    </row>
    <row r="413" spans="1:22" ht="15" customHeight="1" x14ac:dyDescent="0.25">
      <c r="A413" s="123">
        <f>Procurement_Raw!A413</f>
        <v>45698</v>
      </c>
      <c r="B413" t="str">
        <f>TRIM(Procurement_Raw!B413)</f>
        <v>S008</v>
      </c>
      <c r="C413" t="str">
        <f>Procurement_Raw!C413</f>
        <v>Leicester Care &amp; Education Centre</v>
      </c>
      <c r="D413" t="str">
        <f>Procurement_Raw!D413</f>
        <v>Midlands</v>
      </c>
      <c r="E413" t="str">
        <f>IF(TRIM(Procurement_Raw!E413)="","",IFERROR(INDEX(Supplier_Lookup!$A$2:$A$25,MATCH(TRIM(Procurement_Raw!E413),Supplier_Lookup!$A$2:$A$25,0)),TRIM(Procurement_Raw!E413)))</f>
        <v>TeleCare IT</v>
      </c>
      <c r="F413" t="str">
        <f>IFERROR(INDEX(Category_Targets!$A$2:$A$9,MATCH(TRIM(Procurement_Raw!F413),Category_Targets!$A$2:$A$9,0)),"Unmapped")</f>
        <v>IT &amp; Telecoms</v>
      </c>
      <c r="G413" t="str">
        <f>TRIM(Procurement_Raw!G413)</f>
        <v>INV-2025-00412</v>
      </c>
      <c r="H413" s="77">
        <f>Procurement_Raw!H413</f>
        <v>48</v>
      </c>
      <c r="I413" s="124">
        <f>Procurement_Raw!I413</f>
        <v>118.52</v>
      </c>
      <c r="J413" s="125">
        <f>IF(Procurement_Raw!J413="","",Procurement_Raw!J413)</f>
        <v>5688.92</v>
      </c>
      <c r="K413" s="77">
        <f>Procurement_Raw!K413</f>
        <v>45</v>
      </c>
      <c r="L413" t="str">
        <f>Procurement_Raw!L413</f>
        <v>Procurement Portal</v>
      </c>
      <c r="M413" t="str">
        <f>Procurement_Raw!O413</f>
        <v>N</v>
      </c>
      <c r="N413" t="str">
        <f>IF(E413="","Missing supplier",IF(B413="","Missing site",IF(J413="","Missing spend",IF(COUNTIFS($G$2:G413,G413,$E$2:E413,E413,$J$2:J413,J413)&gt;1,"Duplicate invoice",IF(COUNTIF($G$2:$G$1801,G413)&gt;1,"Duplicate ID - review",IF(AND(P413&lt;&gt;"Unmapped",P413&lt;&gt;F413),"Category mismatch","OK"))))))</f>
        <v>OK</v>
      </c>
      <c r="O413" s="125">
        <f t="shared" si="18"/>
        <v>5688.92</v>
      </c>
      <c r="P413" t="str">
        <f>IF(E413="","Unmapped",IFERROR(INDEX(Supplier_Lookup!$B$2:$B$25,MATCH(E413,Supplier_Lookup!$A$2:$A$25,0)),"Unmapped"))</f>
        <v>IT &amp; Telecoms</v>
      </c>
      <c r="Q413" s="76">
        <f>IFERROR(INDEX(Category_Targets!$B$2:$B$9,MATCH(F413,Category_Targets!$A$2:$A$9,0)),0)</f>
        <v>0.08</v>
      </c>
      <c r="R413" s="125">
        <f t="shared" si="19"/>
        <v>455.11360000000002</v>
      </c>
      <c r="S413" s="78">
        <f t="shared" si="20"/>
        <v>45689</v>
      </c>
      <c r="T413" t="str">
        <f>IFERROR(VLOOKUP(B413,Sites!$A$2:$D$21,4,FALSE()),"Unknown")</f>
        <v>Leicester</v>
      </c>
      <c r="U413" t="str">
        <f>IF(N413="OK","",COUNTIF($N$2:N413,"&lt;&gt;OK"))</f>
        <v/>
      </c>
      <c r="V413">
        <f>IF(OR(NOT(EXACT(E413,TRIM(Procurement_Raw!E413))),NOT(EXACT(F413,TRIM(Procurement_Raw!F413)))),1,0)</f>
        <v>1</v>
      </c>
    </row>
    <row r="414" spans="1:22" ht="15" customHeight="1" x14ac:dyDescent="0.25">
      <c r="A414" s="123">
        <f>Procurement_Raw!A414</f>
        <v>45773</v>
      </c>
      <c r="B414" t="str">
        <f>TRIM(Procurement_Raw!B414)</f>
        <v>S019</v>
      </c>
      <c r="C414" t="str">
        <f>Procurement_Raw!C414</f>
        <v>Wrexham Care &amp; Education Centre</v>
      </c>
      <c r="D414" t="str">
        <f>Procurement_Raw!D414</f>
        <v>Wales</v>
      </c>
      <c r="E414" t="str">
        <f>IF(TRIM(Procurement_Raw!E414)="","",IFERROR(INDEX(Supplier_Lookup!$A$2:$A$25,MATCH(TRIM(Procurement_Raw!E414),Supplier_Lookup!$A$2:$A$25,0)),TRIM(Procurement_Raw!E414)))</f>
        <v>PowerDirect</v>
      </c>
      <c r="F414" t="str">
        <f>IFERROR(INDEX(Category_Targets!$A$2:$A$9,MATCH(TRIM(Procurement_Raw!F414),Category_Targets!$A$2:$A$9,0)),"Unmapped")</f>
        <v>Utilities</v>
      </c>
      <c r="G414" t="str">
        <f>TRIM(Procurement_Raw!G414)</f>
        <v>INV-2025-00413</v>
      </c>
      <c r="H414" s="77">
        <f>Procurement_Raw!H414</f>
        <v>39</v>
      </c>
      <c r="I414" s="124">
        <f>Procurement_Raw!I414</f>
        <v>107.52</v>
      </c>
      <c r="J414" s="125">
        <f>IF(Procurement_Raw!J414="","",Procurement_Raw!J414)</f>
        <v>4193.37</v>
      </c>
      <c r="K414" s="77">
        <f>Procurement_Raw!K414</f>
        <v>60</v>
      </c>
      <c r="L414" t="str">
        <f>Procurement_Raw!L414</f>
        <v>ERP</v>
      </c>
      <c r="M414" t="str">
        <f>Procurement_Raw!O414</f>
        <v>N</v>
      </c>
      <c r="N414" t="str">
        <f>IF(E414="","Missing supplier",IF(B414="","Missing site",IF(J414="","Missing spend",IF(COUNTIFS($G$2:G414,G414,$E$2:E414,E414,$J$2:J414,J414)&gt;1,"Duplicate invoice",IF(COUNTIF($G$2:$G$1801,G414)&gt;1,"Duplicate ID - review",IF(AND(P414&lt;&gt;"Unmapped",P414&lt;&gt;F414),"Category mismatch","OK"))))))</f>
        <v>OK</v>
      </c>
      <c r="O414" s="125">
        <f t="shared" si="18"/>
        <v>4193.37</v>
      </c>
      <c r="P414" t="str">
        <f>IF(E414="","Unmapped",IFERROR(INDEX(Supplier_Lookup!$B$2:$B$25,MATCH(E414,Supplier_Lookup!$A$2:$A$25,0)),"Unmapped"))</f>
        <v>Utilities</v>
      </c>
      <c r="Q414" s="76">
        <f>IFERROR(INDEX(Category_Targets!$B$2:$B$9,MATCH(F414,Category_Targets!$A$2:$A$9,0)),0)</f>
        <v>0.03</v>
      </c>
      <c r="R414" s="125">
        <f t="shared" si="19"/>
        <v>125.80109999999999</v>
      </c>
      <c r="S414" s="78">
        <f t="shared" si="20"/>
        <v>45748</v>
      </c>
      <c r="T414" t="str">
        <f>IFERROR(VLOOKUP(B414,Sites!$A$2:$D$21,4,FALSE()),"Unknown")</f>
        <v>Wrexham</v>
      </c>
      <c r="U414" t="str">
        <f>IF(N414="OK","",COUNTIF($N$2:N414,"&lt;&gt;OK"))</f>
        <v/>
      </c>
      <c r="V414">
        <f>IF(OR(NOT(EXACT(E414,TRIM(Procurement_Raw!E414))),NOT(EXACT(F414,TRIM(Procurement_Raw!F414)))),1,0)</f>
        <v>0</v>
      </c>
    </row>
    <row r="415" spans="1:22" ht="15" customHeight="1" x14ac:dyDescent="0.25">
      <c r="A415" s="123">
        <f>Procurement_Raw!A415</f>
        <v>45865</v>
      </c>
      <c r="B415" t="str">
        <f>TRIM(Procurement_Raw!B415)</f>
        <v>S012</v>
      </c>
      <c r="C415" t="str">
        <f>Procurement_Raw!C415</f>
        <v>Bristol Care &amp; Education Centre</v>
      </c>
      <c r="D415" t="str">
        <f>Procurement_Raw!D415</f>
        <v>South</v>
      </c>
      <c r="E415" t="str">
        <f>IF(TRIM(Procurement_Raw!E415)="","",IFERROR(INDEX(Supplier_Lookup!$A$2:$A$25,MATCH(TRIM(Procurement_Raw!E415),Supplier_Lookup!$A$2:$A$25,0)),TRIM(Procurement_Raw!E415)))</f>
        <v>MediSure</v>
      </c>
      <c r="F415" t="str">
        <f>IFERROR(INDEX(Category_Targets!$A$2:$A$9,MATCH(TRIM(Procurement_Raw!F415),Category_Targets!$A$2:$A$9,0)),"Unmapped")</f>
        <v>Medical Supplies</v>
      </c>
      <c r="G415" t="str">
        <f>TRIM(Procurement_Raw!G415)</f>
        <v>INV-2025-00414</v>
      </c>
      <c r="H415" s="77">
        <f>Procurement_Raw!H415</f>
        <v>49</v>
      </c>
      <c r="I415" s="124">
        <f>Procurement_Raw!I415</f>
        <v>242.31</v>
      </c>
      <c r="J415" s="125">
        <f>IF(Procurement_Raw!J415="","",Procurement_Raw!J415)</f>
        <v>11873.14</v>
      </c>
      <c r="K415" s="77">
        <f>Procurement_Raw!K415</f>
        <v>45</v>
      </c>
      <c r="L415" t="str">
        <f>Procurement_Raw!L415</f>
        <v>Legacy Spend File</v>
      </c>
      <c r="M415" t="str">
        <f>Procurement_Raw!O415</f>
        <v>Y</v>
      </c>
      <c r="N415" t="str">
        <f>IF(E415="","Missing supplier",IF(B415="","Missing site",IF(J415="","Missing spend",IF(COUNTIFS($G$2:G415,G415,$E$2:E415,E415,$J$2:J415,J415)&gt;1,"Duplicate invoice",IF(COUNTIF($G$2:$G$1801,G415)&gt;1,"Duplicate ID - review",IF(AND(P415&lt;&gt;"Unmapped",P415&lt;&gt;F415),"Category mismatch","OK"))))))</f>
        <v>OK</v>
      </c>
      <c r="O415" s="125">
        <f t="shared" si="18"/>
        <v>11873.14</v>
      </c>
      <c r="P415" t="str">
        <f>IF(E415="","Unmapped",IFERROR(INDEX(Supplier_Lookup!$B$2:$B$25,MATCH(E415,Supplier_Lookup!$A$2:$A$25,0)),"Unmapped"))</f>
        <v>Medical Supplies</v>
      </c>
      <c r="Q415" s="76">
        <f>IFERROR(INDEX(Category_Targets!$B$2:$B$9,MATCH(F415,Category_Targets!$A$2:$A$9,0)),0)</f>
        <v>0.06</v>
      </c>
      <c r="R415" s="125">
        <f t="shared" si="19"/>
        <v>712.38839999999993</v>
      </c>
      <c r="S415" s="78">
        <f t="shared" si="20"/>
        <v>45839</v>
      </c>
      <c r="T415" t="str">
        <f>IFERROR(VLOOKUP(B415,Sites!$A$2:$D$21,4,FALSE()),"Unknown")</f>
        <v>Bristol</v>
      </c>
      <c r="U415" t="str">
        <f>IF(N415="OK","",COUNTIF($N$2:N415,"&lt;&gt;OK"))</f>
        <v/>
      </c>
      <c r="V415">
        <f>IF(OR(NOT(EXACT(E415,TRIM(Procurement_Raw!E415))),NOT(EXACT(F415,TRIM(Procurement_Raw!F415)))),1,0)</f>
        <v>0</v>
      </c>
    </row>
    <row r="416" spans="1:22" ht="15" customHeight="1" x14ac:dyDescent="0.25">
      <c r="A416" s="123">
        <f>Procurement_Raw!A416</f>
        <v>45662</v>
      </c>
      <c r="B416" t="str">
        <f>TRIM(Procurement_Raw!B416)</f>
        <v>S018</v>
      </c>
      <c r="C416" t="str">
        <f>Procurement_Raw!C416</f>
        <v>Newport Care &amp; Education Centre</v>
      </c>
      <c r="D416" t="str">
        <f>Procurement_Raw!D416</f>
        <v>Wales</v>
      </c>
      <c r="E416" t="str">
        <f>IF(TRIM(Procurement_Raw!E416)="","",IFERROR(INDEX(Supplier_Lookup!$A$2:$A$25,MATCH(TRIM(Procurement_Raw!E416),Supplier_Lookup!$A$2:$A$25,0)),TRIM(Procurement_Raw!E416)))</f>
        <v>ClinEquip</v>
      </c>
      <c r="F416" t="str">
        <f>IFERROR(INDEX(Category_Targets!$A$2:$A$9,MATCH(TRIM(Procurement_Raw!F416),Category_Targets!$A$2:$A$9,0)),"Unmapped")</f>
        <v>Medical Supplies</v>
      </c>
      <c r="G416" t="str">
        <f>TRIM(Procurement_Raw!G416)</f>
        <v>INV-2025-00415</v>
      </c>
      <c r="H416" s="77">
        <f>Procurement_Raw!H416</f>
        <v>22</v>
      </c>
      <c r="I416" s="124">
        <f>Procurement_Raw!I416</f>
        <v>144.06</v>
      </c>
      <c r="J416" s="125">
        <f>IF(Procurement_Raw!J416="","",Procurement_Raw!J416)</f>
        <v>3169.43</v>
      </c>
      <c r="K416" s="77">
        <f>Procurement_Raw!K416</f>
        <v>30</v>
      </c>
      <c r="L416" t="str">
        <f>Procurement_Raw!L416</f>
        <v>Procurement Portal</v>
      </c>
      <c r="M416" t="str">
        <f>Procurement_Raw!O416</f>
        <v>N</v>
      </c>
      <c r="N416" t="str">
        <f>IF(E416="","Missing supplier",IF(B416="","Missing site",IF(J416="","Missing spend",IF(COUNTIFS($G$2:G416,G416,$E$2:E416,E416,$J$2:J416,J416)&gt;1,"Duplicate invoice",IF(COUNTIF($G$2:$G$1801,G416)&gt;1,"Duplicate ID - review",IF(AND(P416&lt;&gt;"Unmapped",P416&lt;&gt;F416),"Category mismatch","OK"))))))</f>
        <v>OK</v>
      </c>
      <c r="O416" s="125">
        <f t="shared" si="18"/>
        <v>3169.43</v>
      </c>
      <c r="P416" t="str">
        <f>IF(E416="","Unmapped",IFERROR(INDEX(Supplier_Lookup!$B$2:$B$25,MATCH(E416,Supplier_Lookup!$A$2:$A$25,0)),"Unmapped"))</f>
        <v>Medical Supplies</v>
      </c>
      <c r="Q416" s="76">
        <f>IFERROR(INDEX(Category_Targets!$B$2:$B$9,MATCH(F416,Category_Targets!$A$2:$A$9,0)),0)</f>
        <v>0.06</v>
      </c>
      <c r="R416" s="125">
        <f t="shared" si="19"/>
        <v>190.16579999999999</v>
      </c>
      <c r="S416" s="78">
        <f t="shared" si="20"/>
        <v>45658</v>
      </c>
      <c r="T416" t="str">
        <f>IFERROR(VLOOKUP(B416,Sites!$A$2:$D$21,4,FALSE()),"Unknown")</f>
        <v>Newport</v>
      </c>
      <c r="U416" t="str">
        <f>IF(N416="OK","",COUNTIF($N$2:N416,"&lt;&gt;OK"))</f>
        <v/>
      </c>
      <c r="V416">
        <f>IF(OR(NOT(EXACT(E416,TRIM(Procurement_Raw!E416))),NOT(EXACT(F416,TRIM(Procurement_Raw!F416)))),1,0)</f>
        <v>0</v>
      </c>
    </row>
    <row r="417" spans="1:22" ht="15" customHeight="1" x14ac:dyDescent="0.25">
      <c r="A417" s="123">
        <f>Procurement_Raw!A417</f>
        <v>45706</v>
      </c>
      <c r="B417" t="str">
        <f>TRIM(Procurement_Raw!B417)</f>
        <v>S009</v>
      </c>
      <c r="C417" t="str">
        <f>Procurement_Raw!C417</f>
        <v>Derby Care &amp; Education Centre</v>
      </c>
      <c r="D417" t="str">
        <f>Procurement_Raw!D417</f>
        <v>Midlands</v>
      </c>
      <c r="E417" t="str">
        <f>IF(TRIM(Procurement_Raw!E417)="","",IFERROR(INDEX(Supplier_Lookup!$A$2:$A$25,MATCH(TRIM(Procurement_Raw!E417),Supplier_Lookup!$A$2:$A$25,0)),TRIM(Procurement_Raw!E417)))</f>
        <v>AutoCare</v>
      </c>
      <c r="F417" t="str">
        <f>IFERROR(INDEX(Category_Targets!$A$2:$A$9,MATCH(TRIM(Procurement_Raw!F417),Category_Targets!$A$2:$A$9,0)),"Unmapped")</f>
        <v>Vehicle &amp; Fuel</v>
      </c>
      <c r="G417" t="str">
        <f>TRIM(Procurement_Raw!G417)</f>
        <v>INV-2025-00416</v>
      </c>
      <c r="H417" s="77">
        <f>Procurement_Raw!H417</f>
        <v>68</v>
      </c>
      <c r="I417" s="124">
        <f>Procurement_Raw!I417</f>
        <v>62.94</v>
      </c>
      <c r="J417" s="125">
        <f>IF(Procurement_Raw!J417="","",Procurement_Raw!J417)</f>
        <v>4280.04</v>
      </c>
      <c r="K417" s="77">
        <f>Procurement_Raw!K417</f>
        <v>30</v>
      </c>
      <c r="L417" t="str">
        <f>Procurement_Raw!L417</f>
        <v>ERP</v>
      </c>
      <c r="M417" t="str">
        <f>Procurement_Raw!O417</f>
        <v>N</v>
      </c>
      <c r="N417" t="str">
        <f>IF(E417="","Missing supplier",IF(B417="","Missing site",IF(J417="","Missing spend",IF(COUNTIFS($G$2:G417,G417,$E$2:E417,E417,$J$2:J417,J417)&gt;1,"Duplicate invoice",IF(COUNTIF($G$2:$G$1801,G417)&gt;1,"Duplicate ID - review",IF(AND(P417&lt;&gt;"Unmapped",P417&lt;&gt;F417),"Category mismatch","OK"))))))</f>
        <v>OK</v>
      </c>
      <c r="O417" s="125">
        <f t="shared" si="18"/>
        <v>4280.04</v>
      </c>
      <c r="P417" t="str">
        <f>IF(E417="","Unmapped",IFERROR(INDEX(Supplier_Lookup!$B$2:$B$25,MATCH(E417,Supplier_Lookup!$A$2:$A$25,0)),"Unmapped"))</f>
        <v>Vehicle &amp; Fuel</v>
      </c>
      <c r="Q417" s="76">
        <f>IFERROR(INDEX(Category_Targets!$B$2:$B$9,MATCH(F417,Category_Targets!$A$2:$A$9,0)),0)</f>
        <v>0.05</v>
      </c>
      <c r="R417" s="125">
        <f t="shared" si="19"/>
        <v>214.00200000000001</v>
      </c>
      <c r="S417" s="78">
        <f t="shared" si="20"/>
        <v>45689</v>
      </c>
      <c r="T417" t="str">
        <f>IFERROR(VLOOKUP(B417,Sites!$A$2:$D$21,4,FALSE()),"Unknown")</f>
        <v>Derby</v>
      </c>
      <c r="U417" t="str">
        <f>IF(N417="OK","",COUNTIF($N$2:N417,"&lt;&gt;OK"))</f>
        <v/>
      </c>
      <c r="V417">
        <f>IF(OR(NOT(EXACT(E417,TRIM(Procurement_Raw!E417))),NOT(EXACT(F417,TRIM(Procurement_Raw!F417)))),1,0)</f>
        <v>0</v>
      </c>
    </row>
    <row r="418" spans="1:22" ht="15" customHeight="1" x14ac:dyDescent="0.25">
      <c r="A418" s="123">
        <f>Procurement_Raw!A418</f>
        <v>45681</v>
      </c>
      <c r="B418" t="str">
        <f>TRIM(Procurement_Raw!B418)</f>
        <v>S012</v>
      </c>
      <c r="C418" t="str">
        <f>Procurement_Raw!C418</f>
        <v>Bristol Care &amp; Education Centre</v>
      </c>
      <c r="D418" t="str">
        <f>Procurement_Raw!D418</f>
        <v>South</v>
      </c>
      <c r="E418" t="str">
        <f>IF(TRIM(Procurement_Raw!E418)="","",IFERROR(INDEX(Supplier_Lookup!$A$2:$A$25,MATCH(TRIM(Procurement_Raw!E418),Supplier_Lookup!$A$2:$A$25,0)),TRIM(Procurement_Raw!E418)))</f>
        <v>LearnWell</v>
      </c>
      <c r="F418" t="str">
        <f>IFERROR(INDEX(Category_Targets!$A$2:$A$9,MATCH(TRIM(Procurement_Raw!F418),Category_Targets!$A$2:$A$9,0)),"Unmapped")</f>
        <v>Office &amp; Training</v>
      </c>
      <c r="G418" t="str">
        <f>TRIM(Procurement_Raw!G418)</f>
        <v>INV-2025-00417</v>
      </c>
      <c r="H418" s="77">
        <f>Procurement_Raw!H418</f>
        <v>10</v>
      </c>
      <c r="I418" s="124">
        <f>Procurement_Raw!I418</f>
        <v>176.02</v>
      </c>
      <c r="J418" s="125">
        <f>IF(Procurement_Raw!J418="","",Procurement_Raw!J418)</f>
        <v>1760.24</v>
      </c>
      <c r="K418" s="77">
        <f>Procurement_Raw!K418</f>
        <v>60</v>
      </c>
      <c r="L418" t="str">
        <f>Procurement_Raw!L418</f>
        <v>Procurement Portal</v>
      </c>
      <c r="M418" t="str">
        <f>Procurement_Raw!O418</f>
        <v>N</v>
      </c>
      <c r="N418" t="str">
        <f>IF(E418="","Missing supplier",IF(B418="","Missing site",IF(J418="","Missing spend",IF(COUNTIFS($G$2:G418,G418,$E$2:E418,E418,$J$2:J418,J418)&gt;1,"Duplicate invoice",IF(COUNTIF($G$2:$G$1801,G418)&gt;1,"Duplicate ID - review",IF(AND(P418&lt;&gt;"Unmapped",P418&lt;&gt;F418),"Category mismatch","OK"))))))</f>
        <v>OK</v>
      </c>
      <c r="O418" s="125">
        <f t="shared" si="18"/>
        <v>1760.24</v>
      </c>
      <c r="P418" t="str">
        <f>IF(E418="","Unmapped",IFERROR(INDEX(Supplier_Lookup!$B$2:$B$25,MATCH(E418,Supplier_Lookup!$A$2:$A$25,0)),"Unmapped"))</f>
        <v>Office &amp; Training</v>
      </c>
      <c r="Q418" s="76">
        <f>IFERROR(INDEX(Category_Targets!$B$2:$B$9,MATCH(F418,Category_Targets!$A$2:$A$9,0)),0)</f>
        <v>0.04</v>
      </c>
      <c r="R418" s="125">
        <f t="shared" si="19"/>
        <v>70.409599999999998</v>
      </c>
      <c r="S418" s="78">
        <f t="shared" si="20"/>
        <v>45658</v>
      </c>
      <c r="T418" t="str">
        <f>IFERROR(VLOOKUP(B418,Sites!$A$2:$D$21,4,FALSE()),"Unknown")</f>
        <v>Bristol</v>
      </c>
      <c r="U418" t="str">
        <f>IF(N418="OK","",COUNTIF($N$2:N418,"&lt;&gt;OK"))</f>
        <v/>
      </c>
      <c r="V418">
        <f>IF(OR(NOT(EXACT(E418,TRIM(Procurement_Raw!E418))),NOT(EXACT(F418,TRIM(Procurement_Raw!F418)))),1,0)</f>
        <v>0</v>
      </c>
    </row>
    <row r="419" spans="1:22" ht="15" customHeight="1" x14ac:dyDescent="0.25">
      <c r="A419" s="123">
        <f>Procurement_Raw!A419</f>
        <v>45819</v>
      </c>
      <c r="B419" t="str">
        <f>TRIM(Procurement_Raw!B419)</f>
        <v>S016</v>
      </c>
      <c r="C419" t="str">
        <f>Procurement_Raw!C419</f>
        <v>Cardiff Care &amp; Education Centre</v>
      </c>
      <c r="D419" t="str">
        <f>Procurement_Raw!D419</f>
        <v>Wales</v>
      </c>
      <c r="E419" t="str">
        <f>IF(TRIM(Procurement_Raw!E419)="","",IFERROR(INDEX(Supplier_Lookup!$A$2:$A$25,MATCH(TRIM(Procurement_Raw!E419),Supplier_Lookup!$A$2:$A$25,0)),TRIM(Procurement_Raw!E419)))</f>
        <v>MediSure</v>
      </c>
      <c r="F419" t="str">
        <f>IFERROR(INDEX(Category_Targets!$A$2:$A$9,MATCH(TRIM(Procurement_Raw!F419),Category_Targets!$A$2:$A$9,0)),"Unmapped")</f>
        <v>Medical Supplies</v>
      </c>
      <c r="G419" t="str">
        <f>TRIM(Procurement_Raw!G419)</f>
        <v>INV-2025-00418</v>
      </c>
      <c r="H419" s="77">
        <f>Procurement_Raw!H419</f>
        <v>3</v>
      </c>
      <c r="I419" s="124">
        <f>Procurement_Raw!I419</f>
        <v>127.88</v>
      </c>
      <c r="J419" s="125">
        <f>IF(Procurement_Raw!J419="","",Procurement_Raw!J419)</f>
        <v>383.65</v>
      </c>
      <c r="K419" s="77">
        <f>Procurement_Raw!K419</f>
        <v>30</v>
      </c>
      <c r="L419" t="str">
        <f>Procurement_Raw!L419</f>
        <v>Legacy Spend File</v>
      </c>
      <c r="M419" t="str">
        <f>Procurement_Raw!O419</f>
        <v>Y</v>
      </c>
      <c r="N419" t="str">
        <f>IF(E419="","Missing supplier",IF(B419="","Missing site",IF(J419="","Missing spend",IF(COUNTIFS($G$2:G419,G419,$E$2:E419,E419,$J$2:J419,J419)&gt;1,"Duplicate invoice",IF(COUNTIF($G$2:$G$1801,G419)&gt;1,"Duplicate ID - review",IF(AND(P419&lt;&gt;"Unmapped",P419&lt;&gt;F419),"Category mismatch","OK"))))))</f>
        <v>OK</v>
      </c>
      <c r="O419" s="125">
        <f t="shared" si="18"/>
        <v>383.65</v>
      </c>
      <c r="P419" t="str">
        <f>IF(E419="","Unmapped",IFERROR(INDEX(Supplier_Lookup!$B$2:$B$25,MATCH(E419,Supplier_Lookup!$A$2:$A$25,0)),"Unmapped"))</f>
        <v>Medical Supplies</v>
      </c>
      <c r="Q419" s="76">
        <f>IFERROR(INDEX(Category_Targets!$B$2:$B$9,MATCH(F419,Category_Targets!$A$2:$A$9,0)),0)</f>
        <v>0.06</v>
      </c>
      <c r="R419" s="125">
        <f t="shared" si="19"/>
        <v>23.018999999999998</v>
      </c>
      <c r="S419" s="78">
        <f t="shared" si="20"/>
        <v>45809</v>
      </c>
      <c r="T419" t="str">
        <f>IFERROR(VLOOKUP(B419,Sites!$A$2:$D$21,4,FALSE()),"Unknown")</f>
        <v>Cardiff</v>
      </c>
      <c r="U419" t="str">
        <f>IF(N419="OK","",COUNTIF($N$2:N419,"&lt;&gt;OK"))</f>
        <v/>
      </c>
      <c r="V419">
        <f>IF(OR(NOT(EXACT(E419,TRIM(Procurement_Raw!E419))),NOT(EXACT(F419,TRIM(Procurement_Raw!F419)))),1,0)</f>
        <v>0</v>
      </c>
    </row>
    <row r="420" spans="1:22" ht="15" customHeight="1" x14ac:dyDescent="0.25">
      <c r="A420" s="123">
        <f>Procurement_Raw!A420</f>
        <v>45811</v>
      </c>
      <c r="B420" t="str">
        <f>TRIM(Procurement_Raw!B420)</f>
        <v>S001</v>
      </c>
      <c r="C420" t="str">
        <f>Procurement_Raw!C420</f>
        <v>Preston Care &amp; Education Centre</v>
      </c>
      <c r="D420" t="str">
        <f>Procurement_Raw!D420</f>
        <v>North</v>
      </c>
      <c r="E420" t="str">
        <f>IF(TRIM(Procurement_Raw!E420)="","",IFERROR(INDEX(Supplier_Lookup!$A$2:$A$25,MATCH(TRIM(Procurement_Raw!E420),Supplier_Lookup!$A$2:$A$25,0)),TRIM(Procurement_Raw!E420)))</f>
        <v>HealthStaffing</v>
      </c>
      <c r="F420" t="str">
        <f>IFERROR(INDEX(Category_Targets!$A$2:$A$9,MATCH(TRIM(Procurement_Raw!F420),Category_Targets!$A$2:$A$9,0)),"Unmapped")</f>
        <v>Agency Labour</v>
      </c>
      <c r="G420" t="str">
        <f>TRIM(Procurement_Raw!G420)</f>
        <v>INV-2025-00419</v>
      </c>
      <c r="H420" s="77">
        <f>Procurement_Raw!H420</f>
        <v>21</v>
      </c>
      <c r="I420" s="124">
        <f>Procurement_Raw!I420</f>
        <v>573.87</v>
      </c>
      <c r="J420" s="125">
        <f>IF(Procurement_Raw!J420="","",Procurement_Raw!J420)</f>
        <v>12051.19</v>
      </c>
      <c r="K420" s="77">
        <f>Procurement_Raw!K420</f>
        <v>60</v>
      </c>
      <c r="L420" t="str">
        <f>Procurement_Raw!L420</f>
        <v>ERP</v>
      </c>
      <c r="M420" t="str">
        <f>Procurement_Raw!O420</f>
        <v>N</v>
      </c>
      <c r="N420" t="str">
        <f>IF(E420="","Missing supplier",IF(B420="","Missing site",IF(J420="","Missing spend",IF(COUNTIFS($G$2:G420,G420,$E$2:E420,E420,$J$2:J420,J420)&gt;1,"Duplicate invoice",IF(COUNTIF($G$2:$G$1801,G420)&gt;1,"Duplicate ID - review",IF(AND(P420&lt;&gt;"Unmapped",P420&lt;&gt;F420),"Category mismatch","OK"))))))</f>
        <v>OK</v>
      </c>
      <c r="O420" s="125">
        <f t="shared" si="18"/>
        <v>12051.19</v>
      </c>
      <c r="P420" t="str">
        <f>IF(E420="","Unmapped",IFERROR(INDEX(Supplier_Lookup!$B$2:$B$25,MATCH(E420,Supplier_Lookup!$A$2:$A$25,0)),"Unmapped"))</f>
        <v>Agency Labour</v>
      </c>
      <c r="Q420" s="76">
        <f>IFERROR(INDEX(Category_Targets!$B$2:$B$9,MATCH(F420,Category_Targets!$A$2:$A$9,0)),0)</f>
        <v>7.0000000000000007E-2</v>
      </c>
      <c r="R420" s="125">
        <f t="shared" si="19"/>
        <v>843.58330000000012</v>
      </c>
      <c r="S420" s="78">
        <f t="shared" si="20"/>
        <v>45809</v>
      </c>
      <c r="T420" t="str">
        <f>IFERROR(VLOOKUP(B420,Sites!$A$2:$D$21,4,FALSE()),"Unknown")</f>
        <v>Preston</v>
      </c>
      <c r="U420" t="str">
        <f>IF(N420="OK","",COUNTIF($N$2:N420,"&lt;&gt;OK"))</f>
        <v/>
      </c>
      <c r="V420">
        <f>IF(OR(NOT(EXACT(E420,TRIM(Procurement_Raw!E420))),NOT(EXACT(F420,TRIM(Procurement_Raw!F420)))),1,0)</f>
        <v>0</v>
      </c>
    </row>
    <row r="421" spans="1:22" ht="15" customHeight="1" x14ac:dyDescent="0.25">
      <c r="A421" s="123">
        <f>Procurement_Raw!A421</f>
        <v>45934</v>
      </c>
      <c r="B421" t="str">
        <f>TRIM(Procurement_Raw!B421)</f>
        <v>S007</v>
      </c>
      <c r="C421" t="str">
        <f>Procurement_Raw!C421</f>
        <v>Nottingham Care &amp; Education Centre</v>
      </c>
      <c r="D421" t="str">
        <f>Procurement_Raw!D421</f>
        <v>Midlands</v>
      </c>
      <c r="E421" t="str">
        <f>IF(TRIM(Procurement_Raw!E421)="","",IFERROR(INDEX(Supplier_Lookup!$A$2:$A$25,MATCH(TRIM(Procurement_Raw!E421),Supplier_Lookup!$A$2:$A$25,0)),TRIM(Procurement_Raw!E421)))</f>
        <v>NurseLink</v>
      </c>
      <c r="F421" t="str">
        <f>IFERROR(INDEX(Category_Targets!$A$2:$A$9,MATCH(TRIM(Procurement_Raw!F421),Category_Targets!$A$2:$A$9,0)),"Unmapped")</f>
        <v>Agency Labour</v>
      </c>
      <c r="G421" t="str">
        <f>TRIM(Procurement_Raw!G421)</f>
        <v>INV-2025-00420</v>
      </c>
      <c r="H421" s="77">
        <f>Procurement_Raw!H421</f>
        <v>43</v>
      </c>
      <c r="I421" s="124">
        <f>Procurement_Raw!I421</f>
        <v>311.35000000000002</v>
      </c>
      <c r="J421" s="125">
        <f>IF(Procurement_Raw!J421="","",Procurement_Raw!J421)</f>
        <v>13388.05</v>
      </c>
      <c r="K421" s="77">
        <f>Procurement_Raw!K421</f>
        <v>45</v>
      </c>
      <c r="L421" t="str">
        <f>Procurement_Raw!L421</f>
        <v>Legacy Spend File</v>
      </c>
      <c r="M421" t="str">
        <f>Procurement_Raw!O421</f>
        <v>N</v>
      </c>
      <c r="N421" t="str">
        <f>IF(E421="","Missing supplier",IF(B421="","Missing site",IF(J421="","Missing spend",IF(COUNTIFS($G$2:G421,G421,$E$2:E421,E421,$J$2:J421,J421)&gt;1,"Duplicate invoice",IF(COUNTIF($G$2:$G$1801,G421)&gt;1,"Duplicate ID - review",IF(AND(P421&lt;&gt;"Unmapped",P421&lt;&gt;F421),"Category mismatch","OK"))))))</f>
        <v>OK</v>
      </c>
      <c r="O421" s="125">
        <f t="shared" si="18"/>
        <v>13388.05</v>
      </c>
      <c r="P421" t="str">
        <f>IF(E421="","Unmapped",IFERROR(INDEX(Supplier_Lookup!$B$2:$B$25,MATCH(E421,Supplier_Lookup!$A$2:$A$25,0)),"Unmapped"))</f>
        <v>Agency Labour</v>
      </c>
      <c r="Q421" s="76">
        <f>IFERROR(INDEX(Category_Targets!$B$2:$B$9,MATCH(F421,Category_Targets!$A$2:$A$9,0)),0)</f>
        <v>7.0000000000000007E-2</v>
      </c>
      <c r="R421" s="125">
        <f t="shared" si="19"/>
        <v>937.1635</v>
      </c>
      <c r="S421" s="78">
        <f t="shared" si="20"/>
        <v>45931</v>
      </c>
      <c r="T421" t="str">
        <f>IFERROR(VLOOKUP(B421,Sites!$A$2:$D$21,4,FALSE()),"Unknown")</f>
        <v>Nottingham</v>
      </c>
      <c r="U421" t="str">
        <f>IF(N421="OK","",COUNTIF($N$2:N421,"&lt;&gt;OK"))</f>
        <v/>
      </c>
      <c r="V421">
        <f>IF(OR(NOT(EXACT(E421,TRIM(Procurement_Raw!E421))),NOT(EXACT(F421,TRIM(Procurement_Raw!F421)))),1,0)</f>
        <v>0</v>
      </c>
    </row>
    <row r="422" spans="1:22" ht="15" customHeight="1" x14ac:dyDescent="0.25">
      <c r="A422" s="123">
        <f>Procurement_Raw!A422</f>
        <v>45835</v>
      </c>
      <c r="B422" t="str">
        <f>TRIM(Procurement_Raw!B422)</f>
        <v>S016</v>
      </c>
      <c r="C422" t="str">
        <f>Procurement_Raw!C422</f>
        <v>Cardiff Care &amp; Education Centre</v>
      </c>
      <c r="D422" t="str">
        <f>Procurement_Raw!D422</f>
        <v>Wales</v>
      </c>
      <c r="E422" t="str">
        <f>IF(TRIM(Procurement_Raw!E422)="","",IFERROR(INDEX(Supplier_Lookup!$A$2:$A$25,MATCH(TRIM(Procurement_Raw!E422),Supplier_Lookup!$A$2:$A$25,0)),TRIM(Procurement_Raw!E422)))</f>
        <v>KitchenPro</v>
      </c>
      <c r="F422" t="str">
        <f>IFERROR(INDEX(Category_Targets!$A$2:$A$9,MATCH(TRIM(Procurement_Raw!F422),Category_Targets!$A$2:$A$9,0)),"Unmapped")</f>
        <v>Food &amp; Catering</v>
      </c>
      <c r="G422" t="str">
        <f>TRIM(Procurement_Raw!G422)</f>
        <v>INV-2025-00421</v>
      </c>
      <c r="H422" s="77">
        <f>Procurement_Raw!H422</f>
        <v>7</v>
      </c>
      <c r="I422" s="124">
        <f>Procurement_Raw!I422</f>
        <v>201.91</v>
      </c>
      <c r="J422" s="125">
        <f>IF(Procurement_Raw!J422="","",Procurement_Raw!J422)</f>
        <v>1413.34</v>
      </c>
      <c r="K422" s="77">
        <f>Procurement_Raw!K422</f>
        <v>30</v>
      </c>
      <c r="L422" t="str">
        <f>Procurement_Raw!L422</f>
        <v>Procurement Portal</v>
      </c>
      <c r="M422" t="str">
        <f>Procurement_Raw!O422</f>
        <v>N</v>
      </c>
      <c r="N422" t="str">
        <f>IF(E422="","Missing supplier",IF(B422="","Missing site",IF(J422="","Missing spend",IF(COUNTIFS($G$2:G422,G422,$E$2:E422,E422,$J$2:J422,J422)&gt;1,"Duplicate invoice",IF(COUNTIF($G$2:$G$1801,G422)&gt;1,"Duplicate ID - review",IF(AND(P422&lt;&gt;"Unmapped",P422&lt;&gt;F422),"Category mismatch","OK"))))))</f>
        <v>OK</v>
      </c>
      <c r="O422" s="125">
        <f t="shared" si="18"/>
        <v>1413.34</v>
      </c>
      <c r="P422" t="str">
        <f>IF(E422="","Unmapped",IFERROR(INDEX(Supplier_Lookup!$B$2:$B$25,MATCH(E422,Supplier_Lookup!$A$2:$A$25,0)),"Unmapped"))</f>
        <v>Food &amp; Catering</v>
      </c>
      <c r="Q422" s="76">
        <f>IFERROR(INDEX(Category_Targets!$B$2:$B$9,MATCH(F422,Category_Targets!$A$2:$A$9,0)),0)</f>
        <v>0.04</v>
      </c>
      <c r="R422" s="125">
        <f t="shared" si="19"/>
        <v>56.5336</v>
      </c>
      <c r="S422" s="78">
        <f t="shared" si="20"/>
        <v>45809</v>
      </c>
      <c r="T422" t="str">
        <f>IFERROR(VLOOKUP(B422,Sites!$A$2:$D$21,4,FALSE()),"Unknown")</f>
        <v>Cardiff</v>
      </c>
      <c r="U422" t="str">
        <f>IF(N422="OK","",COUNTIF($N$2:N422,"&lt;&gt;OK"))</f>
        <v/>
      </c>
      <c r="V422">
        <f>IF(OR(NOT(EXACT(E422,TRIM(Procurement_Raw!E422))),NOT(EXACT(F422,TRIM(Procurement_Raw!F422)))),1,0)</f>
        <v>0</v>
      </c>
    </row>
    <row r="423" spans="1:22" ht="15" customHeight="1" x14ac:dyDescent="0.25">
      <c r="A423" s="123">
        <f>Procurement_Raw!A423</f>
        <v>45967</v>
      </c>
      <c r="B423" t="str">
        <f>TRIM(Procurement_Raw!B423)</f>
        <v>S009</v>
      </c>
      <c r="C423" t="str">
        <f>Procurement_Raw!C423</f>
        <v>Derby Care &amp; Education Centre</v>
      </c>
      <c r="D423" t="str">
        <f>Procurement_Raw!D423</f>
        <v>Midlands</v>
      </c>
      <c r="E423" t="str">
        <f>IF(TRIM(Procurement_Raw!E423)="","",IFERROR(INDEX(Supplier_Lookup!$A$2:$A$25,MATCH(TRIM(Procurement_Raw!E423),Supplier_Lookup!$A$2:$A$25,0)),TRIM(Procurement_Raw!E423)))</f>
        <v>NourishCo</v>
      </c>
      <c r="F423" t="str">
        <f>IFERROR(INDEX(Category_Targets!$A$2:$A$9,MATCH(TRIM(Procurement_Raw!F423),Category_Targets!$A$2:$A$9,0)),"Unmapped")</f>
        <v>Food &amp; Catering</v>
      </c>
      <c r="G423" t="str">
        <f>TRIM(Procurement_Raw!G423)</f>
        <v>INV-2025-00422</v>
      </c>
      <c r="H423" s="77">
        <f>Procurement_Raw!H423</f>
        <v>79</v>
      </c>
      <c r="I423" s="124">
        <f>Procurement_Raw!I423</f>
        <v>170.69</v>
      </c>
      <c r="J423" s="125">
        <f>IF(Procurement_Raw!J423="","",Procurement_Raw!J423)</f>
        <v>13484.18</v>
      </c>
      <c r="K423" s="77">
        <f>Procurement_Raw!K423</f>
        <v>60</v>
      </c>
      <c r="L423" t="str">
        <f>Procurement_Raw!L423</f>
        <v>Procurement Portal</v>
      </c>
      <c r="M423" t="str">
        <f>Procurement_Raw!O423</f>
        <v>N</v>
      </c>
      <c r="N423" t="str">
        <f>IF(E423="","Missing supplier",IF(B423="","Missing site",IF(J423="","Missing spend",IF(COUNTIFS($G$2:G423,G423,$E$2:E423,E423,$J$2:J423,J423)&gt;1,"Duplicate invoice",IF(COUNTIF($G$2:$G$1801,G423)&gt;1,"Duplicate ID - review",IF(AND(P423&lt;&gt;"Unmapped",P423&lt;&gt;F423),"Category mismatch","OK"))))))</f>
        <v>OK</v>
      </c>
      <c r="O423" s="125">
        <f t="shared" si="18"/>
        <v>13484.18</v>
      </c>
      <c r="P423" t="str">
        <f>IF(E423="","Unmapped",IFERROR(INDEX(Supplier_Lookup!$B$2:$B$25,MATCH(E423,Supplier_Lookup!$A$2:$A$25,0)),"Unmapped"))</f>
        <v>Food &amp; Catering</v>
      </c>
      <c r="Q423" s="76">
        <f>IFERROR(INDEX(Category_Targets!$B$2:$B$9,MATCH(F423,Category_Targets!$A$2:$A$9,0)),0)</f>
        <v>0.04</v>
      </c>
      <c r="R423" s="125">
        <f t="shared" si="19"/>
        <v>539.36720000000003</v>
      </c>
      <c r="S423" s="78">
        <f t="shared" si="20"/>
        <v>45962</v>
      </c>
      <c r="T423" t="str">
        <f>IFERROR(VLOOKUP(B423,Sites!$A$2:$D$21,4,FALSE()),"Unknown")</f>
        <v>Derby</v>
      </c>
      <c r="U423" t="str">
        <f>IF(N423="OK","",COUNTIF($N$2:N423,"&lt;&gt;OK"))</f>
        <v/>
      </c>
      <c r="V423">
        <f>IF(OR(NOT(EXACT(E423,TRIM(Procurement_Raw!E423))),NOT(EXACT(F423,TRIM(Procurement_Raw!F423)))),1,0)</f>
        <v>0</v>
      </c>
    </row>
    <row r="424" spans="1:22" ht="15" customHeight="1" x14ac:dyDescent="0.25">
      <c r="A424" s="123">
        <f>Procurement_Raw!A424</f>
        <v>45797</v>
      </c>
      <c r="B424" t="str">
        <f>TRIM(Procurement_Raw!B424)</f>
        <v>S017</v>
      </c>
      <c r="C424" t="str">
        <f>Procurement_Raw!C424</f>
        <v>Swansea Care &amp; Education Centre</v>
      </c>
      <c r="D424" t="str">
        <f>Procurement_Raw!D424</f>
        <v>Wales</v>
      </c>
      <c r="E424" t="str">
        <f>IF(TRIM(Procurement_Raw!E424)="","",IFERROR(INDEX(Supplier_Lookup!$A$2:$A$25,MATCH(TRIM(Procurement_Raw!E424),Supplier_Lookup!$A$2:$A$25,0)),TRIM(Procurement_Raw!E424)))</f>
        <v>ClinEquip</v>
      </c>
      <c r="F424" t="str">
        <f>IFERROR(INDEX(Category_Targets!$A$2:$A$9,MATCH(TRIM(Procurement_Raw!F424),Category_Targets!$A$2:$A$9,0)),"Unmapped")</f>
        <v>Medical Supplies</v>
      </c>
      <c r="G424" t="str">
        <f>TRIM(Procurement_Raw!G424)</f>
        <v>INV-2025-00423</v>
      </c>
      <c r="H424" s="77">
        <f>Procurement_Raw!H424</f>
        <v>58</v>
      </c>
      <c r="I424" s="124">
        <f>Procurement_Raw!I424</f>
        <v>104.64</v>
      </c>
      <c r="J424" s="125">
        <f>IF(Procurement_Raw!J424="","",Procurement_Raw!J424)</f>
        <v>6069.34</v>
      </c>
      <c r="K424" s="77">
        <f>Procurement_Raw!K424</f>
        <v>45</v>
      </c>
      <c r="L424" t="str">
        <f>Procurement_Raw!L424</f>
        <v>ERP</v>
      </c>
      <c r="M424" t="str">
        <f>Procurement_Raw!O424</f>
        <v>N</v>
      </c>
      <c r="N424" t="str">
        <f>IF(E424="","Missing supplier",IF(B424="","Missing site",IF(J424="","Missing spend",IF(COUNTIFS($G$2:G424,G424,$E$2:E424,E424,$J$2:J424,J424)&gt;1,"Duplicate invoice",IF(COUNTIF($G$2:$G$1801,G424)&gt;1,"Duplicate ID - review",IF(AND(P424&lt;&gt;"Unmapped",P424&lt;&gt;F424),"Category mismatch","OK"))))))</f>
        <v>OK</v>
      </c>
      <c r="O424" s="125">
        <f t="shared" si="18"/>
        <v>6069.34</v>
      </c>
      <c r="P424" t="str">
        <f>IF(E424="","Unmapped",IFERROR(INDEX(Supplier_Lookup!$B$2:$B$25,MATCH(E424,Supplier_Lookup!$A$2:$A$25,0)),"Unmapped"))</f>
        <v>Medical Supplies</v>
      </c>
      <c r="Q424" s="76">
        <f>IFERROR(INDEX(Category_Targets!$B$2:$B$9,MATCH(F424,Category_Targets!$A$2:$A$9,0)),0)</f>
        <v>0.06</v>
      </c>
      <c r="R424" s="125">
        <f t="shared" si="19"/>
        <v>364.16039999999998</v>
      </c>
      <c r="S424" s="78">
        <f t="shared" si="20"/>
        <v>45778</v>
      </c>
      <c r="T424" t="str">
        <f>IFERROR(VLOOKUP(B424,Sites!$A$2:$D$21,4,FALSE()),"Unknown")</f>
        <v>Swansea</v>
      </c>
      <c r="U424" t="str">
        <f>IF(N424="OK","",COUNTIF($N$2:N424,"&lt;&gt;OK"))</f>
        <v/>
      </c>
      <c r="V424">
        <f>IF(OR(NOT(EXACT(E424,TRIM(Procurement_Raw!E424))),NOT(EXACT(F424,TRIM(Procurement_Raw!F424)))),1,0)</f>
        <v>0</v>
      </c>
    </row>
    <row r="425" spans="1:22" ht="15" customHeight="1" x14ac:dyDescent="0.25">
      <c r="A425" s="123">
        <f>Procurement_Raw!A425</f>
        <v>45753</v>
      </c>
      <c r="B425" t="str">
        <f>TRIM(Procurement_Raw!B425)</f>
        <v>S008</v>
      </c>
      <c r="C425" t="str">
        <f>Procurement_Raw!C425</f>
        <v>Leicester Care &amp; Education Centre</v>
      </c>
      <c r="D425" t="str">
        <f>Procurement_Raw!D425</f>
        <v>Midlands</v>
      </c>
      <c r="E425" t="str">
        <f>IF(TRIM(Procurement_Raw!E425)="","",IFERROR(INDEX(Supplier_Lookup!$A$2:$A$25,MATCH(TRIM(Procurement_Raw!E425),Supplier_Lookup!$A$2:$A$25,0)),TRIM(Procurement_Raw!E425)))</f>
        <v>CareTemps</v>
      </c>
      <c r="F425" t="str">
        <f>IFERROR(INDEX(Category_Targets!$A$2:$A$9,MATCH(TRIM(Procurement_Raw!F425),Category_Targets!$A$2:$A$9,0)),"Unmapped")</f>
        <v>Agency Labour</v>
      </c>
      <c r="G425" t="str">
        <f>TRIM(Procurement_Raw!G425)</f>
        <v>INV-2025-00424</v>
      </c>
      <c r="H425" s="77">
        <f>Procurement_Raw!H425</f>
        <v>75</v>
      </c>
      <c r="I425" s="124">
        <f>Procurement_Raw!I425</f>
        <v>511.91</v>
      </c>
      <c r="J425" s="125">
        <f>IF(Procurement_Raw!J425="","",Procurement_Raw!J425)</f>
        <v>38393.160000000003</v>
      </c>
      <c r="K425" s="77">
        <f>Procurement_Raw!K425</f>
        <v>60</v>
      </c>
      <c r="L425" t="str">
        <f>Procurement_Raw!L425</f>
        <v>Procurement Portal</v>
      </c>
      <c r="M425" t="str">
        <f>Procurement_Raw!O425</f>
        <v>N</v>
      </c>
      <c r="N425" t="str">
        <f>IF(E425="","Missing supplier",IF(B425="","Missing site",IF(J425="","Missing spend",IF(COUNTIFS($G$2:G425,G425,$E$2:E425,E425,$J$2:J425,J425)&gt;1,"Duplicate invoice",IF(COUNTIF($G$2:$G$1801,G425)&gt;1,"Duplicate ID - review",IF(AND(P425&lt;&gt;"Unmapped",P425&lt;&gt;F425),"Category mismatch","OK"))))))</f>
        <v>OK</v>
      </c>
      <c r="O425" s="125">
        <f t="shared" si="18"/>
        <v>38393.160000000003</v>
      </c>
      <c r="P425" t="str">
        <f>IF(E425="","Unmapped",IFERROR(INDEX(Supplier_Lookup!$B$2:$B$25,MATCH(E425,Supplier_Lookup!$A$2:$A$25,0)),"Unmapped"))</f>
        <v>Agency Labour</v>
      </c>
      <c r="Q425" s="76">
        <f>IFERROR(INDEX(Category_Targets!$B$2:$B$9,MATCH(F425,Category_Targets!$A$2:$A$9,0)),0)</f>
        <v>7.0000000000000007E-2</v>
      </c>
      <c r="R425" s="125">
        <f t="shared" si="19"/>
        <v>2687.5212000000006</v>
      </c>
      <c r="S425" s="78">
        <f t="shared" si="20"/>
        <v>45748</v>
      </c>
      <c r="T425" t="str">
        <f>IFERROR(VLOOKUP(B425,Sites!$A$2:$D$21,4,FALSE()),"Unknown")</f>
        <v>Leicester</v>
      </c>
      <c r="U425" t="str">
        <f>IF(N425="OK","",COUNTIF($N$2:N425,"&lt;&gt;OK"))</f>
        <v/>
      </c>
      <c r="V425">
        <f>IF(OR(NOT(EXACT(E425,TRIM(Procurement_Raw!E425))),NOT(EXACT(F425,TRIM(Procurement_Raw!F425)))),1,0)</f>
        <v>0</v>
      </c>
    </row>
    <row r="426" spans="1:22" ht="15" customHeight="1" x14ac:dyDescent="0.25">
      <c r="A426" s="123">
        <f>Procurement_Raw!A426</f>
        <v>45695</v>
      </c>
      <c r="B426" t="str">
        <f>TRIM(Procurement_Raw!B426)</f>
        <v>S009</v>
      </c>
      <c r="C426" t="str">
        <f>Procurement_Raw!C426</f>
        <v>Derby Care &amp; Education Centre</v>
      </c>
      <c r="D426" t="str">
        <f>Procurement_Raw!D426</f>
        <v>Midlands</v>
      </c>
      <c r="E426" t="str">
        <f>IF(TRIM(Procurement_Raw!E426)="","",IFERROR(INDEX(Supplier_Lookup!$A$2:$A$25,MATCH(TRIM(Procurement_Raw!E426),Supplier_Lookup!$A$2:$A$25,0)),TRIM(Procurement_Raw!E426)))</f>
        <v>CloudLink</v>
      </c>
      <c r="F426" t="str">
        <f>IFERROR(INDEX(Category_Targets!$A$2:$A$9,MATCH(TRIM(Procurement_Raw!F426),Category_Targets!$A$2:$A$9,0)),"Unmapped")</f>
        <v>IT &amp; Telecoms</v>
      </c>
      <c r="G426" t="str">
        <f>TRIM(Procurement_Raw!G426)</f>
        <v>INV-2025-00425</v>
      </c>
      <c r="H426" s="77">
        <f>Procurement_Raw!H426</f>
        <v>11</v>
      </c>
      <c r="I426" s="124">
        <f>Procurement_Raw!I426</f>
        <v>313.75</v>
      </c>
      <c r="J426" s="125">
        <f>IF(Procurement_Raw!J426="","",Procurement_Raw!J426)</f>
        <v>3451.21</v>
      </c>
      <c r="K426" s="77">
        <f>Procurement_Raw!K426</f>
        <v>45</v>
      </c>
      <c r="L426" t="str">
        <f>Procurement_Raw!L426</f>
        <v>ERP</v>
      </c>
      <c r="M426" t="str">
        <f>Procurement_Raw!O426</f>
        <v>Y</v>
      </c>
      <c r="N426" t="str">
        <f>IF(E426="","Missing supplier",IF(B426="","Missing site",IF(J426="","Missing spend",IF(COUNTIFS($G$2:G426,G426,$E$2:E426,E426,$J$2:J426,J426)&gt;1,"Duplicate invoice",IF(COUNTIF($G$2:$G$1801,G426)&gt;1,"Duplicate ID - review",IF(AND(P426&lt;&gt;"Unmapped",P426&lt;&gt;F426),"Category mismatch","OK"))))))</f>
        <v>OK</v>
      </c>
      <c r="O426" s="125">
        <f t="shared" si="18"/>
        <v>3451.21</v>
      </c>
      <c r="P426" t="str">
        <f>IF(E426="","Unmapped",IFERROR(INDEX(Supplier_Lookup!$B$2:$B$25,MATCH(E426,Supplier_Lookup!$A$2:$A$25,0)),"Unmapped"))</f>
        <v>IT &amp; Telecoms</v>
      </c>
      <c r="Q426" s="76">
        <f>IFERROR(INDEX(Category_Targets!$B$2:$B$9,MATCH(F426,Category_Targets!$A$2:$A$9,0)),0)</f>
        <v>0.08</v>
      </c>
      <c r="R426" s="125">
        <f t="shared" si="19"/>
        <v>276.09680000000003</v>
      </c>
      <c r="S426" s="78">
        <f t="shared" si="20"/>
        <v>45689</v>
      </c>
      <c r="T426" t="str">
        <f>IFERROR(VLOOKUP(B426,Sites!$A$2:$D$21,4,FALSE()),"Unknown")</f>
        <v>Derby</v>
      </c>
      <c r="U426" t="str">
        <f>IF(N426="OK","",COUNTIF($N$2:N426,"&lt;&gt;OK"))</f>
        <v/>
      </c>
      <c r="V426">
        <f>IF(OR(NOT(EXACT(E426,TRIM(Procurement_Raw!E426))),NOT(EXACT(F426,TRIM(Procurement_Raw!F426)))),1,0)</f>
        <v>0</v>
      </c>
    </row>
    <row r="427" spans="1:22" ht="15" customHeight="1" x14ac:dyDescent="0.25">
      <c r="A427" s="123">
        <f>Procurement_Raw!A427</f>
        <v>45857</v>
      </c>
      <c r="B427" t="str">
        <f>TRIM(Procurement_Raw!B427)</f>
        <v>S017</v>
      </c>
      <c r="C427" t="str">
        <f>Procurement_Raw!C427</f>
        <v>Swansea Care &amp; Education Centre</v>
      </c>
      <c r="D427" t="str">
        <f>Procurement_Raw!D427</f>
        <v>Wales</v>
      </c>
      <c r="E427" t="str">
        <f>IF(TRIM(Procurement_Raw!E427)="","",IFERROR(INDEX(Supplier_Lookup!$A$2:$A$25,MATCH(TRIM(Procurement_Raw!E427),Supplier_Lookup!$A$2:$A$25,0)),TRIM(Procurement_Raw!E427)))</f>
        <v>BuildCare</v>
      </c>
      <c r="F427" t="str">
        <f>IFERROR(INDEX(Category_Targets!$A$2:$A$9,MATCH(TRIM(Procurement_Raw!F427),Category_Targets!$A$2:$A$9,0)),"Unmapped")</f>
        <v>Facilities</v>
      </c>
      <c r="G427" t="str">
        <f>TRIM(Procurement_Raw!G427)</f>
        <v>INV-2025-00426</v>
      </c>
      <c r="H427" s="77">
        <f>Procurement_Raw!H427</f>
        <v>41</v>
      </c>
      <c r="I427" s="124">
        <f>Procurement_Raw!I427</f>
        <v>382.11</v>
      </c>
      <c r="J427" s="125">
        <f>IF(Procurement_Raw!J427="","",Procurement_Raw!J427)</f>
        <v>15666.44</v>
      </c>
      <c r="K427" s="77">
        <f>Procurement_Raw!K427</f>
        <v>45</v>
      </c>
      <c r="L427" t="str">
        <f>Procurement_Raw!L427</f>
        <v>ERP</v>
      </c>
      <c r="M427" t="str">
        <f>Procurement_Raw!O427</f>
        <v>N</v>
      </c>
      <c r="N427" t="str">
        <f>IF(E427="","Missing supplier",IF(B427="","Missing site",IF(J427="","Missing spend",IF(COUNTIFS($G$2:G427,G427,$E$2:E427,E427,$J$2:J427,J427)&gt;1,"Duplicate invoice",IF(COUNTIF($G$2:$G$1801,G427)&gt;1,"Duplicate ID - review",IF(AND(P427&lt;&gt;"Unmapped",P427&lt;&gt;F427),"Category mismatch","OK"))))))</f>
        <v>OK</v>
      </c>
      <c r="O427" s="125">
        <f t="shared" si="18"/>
        <v>15666.44</v>
      </c>
      <c r="P427" t="str">
        <f>IF(E427="","Unmapped",IFERROR(INDEX(Supplier_Lookup!$B$2:$B$25,MATCH(E427,Supplier_Lookup!$A$2:$A$25,0)),"Unmapped"))</f>
        <v>Facilities</v>
      </c>
      <c r="Q427" s="76">
        <f>IFERROR(INDEX(Category_Targets!$B$2:$B$9,MATCH(F427,Category_Targets!$A$2:$A$9,0)),0)</f>
        <v>0.05</v>
      </c>
      <c r="R427" s="125">
        <f t="shared" si="19"/>
        <v>783.32200000000012</v>
      </c>
      <c r="S427" s="78">
        <f t="shared" si="20"/>
        <v>45839</v>
      </c>
      <c r="T427" t="str">
        <f>IFERROR(VLOOKUP(B427,Sites!$A$2:$D$21,4,FALSE()),"Unknown")</f>
        <v>Swansea</v>
      </c>
      <c r="U427" t="str">
        <f>IF(N427="OK","",COUNTIF($N$2:N427,"&lt;&gt;OK"))</f>
        <v/>
      </c>
      <c r="V427">
        <f>IF(OR(NOT(EXACT(E427,TRIM(Procurement_Raw!E427))),NOT(EXACT(F427,TRIM(Procurement_Raw!F427)))),1,0)</f>
        <v>0</v>
      </c>
    </row>
    <row r="428" spans="1:22" ht="15" customHeight="1" x14ac:dyDescent="0.25">
      <c r="A428" s="123">
        <f>Procurement_Raw!A428</f>
        <v>45885</v>
      </c>
      <c r="B428" t="str">
        <f>TRIM(Procurement_Raw!B428)</f>
        <v>S017</v>
      </c>
      <c r="C428" t="str">
        <f>Procurement_Raw!C428</f>
        <v>Swansea Care &amp; Education Centre</v>
      </c>
      <c r="D428" t="str">
        <f>Procurement_Raw!D428</f>
        <v>Wales</v>
      </c>
      <c r="E428" t="str">
        <f>IF(TRIM(Procurement_Raw!E428)="","",IFERROR(INDEX(Supplier_Lookup!$A$2:$A$25,MATCH(TRIM(Procurement_Raw!E428),Supplier_Lookup!$A$2:$A$25,0)),TRIM(Procurement_Raw!E428)))</f>
        <v>CareMed</v>
      </c>
      <c r="F428" t="str">
        <f>IFERROR(INDEX(Category_Targets!$A$2:$A$9,MATCH(TRIM(Procurement_Raw!F428),Category_Targets!$A$2:$A$9,0)),"Unmapped")</f>
        <v>Medical Supplies</v>
      </c>
      <c r="G428" t="str">
        <f>TRIM(Procurement_Raw!G428)</f>
        <v>INV-2025-00427</v>
      </c>
      <c r="H428" s="77">
        <f>Procurement_Raw!H428</f>
        <v>47</v>
      </c>
      <c r="I428" s="124">
        <f>Procurement_Raw!I428</f>
        <v>70.58</v>
      </c>
      <c r="J428" s="125">
        <f>IF(Procurement_Raw!J428="","",Procurement_Raw!J428)</f>
        <v>3317.38</v>
      </c>
      <c r="K428" s="77">
        <f>Procurement_Raw!K428</f>
        <v>45</v>
      </c>
      <c r="L428" t="str">
        <f>Procurement_Raw!L428</f>
        <v>ERP</v>
      </c>
      <c r="M428" t="str">
        <f>Procurement_Raw!O428</f>
        <v>N</v>
      </c>
      <c r="N428" t="str">
        <f>IF(E428="","Missing supplier",IF(B428="","Missing site",IF(J428="","Missing spend",IF(COUNTIFS($G$2:G428,G428,$E$2:E428,E428,$J$2:J428,J428)&gt;1,"Duplicate invoice",IF(COUNTIF($G$2:$G$1801,G428)&gt;1,"Duplicate ID - review",IF(AND(P428&lt;&gt;"Unmapped",P428&lt;&gt;F428),"Category mismatch","OK"))))))</f>
        <v>OK</v>
      </c>
      <c r="O428" s="125">
        <f t="shared" si="18"/>
        <v>3317.38</v>
      </c>
      <c r="P428" t="str">
        <f>IF(E428="","Unmapped",IFERROR(INDEX(Supplier_Lookup!$B$2:$B$25,MATCH(E428,Supplier_Lookup!$A$2:$A$25,0)),"Unmapped"))</f>
        <v>Medical Supplies</v>
      </c>
      <c r="Q428" s="76">
        <f>IFERROR(INDEX(Category_Targets!$B$2:$B$9,MATCH(F428,Category_Targets!$A$2:$A$9,0)),0)</f>
        <v>0.06</v>
      </c>
      <c r="R428" s="125">
        <f t="shared" si="19"/>
        <v>199.0428</v>
      </c>
      <c r="S428" s="78">
        <f t="shared" si="20"/>
        <v>45870</v>
      </c>
      <c r="T428" t="str">
        <f>IFERROR(VLOOKUP(B428,Sites!$A$2:$D$21,4,FALSE()),"Unknown")</f>
        <v>Swansea</v>
      </c>
      <c r="U428" t="str">
        <f>IF(N428="OK","",COUNTIF($N$2:N428,"&lt;&gt;OK"))</f>
        <v/>
      </c>
      <c r="V428">
        <f>IF(OR(NOT(EXACT(E428,TRIM(Procurement_Raw!E428))),NOT(EXACT(F428,TRIM(Procurement_Raw!F428)))),1,0)</f>
        <v>0</v>
      </c>
    </row>
    <row r="429" spans="1:22" ht="15" customHeight="1" x14ac:dyDescent="0.25">
      <c r="A429" s="123">
        <f>Procurement_Raw!A429</f>
        <v>45878</v>
      </c>
      <c r="B429" t="str">
        <f>TRIM(Procurement_Raw!B429)</f>
        <v>S004</v>
      </c>
      <c r="C429" t="str">
        <f>Procurement_Raw!C429</f>
        <v>Newcastle Care &amp; Education Centre</v>
      </c>
      <c r="D429" t="str">
        <f>Procurement_Raw!D429</f>
        <v>North</v>
      </c>
      <c r="E429" t="str">
        <f>IF(TRIM(Procurement_Raw!E429)="","",IFERROR(INDEX(Supplier_Lookup!$A$2:$A$25,MATCH(TRIM(Procurement_Raw!E429),Supplier_Lookup!$A$2:$A$25,0)),TRIM(Procurement_Raw!E429)))</f>
        <v>FreshServe</v>
      </c>
      <c r="F429" t="str">
        <f>IFERROR(INDEX(Category_Targets!$A$2:$A$9,MATCH(TRIM(Procurement_Raw!F429),Category_Targets!$A$2:$A$9,0)),"Unmapped")</f>
        <v>Food &amp; Catering</v>
      </c>
      <c r="G429" t="str">
        <f>TRIM(Procurement_Raw!G429)</f>
        <v>INV-2025-00428</v>
      </c>
      <c r="H429" s="77">
        <f>Procurement_Raw!H429</f>
        <v>58</v>
      </c>
      <c r="I429" s="124">
        <f>Procurement_Raw!I429</f>
        <v>94.79</v>
      </c>
      <c r="J429" s="125">
        <f>IF(Procurement_Raw!J429="","",Procurement_Raw!J429)</f>
        <v>5498.1</v>
      </c>
      <c r="K429" s="77">
        <f>Procurement_Raw!K429</f>
        <v>60</v>
      </c>
      <c r="L429" t="str">
        <f>Procurement_Raw!L429</f>
        <v>Legacy Spend File</v>
      </c>
      <c r="M429" t="str">
        <f>Procurement_Raw!O429</f>
        <v>Y</v>
      </c>
      <c r="N429" t="str">
        <f>IF(E429="","Missing supplier",IF(B429="","Missing site",IF(J429="","Missing spend",IF(COUNTIFS($G$2:G429,G429,$E$2:E429,E429,$J$2:J429,J429)&gt;1,"Duplicate invoice",IF(COUNTIF($G$2:$G$1801,G429)&gt;1,"Duplicate ID - review",IF(AND(P429&lt;&gt;"Unmapped",P429&lt;&gt;F429),"Category mismatch","OK"))))))</f>
        <v>OK</v>
      </c>
      <c r="O429" s="125">
        <f t="shared" si="18"/>
        <v>5498.1</v>
      </c>
      <c r="P429" t="str">
        <f>IF(E429="","Unmapped",IFERROR(INDEX(Supplier_Lookup!$B$2:$B$25,MATCH(E429,Supplier_Lookup!$A$2:$A$25,0)),"Unmapped"))</f>
        <v>Food &amp; Catering</v>
      </c>
      <c r="Q429" s="76">
        <f>IFERROR(INDEX(Category_Targets!$B$2:$B$9,MATCH(F429,Category_Targets!$A$2:$A$9,0)),0)</f>
        <v>0.04</v>
      </c>
      <c r="R429" s="125">
        <f t="shared" si="19"/>
        <v>219.92400000000001</v>
      </c>
      <c r="S429" s="78">
        <f t="shared" si="20"/>
        <v>45870</v>
      </c>
      <c r="T429" t="str">
        <f>IFERROR(VLOOKUP(B429,Sites!$A$2:$D$21,4,FALSE()),"Unknown")</f>
        <v>Newcastle</v>
      </c>
      <c r="U429" t="str">
        <f>IF(N429="OK","",COUNTIF($N$2:N429,"&lt;&gt;OK"))</f>
        <v/>
      </c>
      <c r="V429">
        <f>IF(OR(NOT(EXACT(E429,TRIM(Procurement_Raw!E429))),NOT(EXACT(F429,TRIM(Procurement_Raw!F429)))),1,0)</f>
        <v>0</v>
      </c>
    </row>
    <row r="430" spans="1:22" ht="15" customHeight="1" x14ac:dyDescent="0.25">
      <c r="A430" s="123">
        <f>Procurement_Raw!A430</f>
        <v>45671</v>
      </c>
      <c r="B430" t="str">
        <f>TRIM(Procurement_Raw!B430)</f>
        <v>S015</v>
      </c>
      <c r="C430" t="str">
        <f>Procurement_Raw!C430</f>
        <v>Brighton Care &amp; Education Centre</v>
      </c>
      <c r="D430" t="str">
        <f>Procurement_Raw!D430</f>
        <v>South</v>
      </c>
      <c r="E430" t="str">
        <f>IF(TRIM(Procurement_Raw!E430)="","",IFERROR(INDEX(Supplier_Lookup!$A$2:$A$25,MATCH(TRIM(Procurement_Raw!E430),Supplier_Lookup!$A$2:$A$25,0)),TRIM(Procurement_Raw!E430)))</f>
        <v>HealthStaffing</v>
      </c>
      <c r="F430" t="str">
        <f>IFERROR(INDEX(Category_Targets!$A$2:$A$9,MATCH(TRIM(Procurement_Raw!F430),Category_Targets!$A$2:$A$9,0)),"Unmapped")</f>
        <v>Agency Labour</v>
      </c>
      <c r="G430" t="str">
        <f>TRIM(Procurement_Raw!G430)</f>
        <v>INV-2025-00429</v>
      </c>
      <c r="H430" s="77">
        <f>Procurement_Raw!H430</f>
        <v>12</v>
      </c>
      <c r="I430" s="124">
        <f>Procurement_Raw!I430</f>
        <v>536.96</v>
      </c>
      <c r="J430" s="125">
        <f>IF(Procurement_Raw!J430="","",Procurement_Raw!J430)</f>
        <v>6443.47</v>
      </c>
      <c r="K430" s="77">
        <f>Procurement_Raw!K430</f>
        <v>45</v>
      </c>
      <c r="L430" t="str">
        <f>Procurement_Raw!L430</f>
        <v>Legacy Spend File</v>
      </c>
      <c r="M430" t="str">
        <f>Procurement_Raw!O430</f>
        <v>N</v>
      </c>
      <c r="N430" t="str">
        <f>IF(E430="","Missing supplier",IF(B430="","Missing site",IF(J430="","Missing spend",IF(COUNTIFS($G$2:G430,G430,$E$2:E430,E430,$J$2:J430,J430)&gt;1,"Duplicate invoice",IF(COUNTIF($G$2:$G$1801,G430)&gt;1,"Duplicate ID - review",IF(AND(P430&lt;&gt;"Unmapped",P430&lt;&gt;F430),"Category mismatch","OK"))))))</f>
        <v>OK</v>
      </c>
      <c r="O430" s="125">
        <f t="shared" si="18"/>
        <v>6443.47</v>
      </c>
      <c r="P430" t="str">
        <f>IF(E430="","Unmapped",IFERROR(INDEX(Supplier_Lookup!$B$2:$B$25,MATCH(E430,Supplier_Lookup!$A$2:$A$25,0)),"Unmapped"))</f>
        <v>Agency Labour</v>
      </c>
      <c r="Q430" s="76">
        <f>IFERROR(INDEX(Category_Targets!$B$2:$B$9,MATCH(F430,Category_Targets!$A$2:$A$9,0)),0)</f>
        <v>7.0000000000000007E-2</v>
      </c>
      <c r="R430" s="125">
        <f t="shared" si="19"/>
        <v>451.04290000000009</v>
      </c>
      <c r="S430" s="78">
        <f t="shared" si="20"/>
        <v>45658</v>
      </c>
      <c r="T430" t="str">
        <f>IFERROR(VLOOKUP(B430,Sites!$A$2:$D$21,4,FALSE()),"Unknown")</f>
        <v>Brighton</v>
      </c>
      <c r="U430" t="str">
        <f>IF(N430="OK","",COUNTIF($N$2:N430,"&lt;&gt;OK"))</f>
        <v/>
      </c>
      <c r="V430">
        <f>IF(OR(NOT(EXACT(E430,TRIM(Procurement_Raw!E430))),NOT(EXACT(F430,TRIM(Procurement_Raw!F430)))),1,0)</f>
        <v>0</v>
      </c>
    </row>
    <row r="431" spans="1:22" ht="15" customHeight="1" x14ac:dyDescent="0.25">
      <c r="A431" s="123">
        <f>Procurement_Raw!A431</f>
        <v>45664</v>
      </c>
      <c r="B431" t="str">
        <f>TRIM(Procurement_Raw!B431)</f>
        <v>S003</v>
      </c>
      <c r="C431" t="str">
        <f>Procurement_Raw!C431</f>
        <v>Leeds Care &amp; Education Centre</v>
      </c>
      <c r="D431" t="str">
        <f>Procurement_Raw!D431</f>
        <v>North</v>
      </c>
      <c r="E431" t="str">
        <f>IF(TRIM(Procurement_Raw!E431)="","",IFERROR(INDEX(Supplier_Lookup!$A$2:$A$25,MATCH(TRIM(Procurement_Raw!E431),Supplier_Lookup!$A$2:$A$25,0)),TRIM(Procurement_Raw!E431)))</f>
        <v>RoadReady</v>
      </c>
      <c r="F431" t="str">
        <f>IFERROR(INDEX(Category_Targets!$A$2:$A$9,MATCH(TRIM(Procurement_Raw!F431),Category_Targets!$A$2:$A$9,0)),"Unmapped")</f>
        <v>Vehicle &amp; Fuel</v>
      </c>
      <c r="G431" t="str">
        <f>TRIM(Procurement_Raw!G431)</f>
        <v>INV-2025-00430</v>
      </c>
      <c r="H431" s="77">
        <f>Procurement_Raw!H431</f>
        <v>38</v>
      </c>
      <c r="I431" s="124">
        <f>Procurement_Raw!I431</f>
        <v>36.11</v>
      </c>
      <c r="J431" s="125">
        <f>IF(Procurement_Raw!J431="","",Procurement_Raw!J431)</f>
        <v>1372.18</v>
      </c>
      <c r="K431" s="77">
        <f>Procurement_Raw!K431</f>
        <v>45</v>
      </c>
      <c r="L431" t="str">
        <f>Procurement_Raw!L431</f>
        <v>Procurement Portal</v>
      </c>
      <c r="M431" t="str">
        <f>Procurement_Raw!O431</f>
        <v>N</v>
      </c>
      <c r="N431" t="str">
        <f>IF(E431="","Missing supplier",IF(B431="","Missing site",IF(J431="","Missing spend",IF(COUNTIFS($G$2:G431,G431,$E$2:E431,E431,$J$2:J431,J431)&gt;1,"Duplicate invoice",IF(COUNTIF($G$2:$G$1801,G431)&gt;1,"Duplicate ID - review",IF(AND(P431&lt;&gt;"Unmapped",P431&lt;&gt;F431),"Category mismatch","OK"))))))</f>
        <v>OK</v>
      </c>
      <c r="O431" s="125">
        <f t="shared" si="18"/>
        <v>1372.18</v>
      </c>
      <c r="P431" t="str">
        <f>IF(E431="","Unmapped",IFERROR(INDEX(Supplier_Lookup!$B$2:$B$25,MATCH(E431,Supplier_Lookup!$A$2:$A$25,0)),"Unmapped"))</f>
        <v>Vehicle &amp; Fuel</v>
      </c>
      <c r="Q431" s="76">
        <f>IFERROR(INDEX(Category_Targets!$B$2:$B$9,MATCH(F431,Category_Targets!$A$2:$A$9,0)),0)</f>
        <v>0.05</v>
      </c>
      <c r="R431" s="125">
        <f t="shared" si="19"/>
        <v>68.609000000000009</v>
      </c>
      <c r="S431" s="78">
        <f t="shared" si="20"/>
        <v>45658</v>
      </c>
      <c r="T431" t="str">
        <f>IFERROR(VLOOKUP(B431,Sites!$A$2:$D$21,4,FALSE()),"Unknown")</f>
        <v>Leeds</v>
      </c>
      <c r="U431" t="str">
        <f>IF(N431="OK","",COUNTIF($N$2:N431,"&lt;&gt;OK"))</f>
        <v/>
      </c>
      <c r="V431">
        <f>IF(OR(NOT(EXACT(E431,TRIM(Procurement_Raw!E431))),NOT(EXACT(F431,TRIM(Procurement_Raw!F431)))),1,0)</f>
        <v>0</v>
      </c>
    </row>
    <row r="432" spans="1:22" ht="15" customHeight="1" x14ac:dyDescent="0.25">
      <c r="A432" s="123">
        <f>Procurement_Raw!A432</f>
        <v>45924</v>
      </c>
      <c r="B432" t="str">
        <f>TRIM(Procurement_Raw!B432)</f>
        <v>S016</v>
      </c>
      <c r="C432" t="str">
        <f>Procurement_Raw!C432</f>
        <v>Cardiff Care &amp; Education Centre</v>
      </c>
      <c r="D432" t="str">
        <f>Procurement_Raw!D432</f>
        <v>Wales</v>
      </c>
      <c r="E432" t="str">
        <f>IF(TRIM(Procurement_Raw!E432)="","",IFERROR(INDEX(Supplier_Lookup!$A$2:$A$25,MATCH(TRIM(Procurement_Raw!E432),Supplier_Lookup!$A$2:$A$25,0)),TRIM(Procurement_Raw!E432)))</f>
        <v>PowerDirect</v>
      </c>
      <c r="F432" t="str">
        <f>IFERROR(INDEX(Category_Targets!$A$2:$A$9,MATCH(TRIM(Procurement_Raw!F432),Category_Targets!$A$2:$A$9,0)),"Unmapped")</f>
        <v>Utilities</v>
      </c>
      <c r="G432" t="str">
        <f>TRIM(Procurement_Raw!G432)</f>
        <v>INV-2025-00431</v>
      </c>
      <c r="H432" s="77">
        <f>Procurement_Raw!H432</f>
        <v>22</v>
      </c>
      <c r="I432" s="124">
        <f>Procurement_Raw!I432</f>
        <v>130.41</v>
      </c>
      <c r="J432" s="125">
        <f>IF(Procurement_Raw!J432="","",Procurement_Raw!J432)</f>
        <v>2868.98</v>
      </c>
      <c r="K432" s="77">
        <f>Procurement_Raw!K432</f>
        <v>60</v>
      </c>
      <c r="L432" t="str">
        <f>Procurement_Raw!L432</f>
        <v>Procurement Portal</v>
      </c>
      <c r="M432" t="str">
        <f>Procurement_Raw!O432</f>
        <v>N</v>
      </c>
      <c r="N432" t="str">
        <f>IF(E432="","Missing supplier",IF(B432="","Missing site",IF(J432="","Missing spend",IF(COUNTIFS($G$2:G432,G432,$E$2:E432,E432,$J$2:J432,J432)&gt;1,"Duplicate invoice",IF(COUNTIF($G$2:$G$1801,G432)&gt;1,"Duplicate ID - review",IF(AND(P432&lt;&gt;"Unmapped",P432&lt;&gt;F432),"Category mismatch","OK"))))))</f>
        <v>OK</v>
      </c>
      <c r="O432" s="125">
        <f t="shared" si="18"/>
        <v>2868.98</v>
      </c>
      <c r="P432" t="str">
        <f>IF(E432="","Unmapped",IFERROR(INDEX(Supplier_Lookup!$B$2:$B$25,MATCH(E432,Supplier_Lookup!$A$2:$A$25,0)),"Unmapped"))</f>
        <v>Utilities</v>
      </c>
      <c r="Q432" s="76">
        <f>IFERROR(INDEX(Category_Targets!$B$2:$B$9,MATCH(F432,Category_Targets!$A$2:$A$9,0)),0)</f>
        <v>0.03</v>
      </c>
      <c r="R432" s="125">
        <f t="shared" si="19"/>
        <v>86.069400000000002</v>
      </c>
      <c r="S432" s="78">
        <f t="shared" si="20"/>
        <v>45901</v>
      </c>
      <c r="T432" t="str">
        <f>IFERROR(VLOOKUP(B432,Sites!$A$2:$D$21,4,FALSE()),"Unknown")</f>
        <v>Cardiff</v>
      </c>
      <c r="U432" t="str">
        <f>IF(N432="OK","",COUNTIF($N$2:N432,"&lt;&gt;OK"))</f>
        <v/>
      </c>
      <c r="V432">
        <f>IF(OR(NOT(EXACT(E432,TRIM(Procurement_Raw!E432))),NOT(EXACT(F432,TRIM(Procurement_Raw!F432)))),1,0)</f>
        <v>0</v>
      </c>
    </row>
    <row r="433" spans="1:22" ht="15" customHeight="1" x14ac:dyDescent="0.25">
      <c r="A433" s="123">
        <f>Procurement_Raw!A433</f>
        <v>45812</v>
      </c>
      <c r="B433" t="str">
        <f>TRIM(Procurement_Raw!B433)</f>
        <v>S006</v>
      </c>
      <c r="C433" t="str">
        <f>Procurement_Raw!C433</f>
        <v>Birmingham Care &amp; Education Centre</v>
      </c>
      <c r="D433" t="str">
        <f>Procurement_Raw!D433</f>
        <v>Midlands</v>
      </c>
      <c r="E433" t="str">
        <f>IF(TRIM(Procurement_Raw!E433)="","",IFERROR(INDEX(Supplier_Lookup!$A$2:$A$25,MATCH(TRIM(Procurement_Raw!E433),Supplier_Lookup!$A$2:$A$25,0)),TRIM(Procurement_Raw!E433)))</f>
        <v>SafeGuard FM</v>
      </c>
      <c r="F433" t="str">
        <f>IFERROR(INDEX(Category_Targets!$A$2:$A$9,MATCH(TRIM(Procurement_Raw!F433),Category_Targets!$A$2:$A$9,0)),"Unmapped")</f>
        <v>Facilities</v>
      </c>
      <c r="G433" t="str">
        <f>TRIM(Procurement_Raw!G433)</f>
        <v>INV-2025-00432</v>
      </c>
      <c r="H433" s="77">
        <f>Procurement_Raw!H433</f>
        <v>35</v>
      </c>
      <c r="I433" s="124">
        <f>Procurement_Raw!I433</f>
        <v>58.64</v>
      </c>
      <c r="J433" s="125">
        <f>IF(Procurement_Raw!J433="","",Procurement_Raw!J433)</f>
        <v>2052.3200000000002</v>
      </c>
      <c r="K433" s="77">
        <f>Procurement_Raw!K433</f>
        <v>45</v>
      </c>
      <c r="L433" t="str">
        <f>Procurement_Raw!L433</f>
        <v>ERP</v>
      </c>
      <c r="M433" t="str">
        <f>Procurement_Raw!O433</f>
        <v>N</v>
      </c>
      <c r="N433" t="str">
        <f>IF(E433="","Missing supplier",IF(B433="","Missing site",IF(J433="","Missing spend",IF(COUNTIFS($G$2:G433,G433,$E$2:E433,E433,$J$2:J433,J433)&gt;1,"Duplicate invoice",IF(COUNTIF($G$2:$G$1801,G433)&gt;1,"Duplicate ID - review",IF(AND(P433&lt;&gt;"Unmapped",P433&lt;&gt;F433),"Category mismatch","OK"))))))</f>
        <v>OK</v>
      </c>
      <c r="O433" s="125">
        <f t="shared" si="18"/>
        <v>2052.3200000000002</v>
      </c>
      <c r="P433" t="str">
        <f>IF(E433="","Unmapped",IFERROR(INDEX(Supplier_Lookup!$B$2:$B$25,MATCH(E433,Supplier_Lookup!$A$2:$A$25,0)),"Unmapped"))</f>
        <v>Facilities</v>
      </c>
      <c r="Q433" s="76">
        <f>IFERROR(INDEX(Category_Targets!$B$2:$B$9,MATCH(F433,Category_Targets!$A$2:$A$9,0)),0)</f>
        <v>0.05</v>
      </c>
      <c r="R433" s="125">
        <f t="shared" si="19"/>
        <v>102.61600000000001</v>
      </c>
      <c r="S433" s="78">
        <f t="shared" si="20"/>
        <v>45809</v>
      </c>
      <c r="T433" t="str">
        <f>IFERROR(VLOOKUP(B433,Sites!$A$2:$D$21,4,FALSE()),"Unknown")</f>
        <v>Birmingham</v>
      </c>
      <c r="U433" t="str">
        <f>IF(N433="OK","",COUNTIF($N$2:N433,"&lt;&gt;OK"))</f>
        <v/>
      </c>
      <c r="V433">
        <f>IF(OR(NOT(EXACT(E433,TRIM(Procurement_Raw!E433))),NOT(EXACT(F433,TRIM(Procurement_Raw!F433)))),1,0)</f>
        <v>0</v>
      </c>
    </row>
    <row r="434" spans="1:22" ht="15" customHeight="1" x14ac:dyDescent="0.25">
      <c r="A434" s="123">
        <f>Procurement_Raw!A434</f>
        <v>45799</v>
      </c>
      <c r="B434" t="str">
        <f>TRIM(Procurement_Raw!B434)</f>
        <v>S014</v>
      </c>
      <c r="C434" t="str">
        <f>Procurement_Raw!C434</f>
        <v>Southampton Care &amp; Education Centre</v>
      </c>
      <c r="D434" t="str">
        <f>Procurement_Raw!D434</f>
        <v>South</v>
      </c>
      <c r="E434" t="str">
        <f>IF(TRIM(Procurement_Raw!E434)="","",IFERROR(INDEX(Supplier_Lookup!$A$2:$A$25,MATCH(TRIM(Procurement_Raw!E434),Supplier_Lookup!$A$2:$A$25,0)),TRIM(Procurement_Raw!E434)))</f>
        <v>SafeGuard FM</v>
      </c>
      <c r="F434" t="str">
        <f>IFERROR(INDEX(Category_Targets!$A$2:$A$9,MATCH(TRIM(Procurement_Raw!F434),Category_Targets!$A$2:$A$9,0)),"Unmapped")</f>
        <v>Facilities</v>
      </c>
      <c r="G434" t="str">
        <f>TRIM(Procurement_Raw!G434)</f>
        <v>INV-2025-00433</v>
      </c>
      <c r="H434" s="77">
        <f>Procurement_Raw!H434</f>
        <v>54</v>
      </c>
      <c r="I434" s="124">
        <f>Procurement_Raw!I434</f>
        <v>155.21</v>
      </c>
      <c r="J434" s="125">
        <f>IF(Procurement_Raw!J434="","",Procurement_Raw!J434)</f>
        <v>8381.3700000000008</v>
      </c>
      <c r="K434" s="77">
        <f>Procurement_Raw!K434</f>
        <v>45</v>
      </c>
      <c r="L434" t="str">
        <f>Procurement_Raw!L434</f>
        <v>Procurement Portal</v>
      </c>
      <c r="M434" t="str">
        <f>Procurement_Raw!O434</f>
        <v>N</v>
      </c>
      <c r="N434" t="str">
        <f>IF(E434="","Missing supplier",IF(B434="","Missing site",IF(J434="","Missing spend",IF(COUNTIFS($G$2:G434,G434,$E$2:E434,E434,$J$2:J434,J434)&gt;1,"Duplicate invoice",IF(COUNTIF($G$2:$G$1801,G434)&gt;1,"Duplicate ID - review",IF(AND(P434&lt;&gt;"Unmapped",P434&lt;&gt;F434),"Category mismatch","OK"))))))</f>
        <v>OK</v>
      </c>
      <c r="O434" s="125">
        <f t="shared" si="18"/>
        <v>8381.3700000000008</v>
      </c>
      <c r="P434" t="str">
        <f>IF(E434="","Unmapped",IFERROR(INDEX(Supplier_Lookup!$B$2:$B$25,MATCH(E434,Supplier_Lookup!$A$2:$A$25,0)),"Unmapped"))</f>
        <v>Facilities</v>
      </c>
      <c r="Q434" s="76">
        <f>IFERROR(INDEX(Category_Targets!$B$2:$B$9,MATCH(F434,Category_Targets!$A$2:$A$9,0)),0)</f>
        <v>0.05</v>
      </c>
      <c r="R434" s="125">
        <f t="shared" si="19"/>
        <v>419.06850000000009</v>
      </c>
      <c r="S434" s="78">
        <f t="shared" si="20"/>
        <v>45778</v>
      </c>
      <c r="T434" t="str">
        <f>IFERROR(VLOOKUP(B434,Sites!$A$2:$D$21,4,FALSE()),"Unknown")</f>
        <v>Southampton</v>
      </c>
      <c r="U434" t="str">
        <f>IF(N434="OK","",COUNTIF($N$2:N434,"&lt;&gt;OK"))</f>
        <v/>
      </c>
      <c r="V434">
        <f>IF(OR(NOT(EXACT(E434,TRIM(Procurement_Raw!E434))),NOT(EXACT(F434,TRIM(Procurement_Raw!F434)))),1,0)</f>
        <v>0</v>
      </c>
    </row>
    <row r="435" spans="1:22" ht="15" customHeight="1" x14ac:dyDescent="0.25">
      <c r="A435" s="123">
        <f>Procurement_Raw!A435</f>
        <v>45784</v>
      </c>
      <c r="B435" t="str">
        <f>TRIM(Procurement_Raw!B435)</f>
        <v>S009</v>
      </c>
      <c r="C435" t="str">
        <f>Procurement_Raw!C435</f>
        <v>Derby Care &amp; Education Centre</v>
      </c>
      <c r="D435" t="str">
        <f>Procurement_Raw!D435</f>
        <v>Midlands</v>
      </c>
      <c r="E435" t="str">
        <f>IF(TRIM(Procurement_Raw!E435)="","",IFERROR(INDEX(Supplier_Lookup!$A$2:$A$25,MATCH(TRIM(Procurement_Raw!E435),Supplier_Lookup!$A$2:$A$25,0)),TRIM(Procurement_Raw!E435)))</f>
        <v>RoadReady</v>
      </c>
      <c r="F435" t="str">
        <f>IFERROR(INDEX(Category_Targets!$A$2:$A$9,MATCH(TRIM(Procurement_Raw!F435),Category_Targets!$A$2:$A$9,0)),"Unmapped")</f>
        <v>Vehicle &amp; Fuel</v>
      </c>
      <c r="G435" t="str">
        <f>TRIM(Procurement_Raw!G435)</f>
        <v>INV-2025-00434</v>
      </c>
      <c r="H435" s="77">
        <f>Procurement_Raw!H435</f>
        <v>64</v>
      </c>
      <c r="I435" s="124">
        <f>Procurement_Raw!I435</f>
        <v>140.97</v>
      </c>
      <c r="J435" s="125">
        <f>IF(Procurement_Raw!J435="","",Procurement_Raw!J435)</f>
        <v>9021.8799999999992</v>
      </c>
      <c r="K435" s="77">
        <f>Procurement_Raw!K435</f>
        <v>60</v>
      </c>
      <c r="L435" t="str">
        <f>Procurement_Raw!L435</f>
        <v>Legacy Spend File</v>
      </c>
      <c r="M435" t="str">
        <f>Procurement_Raw!O435</f>
        <v>N</v>
      </c>
      <c r="N435" t="str">
        <f>IF(E435="","Missing supplier",IF(B435="","Missing site",IF(J435="","Missing spend",IF(COUNTIFS($G$2:G435,G435,$E$2:E435,E435,$J$2:J435,J435)&gt;1,"Duplicate invoice",IF(COUNTIF($G$2:$G$1801,G435)&gt;1,"Duplicate ID - review",IF(AND(P435&lt;&gt;"Unmapped",P435&lt;&gt;F435),"Category mismatch","OK"))))))</f>
        <v>OK</v>
      </c>
      <c r="O435" s="125">
        <f t="shared" si="18"/>
        <v>9021.8799999999992</v>
      </c>
      <c r="P435" t="str">
        <f>IF(E435="","Unmapped",IFERROR(INDEX(Supplier_Lookup!$B$2:$B$25,MATCH(E435,Supplier_Lookup!$A$2:$A$25,0)),"Unmapped"))</f>
        <v>Vehicle &amp; Fuel</v>
      </c>
      <c r="Q435" s="76">
        <f>IFERROR(INDEX(Category_Targets!$B$2:$B$9,MATCH(F435,Category_Targets!$A$2:$A$9,0)),0)</f>
        <v>0.05</v>
      </c>
      <c r="R435" s="125">
        <f t="shared" si="19"/>
        <v>451.09399999999999</v>
      </c>
      <c r="S435" s="78">
        <f t="shared" si="20"/>
        <v>45778</v>
      </c>
      <c r="T435" t="str">
        <f>IFERROR(VLOOKUP(B435,Sites!$A$2:$D$21,4,FALSE()),"Unknown")</f>
        <v>Derby</v>
      </c>
      <c r="U435" t="str">
        <f>IF(N435="OK","",COUNTIF($N$2:N435,"&lt;&gt;OK"))</f>
        <v/>
      </c>
      <c r="V435">
        <f>IF(OR(NOT(EXACT(E435,TRIM(Procurement_Raw!E435))),NOT(EXACT(F435,TRIM(Procurement_Raw!F435)))),1,0)</f>
        <v>0</v>
      </c>
    </row>
    <row r="436" spans="1:22" ht="15" customHeight="1" x14ac:dyDescent="0.25">
      <c r="A436" s="123">
        <f>Procurement_Raw!A436</f>
        <v>45727</v>
      </c>
      <c r="B436" t="str">
        <f>TRIM(Procurement_Raw!B436)</f>
        <v>S014</v>
      </c>
      <c r="C436" t="str">
        <f>Procurement_Raw!C436</f>
        <v>Southampton Care &amp; Education Centre</v>
      </c>
      <c r="D436" t="str">
        <f>Procurement_Raw!D436</f>
        <v>South</v>
      </c>
      <c r="E436" t="str">
        <f>IF(TRIM(Procurement_Raw!E436)="","",IFERROR(INDEX(Supplier_Lookup!$A$2:$A$25,MATCH(TRIM(Procurement_Raw!E436),Supplier_Lookup!$A$2:$A$25,0)),TRIM(Procurement_Raw!E436)))</f>
        <v>OfficePlus</v>
      </c>
      <c r="F436" t="str">
        <f>IFERROR(INDEX(Category_Targets!$A$2:$A$9,MATCH(TRIM(Procurement_Raw!F436),Category_Targets!$A$2:$A$9,0)),"Unmapped")</f>
        <v>Office &amp; Training</v>
      </c>
      <c r="G436" t="str">
        <f>TRIM(Procurement_Raw!G436)</f>
        <v>INV-2025-00435</v>
      </c>
      <c r="H436" s="77">
        <f>Procurement_Raw!H436</f>
        <v>39</v>
      </c>
      <c r="I436" s="124">
        <f>Procurement_Raw!I436</f>
        <v>171.36</v>
      </c>
      <c r="J436" s="125">
        <f>IF(Procurement_Raw!J436="","",Procurement_Raw!J436)</f>
        <v>6683.16</v>
      </c>
      <c r="K436" s="77">
        <f>Procurement_Raw!K436</f>
        <v>30</v>
      </c>
      <c r="L436" t="str">
        <f>Procurement_Raw!L436</f>
        <v>Procurement Portal</v>
      </c>
      <c r="M436" t="str">
        <f>Procurement_Raw!O436</f>
        <v>N</v>
      </c>
      <c r="N436" t="str">
        <f>IF(E436="","Missing supplier",IF(B436="","Missing site",IF(J436="","Missing spend",IF(COUNTIFS($G$2:G436,G436,$E$2:E436,E436,$J$2:J436,J436)&gt;1,"Duplicate invoice",IF(COUNTIF($G$2:$G$1801,G436)&gt;1,"Duplicate ID - review",IF(AND(P436&lt;&gt;"Unmapped",P436&lt;&gt;F436),"Category mismatch","OK"))))))</f>
        <v>OK</v>
      </c>
      <c r="O436" s="125">
        <f t="shared" si="18"/>
        <v>6683.16</v>
      </c>
      <c r="P436" t="str">
        <f>IF(E436="","Unmapped",IFERROR(INDEX(Supplier_Lookup!$B$2:$B$25,MATCH(E436,Supplier_Lookup!$A$2:$A$25,0)),"Unmapped"))</f>
        <v>Office &amp; Training</v>
      </c>
      <c r="Q436" s="76">
        <f>IFERROR(INDEX(Category_Targets!$B$2:$B$9,MATCH(F436,Category_Targets!$A$2:$A$9,0)),0)</f>
        <v>0.04</v>
      </c>
      <c r="R436" s="125">
        <f t="shared" si="19"/>
        <v>267.32639999999998</v>
      </c>
      <c r="S436" s="78">
        <f t="shared" si="20"/>
        <v>45717</v>
      </c>
      <c r="T436" t="str">
        <f>IFERROR(VLOOKUP(B436,Sites!$A$2:$D$21,4,FALSE()),"Unknown")</f>
        <v>Southampton</v>
      </c>
      <c r="U436" t="str">
        <f>IF(N436="OK","",COUNTIF($N$2:N436,"&lt;&gt;OK"))</f>
        <v/>
      </c>
      <c r="V436">
        <f>IF(OR(NOT(EXACT(E436,TRIM(Procurement_Raw!E436))),NOT(EXACT(F436,TRIM(Procurement_Raw!F436)))),1,0)</f>
        <v>0</v>
      </c>
    </row>
    <row r="437" spans="1:22" ht="15" customHeight="1" x14ac:dyDescent="0.25">
      <c r="A437" s="123">
        <f>Procurement_Raw!A437</f>
        <v>45883</v>
      </c>
      <c r="B437" t="str">
        <f>TRIM(Procurement_Raw!B437)</f>
        <v>S005</v>
      </c>
      <c r="C437" t="str">
        <f>Procurement_Raw!C437</f>
        <v>Sheffield Care &amp; Education Centre</v>
      </c>
      <c r="D437" t="str">
        <f>Procurement_Raw!D437</f>
        <v>North</v>
      </c>
      <c r="E437" t="str">
        <f>IF(TRIM(Procurement_Raw!E437)="","",IFERROR(INDEX(Supplier_Lookup!$A$2:$A$25,MATCH(TRIM(Procurement_Raw!E437),Supplier_Lookup!$A$2:$A$25,0)),TRIM(Procurement_Raw!E437)))</f>
        <v>CareTemps</v>
      </c>
      <c r="F437" t="str">
        <f>IFERROR(INDEX(Category_Targets!$A$2:$A$9,MATCH(TRIM(Procurement_Raw!F437),Category_Targets!$A$2:$A$9,0)),"Unmapped")</f>
        <v>Agency Labour</v>
      </c>
      <c r="G437" t="str">
        <f>TRIM(Procurement_Raw!G437)</f>
        <v>INV-2025-00436</v>
      </c>
      <c r="H437" s="77">
        <f>Procurement_Raw!H437</f>
        <v>43</v>
      </c>
      <c r="I437" s="124">
        <f>Procurement_Raw!I437</f>
        <v>312.48</v>
      </c>
      <c r="J437" s="125">
        <f>IF(Procurement_Raw!J437="","",Procurement_Raw!J437)</f>
        <v>13436.56</v>
      </c>
      <c r="K437" s="77">
        <f>Procurement_Raw!K437</f>
        <v>45</v>
      </c>
      <c r="L437" t="str">
        <f>Procurement_Raw!L437</f>
        <v>Legacy Spend File</v>
      </c>
      <c r="M437" t="str">
        <f>Procurement_Raw!O437</f>
        <v>N</v>
      </c>
      <c r="N437" t="str">
        <f>IF(E437="","Missing supplier",IF(B437="","Missing site",IF(J437="","Missing spend",IF(COUNTIFS($G$2:G437,G437,$E$2:E437,E437,$J$2:J437,J437)&gt;1,"Duplicate invoice",IF(COUNTIF($G$2:$G$1801,G437)&gt;1,"Duplicate ID - review",IF(AND(P437&lt;&gt;"Unmapped",P437&lt;&gt;F437),"Category mismatch","OK"))))))</f>
        <v>OK</v>
      </c>
      <c r="O437" s="125">
        <f t="shared" si="18"/>
        <v>13436.56</v>
      </c>
      <c r="P437" t="str">
        <f>IF(E437="","Unmapped",IFERROR(INDEX(Supplier_Lookup!$B$2:$B$25,MATCH(E437,Supplier_Lookup!$A$2:$A$25,0)),"Unmapped"))</f>
        <v>Agency Labour</v>
      </c>
      <c r="Q437" s="76">
        <f>IFERROR(INDEX(Category_Targets!$B$2:$B$9,MATCH(F437,Category_Targets!$A$2:$A$9,0)),0)</f>
        <v>7.0000000000000007E-2</v>
      </c>
      <c r="R437" s="125">
        <f t="shared" si="19"/>
        <v>940.55920000000003</v>
      </c>
      <c r="S437" s="78">
        <f t="shared" si="20"/>
        <v>45870</v>
      </c>
      <c r="T437" t="str">
        <f>IFERROR(VLOOKUP(B437,Sites!$A$2:$D$21,4,FALSE()),"Unknown")</f>
        <v>Sheffield</v>
      </c>
      <c r="U437" t="str">
        <f>IF(N437="OK","",COUNTIF($N$2:N437,"&lt;&gt;OK"))</f>
        <v/>
      </c>
      <c r="V437">
        <f>IF(OR(NOT(EXACT(E437,TRIM(Procurement_Raw!E437))),NOT(EXACT(F437,TRIM(Procurement_Raw!F437)))),1,0)</f>
        <v>0</v>
      </c>
    </row>
    <row r="438" spans="1:22" ht="15" customHeight="1" x14ac:dyDescent="0.25">
      <c r="A438" s="123">
        <f>Procurement_Raw!A438</f>
        <v>45822</v>
      </c>
      <c r="B438" t="str">
        <f>TRIM(Procurement_Raw!B438)</f>
        <v>S011</v>
      </c>
      <c r="C438" t="str">
        <f>Procurement_Raw!C438</f>
        <v>London Care &amp; Education Centre</v>
      </c>
      <c r="D438" t="str">
        <f>Procurement_Raw!D438</f>
        <v>South</v>
      </c>
      <c r="E438" t="str">
        <f>IF(TRIM(Procurement_Raw!E438)="","",IFERROR(INDEX(Supplier_Lookup!$A$2:$A$25,MATCH(TRIM(Procurement_Raw!E438),Supplier_Lookup!$A$2:$A$25,0)),TRIM(Procurement_Raw!E438)))</f>
        <v>SafeGuard FM</v>
      </c>
      <c r="F438" t="str">
        <f>IFERROR(INDEX(Category_Targets!$A$2:$A$9,MATCH(TRIM(Procurement_Raw!F438),Category_Targets!$A$2:$A$9,0)),"Unmapped")</f>
        <v>Facilities</v>
      </c>
      <c r="G438" t="str">
        <f>TRIM(Procurement_Raw!G438)</f>
        <v>INV-2025-00437</v>
      </c>
      <c r="H438" s="77">
        <f>Procurement_Raw!H438</f>
        <v>78</v>
      </c>
      <c r="I438" s="124">
        <f>Procurement_Raw!I438</f>
        <v>440.85</v>
      </c>
      <c r="J438" s="125">
        <f>IF(Procurement_Raw!J438="","",Procurement_Raw!J438)</f>
        <v>34385.980000000003</v>
      </c>
      <c r="K438" s="77">
        <f>Procurement_Raw!K438</f>
        <v>60</v>
      </c>
      <c r="L438" t="str">
        <f>Procurement_Raw!L438</f>
        <v>ERP</v>
      </c>
      <c r="M438" t="str">
        <f>Procurement_Raw!O438</f>
        <v>N</v>
      </c>
      <c r="N438" t="str">
        <f>IF(E438="","Missing supplier",IF(B438="","Missing site",IF(J438="","Missing spend",IF(COUNTIFS($G$2:G438,G438,$E$2:E438,E438,$J$2:J438,J438)&gt;1,"Duplicate invoice",IF(COUNTIF($G$2:$G$1801,G438)&gt;1,"Duplicate ID - review",IF(AND(P438&lt;&gt;"Unmapped",P438&lt;&gt;F438),"Category mismatch","OK"))))))</f>
        <v>OK</v>
      </c>
      <c r="O438" s="125">
        <f t="shared" si="18"/>
        <v>34385.980000000003</v>
      </c>
      <c r="P438" t="str">
        <f>IF(E438="","Unmapped",IFERROR(INDEX(Supplier_Lookup!$B$2:$B$25,MATCH(E438,Supplier_Lookup!$A$2:$A$25,0)),"Unmapped"))</f>
        <v>Facilities</v>
      </c>
      <c r="Q438" s="76">
        <f>IFERROR(INDEX(Category_Targets!$B$2:$B$9,MATCH(F438,Category_Targets!$A$2:$A$9,0)),0)</f>
        <v>0.05</v>
      </c>
      <c r="R438" s="125">
        <f t="shared" si="19"/>
        <v>1719.2990000000002</v>
      </c>
      <c r="S438" s="78">
        <f t="shared" si="20"/>
        <v>45809</v>
      </c>
      <c r="T438" t="str">
        <f>IFERROR(VLOOKUP(B438,Sites!$A$2:$D$21,4,FALSE()),"Unknown")</f>
        <v>London</v>
      </c>
      <c r="U438" t="str">
        <f>IF(N438="OK","",COUNTIF($N$2:N438,"&lt;&gt;OK"))</f>
        <v/>
      </c>
      <c r="V438">
        <f>IF(OR(NOT(EXACT(E438,TRIM(Procurement_Raw!E438))),NOT(EXACT(F438,TRIM(Procurement_Raw!F438)))),1,0)</f>
        <v>0</v>
      </c>
    </row>
    <row r="439" spans="1:22" ht="15" customHeight="1" x14ac:dyDescent="0.25">
      <c r="A439" s="123">
        <f>Procurement_Raw!A439</f>
        <v>45861</v>
      </c>
      <c r="B439" t="str">
        <f>TRIM(Procurement_Raw!B439)</f>
        <v>S008</v>
      </c>
      <c r="C439" t="str">
        <f>Procurement_Raw!C439</f>
        <v>Leicester Care &amp; Education Centre</v>
      </c>
      <c r="D439" t="str">
        <f>Procurement_Raw!D439</f>
        <v>Midlands</v>
      </c>
      <c r="E439" t="str">
        <f>IF(TRIM(Procurement_Raw!E439)="","",IFERROR(INDEX(Supplier_Lookup!$A$2:$A$25,MATCH(TRIM(Procurement_Raw!E439),Supplier_Lookup!$A$2:$A$25,0)),TRIM(Procurement_Raw!E439)))</f>
        <v>FleetFuel</v>
      </c>
      <c r="F439" t="str">
        <f>IFERROR(INDEX(Category_Targets!$A$2:$A$9,MATCH(TRIM(Procurement_Raw!F439),Category_Targets!$A$2:$A$9,0)),"Unmapped")</f>
        <v>Vehicle &amp; Fuel</v>
      </c>
      <c r="G439" t="str">
        <f>TRIM(Procurement_Raw!G439)</f>
        <v>INV-2025-00438</v>
      </c>
      <c r="H439" s="77">
        <f>Procurement_Raw!H439</f>
        <v>41</v>
      </c>
      <c r="I439" s="124">
        <f>Procurement_Raw!I439</f>
        <v>44.47</v>
      </c>
      <c r="J439" s="125">
        <f>IF(Procurement_Raw!J439="","",Procurement_Raw!J439)</f>
        <v>1823.28</v>
      </c>
      <c r="K439" s="77">
        <f>Procurement_Raw!K439</f>
        <v>45</v>
      </c>
      <c r="L439" t="str">
        <f>Procurement_Raw!L439</f>
        <v>Legacy Spend File</v>
      </c>
      <c r="M439" t="str">
        <f>Procurement_Raw!O439</f>
        <v>Y</v>
      </c>
      <c r="N439" t="str">
        <f>IF(E439="","Missing supplier",IF(B439="","Missing site",IF(J439="","Missing spend",IF(COUNTIFS($G$2:G439,G439,$E$2:E439,E439,$J$2:J439,J439)&gt;1,"Duplicate invoice",IF(COUNTIF($G$2:$G$1801,G439)&gt;1,"Duplicate ID - review",IF(AND(P439&lt;&gt;"Unmapped",P439&lt;&gt;F439),"Category mismatch","OK"))))))</f>
        <v>OK</v>
      </c>
      <c r="O439" s="125">
        <f t="shared" si="18"/>
        <v>1823.28</v>
      </c>
      <c r="P439" t="str">
        <f>IF(E439="","Unmapped",IFERROR(INDEX(Supplier_Lookup!$B$2:$B$25,MATCH(E439,Supplier_Lookup!$A$2:$A$25,0)),"Unmapped"))</f>
        <v>Vehicle &amp; Fuel</v>
      </c>
      <c r="Q439" s="76">
        <f>IFERROR(INDEX(Category_Targets!$B$2:$B$9,MATCH(F439,Category_Targets!$A$2:$A$9,0)),0)</f>
        <v>0.05</v>
      </c>
      <c r="R439" s="125">
        <f t="shared" si="19"/>
        <v>91.164000000000001</v>
      </c>
      <c r="S439" s="78">
        <f t="shared" si="20"/>
        <v>45839</v>
      </c>
      <c r="T439" t="str">
        <f>IFERROR(VLOOKUP(B439,Sites!$A$2:$D$21,4,FALSE()),"Unknown")</f>
        <v>Leicester</v>
      </c>
      <c r="U439" t="str">
        <f>IF(N439="OK","",COUNTIF($N$2:N439,"&lt;&gt;OK"))</f>
        <v/>
      </c>
      <c r="V439">
        <f>IF(OR(NOT(EXACT(E439,TRIM(Procurement_Raw!E439))),NOT(EXACT(F439,TRIM(Procurement_Raw!F439)))),1,0)</f>
        <v>0</v>
      </c>
    </row>
    <row r="440" spans="1:22" ht="15" customHeight="1" x14ac:dyDescent="0.25">
      <c r="A440" s="123">
        <f>Procurement_Raw!A440</f>
        <v>45782</v>
      </c>
      <c r="B440" t="str">
        <f>TRIM(Procurement_Raw!B440)</f>
        <v>S011</v>
      </c>
      <c r="C440" t="str">
        <f>Procurement_Raw!C440</f>
        <v>London Care &amp; Education Centre</v>
      </c>
      <c r="D440" t="str">
        <f>Procurement_Raw!D440</f>
        <v>South</v>
      </c>
      <c r="E440" t="str">
        <f>IF(TRIM(Procurement_Raw!E440)="","",IFERROR(INDEX(Supplier_Lookup!$A$2:$A$25,MATCH(TRIM(Procurement_Raw!E440),Supplier_Lookup!$A$2:$A$25,0)),TRIM(Procurement_Raw!E440)))</f>
        <v>PrintCo</v>
      </c>
      <c r="F440" t="str">
        <f>IFERROR(INDEX(Category_Targets!$A$2:$A$9,MATCH(TRIM(Procurement_Raw!F440),Category_Targets!$A$2:$A$9,0)),"Unmapped")</f>
        <v>Office &amp; Training</v>
      </c>
      <c r="G440" t="str">
        <f>TRIM(Procurement_Raw!G440)</f>
        <v>INV-2025-00439</v>
      </c>
      <c r="H440" s="77">
        <f>Procurement_Raw!H440</f>
        <v>42</v>
      </c>
      <c r="I440" s="124">
        <f>Procurement_Raw!I440</f>
        <v>29.39</v>
      </c>
      <c r="J440" s="125">
        <f>IF(Procurement_Raw!J440="","",Procurement_Raw!J440)</f>
        <v>1234.3499999999999</v>
      </c>
      <c r="K440" s="77">
        <f>Procurement_Raw!K440</f>
        <v>45</v>
      </c>
      <c r="L440" t="str">
        <f>Procurement_Raw!L440</f>
        <v>Procurement Portal</v>
      </c>
      <c r="M440" t="str">
        <f>Procurement_Raw!O440</f>
        <v>N</v>
      </c>
      <c r="N440" t="str">
        <f>IF(E440="","Missing supplier",IF(B440="","Missing site",IF(J440="","Missing spend",IF(COUNTIFS($G$2:G440,G440,$E$2:E440,E440,$J$2:J440,J440)&gt;1,"Duplicate invoice",IF(COUNTIF($G$2:$G$1801,G440)&gt;1,"Duplicate ID - review",IF(AND(P440&lt;&gt;"Unmapped",P440&lt;&gt;F440),"Category mismatch","OK"))))))</f>
        <v>OK</v>
      </c>
      <c r="O440" s="125">
        <f t="shared" si="18"/>
        <v>1234.3499999999999</v>
      </c>
      <c r="P440" t="str">
        <f>IF(E440="","Unmapped",IFERROR(INDEX(Supplier_Lookup!$B$2:$B$25,MATCH(E440,Supplier_Lookup!$A$2:$A$25,0)),"Unmapped"))</f>
        <v>Office &amp; Training</v>
      </c>
      <c r="Q440" s="76">
        <f>IFERROR(INDEX(Category_Targets!$B$2:$B$9,MATCH(F440,Category_Targets!$A$2:$A$9,0)),0)</f>
        <v>0.04</v>
      </c>
      <c r="R440" s="125">
        <f t="shared" si="19"/>
        <v>49.373999999999995</v>
      </c>
      <c r="S440" s="78">
        <f t="shared" si="20"/>
        <v>45778</v>
      </c>
      <c r="T440" t="str">
        <f>IFERROR(VLOOKUP(B440,Sites!$A$2:$D$21,4,FALSE()),"Unknown")</f>
        <v>London</v>
      </c>
      <c r="U440" t="str">
        <f>IF(N440="OK","",COUNTIF($N$2:N440,"&lt;&gt;OK"))</f>
        <v/>
      </c>
      <c r="V440">
        <f>IF(OR(NOT(EXACT(E440,TRIM(Procurement_Raw!E440))),NOT(EXACT(F440,TRIM(Procurement_Raw!F440)))),1,0)</f>
        <v>0</v>
      </c>
    </row>
    <row r="441" spans="1:22" ht="15" customHeight="1" x14ac:dyDescent="0.25">
      <c r="A441" s="123">
        <f>Procurement_Raw!A441</f>
        <v>45946</v>
      </c>
      <c r="B441" t="str">
        <f>TRIM(Procurement_Raw!B441)</f>
        <v>S017</v>
      </c>
      <c r="C441" t="str">
        <f>Procurement_Raw!C441</f>
        <v>Swansea Care &amp; Education Centre</v>
      </c>
      <c r="D441" t="str">
        <f>Procurement_Raw!D441</f>
        <v>Wales</v>
      </c>
      <c r="E441" t="str">
        <f>IF(TRIM(Procurement_Raw!E441)="","",IFERROR(INDEX(Supplier_Lookup!$A$2:$A$25,MATCH(TRIM(Procurement_Raw!E441),Supplier_Lookup!$A$2:$A$25,0)),TRIM(Procurement_Raw!E441)))</f>
        <v>FleetFuel</v>
      </c>
      <c r="F441" t="str">
        <f>IFERROR(INDEX(Category_Targets!$A$2:$A$9,MATCH(TRIM(Procurement_Raw!F441),Category_Targets!$A$2:$A$9,0)),"Unmapped")</f>
        <v>Vehicle &amp; Fuel</v>
      </c>
      <c r="G441" t="str">
        <f>TRIM(Procurement_Raw!G441)</f>
        <v>INV-2025-00440</v>
      </c>
      <c r="H441" s="77">
        <f>Procurement_Raw!H441</f>
        <v>26</v>
      </c>
      <c r="I441" s="124">
        <f>Procurement_Raw!I441</f>
        <v>92.14</v>
      </c>
      <c r="J441" s="125">
        <f>IF(Procurement_Raw!J441="","",Procurement_Raw!J441)</f>
        <v>2395.6799999999998</v>
      </c>
      <c r="K441" s="77">
        <f>Procurement_Raw!K441</f>
        <v>60</v>
      </c>
      <c r="L441" t="str">
        <f>Procurement_Raw!L441</f>
        <v>Legacy Spend File</v>
      </c>
      <c r="M441" t="str">
        <f>Procurement_Raw!O441</f>
        <v>Y</v>
      </c>
      <c r="N441" t="str">
        <f>IF(E441="","Missing supplier",IF(B441="","Missing site",IF(J441="","Missing spend",IF(COUNTIFS($G$2:G441,G441,$E$2:E441,E441,$J$2:J441,J441)&gt;1,"Duplicate invoice",IF(COUNTIF($G$2:$G$1801,G441)&gt;1,"Duplicate ID - review",IF(AND(P441&lt;&gt;"Unmapped",P441&lt;&gt;F441),"Category mismatch","OK"))))))</f>
        <v>OK</v>
      </c>
      <c r="O441" s="125">
        <f t="shared" si="18"/>
        <v>2395.6799999999998</v>
      </c>
      <c r="P441" t="str">
        <f>IF(E441="","Unmapped",IFERROR(INDEX(Supplier_Lookup!$B$2:$B$25,MATCH(E441,Supplier_Lookup!$A$2:$A$25,0)),"Unmapped"))</f>
        <v>Vehicle &amp; Fuel</v>
      </c>
      <c r="Q441" s="76">
        <f>IFERROR(INDEX(Category_Targets!$B$2:$B$9,MATCH(F441,Category_Targets!$A$2:$A$9,0)),0)</f>
        <v>0.05</v>
      </c>
      <c r="R441" s="125">
        <f t="shared" si="19"/>
        <v>119.78399999999999</v>
      </c>
      <c r="S441" s="78">
        <f t="shared" si="20"/>
        <v>45931</v>
      </c>
      <c r="T441" t="str">
        <f>IFERROR(VLOOKUP(B441,Sites!$A$2:$D$21,4,FALSE()),"Unknown")</f>
        <v>Swansea</v>
      </c>
      <c r="U441" t="str">
        <f>IF(N441="OK","",COUNTIF($N$2:N441,"&lt;&gt;OK"))</f>
        <v/>
      </c>
      <c r="V441">
        <f>IF(OR(NOT(EXACT(E441,TRIM(Procurement_Raw!E441))),NOT(EXACT(F441,TRIM(Procurement_Raw!F441)))),1,0)</f>
        <v>0</v>
      </c>
    </row>
    <row r="442" spans="1:22" ht="15" customHeight="1" x14ac:dyDescent="0.25">
      <c r="A442" s="123">
        <f>Procurement_Raw!A442</f>
        <v>45894</v>
      </c>
      <c r="B442" t="str">
        <f>TRIM(Procurement_Raw!B442)</f>
        <v>S009</v>
      </c>
      <c r="C442" t="str">
        <f>Procurement_Raw!C442</f>
        <v>Derby Care &amp; Education Centre</v>
      </c>
      <c r="D442" t="str">
        <f>Procurement_Raw!D442</f>
        <v>Midlands</v>
      </c>
      <c r="E442" t="str">
        <f>IF(TRIM(Procurement_Raw!E442)="","",IFERROR(INDEX(Supplier_Lookup!$A$2:$A$25,MATCH(TRIM(Procurement_Raw!E442),Supplier_Lookup!$A$2:$A$25,0)),TRIM(Procurement_Raw!E442)))</f>
        <v>ClinEquip</v>
      </c>
      <c r="F442" t="str">
        <f>IFERROR(INDEX(Category_Targets!$A$2:$A$9,MATCH(TRIM(Procurement_Raw!F442),Category_Targets!$A$2:$A$9,0)),"Unmapped")</f>
        <v>Medical Supplies</v>
      </c>
      <c r="G442" t="str">
        <f>TRIM(Procurement_Raw!G442)</f>
        <v>INV-2025-00441</v>
      </c>
      <c r="H442" s="77">
        <f>Procurement_Raw!H442</f>
        <v>27</v>
      </c>
      <c r="I442" s="124">
        <f>Procurement_Raw!I442</f>
        <v>148.22</v>
      </c>
      <c r="J442" s="125">
        <f>IF(Procurement_Raw!J442="","",Procurement_Raw!J442)</f>
        <v>4002.06</v>
      </c>
      <c r="K442" s="77">
        <f>Procurement_Raw!K442</f>
        <v>45</v>
      </c>
      <c r="L442" t="str">
        <f>Procurement_Raw!L442</f>
        <v>Procurement Portal</v>
      </c>
      <c r="M442" t="str">
        <f>Procurement_Raw!O442</f>
        <v>N</v>
      </c>
      <c r="N442" t="str">
        <f>IF(E442="","Missing supplier",IF(B442="","Missing site",IF(J442="","Missing spend",IF(COUNTIFS($G$2:G442,G442,$E$2:E442,E442,$J$2:J442,J442)&gt;1,"Duplicate invoice",IF(COUNTIF($G$2:$G$1801,G442)&gt;1,"Duplicate ID - review",IF(AND(P442&lt;&gt;"Unmapped",P442&lt;&gt;F442),"Category mismatch","OK"))))))</f>
        <v>OK</v>
      </c>
      <c r="O442" s="125">
        <f t="shared" si="18"/>
        <v>4002.06</v>
      </c>
      <c r="P442" t="str">
        <f>IF(E442="","Unmapped",IFERROR(INDEX(Supplier_Lookup!$B$2:$B$25,MATCH(E442,Supplier_Lookup!$A$2:$A$25,0)),"Unmapped"))</f>
        <v>Medical Supplies</v>
      </c>
      <c r="Q442" s="76">
        <f>IFERROR(INDEX(Category_Targets!$B$2:$B$9,MATCH(F442,Category_Targets!$A$2:$A$9,0)),0)</f>
        <v>0.06</v>
      </c>
      <c r="R442" s="125">
        <f t="shared" si="19"/>
        <v>240.12359999999998</v>
      </c>
      <c r="S442" s="78">
        <f t="shared" si="20"/>
        <v>45870</v>
      </c>
      <c r="T442" t="str">
        <f>IFERROR(VLOOKUP(B442,Sites!$A$2:$D$21,4,FALSE()),"Unknown")</f>
        <v>Derby</v>
      </c>
      <c r="U442" t="str">
        <f>IF(N442="OK","",COUNTIF($N$2:N442,"&lt;&gt;OK"))</f>
        <v/>
      </c>
      <c r="V442">
        <f>IF(OR(NOT(EXACT(E442,TRIM(Procurement_Raw!E442))),NOT(EXACT(F442,TRIM(Procurement_Raw!F442)))),1,0)</f>
        <v>0</v>
      </c>
    </row>
    <row r="443" spans="1:22" ht="15" customHeight="1" x14ac:dyDescent="0.25">
      <c r="A443" s="123">
        <f>Procurement_Raw!A443</f>
        <v>46002</v>
      </c>
      <c r="B443" t="str">
        <f>TRIM(Procurement_Raw!B443)</f>
        <v>S004</v>
      </c>
      <c r="C443" t="str">
        <f>Procurement_Raw!C443</f>
        <v>Newcastle Care &amp; Education Centre</v>
      </c>
      <c r="D443" t="str">
        <f>Procurement_Raw!D443</f>
        <v>North</v>
      </c>
      <c r="E443" t="str">
        <f>IF(TRIM(Procurement_Raw!E443)="","",IFERROR(INDEX(Supplier_Lookup!$A$2:$A$25,MATCH(TRIM(Procurement_Raw!E443),Supplier_Lookup!$A$2:$A$25,0)),TRIM(Procurement_Raw!E443)))</f>
        <v>NourishCo</v>
      </c>
      <c r="F443" t="str">
        <f>IFERROR(INDEX(Category_Targets!$A$2:$A$9,MATCH(TRIM(Procurement_Raw!F443),Category_Targets!$A$2:$A$9,0)),"Unmapped")</f>
        <v>Food &amp; Catering</v>
      </c>
      <c r="G443" t="str">
        <f>TRIM(Procurement_Raw!G443)</f>
        <v>INV-2025-00442</v>
      </c>
      <c r="H443" s="77">
        <f>Procurement_Raw!H443</f>
        <v>64</v>
      </c>
      <c r="I443" s="124">
        <f>Procurement_Raw!I443</f>
        <v>63.84</v>
      </c>
      <c r="J443" s="125">
        <f>IF(Procurement_Raw!J443="","",Procurement_Raw!J443)</f>
        <v>4085.86</v>
      </c>
      <c r="K443" s="77">
        <f>Procurement_Raw!K443</f>
        <v>30</v>
      </c>
      <c r="L443" t="str">
        <f>Procurement_Raw!L443</f>
        <v>Legacy Spend File</v>
      </c>
      <c r="M443" t="str">
        <f>Procurement_Raw!O443</f>
        <v>N</v>
      </c>
      <c r="N443" t="str">
        <f>IF(E443="","Missing supplier",IF(B443="","Missing site",IF(J443="","Missing spend",IF(COUNTIFS($G$2:G443,G443,$E$2:E443,E443,$J$2:J443,J443)&gt;1,"Duplicate invoice",IF(COUNTIF($G$2:$G$1801,G443)&gt;1,"Duplicate ID - review",IF(AND(P443&lt;&gt;"Unmapped",P443&lt;&gt;F443),"Category mismatch","OK"))))))</f>
        <v>OK</v>
      </c>
      <c r="O443" s="125">
        <f t="shared" si="18"/>
        <v>4085.86</v>
      </c>
      <c r="P443" t="str">
        <f>IF(E443="","Unmapped",IFERROR(INDEX(Supplier_Lookup!$B$2:$B$25,MATCH(E443,Supplier_Lookup!$A$2:$A$25,0)),"Unmapped"))</f>
        <v>Food &amp; Catering</v>
      </c>
      <c r="Q443" s="76">
        <f>IFERROR(INDEX(Category_Targets!$B$2:$B$9,MATCH(F443,Category_Targets!$A$2:$A$9,0)),0)</f>
        <v>0.04</v>
      </c>
      <c r="R443" s="125">
        <f t="shared" si="19"/>
        <v>163.43440000000001</v>
      </c>
      <c r="S443" s="78">
        <f t="shared" si="20"/>
        <v>45992</v>
      </c>
      <c r="T443" t="str">
        <f>IFERROR(VLOOKUP(B443,Sites!$A$2:$D$21,4,FALSE()),"Unknown")</f>
        <v>Newcastle</v>
      </c>
      <c r="U443" t="str">
        <f>IF(N443="OK","",COUNTIF($N$2:N443,"&lt;&gt;OK"))</f>
        <v/>
      </c>
      <c r="V443">
        <f>IF(OR(NOT(EXACT(E443,TRIM(Procurement_Raw!E443))),NOT(EXACT(F443,TRIM(Procurement_Raw!F443)))),1,0)</f>
        <v>0</v>
      </c>
    </row>
    <row r="444" spans="1:22" ht="15" customHeight="1" x14ac:dyDescent="0.25">
      <c r="A444" s="123">
        <f>Procurement_Raw!A444</f>
        <v>45995</v>
      </c>
      <c r="B444" t="str">
        <f>TRIM(Procurement_Raw!B444)</f>
        <v>S006</v>
      </c>
      <c r="C444" t="str">
        <f>Procurement_Raw!C444</f>
        <v>Birmingham Care &amp; Education Centre</v>
      </c>
      <c r="D444" t="str">
        <f>Procurement_Raw!D444</f>
        <v>Midlands</v>
      </c>
      <c r="E444" t="str">
        <f>IF(TRIM(Procurement_Raw!E444)="","",IFERROR(INDEX(Supplier_Lookup!$A$2:$A$25,MATCH(TRIM(Procurement_Raw!E444),Supplier_Lookup!$A$2:$A$25,0)),TRIM(Procurement_Raw!E444)))</f>
        <v>WaterGrid</v>
      </c>
      <c r="F444" t="str">
        <f>IFERROR(INDEX(Category_Targets!$A$2:$A$9,MATCH(TRIM(Procurement_Raw!F444),Category_Targets!$A$2:$A$9,0)),"Unmapped")</f>
        <v>Utilities</v>
      </c>
      <c r="G444" t="str">
        <f>TRIM(Procurement_Raw!G444)</f>
        <v>INV-2025-00443</v>
      </c>
      <c r="H444" s="77">
        <f>Procurement_Raw!H444</f>
        <v>20</v>
      </c>
      <c r="I444" s="124">
        <f>Procurement_Raw!I444</f>
        <v>80.19</v>
      </c>
      <c r="J444" s="125">
        <f>IF(Procurement_Raw!J444="","",Procurement_Raw!J444)</f>
        <v>1603.75</v>
      </c>
      <c r="K444" s="77">
        <f>Procurement_Raw!K444</f>
        <v>60</v>
      </c>
      <c r="L444" t="str">
        <f>Procurement_Raw!L444</f>
        <v>Procurement Portal</v>
      </c>
      <c r="M444" t="str">
        <f>Procurement_Raw!O444</f>
        <v>N</v>
      </c>
      <c r="N444" t="str">
        <f>IF(E444="","Missing supplier",IF(B444="","Missing site",IF(J444="","Missing spend",IF(COUNTIFS($G$2:G444,G444,$E$2:E444,E444,$J$2:J444,J444)&gt;1,"Duplicate invoice",IF(COUNTIF($G$2:$G$1801,G444)&gt;1,"Duplicate ID - review",IF(AND(P444&lt;&gt;"Unmapped",P444&lt;&gt;F444),"Category mismatch","OK"))))))</f>
        <v>OK</v>
      </c>
      <c r="O444" s="125">
        <f t="shared" si="18"/>
        <v>1603.75</v>
      </c>
      <c r="P444" t="str">
        <f>IF(E444="","Unmapped",IFERROR(INDEX(Supplier_Lookup!$B$2:$B$25,MATCH(E444,Supplier_Lookup!$A$2:$A$25,0)),"Unmapped"))</f>
        <v>Utilities</v>
      </c>
      <c r="Q444" s="76">
        <f>IFERROR(INDEX(Category_Targets!$B$2:$B$9,MATCH(F444,Category_Targets!$A$2:$A$9,0)),0)</f>
        <v>0.03</v>
      </c>
      <c r="R444" s="125">
        <f t="shared" si="19"/>
        <v>48.112499999999997</v>
      </c>
      <c r="S444" s="78">
        <f t="shared" si="20"/>
        <v>45992</v>
      </c>
      <c r="T444" t="str">
        <f>IFERROR(VLOOKUP(B444,Sites!$A$2:$D$21,4,FALSE()),"Unknown")</f>
        <v>Birmingham</v>
      </c>
      <c r="U444" t="str">
        <f>IF(N444="OK","",COUNTIF($N$2:N444,"&lt;&gt;OK"))</f>
        <v/>
      </c>
      <c r="V444">
        <f>IF(OR(NOT(EXACT(E444,TRIM(Procurement_Raw!E444))),NOT(EXACT(F444,TRIM(Procurement_Raw!F444)))),1,0)</f>
        <v>0</v>
      </c>
    </row>
    <row r="445" spans="1:22" ht="15" customHeight="1" x14ac:dyDescent="0.25">
      <c r="A445" s="123">
        <f>Procurement_Raw!A445</f>
        <v>45964</v>
      </c>
      <c r="B445" t="str">
        <f>TRIM(Procurement_Raw!B445)</f>
        <v>S013</v>
      </c>
      <c r="C445" t="str">
        <f>Procurement_Raw!C445</f>
        <v>Reading Care &amp; Education Centre</v>
      </c>
      <c r="D445" t="str">
        <f>Procurement_Raw!D445</f>
        <v>South</v>
      </c>
      <c r="E445" t="str">
        <f>IF(TRIM(Procurement_Raw!E445)="","",IFERROR(INDEX(Supplier_Lookup!$A$2:$A$25,MATCH(TRIM(Procurement_Raw!E445),Supplier_Lookup!$A$2:$A$25,0)),TRIM(Procurement_Raw!E445)))</f>
        <v>NourishCo</v>
      </c>
      <c r="F445" t="str">
        <f>IFERROR(INDEX(Category_Targets!$A$2:$A$9,MATCH(TRIM(Procurement_Raw!F445),Category_Targets!$A$2:$A$9,0)),"Unmapped")</f>
        <v>Food &amp; Catering</v>
      </c>
      <c r="G445" t="str">
        <f>TRIM(Procurement_Raw!G445)</f>
        <v>INV-2025-00444</v>
      </c>
      <c r="H445" s="77">
        <f>Procurement_Raw!H445</f>
        <v>62</v>
      </c>
      <c r="I445" s="124">
        <f>Procurement_Raw!I445</f>
        <v>61.89</v>
      </c>
      <c r="J445" s="125">
        <f>IF(Procurement_Raw!J445="","",Procurement_Raw!J445)</f>
        <v>3837.23</v>
      </c>
      <c r="K445" s="77">
        <f>Procurement_Raw!K445</f>
        <v>60</v>
      </c>
      <c r="L445" t="str">
        <f>Procurement_Raw!L445</f>
        <v>Procurement Portal</v>
      </c>
      <c r="M445" t="str">
        <f>Procurement_Raw!O445</f>
        <v>N</v>
      </c>
      <c r="N445" t="str">
        <f>IF(E445="","Missing supplier",IF(B445="","Missing site",IF(J445="","Missing spend",IF(COUNTIFS($G$2:G445,G445,$E$2:E445,E445,$J$2:J445,J445)&gt;1,"Duplicate invoice",IF(COUNTIF($G$2:$G$1801,G445)&gt;1,"Duplicate ID - review",IF(AND(P445&lt;&gt;"Unmapped",P445&lt;&gt;F445),"Category mismatch","OK"))))))</f>
        <v>OK</v>
      </c>
      <c r="O445" s="125">
        <f t="shared" si="18"/>
        <v>3837.23</v>
      </c>
      <c r="P445" t="str">
        <f>IF(E445="","Unmapped",IFERROR(INDEX(Supplier_Lookup!$B$2:$B$25,MATCH(E445,Supplier_Lookup!$A$2:$A$25,0)),"Unmapped"))</f>
        <v>Food &amp; Catering</v>
      </c>
      <c r="Q445" s="76">
        <f>IFERROR(INDEX(Category_Targets!$B$2:$B$9,MATCH(F445,Category_Targets!$A$2:$A$9,0)),0)</f>
        <v>0.04</v>
      </c>
      <c r="R445" s="125">
        <f t="shared" si="19"/>
        <v>153.48920000000001</v>
      </c>
      <c r="S445" s="78">
        <f t="shared" si="20"/>
        <v>45962</v>
      </c>
      <c r="T445" t="str">
        <f>IFERROR(VLOOKUP(B445,Sites!$A$2:$D$21,4,FALSE()),"Unknown")</f>
        <v>Reading</v>
      </c>
      <c r="U445" t="str">
        <f>IF(N445="OK","",COUNTIF($N$2:N445,"&lt;&gt;OK"))</f>
        <v/>
      </c>
      <c r="V445">
        <f>IF(OR(NOT(EXACT(E445,TRIM(Procurement_Raw!E445))),NOT(EXACT(F445,TRIM(Procurement_Raw!F445)))),1,0)</f>
        <v>0</v>
      </c>
    </row>
    <row r="446" spans="1:22" ht="15" customHeight="1" x14ac:dyDescent="0.25">
      <c r="A446" s="123">
        <f>Procurement_Raw!A446</f>
        <v>45676</v>
      </c>
      <c r="B446" t="str">
        <f>TRIM(Procurement_Raw!B446)</f>
        <v>S005</v>
      </c>
      <c r="C446" t="str">
        <f>Procurement_Raw!C446</f>
        <v>Sheffield Care &amp; Education Centre</v>
      </c>
      <c r="D446" t="str">
        <f>Procurement_Raw!D446</f>
        <v>North</v>
      </c>
      <c r="E446" t="str">
        <f>IF(TRIM(Procurement_Raw!E446)="","",IFERROR(INDEX(Supplier_Lookup!$A$2:$A$25,MATCH(TRIM(Procurement_Raw!E446),Supplier_Lookup!$A$2:$A$25,0)),TRIM(Procurement_Raw!E446)))</f>
        <v>NurseLink</v>
      </c>
      <c r="F446" t="str">
        <f>IFERROR(INDEX(Category_Targets!$A$2:$A$9,MATCH(TRIM(Procurement_Raw!F446),Category_Targets!$A$2:$A$9,0)),"Unmapped")</f>
        <v>Agency Labour</v>
      </c>
      <c r="G446" t="str">
        <f>TRIM(Procurement_Raw!G446)</f>
        <v>INV-2025-00445</v>
      </c>
      <c r="H446" s="77">
        <f>Procurement_Raw!H446</f>
        <v>47</v>
      </c>
      <c r="I446" s="124">
        <f>Procurement_Raw!I446</f>
        <v>146.4</v>
      </c>
      <c r="J446" s="125">
        <f>IF(Procurement_Raw!J446="","",Procurement_Raw!J446)</f>
        <v>6880.67</v>
      </c>
      <c r="K446" s="77">
        <f>Procurement_Raw!K446</f>
        <v>60</v>
      </c>
      <c r="L446" t="str">
        <f>Procurement_Raw!L446</f>
        <v>Legacy Spend File</v>
      </c>
      <c r="M446" t="str">
        <f>Procurement_Raw!O446</f>
        <v>N</v>
      </c>
      <c r="N446" t="str">
        <f>IF(E446="","Missing supplier",IF(B446="","Missing site",IF(J446="","Missing spend",IF(COUNTIFS($G$2:G446,G446,$E$2:E446,E446,$J$2:J446,J446)&gt;1,"Duplicate invoice",IF(COUNTIF($G$2:$G$1801,G446)&gt;1,"Duplicate ID - review",IF(AND(P446&lt;&gt;"Unmapped",P446&lt;&gt;F446),"Category mismatch","OK"))))))</f>
        <v>OK</v>
      </c>
      <c r="O446" s="125">
        <f t="shared" si="18"/>
        <v>6880.67</v>
      </c>
      <c r="P446" t="str">
        <f>IF(E446="","Unmapped",IFERROR(INDEX(Supplier_Lookup!$B$2:$B$25,MATCH(E446,Supplier_Lookup!$A$2:$A$25,0)),"Unmapped"))</f>
        <v>Agency Labour</v>
      </c>
      <c r="Q446" s="76">
        <f>IFERROR(INDEX(Category_Targets!$B$2:$B$9,MATCH(F446,Category_Targets!$A$2:$A$9,0)),0)</f>
        <v>7.0000000000000007E-2</v>
      </c>
      <c r="R446" s="125">
        <f t="shared" si="19"/>
        <v>481.64690000000007</v>
      </c>
      <c r="S446" s="78">
        <f t="shared" si="20"/>
        <v>45658</v>
      </c>
      <c r="T446" t="str">
        <f>IFERROR(VLOOKUP(B446,Sites!$A$2:$D$21,4,FALSE()),"Unknown")</f>
        <v>Sheffield</v>
      </c>
      <c r="U446" t="str">
        <f>IF(N446="OK","",COUNTIF($N$2:N446,"&lt;&gt;OK"))</f>
        <v/>
      </c>
      <c r="V446">
        <f>IF(OR(NOT(EXACT(E446,TRIM(Procurement_Raw!E446))),NOT(EXACT(F446,TRIM(Procurement_Raw!F446)))),1,0)</f>
        <v>0</v>
      </c>
    </row>
    <row r="447" spans="1:22" ht="15" customHeight="1" x14ac:dyDescent="0.25">
      <c r="A447" s="123">
        <f>Procurement_Raw!A447</f>
        <v>45785</v>
      </c>
      <c r="B447" t="str">
        <f>TRIM(Procurement_Raw!B447)</f>
        <v>S004</v>
      </c>
      <c r="C447" t="str">
        <f>Procurement_Raw!C447</f>
        <v>Newcastle Care &amp; Education Centre</v>
      </c>
      <c r="D447" t="str">
        <f>Procurement_Raw!D447</f>
        <v>North</v>
      </c>
      <c r="E447" t="str">
        <f>IF(TRIM(Procurement_Raw!E447)="","",IFERROR(INDEX(Supplier_Lookup!$A$2:$A$25,MATCH(TRIM(Procurement_Raw!E447),Supplier_Lookup!$A$2:$A$25,0)),TRIM(Procurement_Raw!E447)))</f>
        <v>FreshServe</v>
      </c>
      <c r="F447" t="str">
        <f>IFERROR(INDEX(Category_Targets!$A$2:$A$9,MATCH(TRIM(Procurement_Raw!F447),Category_Targets!$A$2:$A$9,0)),"Unmapped")</f>
        <v>Food &amp; Catering</v>
      </c>
      <c r="G447" t="str">
        <f>TRIM(Procurement_Raw!G447)</f>
        <v>INV-2025-00446</v>
      </c>
      <c r="H447" s="77">
        <f>Procurement_Raw!H447</f>
        <v>46</v>
      </c>
      <c r="I447" s="124">
        <f>Procurement_Raw!I447</f>
        <v>93.94</v>
      </c>
      <c r="J447" s="125">
        <f>IF(Procurement_Raw!J447="","",Procurement_Raw!J447)</f>
        <v>4321.46</v>
      </c>
      <c r="K447" s="77">
        <f>Procurement_Raw!K447</f>
        <v>30</v>
      </c>
      <c r="L447" t="str">
        <f>Procurement_Raw!L447</f>
        <v>Legacy Spend File</v>
      </c>
      <c r="M447" t="str">
        <f>Procurement_Raw!O447</f>
        <v>Y</v>
      </c>
      <c r="N447" t="str">
        <f>IF(E447="","Missing supplier",IF(B447="","Missing site",IF(J447="","Missing spend",IF(COUNTIFS($G$2:G447,G447,$E$2:E447,E447,$J$2:J447,J447)&gt;1,"Duplicate invoice",IF(COUNTIF($G$2:$G$1801,G447)&gt;1,"Duplicate ID - review",IF(AND(P447&lt;&gt;"Unmapped",P447&lt;&gt;F447),"Category mismatch","OK"))))))</f>
        <v>OK</v>
      </c>
      <c r="O447" s="125">
        <f t="shared" si="18"/>
        <v>4321.46</v>
      </c>
      <c r="P447" t="str">
        <f>IF(E447="","Unmapped",IFERROR(INDEX(Supplier_Lookup!$B$2:$B$25,MATCH(E447,Supplier_Lookup!$A$2:$A$25,0)),"Unmapped"))</f>
        <v>Food &amp; Catering</v>
      </c>
      <c r="Q447" s="76">
        <f>IFERROR(INDEX(Category_Targets!$B$2:$B$9,MATCH(F447,Category_Targets!$A$2:$A$9,0)),0)</f>
        <v>0.04</v>
      </c>
      <c r="R447" s="125">
        <f t="shared" si="19"/>
        <v>172.85840000000002</v>
      </c>
      <c r="S447" s="78">
        <f t="shared" si="20"/>
        <v>45778</v>
      </c>
      <c r="T447" t="str">
        <f>IFERROR(VLOOKUP(B447,Sites!$A$2:$D$21,4,FALSE()),"Unknown")</f>
        <v>Newcastle</v>
      </c>
      <c r="U447" t="str">
        <f>IF(N447="OK","",COUNTIF($N$2:N447,"&lt;&gt;OK"))</f>
        <v/>
      </c>
      <c r="V447">
        <f>IF(OR(NOT(EXACT(E447,TRIM(Procurement_Raw!E447))),NOT(EXACT(F447,TRIM(Procurement_Raw!F447)))),1,0)</f>
        <v>0</v>
      </c>
    </row>
    <row r="448" spans="1:22" ht="15" customHeight="1" x14ac:dyDescent="0.25">
      <c r="A448" s="123">
        <f>Procurement_Raw!A448</f>
        <v>45988</v>
      </c>
      <c r="B448" t="str">
        <f>TRIM(Procurement_Raw!B448)</f>
        <v>S016</v>
      </c>
      <c r="C448" t="str">
        <f>Procurement_Raw!C448</f>
        <v>Cardiff Care &amp; Education Centre</v>
      </c>
      <c r="D448" t="str">
        <f>Procurement_Raw!D448</f>
        <v>Wales</v>
      </c>
      <c r="E448" t="str">
        <f>IF(TRIM(Procurement_Raw!E448)="","",IFERROR(INDEX(Supplier_Lookup!$A$2:$A$25,MATCH(TRIM(Procurement_Raw!E448),Supplier_Lookup!$A$2:$A$25,0)),TRIM(Procurement_Raw!E448)))</f>
        <v>ClinEquip</v>
      </c>
      <c r="F448" t="str">
        <f>IFERROR(INDEX(Category_Targets!$A$2:$A$9,MATCH(TRIM(Procurement_Raw!F448),Category_Targets!$A$2:$A$9,0)),"Unmapped")</f>
        <v>Medical Supplies</v>
      </c>
      <c r="G448" t="str">
        <f>TRIM(Procurement_Raw!G448)</f>
        <v>INV-2025-00447</v>
      </c>
      <c r="H448" s="77">
        <f>Procurement_Raw!H448</f>
        <v>52</v>
      </c>
      <c r="I448" s="124">
        <f>Procurement_Raw!I448</f>
        <v>146.81</v>
      </c>
      <c r="J448" s="125">
        <f>IF(Procurement_Raw!J448="","",Procurement_Raw!J448)</f>
        <v>7633.98</v>
      </c>
      <c r="K448" s="77">
        <f>Procurement_Raw!K448</f>
        <v>45</v>
      </c>
      <c r="L448" t="str">
        <f>Procurement_Raw!L448</f>
        <v>Procurement Portal</v>
      </c>
      <c r="M448" t="str">
        <f>Procurement_Raw!O448</f>
        <v>N</v>
      </c>
      <c r="N448" t="str">
        <f>IF(E448="","Missing supplier",IF(B448="","Missing site",IF(J448="","Missing spend",IF(COUNTIFS($G$2:G448,G448,$E$2:E448,E448,$J$2:J448,J448)&gt;1,"Duplicate invoice",IF(COUNTIF($G$2:$G$1801,G448)&gt;1,"Duplicate ID - review",IF(AND(P448&lt;&gt;"Unmapped",P448&lt;&gt;F448),"Category mismatch","OK"))))))</f>
        <v>OK</v>
      </c>
      <c r="O448" s="125">
        <f t="shared" si="18"/>
        <v>7633.98</v>
      </c>
      <c r="P448" t="str">
        <f>IF(E448="","Unmapped",IFERROR(INDEX(Supplier_Lookup!$B$2:$B$25,MATCH(E448,Supplier_Lookup!$A$2:$A$25,0)),"Unmapped"))</f>
        <v>Medical Supplies</v>
      </c>
      <c r="Q448" s="76">
        <f>IFERROR(INDEX(Category_Targets!$B$2:$B$9,MATCH(F448,Category_Targets!$A$2:$A$9,0)),0)</f>
        <v>0.06</v>
      </c>
      <c r="R448" s="125">
        <f t="shared" si="19"/>
        <v>458.03879999999998</v>
      </c>
      <c r="S448" s="78">
        <f t="shared" si="20"/>
        <v>45962</v>
      </c>
      <c r="T448" t="str">
        <f>IFERROR(VLOOKUP(B448,Sites!$A$2:$D$21,4,FALSE()),"Unknown")</f>
        <v>Cardiff</v>
      </c>
      <c r="U448" t="str">
        <f>IF(N448="OK","",COUNTIF($N$2:N448,"&lt;&gt;OK"))</f>
        <v/>
      </c>
      <c r="V448">
        <f>IF(OR(NOT(EXACT(E448,TRIM(Procurement_Raw!E448))),NOT(EXACT(F448,TRIM(Procurement_Raw!F448)))),1,0)</f>
        <v>0</v>
      </c>
    </row>
    <row r="449" spans="1:22" ht="15" customHeight="1" x14ac:dyDescent="0.25">
      <c r="A449" s="123">
        <f>Procurement_Raw!A449</f>
        <v>45790</v>
      </c>
      <c r="B449" t="str">
        <f>TRIM(Procurement_Raw!B449)</f>
        <v>S010</v>
      </c>
      <c r="C449" t="str">
        <f>Procurement_Raw!C449</f>
        <v>Coventry Care &amp; Education Centre</v>
      </c>
      <c r="D449" t="str">
        <f>Procurement_Raw!D449</f>
        <v>Midlands</v>
      </c>
      <c r="E449" t="str">
        <f>IF(TRIM(Procurement_Raw!E449)="","",IFERROR(INDEX(Supplier_Lookup!$A$2:$A$25,MATCH(TRIM(Procurement_Raw!E449),Supplier_Lookup!$A$2:$A$25,0)),TRIM(Procurement_Raw!E449)))</f>
        <v>MediSure</v>
      </c>
      <c r="F449" t="str">
        <f>IFERROR(INDEX(Category_Targets!$A$2:$A$9,MATCH(TRIM(Procurement_Raw!F449),Category_Targets!$A$2:$A$9,0)),"Unmapped")</f>
        <v>Medical Supplies</v>
      </c>
      <c r="G449" t="str">
        <f>TRIM(Procurement_Raw!G449)</f>
        <v>INV-2025-00448</v>
      </c>
      <c r="H449" s="77">
        <f>Procurement_Raw!H449</f>
        <v>29</v>
      </c>
      <c r="I449" s="124">
        <f>Procurement_Raw!I449</f>
        <v>71.56</v>
      </c>
      <c r="J449" s="125">
        <f>IF(Procurement_Raw!J449="","",Procurement_Raw!J449)</f>
        <v>2075.2800000000002</v>
      </c>
      <c r="K449" s="77">
        <f>Procurement_Raw!K449</f>
        <v>60</v>
      </c>
      <c r="L449" t="str">
        <f>Procurement_Raw!L449</f>
        <v>Legacy Spend File</v>
      </c>
      <c r="M449" t="str">
        <f>Procurement_Raw!O449</f>
        <v>Y</v>
      </c>
      <c r="N449" t="str">
        <f>IF(E449="","Missing supplier",IF(B449="","Missing site",IF(J449="","Missing spend",IF(COUNTIFS($G$2:G449,G449,$E$2:E449,E449,$J$2:J449,J449)&gt;1,"Duplicate invoice",IF(COUNTIF($G$2:$G$1801,G449)&gt;1,"Duplicate ID - review",IF(AND(P449&lt;&gt;"Unmapped",P449&lt;&gt;F449),"Category mismatch","OK"))))))</f>
        <v>OK</v>
      </c>
      <c r="O449" s="125">
        <f t="shared" si="18"/>
        <v>2075.2800000000002</v>
      </c>
      <c r="P449" t="str">
        <f>IF(E449="","Unmapped",IFERROR(INDEX(Supplier_Lookup!$B$2:$B$25,MATCH(E449,Supplier_Lookup!$A$2:$A$25,0)),"Unmapped"))</f>
        <v>Medical Supplies</v>
      </c>
      <c r="Q449" s="76">
        <f>IFERROR(INDEX(Category_Targets!$B$2:$B$9,MATCH(F449,Category_Targets!$A$2:$A$9,0)),0)</f>
        <v>0.06</v>
      </c>
      <c r="R449" s="125">
        <f t="shared" si="19"/>
        <v>124.5168</v>
      </c>
      <c r="S449" s="78">
        <f t="shared" si="20"/>
        <v>45778</v>
      </c>
      <c r="T449" t="str">
        <f>IFERROR(VLOOKUP(B449,Sites!$A$2:$D$21,4,FALSE()),"Unknown")</f>
        <v>Coventry</v>
      </c>
      <c r="U449" t="str">
        <f>IF(N449="OK","",COUNTIF($N$2:N449,"&lt;&gt;OK"))</f>
        <v/>
      </c>
      <c r="V449">
        <f>IF(OR(NOT(EXACT(E449,TRIM(Procurement_Raw!E449))),NOT(EXACT(F449,TRIM(Procurement_Raw!F449)))),1,0)</f>
        <v>0</v>
      </c>
    </row>
    <row r="450" spans="1:22" ht="15" customHeight="1" x14ac:dyDescent="0.25">
      <c r="A450" s="123">
        <f>Procurement_Raw!A450</f>
        <v>45849</v>
      </c>
      <c r="B450" t="str">
        <f>TRIM(Procurement_Raw!B450)</f>
        <v>S008</v>
      </c>
      <c r="C450" t="str">
        <f>Procurement_Raw!C450</f>
        <v>Leicester Care &amp; Education Centre</v>
      </c>
      <c r="D450" t="str">
        <f>Procurement_Raw!D450</f>
        <v>Midlands</v>
      </c>
      <c r="E450" t="str">
        <f>IF(TRIM(Procurement_Raw!E450)="","",IFERROR(INDEX(Supplier_Lookup!$A$2:$A$25,MATCH(TRIM(Procurement_Raw!E450),Supplier_Lookup!$A$2:$A$25,0)),TRIM(Procurement_Raw!E450)))</f>
        <v>WaterGrid</v>
      </c>
      <c r="F450" t="str">
        <f>IFERROR(INDEX(Category_Targets!$A$2:$A$9,MATCH(TRIM(Procurement_Raw!F450),Category_Targets!$A$2:$A$9,0)),"Unmapped")</f>
        <v>Utilities</v>
      </c>
      <c r="G450" t="str">
        <f>TRIM(Procurement_Raw!G450)</f>
        <v>INV-2025-00449</v>
      </c>
      <c r="H450" s="77">
        <f>Procurement_Raw!H450</f>
        <v>51</v>
      </c>
      <c r="I450" s="124">
        <f>Procurement_Raw!I450</f>
        <v>188.45</v>
      </c>
      <c r="J450" s="125">
        <f>IF(Procurement_Raw!J450="","",Procurement_Raw!J450)</f>
        <v>9610.9599999999991</v>
      </c>
      <c r="K450" s="77">
        <f>Procurement_Raw!K450</f>
        <v>45</v>
      </c>
      <c r="L450" t="str">
        <f>Procurement_Raw!L450</f>
        <v>Legacy Spend File</v>
      </c>
      <c r="M450" t="str">
        <f>Procurement_Raw!O450</f>
        <v>N</v>
      </c>
      <c r="N450" t="str">
        <f>IF(E450="","Missing supplier",IF(B450="","Missing site",IF(J450="","Missing spend",IF(COUNTIFS($G$2:G450,G450,$E$2:E450,E450,$J$2:J450,J450)&gt;1,"Duplicate invoice",IF(COUNTIF($G$2:$G$1801,G450)&gt;1,"Duplicate ID - review",IF(AND(P450&lt;&gt;"Unmapped",P450&lt;&gt;F450),"Category mismatch","OK"))))))</f>
        <v>OK</v>
      </c>
      <c r="O450" s="125">
        <f t="shared" ref="O450:O513" si="21">IF(OR(N450="Missing spend",N450="Duplicate invoice"),0,J450)</f>
        <v>9610.9599999999991</v>
      </c>
      <c r="P450" t="str">
        <f>IF(E450="","Unmapped",IFERROR(INDEX(Supplier_Lookup!$B$2:$B$25,MATCH(E450,Supplier_Lookup!$A$2:$A$25,0)),"Unmapped"))</f>
        <v>Utilities</v>
      </c>
      <c r="Q450" s="76">
        <f>IFERROR(INDEX(Category_Targets!$B$2:$B$9,MATCH(F450,Category_Targets!$A$2:$A$9,0)),0)</f>
        <v>0.03</v>
      </c>
      <c r="R450" s="125">
        <f t="shared" ref="R450:R513" si="22">O450*Q450</f>
        <v>288.32879999999994</v>
      </c>
      <c r="S450" s="78">
        <f t="shared" ref="S450:S513" si="23">DATE(YEAR(A450),MONTH(A450),1)</f>
        <v>45839</v>
      </c>
      <c r="T450" t="str">
        <f>IFERROR(VLOOKUP(B450,Sites!$A$2:$D$21,4,FALSE()),"Unknown")</f>
        <v>Leicester</v>
      </c>
      <c r="U450" t="str">
        <f>IF(N450="OK","",COUNTIF($N$2:N450,"&lt;&gt;OK"))</f>
        <v/>
      </c>
      <c r="V450">
        <f>IF(OR(NOT(EXACT(E450,TRIM(Procurement_Raw!E450))),NOT(EXACT(F450,TRIM(Procurement_Raw!F450)))),1,0)</f>
        <v>0</v>
      </c>
    </row>
    <row r="451" spans="1:22" ht="15" customHeight="1" x14ac:dyDescent="0.25">
      <c r="A451" s="123">
        <f>Procurement_Raw!A451</f>
        <v>45670</v>
      </c>
      <c r="B451" t="str">
        <f>TRIM(Procurement_Raw!B451)</f>
        <v>S007</v>
      </c>
      <c r="C451" t="str">
        <f>Procurement_Raw!C451</f>
        <v>Nottingham Care &amp; Education Centre</v>
      </c>
      <c r="D451" t="str">
        <f>Procurement_Raw!D451</f>
        <v>Midlands</v>
      </c>
      <c r="E451" t="str">
        <f>IF(TRIM(Procurement_Raw!E451)="","",IFERROR(INDEX(Supplier_Lookup!$A$2:$A$25,MATCH(TRIM(Procurement_Raw!E451),Supplier_Lookup!$A$2:$A$25,0)),TRIM(Procurement_Raw!E451)))</f>
        <v>SafeGuard FM</v>
      </c>
      <c r="F451" t="str">
        <f>IFERROR(INDEX(Category_Targets!$A$2:$A$9,MATCH(TRIM(Procurement_Raw!F451),Category_Targets!$A$2:$A$9,0)),"Unmapped")</f>
        <v>Facilities</v>
      </c>
      <c r="G451" t="str">
        <f>TRIM(Procurement_Raw!G451)</f>
        <v>INV-2025-00450</v>
      </c>
      <c r="H451" s="77">
        <f>Procurement_Raw!H451</f>
        <v>62</v>
      </c>
      <c r="I451" s="124">
        <f>Procurement_Raw!I451</f>
        <v>100.52</v>
      </c>
      <c r="J451" s="125">
        <f>IF(Procurement_Raw!J451="","",Procurement_Raw!J451)</f>
        <v>6232.44</v>
      </c>
      <c r="K451" s="77">
        <f>Procurement_Raw!K451</f>
        <v>30</v>
      </c>
      <c r="L451" t="str">
        <f>Procurement_Raw!L451</f>
        <v>Procurement Portal</v>
      </c>
      <c r="M451" t="str">
        <f>Procurement_Raw!O451</f>
        <v>N</v>
      </c>
      <c r="N451" t="str">
        <f>IF(E451="","Missing supplier",IF(B451="","Missing site",IF(J451="","Missing spend",IF(COUNTIFS($G$2:G451,G451,$E$2:E451,E451,$J$2:J451,J451)&gt;1,"Duplicate invoice",IF(COUNTIF($G$2:$G$1801,G451)&gt;1,"Duplicate ID - review",IF(AND(P451&lt;&gt;"Unmapped",P451&lt;&gt;F451),"Category mismatch","OK"))))))</f>
        <v>OK</v>
      </c>
      <c r="O451" s="125">
        <f t="shared" si="21"/>
        <v>6232.44</v>
      </c>
      <c r="P451" t="str">
        <f>IF(E451="","Unmapped",IFERROR(INDEX(Supplier_Lookup!$B$2:$B$25,MATCH(E451,Supplier_Lookup!$A$2:$A$25,0)),"Unmapped"))</f>
        <v>Facilities</v>
      </c>
      <c r="Q451" s="76">
        <f>IFERROR(INDEX(Category_Targets!$B$2:$B$9,MATCH(F451,Category_Targets!$A$2:$A$9,0)),0)</f>
        <v>0.05</v>
      </c>
      <c r="R451" s="125">
        <f t="shared" si="22"/>
        <v>311.62200000000001</v>
      </c>
      <c r="S451" s="78">
        <f t="shared" si="23"/>
        <v>45658</v>
      </c>
      <c r="T451" t="str">
        <f>IFERROR(VLOOKUP(B451,Sites!$A$2:$D$21,4,FALSE()),"Unknown")</f>
        <v>Nottingham</v>
      </c>
      <c r="U451" t="str">
        <f>IF(N451="OK","",COUNTIF($N$2:N451,"&lt;&gt;OK"))</f>
        <v/>
      </c>
      <c r="V451">
        <f>IF(OR(NOT(EXACT(E451,TRIM(Procurement_Raw!E451))),NOT(EXACT(F451,TRIM(Procurement_Raw!F451)))),1,0)</f>
        <v>0</v>
      </c>
    </row>
    <row r="452" spans="1:22" ht="15" customHeight="1" x14ac:dyDescent="0.25">
      <c r="A452" s="123">
        <f>Procurement_Raw!A452</f>
        <v>45730</v>
      </c>
      <c r="B452" t="str">
        <f>TRIM(Procurement_Raw!B452)</f>
        <v>S017</v>
      </c>
      <c r="C452" t="str">
        <f>Procurement_Raw!C452</f>
        <v>Swansea Care &amp; Education Centre</v>
      </c>
      <c r="D452" t="str">
        <f>Procurement_Raw!D452</f>
        <v>Wales</v>
      </c>
      <c r="E452" t="str">
        <f>IF(TRIM(Procurement_Raw!E452)="","",IFERROR(INDEX(Supplier_Lookup!$A$2:$A$25,MATCH(TRIM(Procurement_Raw!E452),Supplier_Lookup!$A$2:$A$25,0)),TRIM(Procurement_Raw!E452)))</f>
        <v>FreshServe</v>
      </c>
      <c r="F452" t="str">
        <f>IFERROR(INDEX(Category_Targets!$A$2:$A$9,MATCH(TRIM(Procurement_Raw!F452),Category_Targets!$A$2:$A$9,0)),"Unmapped")</f>
        <v>Food &amp; Catering</v>
      </c>
      <c r="G452" t="str">
        <f>TRIM(Procurement_Raw!G452)</f>
        <v>INV-2025-00451</v>
      </c>
      <c r="H452" s="77">
        <f>Procurement_Raw!H452</f>
        <v>45</v>
      </c>
      <c r="I452" s="124">
        <f>Procurement_Raw!I452</f>
        <v>62.8</v>
      </c>
      <c r="J452" s="125">
        <f>IF(Procurement_Raw!J452="","",Procurement_Raw!J452)</f>
        <v>2825.88</v>
      </c>
      <c r="K452" s="77">
        <f>Procurement_Raw!K452</f>
        <v>45</v>
      </c>
      <c r="L452" t="str">
        <f>Procurement_Raw!L452</f>
        <v>Procurement Portal</v>
      </c>
      <c r="M452" t="str">
        <f>Procurement_Raw!O452</f>
        <v>Y</v>
      </c>
      <c r="N452" t="str">
        <f>IF(E452="","Missing supplier",IF(B452="","Missing site",IF(J452="","Missing spend",IF(COUNTIFS($G$2:G452,G452,$E$2:E452,E452,$J$2:J452,J452)&gt;1,"Duplicate invoice",IF(COUNTIF($G$2:$G$1801,G452)&gt;1,"Duplicate ID - review",IF(AND(P452&lt;&gt;"Unmapped",P452&lt;&gt;F452),"Category mismatch","OK"))))))</f>
        <v>OK</v>
      </c>
      <c r="O452" s="125">
        <f t="shared" si="21"/>
        <v>2825.88</v>
      </c>
      <c r="P452" t="str">
        <f>IF(E452="","Unmapped",IFERROR(INDEX(Supplier_Lookup!$B$2:$B$25,MATCH(E452,Supplier_Lookup!$A$2:$A$25,0)),"Unmapped"))</f>
        <v>Food &amp; Catering</v>
      </c>
      <c r="Q452" s="76">
        <f>IFERROR(INDEX(Category_Targets!$B$2:$B$9,MATCH(F452,Category_Targets!$A$2:$A$9,0)),0)</f>
        <v>0.04</v>
      </c>
      <c r="R452" s="125">
        <f t="shared" si="22"/>
        <v>113.0352</v>
      </c>
      <c r="S452" s="78">
        <f t="shared" si="23"/>
        <v>45717</v>
      </c>
      <c r="T452" t="str">
        <f>IFERROR(VLOOKUP(B452,Sites!$A$2:$D$21,4,FALSE()),"Unknown")</f>
        <v>Swansea</v>
      </c>
      <c r="U452" t="str">
        <f>IF(N452="OK","",COUNTIF($N$2:N452,"&lt;&gt;OK"))</f>
        <v/>
      </c>
      <c r="V452">
        <f>IF(OR(NOT(EXACT(E452,TRIM(Procurement_Raw!E452))),NOT(EXACT(F452,TRIM(Procurement_Raw!F452)))),1,0)</f>
        <v>0</v>
      </c>
    </row>
    <row r="453" spans="1:22" ht="15" customHeight="1" x14ac:dyDescent="0.25">
      <c r="A453" s="123">
        <f>Procurement_Raw!A453</f>
        <v>45905</v>
      </c>
      <c r="B453" t="str">
        <f>TRIM(Procurement_Raw!B453)</f>
        <v>S009</v>
      </c>
      <c r="C453" t="str">
        <f>Procurement_Raw!C453</f>
        <v>Derby Care &amp; Education Centre</v>
      </c>
      <c r="D453" t="str">
        <f>Procurement_Raw!D453</f>
        <v>Midlands</v>
      </c>
      <c r="E453" t="str">
        <f>IF(TRIM(Procurement_Raw!E453)="","",IFERROR(INDEX(Supplier_Lookup!$A$2:$A$25,MATCH(TRIM(Procurement_Raw!E453),Supplier_Lookup!$A$2:$A$25,0)),TRIM(Procurement_Raw!E453)))</f>
        <v>PowerDirect</v>
      </c>
      <c r="F453" t="str">
        <f>IFERROR(INDEX(Category_Targets!$A$2:$A$9,MATCH(TRIM(Procurement_Raw!F453),Category_Targets!$A$2:$A$9,0)),"Unmapped")</f>
        <v>Utilities</v>
      </c>
      <c r="G453" t="str">
        <f>TRIM(Procurement_Raw!G453)</f>
        <v>INV-2025-00452</v>
      </c>
      <c r="H453" s="77">
        <f>Procurement_Raw!H453</f>
        <v>45</v>
      </c>
      <c r="I453" s="124">
        <f>Procurement_Raw!I453</f>
        <v>422.75</v>
      </c>
      <c r="J453" s="125">
        <f>IF(Procurement_Raw!J453="","",Procurement_Raw!J453)</f>
        <v>19023.91</v>
      </c>
      <c r="K453" s="77">
        <f>Procurement_Raw!K453</f>
        <v>45</v>
      </c>
      <c r="L453" t="str">
        <f>Procurement_Raw!L453</f>
        <v>ERP</v>
      </c>
      <c r="M453" t="str">
        <f>Procurement_Raw!O453</f>
        <v>N</v>
      </c>
      <c r="N453" t="str">
        <f>IF(E453="","Missing supplier",IF(B453="","Missing site",IF(J453="","Missing spend",IF(COUNTIFS($G$2:G453,G453,$E$2:E453,E453,$J$2:J453,J453)&gt;1,"Duplicate invoice",IF(COUNTIF($G$2:$G$1801,G453)&gt;1,"Duplicate ID - review",IF(AND(P453&lt;&gt;"Unmapped",P453&lt;&gt;F453),"Category mismatch","OK"))))))</f>
        <v>OK</v>
      </c>
      <c r="O453" s="125">
        <f t="shared" si="21"/>
        <v>19023.91</v>
      </c>
      <c r="P453" t="str">
        <f>IF(E453="","Unmapped",IFERROR(INDEX(Supplier_Lookup!$B$2:$B$25,MATCH(E453,Supplier_Lookup!$A$2:$A$25,0)),"Unmapped"))</f>
        <v>Utilities</v>
      </c>
      <c r="Q453" s="76">
        <f>IFERROR(INDEX(Category_Targets!$B$2:$B$9,MATCH(F453,Category_Targets!$A$2:$A$9,0)),0)</f>
        <v>0.03</v>
      </c>
      <c r="R453" s="125">
        <f t="shared" si="22"/>
        <v>570.71730000000002</v>
      </c>
      <c r="S453" s="78">
        <f t="shared" si="23"/>
        <v>45901</v>
      </c>
      <c r="T453" t="str">
        <f>IFERROR(VLOOKUP(B453,Sites!$A$2:$D$21,4,FALSE()),"Unknown")</f>
        <v>Derby</v>
      </c>
      <c r="U453" t="str">
        <f>IF(N453="OK","",COUNTIF($N$2:N453,"&lt;&gt;OK"))</f>
        <v/>
      </c>
      <c r="V453">
        <f>IF(OR(NOT(EXACT(E453,TRIM(Procurement_Raw!E453))),NOT(EXACT(F453,TRIM(Procurement_Raw!F453)))),1,0)</f>
        <v>0</v>
      </c>
    </row>
    <row r="454" spans="1:22" ht="15" customHeight="1" x14ac:dyDescent="0.25">
      <c r="A454" s="123">
        <f>Procurement_Raw!A454</f>
        <v>45692</v>
      </c>
      <c r="B454" t="str">
        <f>TRIM(Procurement_Raw!B454)</f>
        <v>S008</v>
      </c>
      <c r="C454" t="str">
        <f>Procurement_Raw!C454</f>
        <v>Leicester Care &amp; Education Centre</v>
      </c>
      <c r="D454" t="str">
        <f>Procurement_Raw!D454</f>
        <v>Midlands</v>
      </c>
      <c r="E454" t="str">
        <f>IF(TRIM(Procurement_Raw!E454)="","",IFERROR(INDEX(Supplier_Lookup!$A$2:$A$25,MATCH(TRIM(Procurement_Raw!E454),Supplier_Lookup!$A$2:$A$25,0)),TRIM(Procurement_Raw!E454)))</f>
        <v>LearnWell</v>
      </c>
      <c r="F454" t="str">
        <f>IFERROR(INDEX(Category_Targets!$A$2:$A$9,MATCH(TRIM(Procurement_Raw!F454),Category_Targets!$A$2:$A$9,0)),"Unmapped")</f>
        <v>Office &amp; Training</v>
      </c>
      <c r="G454" t="str">
        <f>TRIM(Procurement_Raw!G454)</f>
        <v>INV-2025-00453</v>
      </c>
      <c r="H454" s="77">
        <f>Procurement_Raw!H454</f>
        <v>39</v>
      </c>
      <c r="I454" s="124">
        <f>Procurement_Raw!I454</f>
        <v>43.61</v>
      </c>
      <c r="J454" s="125">
        <f>IF(Procurement_Raw!J454="","",Procurement_Raw!J454)</f>
        <v>1700.88</v>
      </c>
      <c r="K454" s="77">
        <f>Procurement_Raw!K454</f>
        <v>30</v>
      </c>
      <c r="L454" t="str">
        <f>Procurement_Raw!L454</f>
        <v>Legacy Spend File</v>
      </c>
      <c r="M454" t="str">
        <f>Procurement_Raw!O454</f>
        <v>N</v>
      </c>
      <c r="N454" t="str">
        <f>IF(E454="","Missing supplier",IF(B454="","Missing site",IF(J454="","Missing spend",IF(COUNTIFS($G$2:G454,G454,$E$2:E454,E454,$J$2:J454,J454)&gt;1,"Duplicate invoice",IF(COUNTIF($G$2:$G$1801,G454)&gt;1,"Duplicate ID - review",IF(AND(P454&lt;&gt;"Unmapped",P454&lt;&gt;F454),"Category mismatch","OK"))))))</f>
        <v>OK</v>
      </c>
      <c r="O454" s="125">
        <f t="shared" si="21"/>
        <v>1700.88</v>
      </c>
      <c r="P454" t="str">
        <f>IF(E454="","Unmapped",IFERROR(INDEX(Supplier_Lookup!$B$2:$B$25,MATCH(E454,Supplier_Lookup!$A$2:$A$25,0)),"Unmapped"))</f>
        <v>Office &amp; Training</v>
      </c>
      <c r="Q454" s="76">
        <f>IFERROR(INDEX(Category_Targets!$B$2:$B$9,MATCH(F454,Category_Targets!$A$2:$A$9,0)),0)</f>
        <v>0.04</v>
      </c>
      <c r="R454" s="125">
        <f t="shared" si="22"/>
        <v>68.035200000000003</v>
      </c>
      <c r="S454" s="78">
        <f t="shared" si="23"/>
        <v>45689</v>
      </c>
      <c r="T454" t="str">
        <f>IFERROR(VLOOKUP(B454,Sites!$A$2:$D$21,4,FALSE()),"Unknown")</f>
        <v>Leicester</v>
      </c>
      <c r="U454" t="str">
        <f>IF(N454="OK","",COUNTIF($N$2:N454,"&lt;&gt;OK"))</f>
        <v/>
      </c>
      <c r="V454">
        <f>IF(OR(NOT(EXACT(E454,TRIM(Procurement_Raw!E454))),NOT(EXACT(F454,TRIM(Procurement_Raw!F454)))),1,0)</f>
        <v>0</v>
      </c>
    </row>
    <row r="455" spans="1:22" ht="15" customHeight="1" x14ac:dyDescent="0.25">
      <c r="A455" s="123">
        <f>Procurement_Raw!A455</f>
        <v>45989</v>
      </c>
      <c r="B455" t="str">
        <f>TRIM(Procurement_Raw!B455)</f>
        <v>S020</v>
      </c>
      <c r="C455" t="str">
        <f>Procurement_Raw!C455</f>
        <v>Bangor Care &amp; Education Centre</v>
      </c>
      <c r="D455" t="str">
        <f>Procurement_Raw!D455</f>
        <v>Wales</v>
      </c>
      <c r="E455" t="str">
        <f>IF(TRIM(Procurement_Raw!E455)="","",IFERROR(INDEX(Supplier_Lookup!$A$2:$A$25,MATCH(TRIM(Procurement_Raw!E455),Supplier_Lookup!$A$2:$A$25,0)),TRIM(Procurement_Raw!E455)))</f>
        <v>CareMed</v>
      </c>
      <c r="F455" t="str">
        <f>IFERROR(INDEX(Category_Targets!$A$2:$A$9,MATCH(TRIM(Procurement_Raw!F455),Category_Targets!$A$2:$A$9,0)),"Unmapped")</f>
        <v>Medical Supplies</v>
      </c>
      <c r="G455" t="str">
        <f>TRIM(Procurement_Raw!G455)</f>
        <v>INV-2025-00454</v>
      </c>
      <c r="H455" s="77">
        <f>Procurement_Raw!H455</f>
        <v>14</v>
      </c>
      <c r="I455" s="124">
        <f>Procurement_Raw!I455</f>
        <v>158.34</v>
      </c>
      <c r="J455" s="125">
        <f>IF(Procurement_Raw!J455="","",Procurement_Raw!J455)</f>
        <v>2216.6999999999998</v>
      </c>
      <c r="K455" s="77">
        <f>Procurement_Raw!K455</f>
        <v>60</v>
      </c>
      <c r="L455" t="str">
        <f>Procurement_Raw!L455</f>
        <v>ERP</v>
      </c>
      <c r="M455" t="str">
        <f>Procurement_Raw!O455</f>
        <v>N</v>
      </c>
      <c r="N455" t="str">
        <f>IF(E455="","Missing supplier",IF(B455="","Missing site",IF(J455="","Missing spend",IF(COUNTIFS($G$2:G455,G455,$E$2:E455,E455,$J$2:J455,J455)&gt;1,"Duplicate invoice",IF(COUNTIF($G$2:$G$1801,G455)&gt;1,"Duplicate ID - review",IF(AND(P455&lt;&gt;"Unmapped",P455&lt;&gt;F455),"Category mismatch","OK"))))))</f>
        <v>OK</v>
      </c>
      <c r="O455" s="125">
        <f t="shared" si="21"/>
        <v>2216.6999999999998</v>
      </c>
      <c r="P455" t="str">
        <f>IF(E455="","Unmapped",IFERROR(INDEX(Supplier_Lookup!$B$2:$B$25,MATCH(E455,Supplier_Lookup!$A$2:$A$25,0)),"Unmapped"))</f>
        <v>Medical Supplies</v>
      </c>
      <c r="Q455" s="76">
        <f>IFERROR(INDEX(Category_Targets!$B$2:$B$9,MATCH(F455,Category_Targets!$A$2:$A$9,0)),0)</f>
        <v>0.06</v>
      </c>
      <c r="R455" s="125">
        <f t="shared" si="22"/>
        <v>133.00199999999998</v>
      </c>
      <c r="S455" s="78">
        <f t="shared" si="23"/>
        <v>45962</v>
      </c>
      <c r="T455" t="str">
        <f>IFERROR(VLOOKUP(B455,Sites!$A$2:$D$21,4,FALSE()),"Unknown")</f>
        <v>Bangor</v>
      </c>
      <c r="U455" t="str">
        <f>IF(N455="OK","",COUNTIF($N$2:N455,"&lt;&gt;OK"))</f>
        <v/>
      </c>
      <c r="V455">
        <f>IF(OR(NOT(EXACT(E455,TRIM(Procurement_Raw!E455))),NOT(EXACT(F455,TRIM(Procurement_Raw!F455)))),1,0)</f>
        <v>0</v>
      </c>
    </row>
    <row r="456" spans="1:22" ht="15" customHeight="1" x14ac:dyDescent="0.25">
      <c r="A456" s="123">
        <f>Procurement_Raw!A456</f>
        <v>45747</v>
      </c>
      <c r="B456" t="str">
        <f>TRIM(Procurement_Raw!B456)</f>
        <v>S006</v>
      </c>
      <c r="C456" t="str">
        <f>Procurement_Raw!C456</f>
        <v>Birmingham Care &amp; Education Centre</v>
      </c>
      <c r="D456" t="str">
        <f>Procurement_Raw!D456</f>
        <v>Midlands</v>
      </c>
      <c r="E456" t="str">
        <f>IF(TRIM(Procurement_Raw!E456)="","",IFERROR(INDEX(Supplier_Lookup!$A$2:$A$25,MATCH(TRIM(Procurement_Raw!E456),Supplier_Lookup!$A$2:$A$25,0)),TRIM(Procurement_Raw!E456)))</f>
        <v>PowerDirect</v>
      </c>
      <c r="F456" t="str">
        <f>IFERROR(INDEX(Category_Targets!$A$2:$A$9,MATCH(TRIM(Procurement_Raw!F456),Category_Targets!$A$2:$A$9,0)),"Unmapped")</f>
        <v>Utilities</v>
      </c>
      <c r="G456" t="str">
        <f>TRIM(Procurement_Raw!G456)</f>
        <v>INV-2025-00455</v>
      </c>
      <c r="H456" s="77">
        <f>Procurement_Raw!H456</f>
        <v>71</v>
      </c>
      <c r="I456" s="124">
        <f>Procurement_Raw!I456</f>
        <v>186.76</v>
      </c>
      <c r="J456" s="125">
        <f>IF(Procurement_Raw!J456="","",Procurement_Raw!J456)</f>
        <v>13259.89</v>
      </c>
      <c r="K456" s="77">
        <f>Procurement_Raw!K456</f>
        <v>30</v>
      </c>
      <c r="L456" t="str">
        <f>Procurement_Raw!L456</f>
        <v>Procurement Portal</v>
      </c>
      <c r="M456" t="str">
        <f>Procurement_Raw!O456</f>
        <v>N</v>
      </c>
      <c r="N456" t="str">
        <f>IF(E456="","Missing supplier",IF(B456="","Missing site",IF(J456="","Missing spend",IF(COUNTIFS($G$2:G456,G456,$E$2:E456,E456,$J$2:J456,J456)&gt;1,"Duplicate invoice",IF(COUNTIF($G$2:$G$1801,G456)&gt;1,"Duplicate ID - review",IF(AND(P456&lt;&gt;"Unmapped",P456&lt;&gt;F456),"Category mismatch","OK"))))))</f>
        <v>OK</v>
      </c>
      <c r="O456" s="125">
        <f t="shared" si="21"/>
        <v>13259.89</v>
      </c>
      <c r="P456" t="str">
        <f>IF(E456="","Unmapped",IFERROR(INDEX(Supplier_Lookup!$B$2:$B$25,MATCH(E456,Supplier_Lookup!$A$2:$A$25,0)),"Unmapped"))</f>
        <v>Utilities</v>
      </c>
      <c r="Q456" s="76">
        <f>IFERROR(INDEX(Category_Targets!$B$2:$B$9,MATCH(F456,Category_Targets!$A$2:$A$9,0)),0)</f>
        <v>0.03</v>
      </c>
      <c r="R456" s="125">
        <f t="shared" si="22"/>
        <v>397.79669999999999</v>
      </c>
      <c r="S456" s="78">
        <f t="shared" si="23"/>
        <v>45717</v>
      </c>
      <c r="T456" t="str">
        <f>IFERROR(VLOOKUP(B456,Sites!$A$2:$D$21,4,FALSE()),"Unknown")</f>
        <v>Birmingham</v>
      </c>
      <c r="U456" t="str">
        <f>IF(N456="OK","",COUNTIF($N$2:N456,"&lt;&gt;OK"))</f>
        <v/>
      </c>
      <c r="V456">
        <f>IF(OR(NOT(EXACT(E456,TRIM(Procurement_Raw!E456))),NOT(EXACT(F456,TRIM(Procurement_Raw!F456)))),1,0)</f>
        <v>0</v>
      </c>
    </row>
    <row r="457" spans="1:22" ht="15" customHeight="1" x14ac:dyDescent="0.25">
      <c r="A457" s="123">
        <f>Procurement_Raw!A457</f>
        <v>45776</v>
      </c>
      <c r="B457" t="str">
        <f>TRIM(Procurement_Raw!B457)</f>
        <v>S020</v>
      </c>
      <c r="C457" t="str">
        <f>Procurement_Raw!C457</f>
        <v>Bangor Care &amp; Education Centre</v>
      </c>
      <c r="D457" t="str">
        <f>Procurement_Raw!D457</f>
        <v>Wales</v>
      </c>
      <c r="E457" t="str">
        <f>IF(TRIM(Procurement_Raw!E457)="","",IFERROR(INDEX(Supplier_Lookup!$A$2:$A$25,MATCH(TRIM(Procurement_Raw!E457),Supplier_Lookup!$A$2:$A$25,0)),TRIM(Procurement_Raw!E457)))</f>
        <v>CareTemps</v>
      </c>
      <c r="F457" t="str">
        <f>IFERROR(INDEX(Category_Targets!$A$2:$A$9,MATCH(TRIM(Procurement_Raw!F457),Category_Targets!$A$2:$A$9,0)),"Unmapped")</f>
        <v>Agency Labour</v>
      </c>
      <c r="G457" t="str">
        <f>TRIM(Procurement_Raw!G457)</f>
        <v>INV-2025-00456</v>
      </c>
      <c r="H457" s="77">
        <f>Procurement_Raw!H457</f>
        <v>52</v>
      </c>
      <c r="I457" s="124">
        <f>Procurement_Raw!I457</f>
        <v>193.97</v>
      </c>
      <c r="J457" s="125">
        <f>IF(Procurement_Raw!J457="","",Procurement_Raw!J457)</f>
        <v>10086.43</v>
      </c>
      <c r="K457" s="77">
        <f>Procurement_Raw!K457</f>
        <v>60</v>
      </c>
      <c r="L457" t="str">
        <f>Procurement_Raw!L457</f>
        <v>ERP</v>
      </c>
      <c r="M457" t="str">
        <f>Procurement_Raw!O457</f>
        <v>N</v>
      </c>
      <c r="N457" t="str">
        <f>IF(E457="","Missing supplier",IF(B457="","Missing site",IF(J457="","Missing spend",IF(COUNTIFS($G$2:G457,G457,$E$2:E457,E457,$J$2:J457,J457)&gt;1,"Duplicate invoice",IF(COUNTIF($G$2:$G$1801,G457)&gt;1,"Duplicate ID - review",IF(AND(P457&lt;&gt;"Unmapped",P457&lt;&gt;F457),"Category mismatch","OK"))))))</f>
        <v>OK</v>
      </c>
      <c r="O457" s="125">
        <f t="shared" si="21"/>
        <v>10086.43</v>
      </c>
      <c r="P457" t="str">
        <f>IF(E457="","Unmapped",IFERROR(INDEX(Supplier_Lookup!$B$2:$B$25,MATCH(E457,Supplier_Lookup!$A$2:$A$25,0)),"Unmapped"))</f>
        <v>Agency Labour</v>
      </c>
      <c r="Q457" s="76">
        <f>IFERROR(INDEX(Category_Targets!$B$2:$B$9,MATCH(F457,Category_Targets!$A$2:$A$9,0)),0)</f>
        <v>7.0000000000000007E-2</v>
      </c>
      <c r="R457" s="125">
        <f t="shared" si="22"/>
        <v>706.05010000000004</v>
      </c>
      <c r="S457" s="78">
        <f t="shared" si="23"/>
        <v>45748</v>
      </c>
      <c r="T457" t="str">
        <f>IFERROR(VLOOKUP(B457,Sites!$A$2:$D$21,4,FALSE()),"Unknown")</f>
        <v>Bangor</v>
      </c>
      <c r="U457" t="str">
        <f>IF(N457="OK","",COUNTIF($N$2:N457,"&lt;&gt;OK"))</f>
        <v/>
      </c>
      <c r="V457">
        <f>IF(OR(NOT(EXACT(E457,TRIM(Procurement_Raw!E457))),NOT(EXACT(F457,TRIM(Procurement_Raw!F457)))),1,0)</f>
        <v>0</v>
      </c>
    </row>
    <row r="458" spans="1:22" ht="15" customHeight="1" x14ac:dyDescent="0.25">
      <c r="A458" s="123">
        <f>Procurement_Raw!A458</f>
        <v>45672</v>
      </c>
      <c r="B458" t="str">
        <f>TRIM(Procurement_Raw!B458)</f>
        <v>S017</v>
      </c>
      <c r="C458" t="str">
        <f>Procurement_Raw!C458</f>
        <v>Swansea Care &amp; Education Centre</v>
      </c>
      <c r="D458" t="str">
        <f>Procurement_Raw!D458</f>
        <v>Wales</v>
      </c>
      <c r="E458" t="str">
        <f>IF(TRIM(Procurement_Raw!E458)="","",IFERROR(INDEX(Supplier_Lookup!$A$2:$A$25,MATCH(TRIM(Procurement_Raw!E458),Supplier_Lookup!$A$2:$A$25,0)),TRIM(Procurement_Raw!E458)))</f>
        <v>CareTemps</v>
      </c>
      <c r="F458" t="str">
        <f>IFERROR(INDEX(Category_Targets!$A$2:$A$9,MATCH(TRIM(Procurement_Raw!F458),Category_Targets!$A$2:$A$9,0)),"Unmapped")</f>
        <v>Agency Labour</v>
      </c>
      <c r="G458" t="str">
        <f>TRIM(Procurement_Raw!G458)</f>
        <v>INV-2025-00457</v>
      </c>
      <c r="H458" s="77">
        <f>Procurement_Raw!H458</f>
        <v>79</v>
      </c>
      <c r="I458" s="124">
        <f>Procurement_Raw!I458</f>
        <v>282.85000000000002</v>
      </c>
      <c r="J458" s="125">
        <f>IF(Procurement_Raw!J458="","",Procurement_Raw!J458)</f>
        <v>22345.13</v>
      </c>
      <c r="K458" s="77">
        <f>Procurement_Raw!K458</f>
        <v>30</v>
      </c>
      <c r="L458" t="str">
        <f>Procurement_Raw!L458</f>
        <v>Procurement Portal</v>
      </c>
      <c r="M458" t="str">
        <f>Procurement_Raw!O458</f>
        <v>N</v>
      </c>
      <c r="N458" t="str">
        <f>IF(E458="","Missing supplier",IF(B458="","Missing site",IF(J458="","Missing spend",IF(COUNTIFS($G$2:G458,G458,$E$2:E458,E458,$J$2:J458,J458)&gt;1,"Duplicate invoice",IF(COUNTIF($G$2:$G$1801,G458)&gt;1,"Duplicate ID - review",IF(AND(P458&lt;&gt;"Unmapped",P458&lt;&gt;F458),"Category mismatch","OK"))))))</f>
        <v>OK</v>
      </c>
      <c r="O458" s="125">
        <f t="shared" si="21"/>
        <v>22345.13</v>
      </c>
      <c r="P458" t="str">
        <f>IF(E458="","Unmapped",IFERROR(INDEX(Supplier_Lookup!$B$2:$B$25,MATCH(E458,Supplier_Lookup!$A$2:$A$25,0)),"Unmapped"))</f>
        <v>Agency Labour</v>
      </c>
      <c r="Q458" s="76">
        <f>IFERROR(INDEX(Category_Targets!$B$2:$B$9,MATCH(F458,Category_Targets!$A$2:$A$9,0)),0)</f>
        <v>7.0000000000000007E-2</v>
      </c>
      <c r="R458" s="125">
        <f t="shared" si="22"/>
        <v>1564.1591000000003</v>
      </c>
      <c r="S458" s="78">
        <f t="shared" si="23"/>
        <v>45658</v>
      </c>
      <c r="T458" t="str">
        <f>IFERROR(VLOOKUP(B458,Sites!$A$2:$D$21,4,FALSE()),"Unknown")</f>
        <v>Swansea</v>
      </c>
      <c r="U458" t="str">
        <f>IF(N458="OK","",COUNTIF($N$2:N458,"&lt;&gt;OK"))</f>
        <v/>
      </c>
      <c r="V458">
        <f>IF(OR(NOT(EXACT(E458,TRIM(Procurement_Raw!E458))),NOT(EXACT(F458,TRIM(Procurement_Raw!F458)))),1,0)</f>
        <v>0</v>
      </c>
    </row>
    <row r="459" spans="1:22" ht="15" customHeight="1" x14ac:dyDescent="0.25">
      <c r="A459" s="123">
        <f>Procurement_Raw!A459</f>
        <v>45660</v>
      </c>
      <c r="B459" t="str">
        <f>TRIM(Procurement_Raw!B459)</f>
        <v>S007</v>
      </c>
      <c r="C459" t="str">
        <f>Procurement_Raw!C459</f>
        <v>Nottingham Care &amp; Education Centre</v>
      </c>
      <c r="D459" t="str">
        <f>Procurement_Raw!D459</f>
        <v>Midlands</v>
      </c>
      <c r="E459" t="str">
        <f>IF(TRIM(Procurement_Raw!E459)="","",IFERROR(INDEX(Supplier_Lookup!$A$2:$A$25,MATCH(TRIM(Procurement_Raw!E459),Supplier_Lookup!$A$2:$A$25,0)),TRIM(Procurement_Raw!E459)))</f>
        <v>CareTemps</v>
      </c>
      <c r="F459" t="str">
        <f>IFERROR(INDEX(Category_Targets!$A$2:$A$9,MATCH(TRIM(Procurement_Raw!F459),Category_Targets!$A$2:$A$9,0)),"Unmapped")</f>
        <v>Agency Labour</v>
      </c>
      <c r="G459" t="str">
        <f>TRIM(Procurement_Raw!G459)</f>
        <v>INV-2025-00458</v>
      </c>
      <c r="H459" s="77">
        <f>Procurement_Raw!H459</f>
        <v>28</v>
      </c>
      <c r="I459" s="124">
        <f>Procurement_Raw!I459</f>
        <v>169.76</v>
      </c>
      <c r="J459" s="125">
        <f>IF(Procurement_Raw!J459="","",Procurement_Raw!J459)</f>
        <v>4753.34</v>
      </c>
      <c r="K459" s="77">
        <f>Procurement_Raw!K459</f>
        <v>30</v>
      </c>
      <c r="L459" t="str">
        <f>Procurement_Raw!L459</f>
        <v>Procurement Portal</v>
      </c>
      <c r="M459" t="str">
        <f>Procurement_Raw!O459</f>
        <v>N</v>
      </c>
      <c r="N459" t="str">
        <f>IF(E459="","Missing supplier",IF(B459="","Missing site",IF(J459="","Missing spend",IF(COUNTIFS($G$2:G459,G459,$E$2:E459,E459,$J$2:J459,J459)&gt;1,"Duplicate invoice",IF(COUNTIF($G$2:$G$1801,G459)&gt;1,"Duplicate ID - review",IF(AND(P459&lt;&gt;"Unmapped",P459&lt;&gt;F459),"Category mismatch","OK"))))))</f>
        <v>OK</v>
      </c>
      <c r="O459" s="125">
        <f t="shared" si="21"/>
        <v>4753.34</v>
      </c>
      <c r="P459" t="str">
        <f>IF(E459="","Unmapped",IFERROR(INDEX(Supplier_Lookup!$B$2:$B$25,MATCH(E459,Supplier_Lookup!$A$2:$A$25,0)),"Unmapped"))</f>
        <v>Agency Labour</v>
      </c>
      <c r="Q459" s="76">
        <f>IFERROR(INDEX(Category_Targets!$B$2:$B$9,MATCH(F459,Category_Targets!$A$2:$A$9,0)),0)</f>
        <v>7.0000000000000007E-2</v>
      </c>
      <c r="R459" s="125">
        <f t="shared" si="22"/>
        <v>332.73380000000003</v>
      </c>
      <c r="S459" s="78">
        <f t="shared" si="23"/>
        <v>45658</v>
      </c>
      <c r="T459" t="str">
        <f>IFERROR(VLOOKUP(B459,Sites!$A$2:$D$21,4,FALSE()),"Unknown")</f>
        <v>Nottingham</v>
      </c>
      <c r="U459" t="str">
        <f>IF(N459="OK","",COUNTIF($N$2:N459,"&lt;&gt;OK"))</f>
        <v/>
      </c>
      <c r="V459">
        <f>IF(OR(NOT(EXACT(E459,TRIM(Procurement_Raw!E459))),NOT(EXACT(F459,TRIM(Procurement_Raw!F459)))),1,0)</f>
        <v>0</v>
      </c>
    </row>
    <row r="460" spans="1:22" ht="15" customHeight="1" x14ac:dyDescent="0.25">
      <c r="A460" s="123">
        <f>Procurement_Raw!A460</f>
        <v>45710</v>
      </c>
      <c r="B460" t="str">
        <f>TRIM(Procurement_Raw!B460)</f>
        <v>S015</v>
      </c>
      <c r="C460" t="str">
        <f>Procurement_Raw!C460</f>
        <v>Brighton Care &amp; Education Centre</v>
      </c>
      <c r="D460" t="str">
        <f>Procurement_Raw!D460</f>
        <v>South</v>
      </c>
      <c r="E460" t="str">
        <f>IF(TRIM(Procurement_Raw!E460)="","",IFERROR(INDEX(Supplier_Lookup!$A$2:$A$25,MATCH(TRIM(Procurement_Raw!E460),Supplier_Lookup!$A$2:$A$25,0)),TRIM(Procurement_Raw!E460)))</f>
        <v>KitchenPro</v>
      </c>
      <c r="F460" t="str">
        <f>IFERROR(INDEX(Category_Targets!$A$2:$A$9,MATCH(TRIM(Procurement_Raw!F460),Category_Targets!$A$2:$A$9,0)),"Unmapped")</f>
        <v>Food &amp; Catering</v>
      </c>
      <c r="G460" t="str">
        <f>TRIM(Procurement_Raw!G460)</f>
        <v>INV-2025-00459</v>
      </c>
      <c r="H460" s="77">
        <f>Procurement_Raw!H460</f>
        <v>69</v>
      </c>
      <c r="I460" s="124">
        <f>Procurement_Raw!I460</f>
        <v>47.94</v>
      </c>
      <c r="J460" s="125">
        <f>IF(Procurement_Raw!J460="","",Procurement_Raw!J460)</f>
        <v>3307.63</v>
      </c>
      <c r="K460" s="77">
        <f>Procurement_Raw!K460</f>
        <v>30</v>
      </c>
      <c r="L460" t="str">
        <f>Procurement_Raw!L460</f>
        <v>Procurement Portal</v>
      </c>
      <c r="M460" t="str">
        <f>Procurement_Raw!O460</f>
        <v>N</v>
      </c>
      <c r="N460" t="str">
        <f>IF(E460="","Missing supplier",IF(B460="","Missing site",IF(J460="","Missing spend",IF(COUNTIFS($G$2:G460,G460,$E$2:E460,E460,$J$2:J460,J460)&gt;1,"Duplicate invoice",IF(COUNTIF($G$2:$G$1801,G460)&gt;1,"Duplicate ID - review",IF(AND(P460&lt;&gt;"Unmapped",P460&lt;&gt;F460),"Category mismatch","OK"))))))</f>
        <v>OK</v>
      </c>
      <c r="O460" s="125">
        <f t="shared" si="21"/>
        <v>3307.63</v>
      </c>
      <c r="P460" t="str">
        <f>IF(E460="","Unmapped",IFERROR(INDEX(Supplier_Lookup!$B$2:$B$25,MATCH(E460,Supplier_Lookup!$A$2:$A$25,0)),"Unmapped"))</f>
        <v>Food &amp; Catering</v>
      </c>
      <c r="Q460" s="76">
        <f>IFERROR(INDEX(Category_Targets!$B$2:$B$9,MATCH(F460,Category_Targets!$A$2:$A$9,0)),0)</f>
        <v>0.04</v>
      </c>
      <c r="R460" s="125">
        <f t="shared" si="22"/>
        <v>132.30520000000001</v>
      </c>
      <c r="S460" s="78">
        <f t="shared" si="23"/>
        <v>45689</v>
      </c>
      <c r="T460" t="str">
        <f>IFERROR(VLOOKUP(B460,Sites!$A$2:$D$21,4,FALSE()),"Unknown")</f>
        <v>Brighton</v>
      </c>
      <c r="U460" t="str">
        <f>IF(N460="OK","",COUNTIF($N$2:N460,"&lt;&gt;OK"))</f>
        <v/>
      </c>
      <c r="V460">
        <f>IF(OR(NOT(EXACT(E460,TRIM(Procurement_Raw!E460))),NOT(EXACT(F460,TRIM(Procurement_Raw!F460)))),1,0)</f>
        <v>0</v>
      </c>
    </row>
    <row r="461" spans="1:22" ht="15" customHeight="1" x14ac:dyDescent="0.25">
      <c r="A461" s="123">
        <f>Procurement_Raw!A461</f>
        <v>45716</v>
      </c>
      <c r="B461" t="str">
        <f>TRIM(Procurement_Raw!B461)</f>
        <v>S019</v>
      </c>
      <c r="C461" t="str">
        <f>Procurement_Raw!C461</f>
        <v>Wrexham Care &amp; Education Centre</v>
      </c>
      <c r="D461" t="str">
        <f>Procurement_Raw!D461</f>
        <v>Wales</v>
      </c>
      <c r="E461" t="str">
        <f>IF(TRIM(Procurement_Raw!E461)="","",IFERROR(INDEX(Supplier_Lookup!$A$2:$A$25,MATCH(TRIM(Procurement_Raw!E461),Supplier_Lookup!$A$2:$A$25,0)),TRIM(Procurement_Raw!E461)))</f>
        <v>WaterGrid</v>
      </c>
      <c r="F461" t="str">
        <f>IFERROR(INDEX(Category_Targets!$A$2:$A$9,MATCH(TRIM(Procurement_Raw!F461),Category_Targets!$A$2:$A$9,0)),"Unmapped")</f>
        <v>Utilities</v>
      </c>
      <c r="G461" t="str">
        <f>TRIM(Procurement_Raw!G461)</f>
        <v>INV-2025-00460</v>
      </c>
      <c r="H461" s="77">
        <f>Procurement_Raw!H461</f>
        <v>34</v>
      </c>
      <c r="I461" s="124">
        <f>Procurement_Raw!I461</f>
        <v>129.36000000000001</v>
      </c>
      <c r="J461" s="125">
        <f>IF(Procurement_Raw!J461="","",Procurement_Raw!J461)</f>
        <v>4398.37</v>
      </c>
      <c r="K461" s="77">
        <f>Procurement_Raw!K461</f>
        <v>60</v>
      </c>
      <c r="L461" t="str">
        <f>Procurement_Raw!L461</f>
        <v>Procurement Portal</v>
      </c>
      <c r="M461" t="str">
        <f>Procurement_Raw!O461</f>
        <v>N</v>
      </c>
      <c r="N461" t="str">
        <f>IF(E461="","Missing supplier",IF(B461="","Missing site",IF(J461="","Missing spend",IF(COUNTIFS($G$2:G461,G461,$E$2:E461,E461,$J$2:J461,J461)&gt;1,"Duplicate invoice",IF(COUNTIF($G$2:$G$1801,G461)&gt;1,"Duplicate ID - review",IF(AND(P461&lt;&gt;"Unmapped",P461&lt;&gt;F461),"Category mismatch","OK"))))))</f>
        <v>OK</v>
      </c>
      <c r="O461" s="125">
        <f t="shared" si="21"/>
        <v>4398.37</v>
      </c>
      <c r="P461" t="str">
        <f>IF(E461="","Unmapped",IFERROR(INDEX(Supplier_Lookup!$B$2:$B$25,MATCH(E461,Supplier_Lookup!$A$2:$A$25,0)),"Unmapped"))</f>
        <v>Utilities</v>
      </c>
      <c r="Q461" s="76">
        <f>IFERROR(INDEX(Category_Targets!$B$2:$B$9,MATCH(F461,Category_Targets!$A$2:$A$9,0)),0)</f>
        <v>0.03</v>
      </c>
      <c r="R461" s="125">
        <f t="shared" si="22"/>
        <v>131.9511</v>
      </c>
      <c r="S461" s="78">
        <f t="shared" si="23"/>
        <v>45689</v>
      </c>
      <c r="T461" t="str">
        <f>IFERROR(VLOOKUP(B461,Sites!$A$2:$D$21,4,FALSE()),"Unknown")</f>
        <v>Wrexham</v>
      </c>
      <c r="U461" t="str">
        <f>IF(N461="OK","",COUNTIF($N$2:N461,"&lt;&gt;OK"))</f>
        <v/>
      </c>
      <c r="V461">
        <f>IF(OR(NOT(EXACT(E461,TRIM(Procurement_Raw!E461))),NOT(EXACT(F461,TRIM(Procurement_Raw!F461)))),1,0)</f>
        <v>0</v>
      </c>
    </row>
    <row r="462" spans="1:22" ht="15" customHeight="1" x14ac:dyDescent="0.25">
      <c r="A462" s="123">
        <f>Procurement_Raw!A462</f>
        <v>45856</v>
      </c>
      <c r="B462" t="str">
        <f>TRIM(Procurement_Raw!B462)</f>
        <v>S019</v>
      </c>
      <c r="C462" t="str">
        <f>Procurement_Raw!C462</f>
        <v>Wrexham Care &amp; Education Centre</v>
      </c>
      <c r="D462" t="str">
        <f>Procurement_Raw!D462</f>
        <v>Wales</v>
      </c>
      <c r="E462" t="str">
        <f>IF(TRIM(Procurement_Raw!E462)="","",IFERROR(INDEX(Supplier_Lookup!$A$2:$A$25,MATCH(TRIM(Procurement_Raw!E462),Supplier_Lookup!$A$2:$A$25,0)),TRIM(Procurement_Raw!E462)))</f>
        <v>AutoCare</v>
      </c>
      <c r="F462" t="str">
        <f>IFERROR(INDEX(Category_Targets!$A$2:$A$9,MATCH(TRIM(Procurement_Raw!F462),Category_Targets!$A$2:$A$9,0)),"Unmapped")</f>
        <v>Vehicle &amp; Fuel</v>
      </c>
      <c r="G462" t="str">
        <f>TRIM(Procurement_Raw!G462)</f>
        <v>INV-2025-00461</v>
      </c>
      <c r="H462" s="77">
        <f>Procurement_Raw!H462</f>
        <v>79</v>
      </c>
      <c r="I462" s="124">
        <f>Procurement_Raw!I462</f>
        <v>279.91000000000003</v>
      </c>
      <c r="J462" s="125">
        <f>IF(Procurement_Raw!J462="","",Procurement_Raw!J462)</f>
        <v>22113.06</v>
      </c>
      <c r="K462" s="77">
        <f>Procurement_Raw!K462</f>
        <v>45</v>
      </c>
      <c r="L462" t="str">
        <f>Procurement_Raw!L462</f>
        <v>Legacy Spend File</v>
      </c>
      <c r="M462" t="str">
        <f>Procurement_Raw!O462</f>
        <v>N</v>
      </c>
      <c r="N462" t="str">
        <f>IF(E462="","Missing supplier",IF(B462="","Missing site",IF(J462="","Missing spend",IF(COUNTIFS($G$2:G462,G462,$E$2:E462,E462,$J$2:J462,J462)&gt;1,"Duplicate invoice",IF(COUNTIF($G$2:$G$1801,G462)&gt;1,"Duplicate ID - review",IF(AND(P462&lt;&gt;"Unmapped",P462&lt;&gt;F462),"Category mismatch","OK"))))))</f>
        <v>OK</v>
      </c>
      <c r="O462" s="125">
        <f t="shared" si="21"/>
        <v>22113.06</v>
      </c>
      <c r="P462" t="str">
        <f>IF(E462="","Unmapped",IFERROR(INDEX(Supplier_Lookup!$B$2:$B$25,MATCH(E462,Supplier_Lookup!$A$2:$A$25,0)),"Unmapped"))</f>
        <v>Vehicle &amp; Fuel</v>
      </c>
      <c r="Q462" s="76">
        <f>IFERROR(INDEX(Category_Targets!$B$2:$B$9,MATCH(F462,Category_Targets!$A$2:$A$9,0)),0)</f>
        <v>0.05</v>
      </c>
      <c r="R462" s="125">
        <f t="shared" si="22"/>
        <v>1105.653</v>
      </c>
      <c r="S462" s="78">
        <f t="shared" si="23"/>
        <v>45839</v>
      </c>
      <c r="T462" t="str">
        <f>IFERROR(VLOOKUP(B462,Sites!$A$2:$D$21,4,FALSE()),"Unknown")</f>
        <v>Wrexham</v>
      </c>
      <c r="U462" t="str">
        <f>IF(N462="OK","",COUNTIF($N$2:N462,"&lt;&gt;OK"))</f>
        <v/>
      </c>
      <c r="V462">
        <f>IF(OR(NOT(EXACT(E462,TRIM(Procurement_Raw!E462))),NOT(EXACT(F462,TRIM(Procurement_Raw!F462)))),1,0)</f>
        <v>0</v>
      </c>
    </row>
    <row r="463" spans="1:22" ht="15" customHeight="1" x14ac:dyDescent="0.25">
      <c r="A463" s="123">
        <f>Procurement_Raw!A463</f>
        <v>45892</v>
      </c>
      <c r="B463" t="str">
        <f>TRIM(Procurement_Raw!B463)</f>
        <v>S017</v>
      </c>
      <c r="C463" t="str">
        <f>Procurement_Raw!C463</f>
        <v>Swansea Care &amp; Education Centre</v>
      </c>
      <c r="D463" t="str">
        <f>Procurement_Raw!D463</f>
        <v>Wales</v>
      </c>
      <c r="E463" t="str">
        <f>IF(TRIM(Procurement_Raw!E463)="","",IFERROR(INDEX(Supplier_Lookup!$A$2:$A$25,MATCH(TRIM(Procurement_Raw!E463),Supplier_Lookup!$A$2:$A$25,0)),TRIM(Procurement_Raw!E463)))</f>
        <v>RoadReady</v>
      </c>
      <c r="F463" t="str">
        <f>IFERROR(INDEX(Category_Targets!$A$2:$A$9,MATCH(TRIM(Procurement_Raw!F463),Category_Targets!$A$2:$A$9,0)),"Unmapped")</f>
        <v>Vehicle &amp; Fuel</v>
      </c>
      <c r="G463" t="str">
        <f>TRIM(Procurement_Raw!G463)</f>
        <v>INV-2025-00462</v>
      </c>
      <c r="H463" s="77">
        <f>Procurement_Raw!H463</f>
        <v>80</v>
      </c>
      <c r="I463" s="124">
        <f>Procurement_Raw!I463</f>
        <v>96.86</v>
      </c>
      <c r="J463" s="125">
        <f>IF(Procurement_Raw!J463="","",Procurement_Raw!J463)</f>
        <v>7748.84</v>
      </c>
      <c r="K463" s="77">
        <f>Procurement_Raw!K463</f>
        <v>30</v>
      </c>
      <c r="L463" t="str">
        <f>Procurement_Raw!L463</f>
        <v>Legacy Spend File</v>
      </c>
      <c r="M463" t="str">
        <f>Procurement_Raw!O463</f>
        <v>N</v>
      </c>
      <c r="N463" t="str">
        <f>IF(E463="","Missing supplier",IF(B463="","Missing site",IF(J463="","Missing spend",IF(COUNTIFS($G$2:G463,G463,$E$2:E463,E463,$J$2:J463,J463)&gt;1,"Duplicate invoice",IF(COUNTIF($G$2:$G$1801,G463)&gt;1,"Duplicate ID - review",IF(AND(P463&lt;&gt;"Unmapped",P463&lt;&gt;F463),"Category mismatch","OK"))))))</f>
        <v>OK</v>
      </c>
      <c r="O463" s="125">
        <f t="shared" si="21"/>
        <v>7748.84</v>
      </c>
      <c r="P463" t="str">
        <f>IF(E463="","Unmapped",IFERROR(INDEX(Supplier_Lookup!$B$2:$B$25,MATCH(E463,Supplier_Lookup!$A$2:$A$25,0)),"Unmapped"))</f>
        <v>Vehicle &amp; Fuel</v>
      </c>
      <c r="Q463" s="76">
        <f>IFERROR(INDEX(Category_Targets!$B$2:$B$9,MATCH(F463,Category_Targets!$A$2:$A$9,0)),0)</f>
        <v>0.05</v>
      </c>
      <c r="R463" s="125">
        <f t="shared" si="22"/>
        <v>387.44200000000001</v>
      </c>
      <c r="S463" s="78">
        <f t="shared" si="23"/>
        <v>45870</v>
      </c>
      <c r="T463" t="str">
        <f>IFERROR(VLOOKUP(B463,Sites!$A$2:$D$21,4,FALSE()),"Unknown")</f>
        <v>Swansea</v>
      </c>
      <c r="U463" t="str">
        <f>IF(N463="OK","",COUNTIF($N$2:N463,"&lt;&gt;OK"))</f>
        <v/>
      </c>
      <c r="V463">
        <f>IF(OR(NOT(EXACT(E463,TRIM(Procurement_Raw!E463))),NOT(EXACT(F463,TRIM(Procurement_Raw!F463)))),1,0)</f>
        <v>0</v>
      </c>
    </row>
    <row r="464" spans="1:22" ht="15" customHeight="1" x14ac:dyDescent="0.25">
      <c r="A464" s="123">
        <f>Procurement_Raw!A464</f>
        <v>45960</v>
      </c>
      <c r="B464" t="str">
        <f>TRIM(Procurement_Raw!B464)</f>
        <v>S020</v>
      </c>
      <c r="C464" t="str">
        <f>Procurement_Raw!C464</f>
        <v>Bangor Care &amp; Education Centre</v>
      </c>
      <c r="D464" t="str">
        <f>Procurement_Raw!D464</f>
        <v>Wales</v>
      </c>
      <c r="E464" t="str">
        <f>IF(TRIM(Procurement_Raw!E464)="","",IFERROR(INDEX(Supplier_Lookup!$A$2:$A$25,MATCH(TRIM(Procurement_Raw!E464),Supplier_Lookup!$A$2:$A$25,0)),TRIM(Procurement_Raw!E464)))</f>
        <v>NetServe</v>
      </c>
      <c r="F464" t="str">
        <f>IFERROR(INDEX(Category_Targets!$A$2:$A$9,MATCH(TRIM(Procurement_Raw!F464),Category_Targets!$A$2:$A$9,0)),"Unmapped")</f>
        <v>IT &amp; Telecoms</v>
      </c>
      <c r="G464" t="str">
        <f>TRIM(Procurement_Raw!G464)</f>
        <v>INV-2025-00463</v>
      </c>
      <c r="H464" s="77">
        <f>Procurement_Raw!H464</f>
        <v>11</v>
      </c>
      <c r="I464" s="124">
        <f>Procurement_Raw!I464</f>
        <v>149.72</v>
      </c>
      <c r="J464" s="125">
        <f>IF(Procurement_Raw!J464="","",Procurement_Raw!J464)</f>
        <v>1646.94</v>
      </c>
      <c r="K464" s="77">
        <f>Procurement_Raw!K464</f>
        <v>60</v>
      </c>
      <c r="L464" t="str">
        <f>Procurement_Raw!L464</f>
        <v>ERP</v>
      </c>
      <c r="M464" t="str">
        <f>Procurement_Raw!O464</f>
        <v>N</v>
      </c>
      <c r="N464" t="str">
        <f>IF(E464="","Missing supplier",IF(B464="","Missing site",IF(J464="","Missing spend",IF(COUNTIFS($G$2:G464,G464,$E$2:E464,E464,$J$2:J464,J464)&gt;1,"Duplicate invoice",IF(COUNTIF($G$2:$G$1801,G464)&gt;1,"Duplicate ID - review",IF(AND(P464&lt;&gt;"Unmapped",P464&lt;&gt;F464),"Category mismatch","OK"))))))</f>
        <v>OK</v>
      </c>
      <c r="O464" s="125">
        <f t="shared" si="21"/>
        <v>1646.94</v>
      </c>
      <c r="P464" t="str">
        <f>IF(E464="","Unmapped",IFERROR(INDEX(Supplier_Lookup!$B$2:$B$25,MATCH(E464,Supplier_Lookup!$A$2:$A$25,0)),"Unmapped"))</f>
        <v>IT &amp; Telecoms</v>
      </c>
      <c r="Q464" s="76">
        <f>IFERROR(INDEX(Category_Targets!$B$2:$B$9,MATCH(F464,Category_Targets!$A$2:$A$9,0)),0)</f>
        <v>0.08</v>
      </c>
      <c r="R464" s="125">
        <f t="shared" si="22"/>
        <v>131.7552</v>
      </c>
      <c r="S464" s="78">
        <f t="shared" si="23"/>
        <v>45931</v>
      </c>
      <c r="T464" t="str">
        <f>IFERROR(VLOOKUP(B464,Sites!$A$2:$D$21,4,FALSE()),"Unknown")</f>
        <v>Bangor</v>
      </c>
      <c r="U464" t="str">
        <f>IF(N464="OK","",COUNTIF($N$2:N464,"&lt;&gt;OK"))</f>
        <v/>
      </c>
      <c r="V464">
        <f>IF(OR(NOT(EXACT(E464,TRIM(Procurement_Raw!E464))),NOT(EXACT(F464,TRIM(Procurement_Raw!F464)))),1,0)</f>
        <v>0</v>
      </c>
    </row>
    <row r="465" spans="1:22" ht="15" customHeight="1" x14ac:dyDescent="0.25">
      <c r="A465" s="123">
        <f>Procurement_Raw!A465</f>
        <v>45814</v>
      </c>
      <c r="B465" t="str">
        <f>TRIM(Procurement_Raw!B465)</f>
        <v>S003</v>
      </c>
      <c r="C465" t="str">
        <f>Procurement_Raw!C465</f>
        <v>Leeds Care &amp; Education Centre</v>
      </c>
      <c r="D465" t="str">
        <f>Procurement_Raw!D465</f>
        <v>North</v>
      </c>
      <c r="E465" t="str">
        <f>IF(TRIM(Procurement_Raw!E465)="","",IFERROR(INDEX(Supplier_Lookup!$A$2:$A$25,MATCH(TRIM(Procurement_Raw!E465),Supplier_Lookup!$A$2:$A$25,0)),TRIM(Procurement_Raw!E465)))</f>
        <v>FreshServe</v>
      </c>
      <c r="F465" t="str">
        <f>IFERROR(INDEX(Category_Targets!$A$2:$A$9,MATCH(TRIM(Procurement_Raw!F465),Category_Targets!$A$2:$A$9,0)),"Unmapped")</f>
        <v>Food &amp; Catering</v>
      </c>
      <c r="G465" t="str">
        <f>TRIM(Procurement_Raw!G465)</f>
        <v>INV-2025-00464</v>
      </c>
      <c r="H465" s="77">
        <f>Procurement_Raw!H465</f>
        <v>15</v>
      </c>
      <c r="I465" s="124">
        <f>Procurement_Raw!I465</f>
        <v>73.12</v>
      </c>
      <c r="J465" s="125">
        <f>IF(Procurement_Raw!J465="","",Procurement_Raw!J465)</f>
        <v>1096.77</v>
      </c>
      <c r="K465" s="77">
        <f>Procurement_Raw!K465</f>
        <v>30</v>
      </c>
      <c r="L465" t="str">
        <f>Procurement_Raw!L465</f>
        <v>Procurement Portal</v>
      </c>
      <c r="M465" t="str">
        <f>Procurement_Raw!O465</f>
        <v>Y</v>
      </c>
      <c r="N465" t="str">
        <f>IF(E465="","Missing supplier",IF(B465="","Missing site",IF(J465="","Missing spend",IF(COUNTIFS($G$2:G465,G465,$E$2:E465,E465,$J$2:J465,J465)&gt;1,"Duplicate invoice",IF(COUNTIF($G$2:$G$1801,G465)&gt;1,"Duplicate ID - review",IF(AND(P465&lt;&gt;"Unmapped",P465&lt;&gt;F465),"Category mismatch","OK"))))))</f>
        <v>OK</v>
      </c>
      <c r="O465" s="125">
        <f t="shared" si="21"/>
        <v>1096.77</v>
      </c>
      <c r="P465" t="str">
        <f>IF(E465="","Unmapped",IFERROR(INDEX(Supplier_Lookup!$B$2:$B$25,MATCH(E465,Supplier_Lookup!$A$2:$A$25,0)),"Unmapped"))</f>
        <v>Food &amp; Catering</v>
      </c>
      <c r="Q465" s="76">
        <f>IFERROR(INDEX(Category_Targets!$B$2:$B$9,MATCH(F465,Category_Targets!$A$2:$A$9,0)),0)</f>
        <v>0.04</v>
      </c>
      <c r="R465" s="125">
        <f t="shared" si="22"/>
        <v>43.870800000000003</v>
      </c>
      <c r="S465" s="78">
        <f t="shared" si="23"/>
        <v>45809</v>
      </c>
      <c r="T465" t="str">
        <f>IFERROR(VLOOKUP(B465,Sites!$A$2:$D$21,4,FALSE()),"Unknown")</f>
        <v>Leeds</v>
      </c>
      <c r="U465" t="str">
        <f>IF(N465="OK","",COUNTIF($N$2:N465,"&lt;&gt;OK"))</f>
        <v/>
      </c>
      <c r="V465">
        <f>IF(OR(NOT(EXACT(E465,TRIM(Procurement_Raw!E465))),NOT(EXACT(F465,TRIM(Procurement_Raw!F465)))),1,0)</f>
        <v>0</v>
      </c>
    </row>
    <row r="466" spans="1:22" ht="15" customHeight="1" x14ac:dyDescent="0.25">
      <c r="A466" s="123">
        <f>Procurement_Raw!A466</f>
        <v>45856</v>
      </c>
      <c r="B466" t="str">
        <f>TRIM(Procurement_Raw!B466)</f>
        <v>S011</v>
      </c>
      <c r="C466" t="str">
        <f>Procurement_Raw!C466</f>
        <v>London Care &amp; Education Centre</v>
      </c>
      <c r="D466" t="str">
        <f>Procurement_Raw!D466</f>
        <v>South</v>
      </c>
      <c r="E466" t="str">
        <f>IF(TRIM(Procurement_Raw!E466)="","",IFERROR(INDEX(Supplier_Lookup!$A$2:$A$25,MATCH(TRIM(Procurement_Raw!E466),Supplier_Lookup!$A$2:$A$25,0)),TRIM(Procurement_Raw!E466)))</f>
        <v>BuildCare</v>
      </c>
      <c r="F466" t="str">
        <f>IFERROR(INDEX(Category_Targets!$A$2:$A$9,MATCH(TRIM(Procurement_Raw!F466),Category_Targets!$A$2:$A$9,0)),"Unmapped")</f>
        <v>Facilities</v>
      </c>
      <c r="G466" t="str">
        <f>TRIM(Procurement_Raw!G466)</f>
        <v>INV-2025-00465</v>
      </c>
      <c r="H466" s="77">
        <f>Procurement_Raw!H466</f>
        <v>54</v>
      </c>
      <c r="I466" s="124">
        <f>Procurement_Raw!I466</f>
        <v>169.22</v>
      </c>
      <c r="J466" s="125">
        <f>IF(Procurement_Raw!J466="","",Procurement_Raw!J466)</f>
        <v>9137.67</v>
      </c>
      <c r="K466" s="77">
        <f>Procurement_Raw!K466</f>
        <v>60</v>
      </c>
      <c r="L466" t="str">
        <f>Procurement_Raw!L466</f>
        <v>ERP</v>
      </c>
      <c r="M466" t="str">
        <f>Procurement_Raw!O466</f>
        <v>N</v>
      </c>
      <c r="N466" t="str">
        <f>IF(E466="","Missing supplier",IF(B466="","Missing site",IF(J466="","Missing spend",IF(COUNTIFS($G$2:G466,G466,$E$2:E466,E466,$J$2:J466,J466)&gt;1,"Duplicate invoice",IF(COUNTIF($G$2:$G$1801,G466)&gt;1,"Duplicate ID - review",IF(AND(P466&lt;&gt;"Unmapped",P466&lt;&gt;F466),"Category mismatch","OK"))))))</f>
        <v>OK</v>
      </c>
      <c r="O466" s="125">
        <f t="shared" si="21"/>
        <v>9137.67</v>
      </c>
      <c r="P466" t="str">
        <f>IF(E466="","Unmapped",IFERROR(INDEX(Supplier_Lookup!$B$2:$B$25,MATCH(E466,Supplier_Lookup!$A$2:$A$25,0)),"Unmapped"))</f>
        <v>Facilities</v>
      </c>
      <c r="Q466" s="76">
        <f>IFERROR(INDEX(Category_Targets!$B$2:$B$9,MATCH(F466,Category_Targets!$A$2:$A$9,0)),0)</f>
        <v>0.05</v>
      </c>
      <c r="R466" s="125">
        <f t="shared" si="22"/>
        <v>456.88350000000003</v>
      </c>
      <c r="S466" s="78">
        <f t="shared" si="23"/>
        <v>45839</v>
      </c>
      <c r="T466" t="str">
        <f>IFERROR(VLOOKUP(B466,Sites!$A$2:$D$21,4,FALSE()),"Unknown")</f>
        <v>London</v>
      </c>
      <c r="U466" t="str">
        <f>IF(N466="OK","",COUNTIF($N$2:N466,"&lt;&gt;OK"))</f>
        <v/>
      </c>
      <c r="V466">
        <f>IF(OR(NOT(EXACT(E466,TRIM(Procurement_Raw!E466))),NOT(EXACT(F466,TRIM(Procurement_Raw!F466)))),1,0)</f>
        <v>0</v>
      </c>
    </row>
    <row r="467" spans="1:22" ht="15" customHeight="1" x14ac:dyDescent="0.25">
      <c r="A467" s="123">
        <f>Procurement_Raw!A467</f>
        <v>45753</v>
      </c>
      <c r="B467" t="str">
        <f>TRIM(Procurement_Raw!B467)</f>
        <v>S017</v>
      </c>
      <c r="C467" t="str">
        <f>Procurement_Raw!C467</f>
        <v>Swansea Care &amp; Education Centre</v>
      </c>
      <c r="D467" t="str">
        <f>Procurement_Raw!D467</f>
        <v>Wales</v>
      </c>
      <c r="E467" t="str">
        <f>IF(TRIM(Procurement_Raw!E467)="","",IFERROR(INDEX(Supplier_Lookup!$A$2:$A$25,MATCH(TRIM(Procurement_Raw!E467),Supplier_Lookup!$A$2:$A$25,0)),TRIM(Procurement_Raw!E467)))</f>
        <v>CareTemps</v>
      </c>
      <c r="F467" t="str">
        <f>IFERROR(INDEX(Category_Targets!$A$2:$A$9,MATCH(TRIM(Procurement_Raw!F467),Category_Targets!$A$2:$A$9,0)),"Unmapped")</f>
        <v>Agency Labour</v>
      </c>
      <c r="G467" t="str">
        <f>TRIM(Procurement_Raw!G467)</f>
        <v>INV-2025-00466</v>
      </c>
      <c r="H467" s="77">
        <f>Procurement_Raw!H467</f>
        <v>63</v>
      </c>
      <c r="I467" s="124">
        <f>Procurement_Raw!I467</f>
        <v>265.67</v>
      </c>
      <c r="J467" s="125">
        <f>IF(Procurement_Raw!J467="","",Procurement_Raw!J467)</f>
        <v>16737.11</v>
      </c>
      <c r="K467" s="77">
        <f>Procurement_Raw!K467</f>
        <v>60</v>
      </c>
      <c r="L467" t="str">
        <f>Procurement_Raw!L467</f>
        <v>Legacy Spend File</v>
      </c>
      <c r="M467" t="str">
        <f>Procurement_Raw!O467</f>
        <v>N</v>
      </c>
      <c r="N467" t="str">
        <f>IF(E467="","Missing supplier",IF(B467="","Missing site",IF(J467="","Missing spend",IF(COUNTIFS($G$2:G467,G467,$E$2:E467,E467,$J$2:J467,J467)&gt;1,"Duplicate invoice",IF(COUNTIF($G$2:$G$1801,G467)&gt;1,"Duplicate ID - review",IF(AND(P467&lt;&gt;"Unmapped",P467&lt;&gt;F467),"Category mismatch","OK"))))))</f>
        <v>OK</v>
      </c>
      <c r="O467" s="125">
        <f t="shared" si="21"/>
        <v>16737.11</v>
      </c>
      <c r="P467" t="str">
        <f>IF(E467="","Unmapped",IFERROR(INDEX(Supplier_Lookup!$B$2:$B$25,MATCH(E467,Supplier_Lookup!$A$2:$A$25,0)),"Unmapped"))</f>
        <v>Agency Labour</v>
      </c>
      <c r="Q467" s="76">
        <f>IFERROR(INDEX(Category_Targets!$B$2:$B$9,MATCH(F467,Category_Targets!$A$2:$A$9,0)),0)</f>
        <v>7.0000000000000007E-2</v>
      </c>
      <c r="R467" s="125">
        <f t="shared" si="22"/>
        <v>1171.5977000000003</v>
      </c>
      <c r="S467" s="78">
        <f t="shared" si="23"/>
        <v>45748</v>
      </c>
      <c r="T467" t="str">
        <f>IFERROR(VLOOKUP(B467,Sites!$A$2:$D$21,4,FALSE()),"Unknown")</f>
        <v>Swansea</v>
      </c>
      <c r="U467" t="str">
        <f>IF(N467="OK","",COUNTIF($N$2:N467,"&lt;&gt;OK"))</f>
        <v/>
      </c>
      <c r="V467">
        <f>IF(OR(NOT(EXACT(E467,TRIM(Procurement_Raw!E467))),NOT(EXACT(F467,TRIM(Procurement_Raw!F467)))),1,0)</f>
        <v>0</v>
      </c>
    </row>
    <row r="468" spans="1:22" ht="15" customHeight="1" x14ac:dyDescent="0.25">
      <c r="A468" s="123">
        <f>Procurement_Raw!A468</f>
        <v>45743</v>
      </c>
      <c r="B468" t="str">
        <f>TRIM(Procurement_Raw!B468)</f>
        <v>S011</v>
      </c>
      <c r="C468" t="str">
        <f>Procurement_Raw!C468</f>
        <v>London Care &amp; Education Centre</v>
      </c>
      <c r="D468" t="str">
        <f>Procurement_Raw!D468</f>
        <v>South</v>
      </c>
      <c r="E468" t="str">
        <f>IF(TRIM(Procurement_Raw!E468)="","",IFERROR(INDEX(Supplier_Lookup!$A$2:$A$25,MATCH(TRIM(Procurement_Raw!E468),Supplier_Lookup!$A$2:$A$25,0)),TRIM(Procurement_Raw!E468)))</f>
        <v>BuildCare</v>
      </c>
      <c r="F468" t="str">
        <f>IFERROR(INDEX(Category_Targets!$A$2:$A$9,MATCH(TRIM(Procurement_Raw!F468),Category_Targets!$A$2:$A$9,0)),"Unmapped")</f>
        <v>Facilities</v>
      </c>
      <c r="G468" t="str">
        <f>TRIM(Procurement_Raw!G468)</f>
        <v>INV-2025-00467</v>
      </c>
      <c r="H468" s="77">
        <f>Procurement_Raw!H468</f>
        <v>63</v>
      </c>
      <c r="I468" s="124">
        <f>Procurement_Raw!I468</f>
        <v>252.33</v>
      </c>
      <c r="J468" s="125">
        <f>IF(Procurement_Raw!J468="","",Procurement_Raw!J468)</f>
        <v>15896.96</v>
      </c>
      <c r="K468" s="77">
        <f>Procurement_Raw!K468</f>
        <v>45</v>
      </c>
      <c r="L468" t="str">
        <f>Procurement_Raw!L468</f>
        <v>ERP</v>
      </c>
      <c r="M468" t="str">
        <f>Procurement_Raw!O468</f>
        <v>N</v>
      </c>
      <c r="N468" t="str">
        <f>IF(E468="","Missing supplier",IF(B468="","Missing site",IF(J468="","Missing spend",IF(COUNTIFS($G$2:G468,G468,$E$2:E468,E468,$J$2:J468,J468)&gt;1,"Duplicate invoice",IF(COUNTIF($G$2:$G$1801,G468)&gt;1,"Duplicate ID - review",IF(AND(P468&lt;&gt;"Unmapped",P468&lt;&gt;F468),"Category mismatch","OK"))))))</f>
        <v>OK</v>
      </c>
      <c r="O468" s="125">
        <f t="shared" si="21"/>
        <v>15896.96</v>
      </c>
      <c r="P468" t="str">
        <f>IF(E468="","Unmapped",IFERROR(INDEX(Supplier_Lookup!$B$2:$B$25,MATCH(E468,Supplier_Lookup!$A$2:$A$25,0)),"Unmapped"))</f>
        <v>Facilities</v>
      </c>
      <c r="Q468" s="76">
        <f>IFERROR(INDEX(Category_Targets!$B$2:$B$9,MATCH(F468,Category_Targets!$A$2:$A$9,0)),0)</f>
        <v>0.05</v>
      </c>
      <c r="R468" s="125">
        <f t="shared" si="22"/>
        <v>794.84799999999996</v>
      </c>
      <c r="S468" s="78">
        <f t="shared" si="23"/>
        <v>45717</v>
      </c>
      <c r="T468" t="str">
        <f>IFERROR(VLOOKUP(B468,Sites!$A$2:$D$21,4,FALSE()),"Unknown")</f>
        <v>London</v>
      </c>
      <c r="U468" t="str">
        <f>IF(N468="OK","",COUNTIF($N$2:N468,"&lt;&gt;OK"))</f>
        <v/>
      </c>
      <c r="V468">
        <f>IF(OR(NOT(EXACT(E468,TRIM(Procurement_Raw!E468))),NOT(EXACT(F468,TRIM(Procurement_Raw!F468)))),1,0)</f>
        <v>0</v>
      </c>
    </row>
    <row r="469" spans="1:22" ht="15" customHeight="1" x14ac:dyDescent="0.25">
      <c r="A469" s="123">
        <f>Procurement_Raw!A469</f>
        <v>45975</v>
      </c>
      <c r="B469" t="str">
        <f>TRIM(Procurement_Raw!B469)</f>
        <v>S018</v>
      </c>
      <c r="C469" t="str">
        <f>Procurement_Raw!C469</f>
        <v>Newport Care &amp; Education Centre</v>
      </c>
      <c r="D469" t="str">
        <f>Procurement_Raw!D469</f>
        <v>Wales</v>
      </c>
      <c r="E469" t="str">
        <f>IF(TRIM(Procurement_Raw!E469)="","",IFERROR(INDEX(Supplier_Lookup!$A$2:$A$25,MATCH(TRIM(Procurement_Raw!E469),Supplier_Lookup!$A$2:$A$25,0)),TRIM(Procurement_Raw!E469)))</f>
        <v>RoadReady</v>
      </c>
      <c r="F469" t="str">
        <f>IFERROR(INDEX(Category_Targets!$A$2:$A$9,MATCH(TRIM(Procurement_Raw!F469),Category_Targets!$A$2:$A$9,0)),"Unmapped")</f>
        <v>Vehicle &amp; Fuel</v>
      </c>
      <c r="G469" t="str">
        <f>TRIM(Procurement_Raw!G469)</f>
        <v>INV-2025-00468</v>
      </c>
      <c r="H469" s="77">
        <f>Procurement_Raw!H469</f>
        <v>7</v>
      </c>
      <c r="I469" s="124">
        <f>Procurement_Raw!I469</f>
        <v>144.1</v>
      </c>
      <c r="J469" s="125">
        <f>IF(Procurement_Raw!J469="","",Procurement_Raw!J469)</f>
        <v>1008.7</v>
      </c>
      <c r="K469" s="77">
        <f>Procurement_Raw!K469</f>
        <v>45</v>
      </c>
      <c r="L469" t="str">
        <f>Procurement_Raw!L469</f>
        <v>ERP</v>
      </c>
      <c r="M469" t="str">
        <f>Procurement_Raw!O469</f>
        <v>N</v>
      </c>
      <c r="N469" t="str">
        <f>IF(E469="","Missing supplier",IF(B469="","Missing site",IF(J469="","Missing spend",IF(COUNTIFS($G$2:G469,G469,$E$2:E469,E469,$J$2:J469,J469)&gt;1,"Duplicate invoice",IF(COUNTIF($G$2:$G$1801,G469)&gt;1,"Duplicate ID - review",IF(AND(P469&lt;&gt;"Unmapped",P469&lt;&gt;F469),"Category mismatch","OK"))))))</f>
        <v>OK</v>
      </c>
      <c r="O469" s="125">
        <f t="shared" si="21"/>
        <v>1008.7</v>
      </c>
      <c r="P469" t="str">
        <f>IF(E469="","Unmapped",IFERROR(INDEX(Supplier_Lookup!$B$2:$B$25,MATCH(E469,Supplier_Lookup!$A$2:$A$25,0)),"Unmapped"))</f>
        <v>Vehicle &amp; Fuel</v>
      </c>
      <c r="Q469" s="76">
        <f>IFERROR(INDEX(Category_Targets!$B$2:$B$9,MATCH(F469,Category_Targets!$A$2:$A$9,0)),0)</f>
        <v>0.05</v>
      </c>
      <c r="R469" s="125">
        <f t="shared" si="22"/>
        <v>50.435000000000002</v>
      </c>
      <c r="S469" s="78">
        <f t="shared" si="23"/>
        <v>45962</v>
      </c>
      <c r="T469" t="str">
        <f>IFERROR(VLOOKUP(B469,Sites!$A$2:$D$21,4,FALSE()),"Unknown")</f>
        <v>Newport</v>
      </c>
      <c r="U469" t="str">
        <f>IF(N469="OK","",COUNTIF($N$2:N469,"&lt;&gt;OK"))</f>
        <v/>
      </c>
      <c r="V469">
        <f>IF(OR(NOT(EXACT(E469,TRIM(Procurement_Raw!E469))),NOT(EXACT(F469,TRIM(Procurement_Raw!F469)))),1,0)</f>
        <v>0</v>
      </c>
    </row>
    <row r="470" spans="1:22" ht="15" customHeight="1" x14ac:dyDescent="0.25">
      <c r="A470" s="123">
        <f>Procurement_Raw!A470</f>
        <v>45854</v>
      </c>
      <c r="B470" t="str">
        <f>TRIM(Procurement_Raw!B470)</f>
        <v>S017</v>
      </c>
      <c r="C470" t="str">
        <f>Procurement_Raw!C470</f>
        <v>Swansea Care &amp; Education Centre</v>
      </c>
      <c r="D470" t="str">
        <f>Procurement_Raw!D470</f>
        <v>Wales</v>
      </c>
      <c r="E470" t="str">
        <f>IF(TRIM(Procurement_Raw!E470)="","",IFERROR(INDEX(Supplier_Lookup!$A$2:$A$25,MATCH(TRIM(Procurement_Raw!E470),Supplier_Lookup!$A$2:$A$25,0)),TRIM(Procurement_Raw!E470)))</f>
        <v>CleanWorks</v>
      </c>
      <c r="F470" t="str">
        <f>IFERROR(INDEX(Category_Targets!$A$2:$A$9,MATCH(TRIM(Procurement_Raw!F470),Category_Targets!$A$2:$A$9,0)),"Unmapped")</f>
        <v>Facilities</v>
      </c>
      <c r="G470" t="str">
        <f>TRIM(Procurement_Raw!G470)</f>
        <v>INV-2025-00469</v>
      </c>
      <c r="H470" s="77">
        <f>Procurement_Raw!H470</f>
        <v>72</v>
      </c>
      <c r="I470" s="124">
        <f>Procurement_Raw!I470</f>
        <v>134.44999999999999</v>
      </c>
      <c r="J470" s="125">
        <f>IF(Procurement_Raw!J470="","",Procurement_Raw!J470)</f>
        <v>9680.2900000000009</v>
      </c>
      <c r="K470" s="77">
        <f>Procurement_Raw!K470</f>
        <v>60</v>
      </c>
      <c r="L470" t="str">
        <f>Procurement_Raw!L470</f>
        <v>Legacy Spend File</v>
      </c>
      <c r="M470" t="str">
        <f>Procurement_Raw!O470</f>
        <v>Y</v>
      </c>
      <c r="N470" t="str">
        <f>IF(E470="","Missing supplier",IF(B470="","Missing site",IF(J470="","Missing spend",IF(COUNTIFS($G$2:G470,G470,$E$2:E470,E470,$J$2:J470,J470)&gt;1,"Duplicate invoice",IF(COUNTIF($G$2:$G$1801,G470)&gt;1,"Duplicate ID - review",IF(AND(P470&lt;&gt;"Unmapped",P470&lt;&gt;F470),"Category mismatch","OK"))))))</f>
        <v>OK</v>
      </c>
      <c r="O470" s="125">
        <f t="shared" si="21"/>
        <v>9680.2900000000009</v>
      </c>
      <c r="P470" t="str">
        <f>IF(E470="","Unmapped",IFERROR(INDEX(Supplier_Lookup!$B$2:$B$25,MATCH(E470,Supplier_Lookup!$A$2:$A$25,0)),"Unmapped"))</f>
        <v>Facilities</v>
      </c>
      <c r="Q470" s="76">
        <f>IFERROR(INDEX(Category_Targets!$B$2:$B$9,MATCH(F470,Category_Targets!$A$2:$A$9,0)),0)</f>
        <v>0.05</v>
      </c>
      <c r="R470" s="125">
        <f t="shared" si="22"/>
        <v>484.01450000000006</v>
      </c>
      <c r="S470" s="78">
        <f t="shared" si="23"/>
        <v>45839</v>
      </c>
      <c r="T470" t="str">
        <f>IFERROR(VLOOKUP(B470,Sites!$A$2:$D$21,4,FALSE()),"Unknown")</f>
        <v>Swansea</v>
      </c>
      <c r="U470" t="str">
        <f>IF(N470="OK","",COUNTIF($N$2:N470,"&lt;&gt;OK"))</f>
        <v/>
      </c>
      <c r="V470">
        <f>IF(OR(NOT(EXACT(E470,TRIM(Procurement_Raw!E470))),NOT(EXACT(F470,TRIM(Procurement_Raw!F470)))),1,0)</f>
        <v>0</v>
      </c>
    </row>
    <row r="471" spans="1:22" ht="15" customHeight="1" x14ac:dyDescent="0.25">
      <c r="A471" s="123">
        <f>Procurement_Raw!A471</f>
        <v>45909</v>
      </c>
      <c r="B471" t="str">
        <f>TRIM(Procurement_Raw!B471)</f>
        <v>S010</v>
      </c>
      <c r="C471" t="str">
        <f>Procurement_Raw!C471</f>
        <v>Coventry Care &amp; Education Centre</v>
      </c>
      <c r="D471" t="str">
        <f>Procurement_Raw!D471</f>
        <v>Midlands</v>
      </c>
      <c r="E471" t="str">
        <f>IF(TRIM(Procurement_Raw!E471)="","",IFERROR(INDEX(Supplier_Lookup!$A$2:$A$25,MATCH(TRIM(Procurement_Raw!E471),Supplier_Lookup!$A$2:$A$25,0)),TRIM(Procurement_Raw!E471)))</f>
        <v>NurseLink</v>
      </c>
      <c r="F471" t="str">
        <f>IFERROR(INDEX(Category_Targets!$A$2:$A$9,MATCH(TRIM(Procurement_Raw!F471),Category_Targets!$A$2:$A$9,0)),"Unmapped")</f>
        <v>Agency Labour</v>
      </c>
      <c r="G471" t="str">
        <f>TRIM(Procurement_Raw!G471)</f>
        <v>INV-2025-00470</v>
      </c>
      <c r="H471" s="77">
        <f>Procurement_Raw!H471</f>
        <v>54</v>
      </c>
      <c r="I471" s="124">
        <f>Procurement_Raw!I471</f>
        <v>218.56</v>
      </c>
      <c r="J471" s="125">
        <f>IF(Procurement_Raw!J471="","",Procurement_Raw!J471)</f>
        <v>11802.5</v>
      </c>
      <c r="K471" s="77">
        <f>Procurement_Raw!K471</f>
        <v>60</v>
      </c>
      <c r="L471" t="str">
        <f>Procurement_Raw!L471</f>
        <v>Procurement Portal</v>
      </c>
      <c r="M471" t="str">
        <f>Procurement_Raw!O471</f>
        <v>N</v>
      </c>
      <c r="N471" t="str">
        <f>IF(E471="","Missing supplier",IF(B471="","Missing site",IF(J471="","Missing spend",IF(COUNTIFS($G$2:G471,G471,$E$2:E471,E471,$J$2:J471,J471)&gt;1,"Duplicate invoice",IF(COUNTIF($G$2:$G$1801,G471)&gt;1,"Duplicate ID - review",IF(AND(P471&lt;&gt;"Unmapped",P471&lt;&gt;F471),"Category mismatch","OK"))))))</f>
        <v>OK</v>
      </c>
      <c r="O471" s="125">
        <f t="shared" si="21"/>
        <v>11802.5</v>
      </c>
      <c r="P471" t="str">
        <f>IF(E471="","Unmapped",IFERROR(INDEX(Supplier_Lookup!$B$2:$B$25,MATCH(E471,Supplier_Lookup!$A$2:$A$25,0)),"Unmapped"))</f>
        <v>Agency Labour</v>
      </c>
      <c r="Q471" s="76">
        <f>IFERROR(INDEX(Category_Targets!$B$2:$B$9,MATCH(F471,Category_Targets!$A$2:$A$9,0)),0)</f>
        <v>7.0000000000000007E-2</v>
      </c>
      <c r="R471" s="125">
        <f t="shared" si="22"/>
        <v>826.17500000000007</v>
      </c>
      <c r="S471" s="78">
        <f t="shared" si="23"/>
        <v>45901</v>
      </c>
      <c r="T471" t="str">
        <f>IFERROR(VLOOKUP(B471,Sites!$A$2:$D$21,4,FALSE()),"Unknown")</f>
        <v>Coventry</v>
      </c>
      <c r="U471" t="str">
        <f>IF(N471="OK","",COUNTIF($N$2:N471,"&lt;&gt;OK"))</f>
        <v/>
      </c>
      <c r="V471">
        <f>IF(OR(NOT(EXACT(E471,TRIM(Procurement_Raw!E471))),NOT(EXACT(F471,TRIM(Procurement_Raw!F471)))),1,0)</f>
        <v>0</v>
      </c>
    </row>
    <row r="472" spans="1:22" ht="15" customHeight="1" x14ac:dyDescent="0.25">
      <c r="A472" s="123">
        <f>Procurement_Raw!A472</f>
        <v>45947</v>
      </c>
      <c r="B472" t="str">
        <f>TRIM(Procurement_Raw!B472)</f>
        <v>S003</v>
      </c>
      <c r="C472" t="str">
        <f>Procurement_Raw!C472</f>
        <v>Leeds Care &amp; Education Centre</v>
      </c>
      <c r="D472" t="str">
        <f>Procurement_Raw!D472</f>
        <v>North</v>
      </c>
      <c r="E472" t="str">
        <f>IF(TRIM(Procurement_Raw!E472)="","",IFERROR(INDEX(Supplier_Lookup!$A$2:$A$25,MATCH(TRIM(Procurement_Raw!E472),Supplier_Lookup!$A$2:$A$25,0)),TRIM(Procurement_Raw!E472)))</f>
        <v>CleanWorks</v>
      </c>
      <c r="F472" t="str">
        <f>IFERROR(INDEX(Category_Targets!$A$2:$A$9,MATCH(TRIM(Procurement_Raw!F472),Category_Targets!$A$2:$A$9,0)),"Unmapped")</f>
        <v>Facilities</v>
      </c>
      <c r="G472" t="str">
        <f>TRIM(Procurement_Raw!G472)</f>
        <v>INV-2025-00471</v>
      </c>
      <c r="H472" s="77">
        <f>Procurement_Raw!H472</f>
        <v>4</v>
      </c>
      <c r="I472" s="124">
        <f>Procurement_Raw!I472</f>
        <v>154.72999999999999</v>
      </c>
      <c r="J472" s="125">
        <f>IF(Procurement_Raw!J472="","",Procurement_Raw!J472)</f>
        <v>618.91999999999996</v>
      </c>
      <c r="K472" s="77">
        <f>Procurement_Raw!K472</f>
        <v>30</v>
      </c>
      <c r="L472" t="str">
        <f>Procurement_Raw!L472</f>
        <v>Procurement Portal</v>
      </c>
      <c r="M472" t="str">
        <f>Procurement_Raw!O472</f>
        <v>Y</v>
      </c>
      <c r="N472" t="str">
        <f>IF(E472="","Missing supplier",IF(B472="","Missing site",IF(J472="","Missing spend",IF(COUNTIFS($G$2:G472,G472,$E$2:E472,E472,$J$2:J472,J472)&gt;1,"Duplicate invoice",IF(COUNTIF($G$2:$G$1801,G472)&gt;1,"Duplicate ID - review",IF(AND(P472&lt;&gt;"Unmapped",P472&lt;&gt;F472),"Category mismatch","OK"))))))</f>
        <v>OK</v>
      </c>
      <c r="O472" s="125">
        <f t="shared" si="21"/>
        <v>618.91999999999996</v>
      </c>
      <c r="P472" t="str">
        <f>IF(E472="","Unmapped",IFERROR(INDEX(Supplier_Lookup!$B$2:$B$25,MATCH(E472,Supplier_Lookup!$A$2:$A$25,0)),"Unmapped"))</f>
        <v>Facilities</v>
      </c>
      <c r="Q472" s="76">
        <f>IFERROR(INDEX(Category_Targets!$B$2:$B$9,MATCH(F472,Category_Targets!$A$2:$A$9,0)),0)</f>
        <v>0.05</v>
      </c>
      <c r="R472" s="125">
        <f t="shared" si="22"/>
        <v>30.945999999999998</v>
      </c>
      <c r="S472" s="78">
        <f t="shared" si="23"/>
        <v>45931</v>
      </c>
      <c r="T472" t="str">
        <f>IFERROR(VLOOKUP(B472,Sites!$A$2:$D$21,4,FALSE()),"Unknown")</f>
        <v>Leeds</v>
      </c>
      <c r="U472" t="str">
        <f>IF(N472="OK","",COUNTIF($N$2:N472,"&lt;&gt;OK"))</f>
        <v/>
      </c>
      <c r="V472">
        <f>IF(OR(NOT(EXACT(E472,TRIM(Procurement_Raw!E472))),NOT(EXACT(F472,TRIM(Procurement_Raw!F472)))),1,0)</f>
        <v>0</v>
      </c>
    </row>
    <row r="473" spans="1:22" ht="15" customHeight="1" x14ac:dyDescent="0.25">
      <c r="A473" s="123">
        <f>Procurement_Raw!A473</f>
        <v>45933</v>
      </c>
      <c r="B473" t="str">
        <f>TRIM(Procurement_Raw!B473)</f>
        <v>S003</v>
      </c>
      <c r="C473" t="str">
        <f>Procurement_Raw!C473</f>
        <v>Leeds Care &amp; Education Centre</v>
      </c>
      <c r="D473" t="str">
        <f>Procurement_Raw!D473</f>
        <v>North</v>
      </c>
      <c r="E473" t="str">
        <f>IF(TRIM(Procurement_Raw!E473)="","",IFERROR(INDEX(Supplier_Lookup!$A$2:$A$25,MATCH(TRIM(Procurement_Raw!E473),Supplier_Lookup!$A$2:$A$25,0)),TRIM(Procurement_Raw!E473)))</f>
        <v>CloudLink</v>
      </c>
      <c r="F473" t="str">
        <f>IFERROR(INDEX(Category_Targets!$A$2:$A$9,MATCH(TRIM(Procurement_Raw!F473),Category_Targets!$A$2:$A$9,0)),"Unmapped")</f>
        <v>IT &amp; Telecoms</v>
      </c>
      <c r="G473" t="str">
        <f>TRIM(Procurement_Raw!G473)</f>
        <v>INV-2025-00472</v>
      </c>
      <c r="H473" s="77">
        <f>Procurement_Raw!H473</f>
        <v>37</v>
      </c>
      <c r="I473" s="124">
        <f>Procurement_Raw!I473</f>
        <v>62.03</v>
      </c>
      <c r="J473" s="125">
        <f>IF(Procurement_Raw!J473="","",Procurement_Raw!J473)</f>
        <v>2295</v>
      </c>
      <c r="K473" s="77">
        <f>Procurement_Raw!K473</f>
        <v>30</v>
      </c>
      <c r="L473" t="str">
        <f>Procurement_Raw!L473</f>
        <v>Procurement Portal</v>
      </c>
      <c r="M473" t="str">
        <f>Procurement_Raw!O473</f>
        <v>Y</v>
      </c>
      <c r="N473" t="str">
        <f>IF(E473="","Missing supplier",IF(B473="","Missing site",IF(J473="","Missing spend",IF(COUNTIFS($G$2:G473,G473,$E$2:E473,E473,$J$2:J473,J473)&gt;1,"Duplicate invoice",IF(COUNTIF($G$2:$G$1801,G473)&gt;1,"Duplicate ID - review",IF(AND(P473&lt;&gt;"Unmapped",P473&lt;&gt;F473),"Category mismatch","OK"))))))</f>
        <v>OK</v>
      </c>
      <c r="O473" s="125">
        <f t="shared" si="21"/>
        <v>2295</v>
      </c>
      <c r="P473" t="str">
        <f>IF(E473="","Unmapped",IFERROR(INDEX(Supplier_Lookup!$B$2:$B$25,MATCH(E473,Supplier_Lookup!$A$2:$A$25,0)),"Unmapped"))</f>
        <v>IT &amp; Telecoms</v>
      </c>
      <c r="Q473" s="76">
        <f>IFERROR(INDEX(Category_Targets!$B$2:$B$9,MATCH(F473,Category_Targets!$A$2:$A$9,0)),0)</f>
        <v>0.08</v>
      </c>
      <c r="R473" s="125">
        <f t="shared" si="22"/>
        <v>183.6</v>
      </c>
      <c r="S473" s="78">
        <f t="shared" si="23"/>
        <v>45931</v>
      </c>
      <c r="T473" t="str">
        <f>IFERROR(VLOOKUP(B473,Sites!$A$2:$D$21,4,FALSE()),"Unknown")</f>
        <v>Leeds</v>
      </c>
      <c r="U473" t="str">
        <f>IF(N473="OK","",COUNTIF($N$2:N473,"&lt;&gt;OK"))</f>
        <v/>
      </c>
      <c r="V473">
        <f>IF(OR(NOT(EXACT(E473,TRIM(Procurement_Raw!E473))),NOT(EXACT(F473,TRIM(Procurement_Raw!F473)))),1,0)</f>
        <v>0</v>
      </c>
    </row>
    <row r="474" spans="1:22" ht="15" customHeight="1" x14ac:dyDescent="0.25">
      <c r="A474" s="123">
        <f>Procurement_Raw!A474</f>
        <v>45919</v>
      </c>
      <c r="B474" t="str">
        <f>TRIM(Procurement_Raw!B474)</f>
        <v>S016</v>
      </c>
      <c r="C474" t="str">
        <f>Procurement_Raw!C474</f>
        <v>Cardiff Care &amp; Education Centre</v>
      </c>
      <c r="D474" t="str">
        <f>Procurement_Raw!D474</f>
        <v>Wales</v>
      </c>
      <c r="E474" t="str">
        <f>IF(TRIM(Procurement_Raw!E474)="","",IFERROR(INDEX(Supplier_Lookup!$A$2:$A$25,MATCH(TRIM(Procurement_Raw!E474),Supplier_Lookup!$A$2:$A$25,0)),TRIM(Procurement_Raw!E474)))</f>
        <v>PrintCo</v>
      </c>
      <c r="F474" t="str">
        <f>IFERROR(INDEX(Category_Targets!$A$2:$A$9,MATCH(TRIM(Procurement_Raw!F474),Category_Targets!$A$2:$A$9,0)),"Unmapped")</f>
        <v>Office &amp; Training</v>
      </c>
      <c r="G474" t="str">
        <f>TRIM(Procurement_Raw!G474)</f>
        <v>INV-2025-00473</v>
      </c>
      <c r="H474" s="77">
        <f>Procurement_Raw!H474</f>
        <v>15</v>
      </c>
      <c r="I474" s="124">
        <f>Procurement_Raw!I474</f>
        <v>32.590000000000003</v>
      </c>
      <c r="J474" s="125">
        <f>IF(Procurement_Raw!J474="","",Procurement_Raw!J474)</f>
        <v>488.91</v>
      </c>
      <c r="K474" s="77">
        <f>Procurement_Raw!K474</f>
        <v>60</v>
      </c>
      <c r="L474" t="str">
        <f>Procurement_Raw!L474</f>
        <v>ERP</v>
      </c>
      <c r="M474" t="str">
        <f>Procurement_Raw!O474</f>
        <v>N</v>
      </c>
      <c r="N474" t="str">
        <f>IF(E474="","Missing supplier",IF(B474="","Missing site",IF(J474="","Missing spend",IF(COUNTIFS($G$2:G474,G474,$E$2:E474,E474,$J$2:J474,J474)&gt;1,"Duplicate invoice",IF(COUNTIF($G$2:$G$1801,G474)&gt;1,"Duplicate ID - review",IF(AND(P474&lt;&gt;"Unmapped",P474&lt;&gt;F474),"Category mismatch","OK"))))))</f>
        <v>OK</v>
      </c>
      <c r="O474" s="125">
        <f t="shared" si="21"/>
        <v>488.91</v>
      </c>
      <c r="P474" t="str">
        <f>IF(E474="","Unmapped",IFERROR(INDEX(Supplier_Lookup!$B$2:$B$25,MATCH(E474,Supplier_Lookup!$A$2:$A$25,0)),"Unmapped"))</f>
        <v>Office &amp; Training</v>
      </c>
      <c r="Q474" s="76">
        <f>IFERROR(INDEX(Category_Targets!$B$2:$B$9,MATCH(F474,Category_Targets!$A$2:$A$9,0)),0)</f>
        <v>0.04</v>
      </c>
      <c r="R474" s="125">
        <f t="shared" si="22"/>
        <v>19.5564</v>
      </c>
      <c r="S474" s="78">
        <f t="shared" si="23"/>
        <v>45901</v>
      </c>
      <c r="T474" t="str">
        <f>IFERROR(VLOOKUP(B474,Sites!$A$2:$D$21,4,FALSE()),"Unknown")</f>
        <v>Cardiff</v>
      </c>
      <c r="U474" t="str">
        <f>IF(N474="OK","",COUNTIF($N$2:N474,"&lt;&gt;OK"))</f>
        <v/>
      </c>
      <c r="V474">
        <f>IF(OR(NOT(EXACT(E474,TRIM(Procurement_Raw!E474))),NOT(EXACT(F474,TRIM(Procurement_Raw!F474)))),1,0)</f>
        <v>0</v>
      </c>
    </row>
    <row r="475" spans="1:22" ht="15" customHeight="1" x14ac:dyDescent="0.25">
      <c r="A475" s="123">
        <f>Procurement_Raw!A475</f>
        <v>45679</v>
      </c>
      <c r="B475" t="str">
        <f>TRIM(Procurement_Raw!B475)</f>
        <v>S007</v>
      </c>
      <c r="C475" t="str">
        <f>Procurement_Raw!C475</f>
        <v>Nottingham Care &amp; Education Centre</v>
      </c>
      <c r="D475" t="str">
        <f>Procurement_Raw!D475</f>
        <v>Midlands</v>
      </c>
      <c r="E475" t="str">
        <f>IF(TRIM(Procurement_Raw!E475)="","",IFERROR(INDEX(Supplier_Lookup!$A$2:$A$25,MATCH(TRIM(Procurement_Raw!E475),Supplier_Lookup!$A$2:$A$25,0)),TRIM(Procurement_Raw!E475)))</f>
        <v>AutoCare</v>
      </c>
      <c r="F475" t="str">
        <f>IFERROR(INDEX(Category_Targets!$A$2:$A$9,MATCH(TRIM(Procurement_Raw!F475),Category_Targets!$A$2:$A$9,0)),"Unmapped")</f>
        <v>Vehicle &amp; Fuel</v>
      </c>
      <c r="G475" t="str">
        <f>TRIM(Procurement_Raw!G475)</f>
        <v>INV-2025-00474</v>
      </c>
      <c r="H475" s="77">
        <f>Procurement_Raw!H475</f>
        <v>57</v>
      </c>
      <c r="I475" s="124">
        <f>Procurement_Raw!I475</f>
        <v>201.47</v>
      </c>
      <c r="J475" s="125">
        <f>IF(Procurement_Raw!J475="","",Procurement_Raw!J475)</f>
        <v>11483.99</v>
      </c>
      <c r="K475" s="77">
        <f>Procurement_Raw!K475</f>
        <v>60</v>
      </c>
      <c r="L475" t="str">
        <f>Procurement_Raw!L475</f>
        <v>ERP</v>
      </c>
      <c r="M475" t="str">
        <f>Procurement_Raw!O475</f>
        <v>N</v>
      </c>
      <c r="N475" t="str">
        <f>IF(E475="","Missing supplier",IF(B475="","Missing site",IF(J475="","Missing spend",IF(COUNTIFS($G$2:G475,G475,$E$2:E475,E475,$J$2:J475,J475)&gt;1,"Duplicate invoice",IF(COUNTIF($G$2:$G$1801,G475)&gt;1,"Duplicate ID - review",IF(AND(P475&lt;&gt;"Unmapped",P475&lt;&gt;F475),"Category mismatch","OK"))))))</f>
        <v>OK</v>
      </c>
      <c r="O475" s="125">
        <f t="shared" si="21"/>
        <v>11483.99</v>
      </c>
      <c r="P475" t="str">
        <f>IF(E475="","Unmapped",IFERROR(INDEX(Supplier_Lookup!$B$2:$B$25,MATCH(E475,Supplier_Lookup!$A$2:$A$25,0)),"Unmapped"))</f>
        <v>Vehicle &amp; Fuel</v>
      </c>
      <c r="Q475" s="76">
        <f>IFERROR(INDEX(Category_Targets!$B$2:$B$9,MATCH(F475,Category_Targets!$A$2:$A$9,0)),0)</f>
        <v>0.05</v>
      </c>
      <c r="R475" s="125">
        <f t="shared" si="22"/>
        <v>574.19950000000006</v>
      </c>
      <c r="S475" s="78">
        <f t="shared" si="23"/>
        <v>45658</v>
      </c>
      <c r="T475" t="str">
        <f>IFERROR(VLOOKUP(B475,Sites!$A$2:$D$21,4,FALSE()),"Unknown")</f>
        <v>Nottingham</v>
      </c>
      <c r="U475" t="str">
        <f>IF(N475="OK","",COUNTIF($N$2:N475,"&lt;&gt;OK"))</f>
        <v/>
      </c>
      <c r="V475">
        <f>IF(OR(NOT(EXACT(E475,TRIM(Procurement_Raw!E475))),NOT(EXACT(F475,TRIM(Procurement_Raw!F475)))),1,0)</f>
        <v>0</v>
      </c>
    </row>
    <row r="476" spans="1:22" ht="15" customHeight="1" x14ac:dyDescent="0.25">
      <c r="A476" s="123">
        <f>Procurement_Raw!A476</f>
        <v>45992</v>
      </c>
      <c r="B476" t="str">
        <f>TRIM(Procurement_Raw!B476)</f>
        <v>S006</v>
      </c>
      <c r="C476" t="str">
        <f>Procurement_Raw!C476</f>
        <v>Birmingham Care &amp; Education Centre</v>
      </c>
      <c r="D476" t="str">
        <f>Procurement_Raw!D476</f>
        <v>Midlands</v>
      </c>
      <c r="E476" t="str">
        <f>IF(TRIM(Procurement_Raw!E476)="","",IFERROR(INDEX(Supplier_Lookup!$A$2:$A$25,MATCH(TRIM(Procurement_Raw!E476),Supplier_Lookup!$A$2:$A$25,0)),TRIM(Procurement_Raw!E476)))</f>
        <v>KitchenPro</v>
      </c>
      <c r="F476" t="str">
        <f>IFERROR(INDEX(Category_Targets!$A$2:$A$9,MATCH(TRIM(Procurement_Raw!F476),Category_Targets!$A$2:$A$9,0)),"Unmapped")</f>
        <v>Food &amp; Catering</v>
      </c>
      <c r="G476" t="str">
        <f>TRIM(Procurement_Raw!G476)</f>
        <v>INV-2025-00475</v>
      </c>
      <c r="H476" s="77">
        <f>Procurement_Raw!H476</f>
        <v>32</v>
      </c>
      <c r="I476" s="124">
        <f>Procurement_Raw!I476</f>
        <v>160.63</v>
      </c>
      <c r="J476" s="125">
        <f>IF(Procurement_Raw!J476="","",Procurement_Raw!J476)</f>
        <v>5140.24</v>
      </c>
      <c r="K476" s="77">
        <f>Procurement_Raw!K476</f>
        <v>45</v>
      </c>
      <c r="L476" t="str">
        <f>Procurement_Raw!L476</f>
        <v>ERP</v>
      </c>
      <c r="M476" t="str">
        <f>Procurement_Raw!O476</f>
        <v>N</v>
      </c>
      <c r="N476" t="str">
        <f>IF(E476="","Missing supplier",IF(B476="","Missing site",IF(J476="","Missing spend",IF(COUNTIFS($G$2:G476,G476,$E$2:E476,E476,$J$2:J476,J476)&gt;1,"Duplicate invoice",IF(COUNTIF($G$2:$G$1801,G476)&gt;1,"Duplicate ID - review",IF(AND(P476&lt;&gt;"Unmapped",P476&lt;&gt;F476),"Category mismatch","OK"))))))</f>
        <v>OK</v>
      </c>
      <c r="O476" s="125">
        <f t="shared" si="21"/>
        <v>5140.24</v>
      </c>
      <c r="P476" t="str">
        <f>IF(E476="","Unmapped",IFERROR(INDEX(Supplier_Lookup!$B$2:$B$25,MATCH(E476,Supplier_Lookup!$A$2:$A$25,0)),"Unmapped"))</f>
        <v>Food &amp; Catering</v>
      </c>
      <c r="Q476" s="76">
        <f>IFERROR(INDEX(Category_Targets!$B$2:$B$9,MATCH(F476,Category_Targets!$A$2:$A$9,0)),0)</f>
        <v>0.04</v>
      </c>
      <c r="R476" s="125">
        <f t="shared" si="22"/>
        <v>205.6096</v>
      </c>
      <c r="S476" s="78">
        <f t="shared" si="23"/>
        <v>45992</v>
      </c>
      <c r="T476" t="str">
        <f>IFERROR(VLOOKUP(B476,Sites!$A$2:$D$21,4,FALSE()),"Unknown")</f>
        <v>Birmingham</v>
      </c>
      <c r="U476" t="str">
        <f>IF(N476="OK","",COUNTIF($N$2:N476,"&lt;&gt;OK"))</f>
        <v/>
      </c>
      <c r="V476">
        <f>IF(OR(NOT(EXACT(E476,TRIM(Procurement_Raw!E476))),NOT(EXACT(F476,TRIM(Procurement_Raw!F476)))),1,0)</f>
        <v>0</v>
      </c>
    </row>
    <row r="477" spans="1:22" ht="15" customHeight="1" x14ac:dyDescent="0.25">
      <c r="A477" s="123">
        <f>Procurement_Raw!A477</f>
        <v>45702</v>
      </c>
      <c r="B477" t="str">
        <f>TRIM(Procurement_Raw!B477)</f>
        <v>S001</v>
      </c>
      <c r="C477" t="str">
        <f>Procurement_Raw!C477</f>
        <v>Preston Care &amp; Education Centre</v>
      </c>
      <c r="D477" t="str">
        <f>Procurement_Raw!D477</f>
        <v>North</v>
      </c>
      <c r="E477" t="str">
        <f>IF(TRIM(Procurement_Raw!E477)="","",IFERROR(INDEX(Supplier_Lookup!$A$2:$A$25,MATCH(TRIM(Procurement_Raw!E477),Supplier_Lookup!$A$2:$A$25,0)),TRIM(Procurement_Raw!E477)))</f>
        <v>TeleCare IT</v>
      </c>
      <c r="F477" t="str">
        <f>IFERROR(INDEX(Category_Targets!$A$2:$A$9,MATCH(TRIM(Procurement_Raw!F477),Category_Targets!$A$2:$A$9,0)),"Unmapped")</f>
        <v>IT &amp; Telecoms</v>
      </c>
      <c r="G477" t="str">
        <f>TRIM(Procurement_Raw!G477)</f>
        <v>INV-2025-00476</v>
      </c>
      <c r="H477" s="77">
        <f>Procurement_Raw!H477</f>
        <v>57</v>
      </c>
      <c r="I477" s="124">
        <f>Procurement_Raw!I477</f>
        <v>191.84</v>
      </c>
      <c r="J477" s="125">
        <f>IF(Procurement_Raw!J477="","",Procurement_Raw!J477)</f>
        <v>10934.84</v>
      </c>
      <c r="K477" s="77">
        <f>Procurement_Raw!K477</f>
        <v>30</v>
      </c>
      <c r="L477" t="str">
        <f>Procurement_Raw!L477</f>
        <v>ERP</v>
      </c>
      <c r="M477" t="str">
        <f>Procurement_Raw!O477</f>
        <v>N</v>
      </c>
      <c r="N477" t="str">
        <f>IF(E477="","Missing supplier",IF(B477="","Missing site",IF(J477="","Missing spend",IF(COUNTIFS($G$2:G477,G477,$E$2:E477,E477,$J$2:J477,J477)&gt;1,"Duplicate invoice",IF(COUNTIF($G$2:$G$1801,G477)&gt;1,"Duplicate ID - review",IF(AND(P477&lt;&gt;"Unmapped",P477&lt;&gt;F477),"Category mismatch","OK"))))))</f>
        <v>OK</v>
      </c>
      <c r="O477" s="125">
        <f t="shared" si="21"/>
        <v>10934.84</v>
      </c>
      <c r="P477" t="str">
        <f>IF(E477="","Unmapped",IFERROR(INDEX(Supplier_Lookup!$B$2:$B$25,MATCH(E477,Supplier_Lookup!$A$2:$A$25,0)),"Unmapped"))</f>
        <v>IT &amp; Telecoms</v>
      </c>
      <c r="Q477" s="76">
        <f>IFERROR(INDEX(Category_Targets!$B$2:$B$9,MATCH(F477,Category_Targets!$A$2:$A$9,0)),0)</f>
        <v>0.08</v>
      </c>
      <c r="R477" s="125">
        <f t="shared" si="22"/>
        <v>874.78719999999998</v>
      </c>
      <c r="S477" s="78">
        <f t="shared" si="23"/>
        <v>45689</v>
      </c>
      <c r="T477" t="str">
        <f>IFERROR(VLOOKUP(B477,Sites!$A$2:$D$21,4,FALSE()),"Unknown")</f>
        <v>Preston</v>
      </c>
      <c r="U477" t="str">
        <f>IF(N477="OK","",COUNTIF($N$2:N477,"&lt;&gt;OK"))</f>
        <v/>
      </c>
      <c r="V477">
        <f>IF(OR(NOT(EXACT(E477,TRIM(Procurement_Raw!E477))),NOT(EXACT(F477,TRIM(Procurement_Raw!F477)))),1,0)</f>
        <v>0</v>
      </c>
    </row>
    <row r="478" spans="1:22" ht="15" customHeight="1" x14ac:dyDescent="0.25">
      <c r="A478" s="123">
        <f>Procurement_Raw!A478</f>
        <v>45970</v>
      </c>
      <c r="B478" t="str">
        <f>TRIM(Procurement_Raw!B478)</f>
        <v>S011</v>
      </c>
      <c r="C478" t="str">
        <f>Procurement_Raw!C478</f>
        <v>London Care &amp; Education Centre</v>
      </c>
      <c r="D478" t="str">
        <f>Procurement_Raw!D478</f>
        <v>South</v>
      </c>
      <c r="E478" t="str">
        <f>IF(TRIM(Procurement_Raw!E478)="","",IFERROR(INDEX(Supplier_Lookup!$A$2:$A$25,MATCH(TRIM(Procurement_Raw!E478),Supplier_Lookup!$A$2:$A$25,0)),TRIM(Procurement_Raw!E478)))</f>
        <v>AutoCare</v>
      </c>
      <c r="F478" t="str">
        <f>IFERROR(INDEX(Category_Targets!$A$2:$A$9,MATCH(TRIM(Procurement_Raw!F478),Category_Targets!$A$2:$A$9,0)),"Unmapped")</f>
        <v>Vehicle &amp; Fuel</v>
      </c>
      <c r="G478" t="str">
        <f>TRIM(Procurement_Raw!G478)</f>
        <v>INV-2025-00477</v>
      </c>
      <c r="H478" s="77">
        <f>Procurement_Raw!H478</f>
        <v>55</v>
      </c>
      <c r="I478" s="124">
        <f>Procurement_Raw!I478</f>
        <v>130.44999999999999</v>
      </c>
      <c r="J478" s="125">
        <f>IF(Procurement_Raw!J478="","",Procurement_Raw!J478)</f>
        <v>7174.7</v>
      </c>
      <c r="K478" s="77">
        <f>Procurement_Raw!K478</f>
        <v>30</v>
      </c>
      <c r="L478" t="str">
        <f>Procurement_Raw!L478</f>
        <v>Legacy Spend File</v>
      </c>
      <c r="M478" t="str">
        <f>Procurement_Raw!O478</f>
        <v>N</v>
      </c>
      <c r="N478" t="str">
        <f>IF(E478="","Missing supplier",IF(B478="","Missing site",IF(J478="","Missing spend",IF(COUNTIFS($G$2:G478,G478,$E$2:E478,E478,$J$2:J478,J478)&gt;1,"Duplicate invoice",IF(COUNTIF($G$2:$G$1801,G478)&gt;1,"Duplicate ID - review",IF(AND(P478&lt;&gt;"Unmapped",P478&lt;&gt;F478),"Category mismatch","OK"))))))</f>
        <v>OK</v>
      </c>
      <c r="O478" s="125">
        <f t="shared" si="21"/>
        <v>7174.7</v>
      </c>
      <c r="P478" t="str">
        <f>IF(E478="","Unmapped",IFERROR(INDEX(Supplier_Lookup!$B$2:$B$25,MATCH(E478,Supplier_Lookup!$A$2:$A$25,0)),"Unmapped"))</f>
        <v>Vehicle &amp; Fuel</v>
      </c>
      <c r="Q478" s="76">
        <f>IFERROR(INDEX(Category_Targets!$B$2:$B$9,MATCH(F478,Category_Targets!$A$2:$A$9,0)),0)</f>
        <v>0.05</v>
      </c>
      <c r="R478" s="125">
        <f t="shared" si="22"/>
        <v>358.73500000000001</v>
      </c>
      <c r="S478" s="78">
        <f t="shared" si="23"/>
        <v>45962</v>
      </c>
      <c r="T478" t="str">
        <f>IFERROR(VLOOKUP(B478,Sites!$A$2:$D$21,4,FALSE()),"Unknown")</f>
        <v>London</v>
      </c>
      <c r="U478" t="str">
        <f>IF(N478="OK","",COUNTIF($N$2:N478,"&lt;&gt;OK"))</f>
        <v/>
      </c>
      <c r="V478">
        <f>IF(OR(NOT(EXACT(E478,TRIM(Procurement_Raw!E478))),NOT(EXACT(F478,TRIM(Procurement_Raw!F478)))),1,0)</f>
        <v>0</v>
      </c>
    </row>
    <row r="479" spans="1:22" ht="15" customHeight="1" x14ac:dyDescent="0.25">
      <c r="A479" s="123">
        <f>Procurement_Raw!A479</f>
        <v>45688</v>
      </c>
      <c r="B479" t="str">
        <f>TRIM(Procurement_Raw!B479)</f>
        <v>S007</v>
      </c>
      <c r="C479" t="str">
        <f>Procurement_Raw!C479</f>
        <v>Nottingham Care &amp; Education Centre</v>
      </c>
      <c r="D479" t="str">
        <f>Procurement_Raw!D479</f>
        <v>Midlands</v>
      </c>
      <c r="E479" t="str">
        <f>IF(TRIM(Procurement_Raw!E479)="","",IFERROR(INDEX(Supplier_Lookup!$A$2:$A$25,MATCH(TRIM(Procurement_Raw!E479),Supplier_Lookup!$A$2:$A$25,0)),TRIM(Procurement_Raw!E479)))</f>
        <v>UK Energy Partners</v>
      </c>
      <c r="F479" t="str">
        <f>IFERROR(INDEX(Category_Targets!$A$2:$A$9,MATCH(TRIM(Procurement_Raw!F479),Category_Targets!$A$2:$A$9,0)),"Unmapped")</f>
        <v>Utilities</v>
      </c>
      <c r="G479" t="str">
        <f>TRIM(Procurement_Raw!G479)</f>
        <v>INV-2025-00478</v>
      </c>
      <c r="H479" s="77">
        <f>Procurement_Raw!H479</f>
        <v>73</v>
      </c>
      <c r="I479" s="124">
        <f>Procurement_Raw!I479</f>
        <v>296.68</v>
      </c>
      <c r="J479" s="125">
        <f>IF(Procurement_Raw!J479="","",Procurement_Raw!J479)</f>
        <v>21657.52</v>
      </c>
      <c r="K479" s="77">
        <f>Procurement_Raw!K479</f>
        <v>45</v>
      </c>
      <c r="L479" t="str">
        <f>Procurement_Raw!L479</f>
        <v>Legacy Spend File</v>
      </c>
      <c r="M479" t="str">
        <f>Procurement_Raw!O479</f>
        <v>N</v>
      </c>
      <c r="N479" t="str">
        <f>IF(E479="","Missing supplier",IF(B479="","Missing site",IF(J479="","Missing spend",IF(COUNTIFS($G$2:G479,G479,$E$2:E479,E479,$J$2:J479,J479)&gt;1,"Duplicate invoice",IF(COUNTIF($G$2:$G$1801,G479)&gt;1,"Duplicate ID - review",IF(AND(P479&lt;&gt;"Unmapped",P479&lt;&gt;F479),"Category mismatch","OK"))))))</f>
        <v>OK</v>
      </c>
      <c r="O479" s="125">
        <f t="shared" si="21"/>
        <v>21657.52</v>
      </c>
      <c r="P479" t="str">
        <f>IF(E479="","Unmapped",IFERROR(INDEX(Supplier_Lookup!$B$2:$B$25,MATCH(E479,Supplier_Lookup!$A$2:$A$25,0)),"Unmapped"))</f>
        <v>Utilities</v>
      </c>
      <c r="Q479" s="76">
        <f>IFERROR(INDEX(Category_Targets!$B$2:$B$9,MATCH(F479,Category_Targets!$A$2:$A$9,0)),0)</f>
        <v>0.03</v>
      </c>
      <c r="R479" s="125">
        <f t="shared" si="22"/>
        <v>649.72559999999999</v>
      </c>
      <c r="S479" s="78">
        <f t="shared" si="23"/>
        <v>45658</v>
      </c>
      <c r="T479" t="str">
        <f>IFERROR(VLOOKUP(B479,Sites!$A$2:$D$21,4,FALSE()),"Unknown")</f>
        <v>Nottingham</v>
      </c>
      <c r="U479" t="str">
        <f>IF(N479="OK","",COUNTIF($N$2:N479,"&lt;&gt;OK"))</f>
        <v/>
      </c>
      <c r="V479">
        <f>IF(OR(NOT(EXACT(E479,TRIM(Procurement_Raw!E479))),NOT(EXACT(F479,TRIM(Procurement_Raw!F479)))),1,0)</f>
        <v>0</v>
      </c>
    </row>
    <row r="480" spans="1:22" ht="15" customHeight="1" x14ac:dyDescent="0.25">
      <c r="A480" s="123">
        <f>Procurement_Raw!A480</f>
        <v>46018</v>
      </c>
      <c r="B480" t="str">
        <f>TRIM(Procurement_Raw!B480)</f>
        <v>S008</v>
      </c>
      <c r="C480" t="str">
        <f>Procurement_Raw!C480</f>
        <v>Leicester Care &amp; Education Centre</v>
      </c>
      <c r="D480" t="str">
        <f>Procurement_Raw!D480</f>
        <v>Midlands</v>
      </c>
      <c r="E480" t="str">
        <f>IF(TRIM(Procurement_Raw!E480)="","",IFERROR(INDEX(Supplier_Lookup!$A$2:$A$25,MATCH(TRIM(Procurement_Raw!E480),Supplier_Lookup!$A$2:$A$25,0)),TRIM(Procurement_Raw!E480)))</f>
        <v>SafeGuard FM</v>
      </c>
      <c r="F480" t="str">
        <f>IFERROR(INDEX(Category_Targets!$A$2:$A$9,MATCH(TRIM(Procurement_Raw!F480),Category_Targets!$A$2:$A$9,0)),"Unmapped")</f>
        <v>Facilities</v>
      </c>
      <c r="G480" t="str">
        <f>TRIM(Procurement_Raw!G480)</f>
        <v>INV-2025-00479</v>
      </c>
      <c r="H480" s="77">
        <f>Procurement_Raw!H480</f>
        <v>38</v>
      </c>
      <c r="I480" s="124">
        <f>Procurement_Raw!I480</f>
        <v>978.81</v>
      </c>
      <c r="J480" s="125">
        <f>IF(Procurement_Raw!J480="","",Procurement_Raw!J480)</f>
        <v>37194.92</v>
      </c>
      <c r="K480" s="77">
        <f>Procurement_Raw!K480</f>
        <v>45</v>
      </c>
      <c r="L480" t="str">
        <f>Procurement_Raw!L480</f>
        <v>Legacy Spend File</v>
      </c>
      <c r="M480" t="str">
        <f>Procurement_Raw!O480</f>
        <v>N</v>
      </c>
      <c r="N480" t="str">
        <f>IF(E480="","Missing supplier",IF(B480="","Missing site",IF(J480="","Missing spend",IF(COUNTIFS($G$2:G480,G480,$E$2:E480,E480,$J$2:J480,J480)&gt;1,"Duplicate invoice",IF(COUNTIF($G$2:$G$1801,G480)&gt;1,"Duplicate ID - review",IF(AND(P480&lt;&gt;"Unmapped",P480&lt;&gt;F480),"Category mismatch","OK"))))))</f>
        <v>OK</v>
      </c>
      <c r="O480" s="125">
        <f t="shared" si="21"/>
        <v>37194.92</v>
      </c>
      <c r="P480" t="str">
        <f>IF(E480="","Unmapped",IFERROR(INDEX(Supplier_Lookup!$B$2:$B$25,MATCH(E480,Supplier_Lookup!$A$2:$A$25,0)),"Unmapped"))</f>
        <v>Facilities</v>
      </c>
      <c r="Q480" s="76">
        <f>IFERROR(INDEX(Category_Targets!$B$2:$B$9,MATCH(F480,Category_Targets!$A$2:$A$9,0)),0)</f>
        <v>0.05</v>
      </c>
      <c r="R480" s="125">
        <f t="shared" si="22"/>
        <v>1859.7460000000001</v>
      </c>
      <c r="S480" s="78">
        <f t="shared" si="23"/>
        <v>45992</v>
      </c>
      <c r="T480" t="str">
        <f>IFERROR(VLOOKUP(B480,Sites!$A$2:$D$21,4,FALSE()),"Unknown")</f>
        <v>Leicester</v>
      </c>
      <c r="U480" t="str">
        <f>IF(N480="OK","",COUNTIF($N$2:N480,"&lt;&gt;OK"))</f>
        <v/>
      </c>
      <c r="V480">
        <f>IF(OR(NOT(EXACT(E480,TRIM(Procurement_Raw!E480))),NOT(EXACT(F480,TRIM(Procurement_Raw!F480)))),1,0)</f>
        <v>0</v>
      </c>
    </row>
    <row r="481" spans="1:22" ht="15" customHeight="1" x14ac:dyDescent="0.25">
      <c r="A481" s="123">
        <f>Procurement_Raw!A481</f>
        <v>45868</v>
      </c>
      <c r="B481" t="str">
        <f>TRIM(Procurement_Raw!B481)</f>
        <v>S018</v>
      </c>
      <c r="C481" t="str">
        <f>Procurement_Raw!C481</f>
        <v>Newport Care &amp; Education Centre</v>
      </c>
      <c r="D481" t="str">
        <f>Procurement_Raw!D481</f>
        <v>Wales</v>
      </c>
      <c r="E481" t="str">
        <f>IF(TRIM(Procurement_Raw!E481)="","",IFERROR(INDEX(Supplier_Lookup!$A$2:$A$25,MATCH(TRIM(Procurement_Raw!E481),Supplier_Lookup!$A$2:$A$25,0)),TRIM(Procurement_Raw!E481)))</f>
        <v>FreshServe</v>
      </c>
      <c r="F481" t="str">
        <f>IFERROR(INDEX(Category_Targets!$A$2:$A$9,MATCH(TRIM(Procurement_Raw!F481),Category_Targets!$A$2:$A$9,0)),"Unmapped")</f>
        <v>Food &amp; Catering</v>
      </c>
      <c r="G481" t="str">
        <f>TRIM(Procurement_Raw!G481)</f>
        <v>INV-2025-00480</v>
      </c>
      <c r="H481" s="77">
        <f>Procurement_Raw!H481</f>
        <v>8</v>
      </c>
      <c r="I481" s="124">
        <f>Procurement_Raw!I481</f>
        <v>120.32</v>
      </c>
      <c r="J481" s="125">
        <f>IF(Procurement_Raw!J481="","",Procurement_Raw!J481)</f>
        <v>962.56</v>
      </c>
      <c r="K481" s="77">
        <f>Procurement_Raw!K481</f>
        <v>45</v>
      </c>
      <c r="L481" t="str">
        <f>Procurement_Raw!L481</f>
        <v>Legacy Spend File</v>
      </c>
      <c r="M481" t="str">
        <f>Procurement_Raw!O481</f>
        <v>Y</v>
      </c>
      <c r="N481" t="str">
        <f>IF(E481="","Missing supplier",IF(B481="","Missing site",IF(J481="","Missing spend",IF(COUNTIFS($G$2:G481,G481,$E$2:E481,E481,$J$2:J481,J481)&gt;1,"Duplicate invoice",IF(COUNTIF($G$2:$G$1801,G481)&gt;1,"Duplicate ID - review",IF(AND(P481&lt;&gt;"Unmapped",P481&lt;&gt;F481),"Category mismatch","OK"))))))</f>
        <v>OK</v>
      </c>
      <c r="O481" s="125">
        <f t="shared" si="21"/>
        <v>962.56</v>
      </c>
      <c r="P481" t="str">
        <f>IF(E481="","Unmapped",IFERROR(INDEX(Supplier_Lookup!$B$2:$B$25,MATCH(E481,Supplier_Lookup!$A$2:$A$25,0)),"Unmapped"))</f>
        <v>Food &amp; Catering</v>
      </c>
      <c r="Q481" s="76">
        <f>IFERROR(INDEX(Category_Targets!$B$2:$B$9,MATCH(F481,Category_Targets!$A$2:$A$9,0)),0)</f>
        <v>0.04</v>
      </c>
      <c r="R481" s="125">
        <f t="shared" si="22"/>
        <v>38.502400000000002</v>
      </c>
      <c r="S481" s="78">
        <f t="shared" si="23"/>
        <v>45839</v>
      </c>
      <c r="T481" t="str">
        <f>IFERROR(VLOOKUP(B481,Sites!$A$2:$D$21,4,FALSE()),"Unknown")</f>
        <v>Newport</v>
      </c>
      <c r="U481" t="str">
        <f>IF(N481="OK","",COUNTIF($N$2:N481,"&lt;&gt;OK"))</f>
        <v/>
      </c>
      <c r="V481">
        <f>IF(OR(NOT(EXACT(E481,TRIM(Procurement_Raw!E481))),NOT(EXACT(F481,TRIM(Procurement_Raw!F481)))),1,0)</f>
        <v>0</v>
      </c>
    </row>
    <row r="482" spans="1:22" ht="15" customHeight="1" x14ac:dyDescent="0.25">
      <c r="A482" s="123">
        <f>Procurement_Raw!A482</f>
        <v>45732</v>
      </c>
      <c r="B482" t="str">
        <f>TRIM(Procurement_Raw!B482)</f>
        <v>S009</v>
      </c>
      <c r="C482" t="str">
        <f>Procurement_Raw!C482</f>
        <v>Derby Care &amp; Education Centre</v>
      </c>
      <c r="D482" t="str">
        <f>Procurement_Raw!D482</f>
        <v>Midlands</v>
      </c>
      <c r="E482" t="str">
        <f>IF(TRIM(Procurement_Raw!E482)="","",IFERROR(INDEX(Supplier_Lookup!$A$2:$A$25,MATCH(TRIM(Procurement_Raw!E482),Supplier_Lookup!$A$2:$A$25,0)),TRIM(Procurement_Raw!E482)))</f>
        <v>CleanWorks</v>
      </c>
      <c r="F482" t="str">
        <f>IFERROR(INDEX(Category_Targets!$A$2:$A$9,MATCH(TRIM(Procurement_Raw!F482),Category_Targets!$A$2:$A$9,0)),"Unmapped")</f>
        <v>Facilities</v>
      </c>
      <c r="G482" t="str">
        <f>TRIM(Procurement_Raw!G482)</f>
        <v>INV-2025-00481</v>
      </c>
      <c r="H482" s="77">
        <f>Procurement_Raw!H482</f>
        <v>42</v>
      </c>
      <c r="I482" s="124">
        <f>Procurement_Raw!I482</f>
        <v>167.77</v>
      </c>
      <c r="J482" s="125">
        <f>IF(Procurement_Raw!J482="","",Procurement_Raw!J482)</f>
        <v>7046.4</v>
      </c>
      <c r="K482" s="77">
        <f>Procurement_Raw!K482</f>
        <v>30</v>
      </c>
      <c r="L482" t="str">
        <f>Procurement_Raw!L482</f>
        <v>Legacy Spend File</v>
      </c>
      <c r="M482" t="str">
        <f>Procurement_Raw!O482</f>
        <v>Y</v>
      </c>
      <c r="N482" t="str">
        <f>IF(E482="","Missing supplier",IF(B482="","Missing site",IF(J482="","Missing spend",IF(COUNTIFS($G$2:G482,G482,$E$2:E482,E482,$J$2:J482,J482)&gt;1,"Duplicate invoice",IF(COUNTIF($G$2:$G$1801,G482)&gt;1,"Duplicate ID - review",IF(AND(P482&lt;&gt;"Unmapped",P482&lt;&gt;F482),"Category mismatch","OK"))))))</f>
        <v>OK</v>
      </c>
      <c r="O482" s="125">
        <f t="shared" si="21"/>
        <v>7046.4</v>
      </c>
      <c r="P482" t="str">
        <f>IF(E482="","Unmapped",IFERROR(INDEX(Supplier_Lookup!$B$2:$B$25,MATCH(E482,Supplier_Lookup!$A$2:$A$25,0)),"Unmapped"))</f>
        <v>Facilities</v>
      </c>
      <c r="Q482" s="76">
        <f>IFERROR(INDEX(Category_Targets!$B$2:$B$9,MATCH(F482,Category_Targets!$A$2:$A$9,0)),0)</f>
        <v>0.05</v>
      </c>
      <c r="R482" s="125">
        <f t="shared" si="22"/>
        <v>352.32</v>
      </c>
      <c r="S482" s="78">
        <f t="shared" si="23"/>
        <v>45717</v>
      </c>
      <c r="T482" t="str">
        <f>IFERROR(VLOOKUP(B482,Sites!$A$2:$D$21,4,FALSE()),"Unknown")</f>
        <v>Derby</v>
      </c>
      <c r="U482" t="str">
        <f>IF(N482="OK","",COUNTIF($N$2:N482,"&lt;&gt;OK"))</f>
        <v/>
      </c>
      <c r="V482">
        <f>IF(OR(NOT(EXACT(E482,TRIM(Procurement_Raw!E482))),NOT(EXACT(F482,TRIM(Procurement_Raw!F482)))),1,0)</f>
        <v>0</v>
      </c>
    </row>
    <row r="483" spans="1:22" ht="15" customHeight="1" x14ac:dyDescent="0.25">
      <c r="A483" s="123">
        <f>Procurement_Raw!A483</f>
        <v>45953</v>
      </c>
      <c r="B483" t="str">
        <f>TRIM(Procurement_Raw!B483)</f>
        <v>S014</v>
      </c>
      <c r="C483" t="str">
        <f>Procurement_Raw!C483</f>
        <v>Southampton Care &amp; Education Centre</v>
      </c>
      <c r="D483" t="str">
        <f>Procurement_Raw!D483</f>
        <v>South</v>
      </c>
      <c r="E483" t="str">
        <f>IF(TRIM(Procurement_Raw!E483)="","",IFERROR(INDEX(Supplier_Lookup!$A$2:$A$25,MATCH(TRIM(Procurement_Raw!E483),Supplier_Lookup!$A$2:$A$25,0)),TRIM(Procurement_Raw!E483)))</f>
        <v>OfficePlus</v>
      </c>
      <c r="F483" t="str">
        <f>IFERROR(INDEX(Category_Targets!$A$2:$A$9,MATCH(TRIM(Procurement_Raw!F483),Category_Targets!$A$2:$A$9,0)),"Unmapped")</f>
        <v>Office &amp; Training</v>
      </c>
      <c r="G483" t="str">
        <f>TRIM(Procurement_Raw!G483)</f>
        <v>INV-2025-00482</v>
      </c>
      <c r="H483" s="77">
        <f>Procurement_Raw!H483</f>
        <v>35</v>
      </c>
      <c r="I483" s="124">
        <f>Procurement_Raw!I483</f>
        <v>44.34</v>
      </c>
      <c r="J483" s="125">
        <f>IF(Procurement_Raw!J483="","",Procurement_Raw!J483)</f>
        <v>1551.98</v>
      </c>
      <c r="K483" s="77">
        <f>Procurement_Raw!K483</f>
        <v>60</v>
      </c>
      <c r="L483" t="str">
        <f>Procurement_Raw!L483</f>
        <v>Procurement Portal</v>
      </c>
      <c r="M483" t="str">
        <f>Procurement_Raw!O483</f>
        <v>N</v>
      </c>
      <c r="N483" t="str">
        <f>IF(E483="","Missing supplier",IF(B483="","Missing site",IF(J483="","Missing spend",IF(COUNTIFS($G$2:G483,G483,$E$2:E483,E483,$J$2:J483,J483)&gt;1,"Duplicate invoice",IF(COUNTIF($G$2:$G$1801,G483)&gt;1,"Duplicate ID - review",IF(AND(P483&lt;&gt;"Unmapped",P483&lt;&gt;F483),"Category mismatch","OK"))))))</f>
        <v>OK</v>
      </c>
      <c r="O483" s="125">
        <f t="shared" si="21"/>
        <v>1551.98</v>
      </c>
      <c r="P483" t="str">
        <f>IF(E483="","Unmapped",IFERROR(INDEX(Supplier_Lookup!$B$2:$B$25,MATCH(E483,Supplier_Lookup!$A$2:$A$25,0)),"Unmapped"))</f>
        <v>Office &amp; Training</v>
      </c>
      <c r="Q483" s="76">
        <f>IFERROR(INDEX(Category_Targets!$B$2:$B$9,MATCH(F483,Category_Targets!$A$2:$A$9,0)),0)</f>
        <v>0.04</v>
      </c>
      <c r="R483" s="125">
        <f t="shared" si="22"/>
        <v>62.0792</v>
      </c>
      <c r="S483" s="78">
        <f t="shared" si="23"/>
        <v>45931</v>
      </c>
      <c r="T483" t="str">
        <f>IFERROR(VLOOKUP(B483,Sites!$A$2:$D$21,4,FALSE()),"Unknown")</f>
        <v>Southampton</v>
      </c>
      <c r="U483" t="str">
        <f>IF(N483="OK","",COUNTIF($N$2:N483,"&lt;&gt;OK"))</f>
        <v/>
      </c>
      <c r="V483">
        <f>IF(OR(NOT(EXACT(E483,TRIM(Procurement_Raw!E483))),NOT(EXACT(F483,TRIM(Procurement_Raw!F483)))),1,0)</f>
        <v>0</v>
      </c>
    </row>
    <row r="484" spans="1:22" ht="15" customHeight="1" x14ac:dyDescent="0.25">
      <c r="A484" s="123">
        <f>Procurement_Raw!A484</f>
        <v>45982</v>
      </c>
      <c r="B484" t="str">
        <f>TRIM(Procurement_Raw!B484)</f>
        <v>S016</v>
      </c>
      <c r="C484" t="str">
        <f>Procurement_Raw!C484</f>
        <v>Cardiff Care &amp; Education Centre</v>
      </c>
      <c r="D484" t="str">
        <f>Procurement_Raw!D484</f>
        <v>Wales</v>
      </c>
      <c r="E484" t="str">
        <f>IF(TRIM(Procurement_Raw!E484)="","",IFERROR(INDEX(Supplier_Lookup!$A$2:$A$25,MATCH(TRIM(Procurement_Raw!E484),Supplier_Lookup!$A$2:$A$25,0)),TRIM(Procurement_Raw!E484)))</f>
        <v>OfficePlus</v>
      </c>
      <c r="F484" t="str">
        <f>IFERROR(INDEX(Category_Targets!$A$2:$A$9,MATCH(TRIM(Procurement_Raw!F484),Category_Targets!$A$2:$A$9,0)),"Unmapped")</f>
        <v>Office &amp; Training</v>
      </c>
      <c r="G484" t="str">
        <f>TRIM(Procurement_Raw!G484)</f>
        <v>INV-2025-00483</v>
      </c>
      <c r="H484" s="77">
        <f>Procurement_Raw!H484</f>
        <v>12</v>
      </c>
      <c r="I484" s="124">
        <f>Procurement_Raw!I484</f>
        <v>31</v>
      </c>
      <c r="J484" s="125">
        <f>IF(Procurement_Raw!J484="","",Procurement_Raw!J484)</f>
        <v>371.98</v>
      </c>
      <c r="K484" s="77">
        <f>Procurement_Raw!K484</f>
        <v>45</v>
      </c>
      <c r="L484" t="str">
        <f>Procurement_Raw!L484</f>
        <v>Legacy Spend File</v>
      </c>
      <c r="M484" t="str">
        <f>Procurement_Raw!O484</f>
        <v>N</v>
      </c>
      <c r="N484" t="str">
        <f>IF(E484="","Missing supplier",IF(B484="","Missing site",IF(J484="","Missing spend",IF(COUNTIFS($G$2:G484,G484,$E$2:E484,E484,$J$2:J484,J484)&gt;1,"Duplicate invoice",IF(COUNTIF($G$2:$G$1801,G484)&gt;1,"Duplicate ID - review",IF(AND(P484&lt;&gt;"Unmapped",P484&lt;&gt;F484),"Category mismatch","OK"))))))</f>
        <v>OK</v>
      </c>
      <c r="O484" s="125">
        <f t="shared" si="21"/>
        <v>371.98</v>
      </c>
      <c r="P484" t="str">
        <f>IF(E484="","Unmapped",IFERROR(INDEX(Supplier_Lookup!$B$2:$B$25,MATCH(E484,Supplier_Lookup!$A$2:$A$25,0)),"Unmapped"))</f>
        <v>Office &amp; Training</v>
      </c>
      <c r="Q484" s="76">
        <f>IFERROR(INDEX(Category_Targets!$B$2:$B$9,MATCH(F484,Category_Targets!$A$2:$A$9,0)),0)</f>
        <v>0.04</v>
      </c>
      <c r="R484" s="125">
        <f t="shared" si="22"/>
        <v>14.879200000000001</v>
      </c>
      <c r="S484" s="78">
        <f t="shared" si="23"/>
        <v>45962</v>
      </c>
      <c r="T484" t="str">
        <f>IFERROR(VLOOKUP(B484,Sites!$A$2:$D$21,4,FALSE()),"Unknown")</f>
        <v>Cardiff</v>
      </c>
      <c r="U484" t="str">
        <f>IF(N484="OK","",COUNTIF($N$2:N484,"&lt;&gt;OK"))</f>
        <v/>
      </c>
      <c r="V484">
        <f>IF(OR(NOT(EXACT(E484,TRIM(Procurement_Raw!E484))),NOT(EXACT(F484,TRIM(Procurement_Raw!F484)))),1,0)</f>
        <v>0</v>
      </c>
    </row>
    <row r="485" spans="1:22" ht="15" customHeight="1" x14ac:dyDescent="0.25">
      <c r="A485" s="123">
        <f>Procurement_Raw!A485</f>
        <v>45846</v>
      </c>
      <c r="B485" t="str">
        <f>TRIM(Procurement_Raw!B485)</f>
        <v>S014</v>
      </c>
      <c r="C485" t="str">
        <f>Procurement_Raw!C485</f>
        <v>Southampton Care &amp; Education Centre</v>
      </c>
      <c r="D485" t="str">
        <f>Procurement_Raw!D485</f>
        <v>South</v>
      </c>
      <c r="E485" t="str">
        <f>IF(TRIM(Procurement_Raw!E485)="","",IFERROR(INDEX(Supplier_Lookup!$A$2:$A$25,MATCH(TRIM(Procurement_Raw!E485),Supplier_Lookup!$A$2:$A$25,0)),TRIM(Procurement_Raw!E485)))</f>
        <v>NetServe</v>
      </c>
      <c r="F485" t="str">
        <f>IFERROR(INDEX(Category_Targets!$A$2:$A$9,MATCH(TRIM(Procurement_Raw!F485),Category_Targets!$A$2:$A$9,0)),"Unmapped")</f>
        <v>IT &amp; Telecoms</v>
      </c>
      <c r="G485" t="str">
        <f>TRIM(Procurement_Raw!G485)</f>
        <v>INV-2025-00484</v>
      </c>
      <c r="H485" s="77">
        <f>Procurement_Raw!H485</f>
        <v>59</v>
      </c>
      <c r="I485" s="124">
        <f>Procurement_Raw!I485</f>
        <v>246.05</v>
      </c>
      <c r="J485" s="125">
        <f>IF(Procurement_Raw!J485="","",Procurement_Raw!J485)</f>
        <v>14516.92</v>
      </c>
      <c r="K485" s="77">
        <f>Procurement_Raw!K485</f>
        <v>45</v>
      </c>
      <c r="L485" t="str">
        <f>Procurement_Raw!L485</f>
        <v>Procurement Portal</v>
      </c>
      <c r="M485" t="str">
        <f>Procurement_Raw!O485</f>
        <v>N</v>
      </c>
      <c r="N485" t="str">
        <f>IF(E485="","Missing supplier",IF(B485="","Missing site",IF(J485="","Missing spend",IF(COUNTIFS($G$2:G485,G485,$E$2:E485,E485,$J$2:J485,J485)&gt;1,"Duplicate invoice",IF(COUNTIF($G$2:$G$1801,G485)&gt;1,"Duplicate ID - review",IF(AND(P485&lt;&gt;"Unmapped",P485&lt;&gt;F485),"Category mismatch","OK"))))))</f>
        <v>OK</v>
      </c>
      <c r="O485" s="125">
        <f t="shared" si="21"/>
        <v>14516.92</v>
      </c>
      <c r="P485" t="str">
        <f>IF(E485="","Unmapped",IFERROR(INDEX(Supplier_Lookup!$B$2:$B$25,MATCH(E485,Supplier_Lookup!$A$2:$A$25,0)),"Unmapped"))</f>
        <v>IT &amp; Telecoms</v>
      </c>
      <c r="Q485" s="76">
        <f>IFERROR(INDEX(Category_Targets!$B$2:$B$9,MATCH(F485,Category_Targets!$A$2:$A$9,0)),0)</f>
        <v>0.08</v>
      </c>
      <c r="R485" s="125">
        <f t="shared" si="22"/>
        <v>1161.3536000000001</v>
      </c>
      <c r="S485" s="78">
        <f t="shared" si="23"/>
        <v>45839</v>
      </c>
      <c r="T485" t="str">
        <f>IFERROR(VLOOKUP(B485,Sites!$A$2:$D$21,4,FALSE()),"Unknown")</f>
        <v>Southampton</v>
      </c>
      <c r="U485" t="str">
        <f>IF(N485="OK","",COUNTIF($N$2:N485,"&lt;&gt;OK"))</f>
        <v/>
      </c>
      <c r="V485">
        <f>IF(OR(NOT(EXACT(E485,TRIM(Procurement_Raw!E485))),NOT(EXACT(F485,TRIM(Procurement_Raw!F485)))),1,0)</f>
        <v>0</v>
      </c>
    </row>
    <row r="486" spans="1:22" ht="15" customHeight="1" x14ac:dyDescent="0.25">
      <c r="A486" s="123">
        <f>Procurement_Raw!A486</f>
        <v>45705</v>
      </c>
      <c r="B486" t="str">
        <f>TRIM(Procurement_Raw!B486)</f>
        <v>S003</v>
      </c>
      <c r="C486" t="str">
        <f>Procurement_Raw!C486</f>
        <v>Leeds Care &amp; Education Centre</v>
      </c>
      <c r="D486" t="str">
        <f>Procurement_Raw!D486</f>
        <v>North</v>
      </c>
      <c r="E486" t="str">
        <f>IF(TRIM(Procurement_Raw!E486)="","",IFERROR(INDEX(Supplier_Lookup!$A$2:$A$25,MATCH(TRIM(Procurement_Raw!E486),Supplier_Lookup!$A$2:$A$25,0)),TRIM(Procurement_Raw!E486)))</f>
        <v>ClinEquip</v>
      </c>
      <c r="F486" t="str">
        <f>IFERROR(INDEX(Category_Targets!$A$2:$A$9,MATCH(TRIM(Procurement_Raw!F486),Category_Targets!$A$2:$A$9,0)),"Unmapped")</f>
        <v>Medical Supplies</v>
      </c>
      <c r="G486" t="str">
        <f>TRIM(Procurement_Raw!G486)</f>
        <v>INV-2025-00485</v>
      </c>
      <c r="H486" s="77">
        <f>Procurement_Raw!H486</f>
        <v>59</v>
      </c>
      <c r="I486" s="124">
        <f>Procurement_Raw!I486</f>
        <v>79.16</v>
      </c>
      <c r="J486" s="125">
        <f>IF(Procurement_Raw!J486="","",Procurement_Raw!J486)</f>
        <v>4670.57</v>
      </c>
      <c r="K486" s="77">
        <f>Procurement_Raw!K486</f>
        <v>60</v>
      </c>
      <c r="L486" t="str">
        <f>Procurement_Raw!L486</f>
        <v>Legacy Spend File</v>
      </c>
      <c r="M486" t="str">
        <f>Procurement_Raw!O486</f>
        <v>N</v>
      </c>
      <c r="N486" t="str">
        <f>IF(E486="","Missing supplier",IF(B486="","Missing site",IF(J486="","Missing spend",IF(COUNTIFS($G$2:G486,G486,$E$2:E486,E486,$J$2:J486,J486)&gt;1,"Duplicate invoice",IF(COUNTIF($G$2:$G$1801,G486)&gt;1,"Duplicate ID - review",IF(AND(P486&lt;&gt;"Unmapped",P486&lt;&gt;F486),"Category mismatch","OK"))))))</f>
        <v>OK</v>
      </c>
      <c r="O486" s="125">
        <f t="shared" si="21"/>
        <v>4670.57</v>
      </c>
      <c r="P486" t="str">
        <f>IF(E486="","Unmapped",IFERROR(INDEX(Supplier_Lookup!$B$2:$B$25,MATCH(E486,Supplier_Lookup!$A$2:$A$25,0)),"Unmapped"))</f>
        <v>Medical Supplies</v>
      </c>
      <c r="Q486" s="76">
        <f>IFERROR(INDEX(Category_Targets!$B$2:$B$9,MATCH(F486,Category_Targets!$A$2:$A$9,0)),0)</f>
        <v>0.06</v>
      </c>
      <c r="R486" s="125">
        <f t="shared" si="22"/>
        <v>280.23419999999999</v>
      </c>
      <c r="S486" s="78">
        <f t="shared" si="23"/>
        <v>45689</v>
      </c>
      <c r="T486" t="str">
        <f>IFERROR(VLOOKUP(B486,Sites!$A$2:$D$21,4,FALSE()),"Unknown")</f>
        <v>Leeds</v>
      </c>
      <c r="U486" t="str">
        <f>IF(N486="OK","",COUNTIF($N$2:N486,"&lt;&gt;OK"))</f>
        <v/>
      </c>
      <c r="V486">
        <f>IF(OR(NOT(EXACT(E486,TRIM(Procurement_Raw!E486))),NOT(EXACT(F486,TRIM(Procurement_Raw!F486)))),1,0)</f>
        <v>0</v>
      </c>
    </row>
    <row r="487" spans="1:22" ht="15" customHeight="1" x14ac:dyDescent="0.25">
      <c r="A487" s="123">
        <f>Procurement_Raw!A487</f>
        <v>45931</v>
      </c>
      <c r="B487" t="str">
        <f>TRIM(Procurement_Raw!B487)</f>
        <v>S017</v>
      </c>
      <c r="C487" t="str">
        <f>Procurement_Raw!C487</f>
        <v>Swansea Care &amp; Education Centre</v>
      </c>
      <c r="D487" t="str">
        <f>Procurement_Raw!D487</f>
        <v>Wales</v>
      </c>
      <c r="E487" t="str">
        <f>IF(TRIM(Procurement_Raw!E487)="","",IFERROR(INDEX(Supplier_Lookup!$A$2:$A$25,MATCH(TRIM(Procurement_Raw!E487),Supplier_Lookup!$A$2:$A$25,0)),TRIM(Procurement_Raw!E487)))</f>
        <v>FleetFuel</v>
      </c>
      <c r="F487" t="str">
        <f>IFERROR(INDEX(Category_Targets!$A$2:$A$9,MATCH(TRIM(Procurement_Raw!F487),Category_Targets!$A$2:$A$9,0)),"Unmapped")</f>
        <v>Vehicle &amp; Fuel</v>
      </c>
      <c r="G487" t="str">
        <f>TRIM(Procurement_Raw!G487)</f>
        <v>INV-2025-00486</v>
      </c>
      <c r="H487" s="77">
        <f>Procurement_Raw!H487</f>
        <v>51</v>
      </c>
      <c r="I487" s="124">
        <f>Procurement_Raw!I487</f>
        <v>43.45</v>
      </c>
      <c r="J487" s="125">
        <f>IF(Procurement_Raw!J487="","",Procurement_Raw!J487)</f>
        <v>2216.0100000000002</v>
      </c>
      <c r="K487" s="77">
        <f>Procurement_Raw!K487</f>
        <v>30</v>
      </c>
      <c r="L487" t="str">
        <f>Procurement_Raw!L487</f>
        <v>Procurement Portal</v>
      </c>
      <c r="M487" t="str">
        <f>Procurement_Raw!O487</f>
        <v>Y</v>
      </c>
      <c r="N487" t="str">
        <f>IF(E487="","Missing supplier",IF(B487="","Missing site",IF(J487="","Missing spend",IF(COUNTIFS($G$2:G487,G487,$E$2:E487,E487,$J$2:J487,J487)&gt;1,"Duplicate invoice",IF(COUNTIF($G$2:$G$1801,G487)&gt;1,"Duplicate ID - review",IF(AND(P487&lt;&gt;"Unmapped",P487&lt;&gt;F487),"Category mismatch","OK"))))))</f>
        <v>OK</v>
      </c>
      <c r="O487" s="125">
        <f t="shared" si="21"/>
        <v>2216.0100000000002</v>
      </c>
      <c r="P487" t="str">
        <f>IF(E487="","Unmapped",IFERROR(INDEX(Supplier_Lookup!$B$2:$B$25,MATCH(E487,Supplier_Lookup!$A$2:$A$25,0)),"Unmapped"))</f>
        <v>Vehicle &amp; Fuel</v>
      </c>
      <c r="Q487" s="76">
        <f>IFERROR(INDEX(Category_Targets!$B$2:$B$9,MATCH(F487,Category_Targets!$A$2:$A$9,0)),0)</f>
        <v>0.05</v>
      </c>
      <c r="R487" s="125">
        <f t="shared" si="22"/>
        <v>110.80050000000001</v>
      </c>
      <c r="S487" s="78">
        <f t="shared" si="23"/>
        <v>45931</v>
      </c>
      <c r="T487" t="str">
        <f>IFERROR(VLOOKUP(B487,Sites!$A$2:$D$21,4,FALSE()),"Unknown")</f>
        <v>Swansea</v>
      </c>
      <c r="U487" t="str">
        <f>IF(N487="OK","",COUNTIF($N$2:N487,"&lt;&gt;OK"))</f>
        <v/>
      </c>
      <c r="V487">
        <f>IF(OR(NOT(EXACT(E487,TRIM(Procurement_Raw!E487))),NOT(EXACT(F487,TRIM(Procurement_Raw!F487)))),1,0)</f>
        <v>0</v>
      </c>
    </row>
    <row r="488" spans="1:22" ht="15" customHeight="1" x14ac:dyDescent="0.25">
      <c r="A488" s="123">
        <f>Procurement_Raw!A488</f>
        <v>45823</v>
      </c>
      <c r="B488" t="str">
        <f>TRIM(Procurement_Raw!B488)</f>
        <v>S009</v>
      </c>
      <c r="C488" t="str">
        <f>Procurement_Raw!C488</f>
        <v>Derby Care &amp; Education Centre</v>
      </c>
      <c r="D488" t="str">
        <f>Procurement_Raw!D488</f>
        <v>Midlands</v>
      </c>
      <c r="E488" t="str">
        <f>IF(TRIM(Procurement_Raw!E488)="","",IFERROR(INDEX(Supplier_Lookup!$A$2:$A$25,MATCH(TRIM(Procurement_Raw!E488),Supplier_Lookup!$A$2:$A$25,0)),TRIM(Procurement_Raw!E488)))</f>
        <v>LearnWell</v>
      </c>
      <c r="F488" t="str">
        <f>IFERROR(INDEX(Category_Targets!$A$2:$A$9,MATCH(TRIM(Procurement_Raw!F488),Category_Targets!$A$2:$A$9,0)),"Unmapped")</f>
        <v>Office &amp; Training</v>
      </c>
      <c r="G488" t="str">
        <f>TRIM(Procurement_Raw!G488)</f>
        <v>INV-2025-00487</v>
      </c>
      <c r="H488" s="77">
        <f>Procurement_Raw!H488</f>
        <v>37</v>
      </c>
      <c r="I488" s="124">
        <f>Procurement_Raw!I488</f>
        <v>52.56</v>
      </c>
      <c r="J488" s="125">
        <f>IF(Procurement_Raw!J488="","",Procurement_Raw!J488)</f>
        <v>1944.56</v>
      </c>
      <c r="K488" s="77">
        <f>Procurement_Raw!K488</f>
        <v>45</v>
      </c>
      <c r="L488" t="str">
        <f>Procurement_Raw!L488</f>
        <v>Legacy Spend File</v>
      </c>
      <c r="M488" t="str">
        <f>Procurement_Raw!O488</f>
        <v>N</v>
      </c>
      <c r="N488" t="str">
        <f>IF(E488="","Missing supplier",IF(B488="","Missing site",IF(J488="","Missing spend",IF(COUNTIFS($G$2:G488,G488,$E$2:E488,E488,$J$2:J488,J488)&gt;1,"Duplicate invoice",IF(COUNTIF($G$2:$G$1801,G488)&gt;1,"Duplicate ID - review",IF(AND(P488&lt;&gt;"Unmapped",P488&lt;&gt;F488),"Category mismatch","OK"))))))</f>
        <v>OK</v>
      </c>
      <c r="O488" s="125">
        <f t="shared" si="21"/>
        <v>1944.56</v>
      </c>
      <c r="P488" t="str">
        <f>IF(E488="","Unmapped",IFERROR(INDEX(Supplier_Lookup!$B$2:$B$25,MATCH(E488,Supplier_Lookup!$A$2:$A$25,0)),"Unmapped"))</f>
        <v>Office &amp; Training</v>
      </c>
      <c r="Q488" s="76">
        <f>IFERROR(INDEX(Category_Targets!$B$2:$B$9,MATCH(F488,Category_Targets!$A$2:$A$9,0)),0)</f>
        <v>0.04</v>
      </c>
      <c r="R488" s="125">
        <f t="shared" si="22"/>
        <v>77.782399999999996</v>
      </c>
      <c r="S488" s="78">
        <f t="shared" si="23"/>
        <v>45809</v>
      </c>
      <c r="T488" t="str">
        <f>IFERROR(VLOOKUP(B488,Sites!$A$2:$D$21,4,FALSE()),"Unknown")</f>
        <v>Derby</v>
      </c>
      <c r="U488" t="str">
        <f>IF(N488="OK","",COUNTIF($N$2:N488,"&lt;&gt;OK"))</f>
        <v/>
      </c>
      <c r="V488">
        <f>IF(OR(NOT(EXACT(E488,TRIM(Procurement_Raw!E488))),NOT(EXACT(F488,TRIM(Procurement_Raw!F488)))),1,0)</f>
        <v>0</v>
      </c>
    </row>
    <row r="489" spans="1:22" ht="15" customHeight="1" x14ac:dyDescent="0.25">
      <c r="A489" s="123">
        <f>Procurement_Raw!A489</f>
        <v>45906</v>
      </c>
      <c r="B489" t="str">
        <f>TRIM(Procurement_Raw!B489)</f>
        <v>S008</v>
      </c>
      <c r="C489" t="str">
        <f>Procurement_Raw!C489</f>
        <v>Leicester Care &amp; Education Centre</v>
      </c>
      <c r="D489" t="str">
        <f>Procurement_Raw!D489</f>
        <v>Midlands</v>
      </c>
      <c r="E489" t="str">
        <f>IF(TRIM(Procurement_Raw!E489)="","",IFERROR(INDEX(Supplier_Lookup!$A$2:$A$25,MATCH(TRIM(Procurement_Raw!E489),Supplier_Lookup!$A$2:$A$25,0)),TRIM(Procurement_Raw!E489)))</f>
        <v>BuildCare</v>
      </c>
      <c r="F489" t="str">
        <f>IFERROR(INDEX(Category_Targets!$A$2:$A$9,MATCH(TRIM(Procurement_Raw!F489),Category_Targets!$A$2:$A$9,0)),"Unmapped")</f>
        <v>Facilities</v>
      </c>
      <c r="G489" t="str">
        <f>TRIM(Procurement_Raw!G489)</f>
        <v>INV-2025-00488</v>
      </c>
      <c r="H489" s="77">
        <f>Procurement_Raw!H489</f>
        <v>44</v>
      </c>
      <c r="I489" s="124">
        <f>Procurement_Raw!I489</f>
        <v>99.3</v>
      </c>
      <c r="J489" s="125">
        <f>IF(Procurement_Raw!J489="","",Procurement_Raw!J489)</f>
        <v>4369.0200000000004</v>
      </c>
      <c r="K489" s="77">
        <f>Procurement_Raw!K489</f>
        <v>60</v>
      </c>
      <c r="L489" t="str">
        <f>Procurement_Raw!L489</f>
        <v>ERP</v>
      </c>
      <c r="M489" t="str">
        <f>Procurement_Raw!O489</f>
        <v>N</v>
      </c>
      <c r="N489" t="str">
        <f>IF(E489="","Missing supplier",IF(B489="","Missing site",IF(J489="","Missing spend",IF(COUNTIFS($G$2:G489,G489,$E$2:E489,E489,$J$2:J489,J489)&gt;1,"Duplicate invoice",IF(COUNTIF($G$2:$G$1801,G489)&gt;1,"Duplicate ID - review",IF(AND(P489&lt;&gt;"Unmapped",P489&lt;&gt;F489),"Category mismatch","OK"))))))</f>
        <v>OK</v>
      </c>
      <c r="O489" s="125">
        <f t="shared" si="21"/>
        <v>4369.0200000000004</v>
      </c>
      <c r="P489" t="str">
        <f>IF(E489="","Unmapped",IFERROR(INDEX(Supplier_Lookup!$B$2:$B$25,MATCH(E489,Supplier_Lookup!$A$2:$A$25,0)),"Unmapped"))</f>
        <v>Facilities</v>
      </c>
      <c r="Q489" s="76">
        <f>IFERROR(INDEX(Category_Targets!$B$2:$B$9,MATCH(F489,Category_Targets!$A$2:$A$9,0)),0)</f>
        <v>0.05</v>
      </c>
      <c r="R489" s="125">
        <f t="shared" si="22"/>
        <v>218.45100000000002</v>
      </c>
      <c r="S489" s="78">
        <f t="shared" si="23"/>
        <v>45901</v>
      </c>
      <c r="T489" t="str">
        <f>IFERROR(VLOOKUP(B489,Sites!$A$2:$D$21,4,FALSE()),"Unknown")</f>
        <v>Leicester</v>
      </c>
      <c r="U489" t="str">
        <f>IF(N489="OK","",COUNTIF($N$2:N489,"&lt;&gt;OK"))</f>
        <v/>
      </c>
      <c r="V489">
        <f>IF(OR(NOT(EXACT(E489,TRIM(Procurement_Raw!E489))),NOT(EXACT(F489,TRIM(Procurement_Raw!F489)))),1,0)</f>
        <v>0</v>
      </c>
    </row>
    <row r="490" spans="1:22" ht="15" customHeight="1" x14ac:dyDescent="0.25">
      <c r="A490" s="123">
        <f>Procurement_Raw!A490</f>
        <v>45893</v>
      </c>
      <c r="B490" t="str">
        <f>TRIM(Procurement_Raw!B490)</f>
        <v>S007</v>
      </c>
      <c r="C490" t="str">
        <f>Procurement_Raw!C490</f>
        <v>Nottingham Care &amp; Education Centre</v>
      </c>
      <c r="D490" t="str">
        <f>Procurement_Raw!D490</f>
        <v>Midlands</v>
      </c>
      <c r="E490" t="str">
        <f>IF(TRIM(Procurement_Raw!E490)="","",IFERROR(INDEX(Supplier_Lookup!$A$2:$A$25,MATCH(TRIM(Procurement_Raw!E490),Supplier_Lookup!$A$2:$A$25,0)),TRIM(Procurement_Raw!E490)))</f>
        <v>KitchenPro</v>
      </c>
      <c r="F490" t="str">
        <f>IFERROR(INDEX(Category_Targets!$A$2:$A$9,MATCH(TRIM(Procurement_Raw!F490),Category_Targets!$A$2:$A$9,0)),"Unmapped")</f>
        <v>Food &amp; Catering</v>
      </c>
      <c r="G490" t="str">
        <f>TRIM(Procurement_Raw!G490)</f>
        <v>INV-2025-00489</v>
      </c>
      <c r="H490" s="77">
        <f>Procurement_Raw!H490</f>
        <v>3</v>
      </c>
      <c r="I490" s="124">
        <f>Procurement_Raw!I490</f>
        <v>164.4</v>
      </c>
      <c r="J490" s="125">
        <f>IF(Procurement_Raw!J490="","",Procurement_Raw!J490)</f>
        <v>493.21</v>
      </c>
      <c r="K490" s="77">
        <f>Procurement_Raw!K490</f>
        <v>30</v>
      </c>
      <c r="L490" t="str">
        <f>Procurement_Raw!L490</f>
        <v>ERP</v>
      </c>
      <c r="M490" t="str">
        <f>Procurement_Raw!O490</f>
        <v>N</v>
      </c>
      <c r="N490" t="str">
        <f>IF(E490="","Missing supplier",IF(B490="","Missing site",IF(J490="","Missing spend",IF(COUNTIFS($G$2:G490,G490,$E$2:E490,E490,$J$2:J490,J490)&gt;1,"Duplicate invoice",IF(COUNTIF($G$2:$G$1801,G490)&gt;1,"Duplicate ID - review",IF(AND(P490&lt;&gt;"Unmapped",P490&lt;&gt;F490),"Category mismatch","OK"))))))</f>
        <v>OK</v>
      </c>
      <c r="O490" s="125">
        <f t="shared" si="21"/>
        <v>493.21</v>
      </c>
      <c r="P490" t="str">
        <f>IF(E490="","Unmapped",IFERROR(INDEX(Supplier_Lookup!$B$2:$B$25,MATCH(E490,Supplier_Lookup!$A$2:$A$25,0)),"Unmapped"))</f>
        <v>Food &amp; Catering</v>
      </c>
      <c r="Q490" s="76">
        <f>IFERROR(INDEX(Category_Targets!$B$2:$B$9,MATCH(F490,Category_Targets!$A$2:$A$9,0)),0)</f>
        <v>0.04</v>
      </c>
      <c r="R490" s="125">
        <f t="shared" si="22"/>
        <v>19.728400000000001</v>
      </c>
      <c r="S490" s="78">
        <f t="shared" si="23"/>
        <v>45870</v>
      </c>
      <c r="T490" t="str">
        <f>IFERROR(VLOOKUP(B490,Sites!$A$2:$D$21,4,FALSE()),"Unknown")</f>
        <v>Nottingham</v>
      </c>
      <c r="U490" t="str">
        <f>IF(N490="OK","",COUNTIF($N$2:N490,"&lt;&gt;OK"))</f>
        <v/>
      </c>
      <c r="V490">
        <f>IF(OR(NOT(EXACT(E490,TRIM(Procurement_Raw!E490))),NOT(EXACT(F490,TRIM(Procurement_Raw!F490)))),1,0)</f>
        <v>0</v>
      </c>
    </row>
    <row r="491" spans="1:22" ht="15" customHeight="1" x14ac:dyDescent="0.25">
      <c r="A491" s="123">
        <f>Procurement_Raw!A491</f>
        <v>45877</v>
      </c>
      <c r="B491" t="str">
        <f>TRIM(Procurement_Raw!B491)</f>
        <v>S013</v>
      </c>
      <c r="C491" t="str">
        <f>Procurement_Raw!C491</f>
        <v>Reading Care &amp; Education Centre</v>
      </c>
      <c r="D491" t="str">
        <f>Procurement_Raw!D491</f>
        <v>South</v>
      </c>
      <c r="E491" t="str">
        <f>IF(TRIM(Procurement_Raw!E491)="","",IFERROR(INDEX(Supplier_Lookup!$A$2:$A$25,MATCH(TRIM(Procurement_Raw!E491),Supplier_Lookup!$A$2:$A$25,0)),TRIM(Procurement_Raw!E491)))</f>
        <v>OfficePlus</v>
      </c>
      <c r="F491" t="str">
        <f>IFERROR(INDEX(Category_Targets!$A$2:$A$9,MATCH(TRIM(Procurement_Raw!F491),Category_Targets!$A$2:$A$9,0)),"Unmapped")</f>
        <v>Office &amp; Training</v>
      </c>
      <c r="G491" t="str">
        <f>TRIM(Procurement_Raw!G491)</f>
        <v>INV-2025-00490</v>
      </c>
      <c r="H491" s="77">
        <f>Procurement_Raw!H491</f>
        <v>26</v>
      </c>
      <c r="I491" s="124">
        <f>Procurement_Raw!I491</f>
        <v>121.8</v>
      </c>
      <c r="J491" s="125">
        <f>IF(Procurement_Raw!J491="","",Procurement_Raw!J491)</f>
        <v>3166.83</v>
      </c>
      <c r="K491" s="77">
        <f>Procurement_Raw!K491</f>
        <v>60</v>
      </c>
      <c r="L491" t="str">
        <f>Procurement_Raw!L491</f>
        <v>ERP</v>
      </c>
      <c r="M491" t="str">
        <f>Procurement_Raw!O491</f>
        <v>N</v>
      </c>
      <c r="N491" t="str">
        <f>IF(E491="","Missing supplier",IF(B491="","Missing site",IF(J491="","Missing spend",IF(COUNTIFS($G$2:G491,G491,$E$2:E491,E491,$J$2:J491,J491)&gt;1,"Duplicate invoice",IF(COUNTIF($G$2:$G$1801,G491)&gt;1,"Duplicate ID - review",IF(AND(P491&lt;&gt;"Unmapped",P491&lt;&gt;F491),"Category mismatch","OK"))))))</f>
        <v>OK</v>
      </c>
      <c r="O491" s="125">
        <f t="shared" si="21"/>
        <v>3166.83</v>
      </c>
      <c r="P491" t="str">
        <f>IF(E491="","Unmapped",IFERROR(INDEX(Supplier_Lookup!$B$2:$B$25,MATCH(E491,Supplier_Lookup!$A$2:$A$25,0)),"Unmapped"))</f>
        <v>Office &amp; Training</v>
      </c>
      <c r="Q491" s="76">
        <f>IFERROR(INDEX(Category_Targets!$B$2:$B$9,MATCH(F491,Category_Targets!$A$2:$A$9,0)),0)</f>
        <v>0.04</v>
      </c>
      <c r="R491" s="125">
        <f t="shared" si="22"/>
        <v>126.67319999999999</v>
      </c>
      <c r="S491" s="78">
        <f t="shared" si="23"/>
        <v>45870</v>
      </c>
      <c r="T491" t="str">
        <f>IFERROR(VLOOKUP(B491,Sites!$A$2:$D$21,4,FALSE()),"Unknown")</f>
        <v>Reading</v>
      </c>
      <c r="U491" t="str">
        <f>IF(N491="OK","",COUNTIF($N$2:N491,"&lt;&gt;OK"))</f>
        <v/>
      </c>
      <c r="V491">
        <f>IF(OR(NOT(EXACT(E491,TRIM(Procurement_Raw!E491))),NOT(EXACT(F491,TRIM(Procurement_Raw!F491)))),1,0)</f>
        <v>0</v>
      </c>
    </row>
    <row r="492" spans="1:22" ht="15" customHeight="1" x14ac:dyDescent="0.25">
      <c r="A492" s="123">
        <f>Procurement_Raw!A492</f>
        <v>45798</v>
      </c>
      <c r="B492" t="str">
        <f>TRIM(Procurement_Raw!B492)</f>
        <v>S001</v>
      </c>
      <c r="C492" t="str">
        <f>Procurement_Raw!C492</f>
        <v>Preston Care &amp; Education Centre</v>
      </c>
      <c r="D492" t="str">
        <f>Procurement_Raw!D492</f>
        <v>North</v>
      </c>
      <c r="E492" t="str">
        <f>IF(TRIM(Procurement_Raw!E492)="","",IFERROR(INDEX(Supplier_Lookup!$A$2:$A$25,MATCH(TRIM(Procurement_Raw!E492),Supplier_Lookup!$A$2:$A$25,0)),TRIM(Procurement_Raw!E492)))</f>
        <v>CloudLink</v>
      </c>
      <c r="F492" t="str">
        <f>IFERROR(INDEX(Category_Targets!$A$2:$A$9,MATCH(TRIM(Procurement_Raw!F492),Category_Targets!$A$2:$A$9,0)),"Unmapped")</f>
        <v>IT &amp; Telecoms</v>
      </c>
      <c r="G492" t="str">
        <f>TRIM(Procurement_Raw!G492)</f>
        <v>INV-2025-00491</v>
      </c>
      <c r="H492" s="77">
        <f>Procurement_Raw!H492</f>
        <v>12</v>
      </c>
      <c r="I492" s="124">
        <f>Procurement_Raw!I492</f>
        <v>219.04</v>
      </c>
      <c r="J492" s="125">
        <f>IF(Procurement_Raw!J492="","",Procurement_Raw!J492)</f>
        <v>2628.45</v>
      </c>
      <c r="K492" s="77">
        <f>Procurement_Raw!K492</f>
        <v>60</v>
      </c>
      <c r="L492" t="str">
        <f>Procurement_Raw!L492</f>
        <v>Procurement Portal</v>
      </c>
      <c r="M492" t="str">
        <f>Procurement_Raw!O492</f>
        <v>Y</v>
      </c>
      <c r="N492" t="str">
        <f>IF(E492="","Missing supplier",IF(B492="","Missing site",IF(J492="","Missing spend",IF(COUNTIFS($G$2:G492,G492,$E$2:E492,E492,$J$2:J492,J492)&gt;1,"Duplicate invoice",IF(COUNTIF($G$2:$G$1801,G492)&gt;1,"Duplicate ID - review",IF(AND(P492&lt;&gt;"Unmapped",P492&lt;&gt;F492),"Category mismatch","OK"))))))</f>
        <v>OK</v>
      </c>
      <c r="O492" s="125">
        <f t="shared" si="21"/>
        <v>2628.45</v>
      </c>
      <c r="P492" t="str">
        <f>IF(E492="","Unmapped",IFERROR(INDEX(Supplier_Lookup!$B$2:$B$25,MATCH(E492,Supplier_Lookup!$A$2:$A$25,0)),"Unmapped"))</f>
        <v>IT &amp; Telecoms</v>
      </c>
      <c r="Q492" s="76">
        <f>IFERROR(INDEX(Category_Targets!$B$2:$B$9,MATCH(F492,Category_Targets!$A$2:$A$9,0)),0)</f>
        <v>0.08</v>
      </c>
      <c r="R492" s="125">
        <f t="shared" si="22"/>
        <v>210.27599999999998</v>
      </c>
      <c r="S492" s="78">
        <f t="shared" si="23"/>
        <v>45778</v>
      </c>
      <c r="T492" t="str">
        <f>IFERROR(VLOOKUP(B492,Sites!$A$2:$D$21,4,FALSE()),"Unknown")</f>
        <v>Preston</v>
      </c>
      <c r="U492" t="str">
        <f>IF(N492="OK","",COUNTIF($N$2:N492,"&lt;&gt;OK"))</f>
        <v/>
      </c>
      <c r="V492">
        <f>IF(OR(NOT(EXACT(E492,TRIM(Procurement_Raw!E492))),NOT(EXACT(F492,TRIM(Procurement_Raw!F492)))),1,0)</f>
        <v>0</v>
      </c>
    </row>
    <row r="493" spans="1:22" ht="15" customHeight="1" x14ac:dyDescent="0.25">
      <c r="A493" s="123">
        <f>Procurement_Raw!A493</f>
        <v>45998</v>
      </c>
      <c r="B493" t="str">
        <f>TRIM(Procurement_Raw!B493)</f>
        <v>S012</v>
      </c>
      <c r="C493" t="str">
        <f>Procurement_Raw!C493</f>
        <v>Bristol Care &amp; Education Centre</v>
      </c>
      <c r="D493" t="str">
        <f>Procurement_Raw!D493</f>
        <v>South</v>
      </c>
      <c r="E493" t="str">
        <f>IF(TRIM(Procurement_Raw!E493)="","",IFERROR(INDEX(Supplier_Lookup!$A$2:$A$25,MATCH(TRIM(Procurement_Raw!E493),Supplier_Lookup!$A$2:$A$25,0)),TRIM(Procurement_Raw!E493)))</f>
        <v>NourishCo</v>
      </c>
      <c r="F493" t="str">
        <f>IFERROR(INDEX(Category_Targets!$A$2:$A$9,MATCH(TRIM(Procurement_Raw!F493),Category_Targets!$A$2:$A$9,0)),"Unmapped")</f>
        <v>Food &amp; Catering</v>
      </c>
      <c r="G493" t="str">
        <f>TRIM(Procurement_Raw!G493)</f>
        <v>INV-2025-00492</v>
      </c>
      <c r="H493" s="77">
        <f>Procurement_Raw!H493</f>
        <v>22</v>
      </c>
      <c r="I493" s="124">
        <f>Procurement_Raw!I493</f>
        <v>146.69999999999999</v>
      </c>
      <c r="J493" s="125">
        <f>IF(Procurement_Raw!J493="","",Procurement_Raw!J493)</f>
        <v>3227.29</v>
      </c>
      <c r="K493" s="77">
        <f>Procurement_Raw!K493</f>
        <v>30</v>
      </c>
      <c r="L493" t="str">
        <f>Procurement_Raw!L493</f>
        <v>Procurement Portal</v>
      </c>
      <c r="M493" t="str">
        <f>Procurement_Raw!O493</f>
        <v>N</v>
      </c>
      <c r="N493" t="str">
        <f>IF(E493="","Missing supplier",IF(B493="","Missing site",IF(J493="","Missing spend",IF(COUNTIFS($G$2:G493,G493,$E$2:E493,E493,$J$2:J493,J493)&gt;1,"Duplicate invoice",IF(COUNTIF($G$2:$G$1801,G493)&gt;1,"Duplicate ID - review",IF(AND(P493&lt;&gt;"Unmapped",P493&lt;&gt;F493),"Category mismatch","OK"))))))</f>
        <v>OK</v>
      </c>
      <c r="O493" s="125">
        <f t="shared" si="21"/>
        <v>3227.29</v>
      </c>
      <c r="P493" t="str">
        <f>IF(E493="","Unmapped",IFERROR(INDEX(Supplier_Lookup!$B$2:$B$25,MATCH(E493,Supplier_Lookup!$A$2:$A$25,0)),"Unmapped"))</f>
        <v>Food &amp; Catering</v>
      </c>
      <c r="Q493" s="76">
        <f>IFERROR(INDEX(Category_Targets!$B$2:$B$9,MATCH(F493,Category_Targets!$A$2:$A$9,0)),0)</f>
        <v>0.04</v>
      </c>
      <c r="R493" s="125">
        <f t="shared" si="22"/>
        <v>129.0916</v>
      </c>
      <c r="S493" s="78">
        <f t="shared" si="23"/>
        <v>45992</v>
      </c>
      <c r="T493" t="str">
        <f>IFERROR(VLOOKUP(B493,Sites!$A$2:$D$21,4,FALSE()),"Unknown")</f>
        <v>Bristol</v>
      </c>
      <c r="U493" t="str">
        <f>IF(N493="OK","",COUNTIF($N$2:N493,"&lt;&gt;OK"))</f>
        <v/>
      </c>
      <c r="V493">
        <f>IF(OR(NOT(EXACT(E493,TRIM(Procurement_Raw!E493))),NOT(EXACT(F493,TRIM(Procurement_Raw!F493)))),1,0)</f>
        <v>0</v>
      </c>
    </row>
    <row r="494" spans="1:22" ht="15" customHeight="1" x14ac:dyDescent="0.25">
      <c r="A494" s="123">
        <f>Procurement_Raw!A494</f>
        <v>46016</v>
      </c>
      <c r="B494" t="str">
        <f>TRIM(Procurement_Raw!B494)</f>
        <v>S006</v>
      </c>
      <c r="C494" t="str">
        <f>Procurement_Raw!C494</f>
        <v>Birmingham Care &amp; Education Centre</v>
      </c>
      <c r="D494" t="str">
        <f>Procurement_Raw!D494</f>
        <v>Midlands</v>
      </c>
      <c r="E494" t="str">
        <f>IF(TRIM(Procurement_Raw!E494)="","",IFERROR(INDEX(Supplier_Lookup!$A$2:$A$25,MATCH(TRIM(Procurement_Raw!E494),Supplier_Lookup!$A$2:$A$25,0)),TRIM(Procurement_Raw!E494)))</f>
        <v>NetServe</v>
      </c>
      <c r="F494" t="str">
        <f>IFERROR(INDEX(Category_Targets!$A$2:$A$9,MATCH(TRIM(Procurement_Raw!F494),Category_Targets!$A$2:$A$9,0)),"Unmapped")</f>
        <v>IT &amp; Telecoms</v>
      </c>
      <c r="G494" t="str">
        <f>TRIM(Procurement_Raw!G494)</f>
        <v>INV-2025-00493</v>
      </c>
      <c r="H494" s="77">
        <f>Procurement_Raw!H494</f>
        <v>30</v>
      </c>
      <c r="I494" s="124">
        <f>Procurement_Raw!I494</f>
        <v>229.56</v>
      </c>
      <c r="J494" s="125">
        <f>IF(Procurement_Raw!J494="","",Procurement_Raw!J494)</f>
        <v>6886.91</v>
      </c>
      <c r="K494" s="77">
        <f>Procurement_Raw!K494</f>
        <v>45</v>
      </c>
      <c r="L494" t="str">
        <f>Procurement_Raw!L494</f>
        <v>Legacy Spend File</v>
      </c>
      <c r="M494" t="str">
        <f>Procurement_Raw!O494</f>
        <v>N</v>
      </c>
      <c r="N494" t="str">
        <f>IF(E494="","Missing supplier",IF(B494="","Missing site",IF(J494="","Missing spend",IF(COUNTIFS($G$2:G494,G494,$E$2:E494,E494,$J$2:J494,J494)&gt;1,"Duplicate invoice",IF(COUNTIF($G$2:$G$1801,G494)&gt;1,"Duplicate ID - review",IF(AND(P494&lt;&gt;"Unmapped",P494&lt;&gt;F494),"Category mismatch","OK"))))))</f>
        <v>OK</v>
      </c>
      <c r="O494" s="125">
        <f t="shared" si="21"/>
        <v>6886.91</v>
      </c>
      <c r="P494" t="str">
        <f>IF(E494="","Unmapped",IFERROR(INDEX(Supplier_Lookup!$B$2:$B$25,MATCH(E494,Supplier_Lookup!$A$2:$A$25,0)),"Unmapped"))</f>
        <v>IT &amp; Telecoms</v>
      </c>
      <c r="Q494" s="76">
        <f>IFERROR(INDEX(Category_Targets!$B$2:$B$9,MATCH(F494,Category_Targets!$A$2:$A$9,0)),0)</f>
        <v>0.08</v>
      </c>
      <c r="R494" s="125">
        <f t="shared" si="22"/>
        <v>550.95280000000002</v>
      </c>
      <c r="S494" s="78">
        <f t="shared" si="23"/>
        <v>45992</v>
      </c>
      <c r="T494" t="str">
        <f>IFERROR(VLOOKUP(B494,Sites!$A$2:$D$21,4,FALSE()),"Unknown")</f>
        <v>Birmingham</v>
      </c>
      <c r="U494" t="str">
        <f>IF(N494="OK","",COUNTIF($N$2:N494,"&lt;&gt;OK"))</f>
        <v/>
      </c>
      <c r="V494">
        <f>IF(OR(NOT(EXACT(E494,TRIM(Procurement_Raw!E494))),NOT(EXACT(F494,TRIM(Procurement_Raw!F494)))),1,0)</f>
        <v>0</v>
      </c>
    </row>
    <row r="495" spans="1:22" ht="15" customHeight="1" x14ac:dyDescent="0.25">
      <c r="A495" s="123">
        <f>Procurement_Raw!A495</f>
        <v>45767</v>
      </c>
      <c r="B495" t="str">
        <f>TRIM(Procurement_Raw!B495)</f>
        <v>S001</v>
      </c>
      <c r="C495" t="str">
        <f>Procurement_Raw!C495</f>
        <v>Preston Care &amp; Education Centre</v>
      </c>
      <c r="D495" t="str">
        <f>Procurement_Raw!D495</f>
        <v>North</v>
      </c>
      <c r="E495" t="str">
        <f>IF(TRIM(Procurement_Raw!E495)="","",IFERROR(INDEX(Supplier_Lookup!$A$2:$A$25,MATCH(TRIM(Procurement_Raw!E495),Supplier_Lookup!$A$2:$A$25,0)),TRIM(Procurement_Raw!E495)))</f>
        <v>FreshServe</v>
      </c>
      <c r="F495" t="str">
        <f>IFERROR(INDEX(Category_Targets!$A$2:$A$9,MATCH(TRIM(Procurement_Raw!F495),Category_Targets!$A$2:$A$9,0)),"Unmapped")</f>
        <v>Food &amp; Catering</v>
      </c>
      <c r="G495" t="str">
        <f>TRIM(Procurement_Raw!G495)</f>
        <v>INV-2025-00494</v>
      </c>
      <c r="H495" s="77">
        <f>Procurement_Raw!H495</f>
        <v>62</v>
      </c>
      <c r="I495" s="124">
        <f>Procurement_Raw!I495</f>
        <v>40.47</v>
      </c>
      <c r="J495" s="125">
        <f>IF(Procurement_Raw!J495="","",Procurement_Raw!J495)</f>
        <v>2509.44</v>
      </c>
      <c r="K495" s="77">
        <f>Procurement_Raw!K495</f>
        <v>30</v>
      </c>
      <c r="L495" t="str">
        <f>Procurement_Raw!L495</f>
        <v>ERP</v>
      </c>
      <c r="M495" t="str">
        <f>Procurement_Raw!O495</f>
        <v>Y</v>
      </c>
      <c r="N495" t="str">
        <f>IF(E495="","Missing supplier",IF(B495="","Missing site",IF(J495="","Missing spend",IF(COUNTIFS($G$2:G495,G495,$E$2:E495,E495,$J$2:J495,J495)&gt;1,"Duplicate invoice",IF(COUNTIF($G$2:$G$1801,G495)&gt;1,"Duplicate ID - review",IF(AND(P495&lt;&gt;"Unmapped",P495&lt;&gt;F495),"Category mismatch","OK"))))))</f>
        <v>OK</v>
      </c>
      <c r="O495" s="125">
        <f t="shared" si="21"/>
        <v>2509.44</v>
      </c>
      <c r="P495" t="str">
        <f>IF(E495="","Unmapped",IFERROR(INDEX(Supplier_Lookup!$B$2:$B$25,MATCH(E495,Supplier_Lookup!$A$2:$A$25,0)),"Unmapped"))</f>
        <v>Food &amp; Catering</v>
      </c>
      <c r="Q495" s="76">
        <f>IFERROR(INDEX(Category_Targets!$B$2:$B$9,MATCH(F495,Category_Targets!$A$2:$A$9,0)),0)</f>
        <v>0.04</v>
      </c>
      <c r="R495" s="125">
        <f t="shared" si="22"/>
        <v>100.3776</v>
      </c>
      <c r="S495" s="78">
        <f t="shared" si="23"/>
        <v>45748</v>
      </c>
      <c r="T495" t="str">
        <f>IFERROR(VLOOKUP(B495,Sites!$A$2:$D$21,4,FALSE()),"Unknown")</f>
        <v>Preston</v>
      </c>
      <c r="U495" t="str">
        <f>IF(N495="OK","",COUNTIF($N$2:N495,"&lt;&gt;OK"))</f>
        <v/>
      </c>
      <c r="V495">
        <f>IF(OR(NOT(EXACT(E495,TRIM(Procurement_Raw!E495))),NOT(EXACT(F495,TRIM(Procurement_Raw!F495)))),1,0)</f>
        <v>0</v>
      </c>
    </row>
    <row r="496" spans="1:22" ht="15" customHeight="1" x14ac:dyDescent="0.25">
      <c r="A496" s="123">
        <f>Procurement_Raw!A496</f>
        <v>46006</v>
      </c>
      <c r="B496" t="str">
        <f>TRIM(Procurement_Raw!B496)</f>
        <v>S006</v>
      </c>
      <c r="C496" t="str">
        <f>Procurement_Raw!C496</f>
        <v>Birmingham Care &amp; Education Centre</v>
      </c>
      <c r="D496" t="str">
        <f>Procurement_Raw!D496</f>
        <v>Midlands</v>
      </c>
      <c r="E496" t="str">
        <f>IF(TRIM(Procurement_Raw!E496)="","",IFERROR(INDEX(Supplier_Lookup!$A$2:$A$25,MATCH(TRIM(Procurement_Raw!E496),Supplier_Lookup!$A$2:$A$25,0)),TRIM(Procurement_Raw!E496)))</f>
        <v>PowerDirect</v>
      </c>
      <c r="F496" t="str">
        <f>IFERROR(INDEX(Category_Targets!$A$2:$A$9,MATCH(TRIM(Procurement_Raw!F496),Category_Targets!$A$2:$A$9,0)),"Unmapped")</f>
        <v>Utilities</v>
      </c>
      <c r="G496" t="str">
        <f>TRIM(Procurement_Raw!G496)</f>
        <v>INV-2025-00495</v>
      </c>
      <c r="H496" s="77">
        <f>Procurement_Raw!H496</f>
        <v>57</v>
      </c>
      <c r="I496" s="124">
        <f>Procurement_Raw!I496</f>
        <v>577.77</v>
      </c>
      <c r="J496" s="125">
        <f>IF(Procurement_Raw!J496="","",Procurement_Raw!J496)</f>
        <v>32933</v>
      </c>
      <c r="K496" s="77">
        <f>Procurement_Raw!K496</f>
        <v>30</v>
      </c>
      <c r="L496" t="str">
        <f>Procurement_Raw!L496</f>
        <v>ERP</v>
      </c>
      <c r="M496" t="str">
        <f>Procurement_Raw!O496</f>
        <v>N</v>
      </c>
      <c r="N496" t="str">
        <f>IF(E496="","Missing supplier",IF(B496="","Missing site",IF(J496="","Missing spend",IF(COUNTIFS($G$2:G496,G496,$E$2:E496,E496,$J$2:J496,J496)&gt;1,"Duplicate invoice",IF(COUNTIF($G$2:$G$1801,G496)&gt;1,"Duplicate ID - review",IF(AND(P496&lt;&gt;"Unmapped",P496&lt;&gt;F496),"Category mismatch","OK"))))))</f>
        <v>OK</v>
      </c>
      <c r="O496" s="125">
        <f t="shared" si="21"/>
        <v>32933</v>
      </c>
      <c r="P496" t="str">
        <f>IF(E496="","Unmapped",IFERROR(INDEX(Supplier_Lookup!$B$2:$B$25,MATCH(E496,Supplier_Lookup!$A$2:$A$25,0)),"Unmapped"))</f>
        <v>Utilities</v>
      </c>
      <c r="Q496" s="76">
        <f>IFERROR(INDEX(Category_Targets!$B$2:$B$9,MATCH(F496,Category_Targets!$A$2:$A$9,0)),0)</f>
        <v>0.03</v>
      </c>
      <c r="R496" s="125">
        <f t="shared" si="22"/>
        <v>987.99</v>
      </c>
      <c r="S496" s="78">
        <f t="shared" si="23"/>
        <v>45992</v>
      </c>
      <c r="T496" t="str">
        <f>IFERROR(VLOOKUP(B496,Sites!$A$2:$D$21,4,FALSE()),"Unknown")</f>
        <v>Birmingham</v>
      </c>
      <c r="U496" t="str">
        <f>IF(N496="OK","",COUNTIF($N$2:N496,"&lt;&gt;OK"))</f>
        <v/>
      </c>
      <c r="V496">
        <f>IF(OR(NOT(EXACT(E496,TRIM(Procurement_Raw!E496))),NOT(EXACT(F496,TRIM(Procurement_Raw!F496)))),1,0)</f>
        <v>0</v>
      </c>
    </row>
    <row r="497" spans="1:22" ht="15" customHeight="1" x14ac:dyDescent="0.25">
      <c r="A497" s="123">
        <f>Procurement_Raw!A497</f>
        <v>45874</v>
      </c>
      <c r="B497" t="str">
        <f>TRIM(Procurement_Raw!B497)</f>
        <v>S003</v>
      </c>
      <c r="C497" t="str">
        <f>Procurement_Raw!C497</f>
        <v>Leeds Care &amp; Education Centre</v>
      </c>
      <c r="D497" t="str">
        <f>Procurement_Raw!D497</f>
        <v>North</v>
      </c>
      <c r="E497" t="str">
        <f>IF(TRIM(Procurement_Raw!E497)="","",IFERROR(INDEX(Supplier_Lookup!$A$2:$A$25,MATCH(TRIM(Procurement_Raw!E497),Supplier_Lookup!$A$2:$A$25,0)),TRIM(Procurement_Raw!E497)))</f>
        <v>FleetFuel</v>
      </c>
      <c r="F497" t="str">
        <f>IFERROR(INDEX(Category_Targets!$A$2:$A$9,MATCH(TRIM(Procurement_Raw!F497),Category_Targets!$A$2:$A$9,0)),"Unmapped")</f>
        <v>Vehicle &amp; Fuel</v>
      </c>
      <c r="G497" t="str">
        <f>TRIM(Procurement_Raw!G497)</f>
        <v>INV-2025-00496</v>
      </c>
      <c r="H497" s="77">
        <f>Procurement_Raw!H497</f>
        <v>17</v>
      </c>
      <c r="I497" s="124">
        <f>Procurement_Raw!I497</f>
        <v>127.78</v>
      </c>
      <c r="J497" s="125">
        <f>IF(Procurement_Raw!J497="","",Procurement_Raw!J497)</f>
        <v>2172.19</v>
      </c>
      <c r="K497" s="77">
        <f>Procurement_Raw!K497</f>
        <v>45</v>
      </c>
      <c r="L497" t="str">
        <f>Procurement_Raw!L497</f>
        <v>ERP</v>
      </c>
      <c r="M497" t="str">
        <f>Procurement_Raw!O497</f>
        <v>Y</v>
      </c>
      <c r="N497" t="str">
        <f>IF(E497="","Missing supplier",IF(B497="","Missing site",IF(J497="","Missing spend",IF(COUNTIFS($G$2:G497,G497,$E$2:E497,E497,$J$2:J497,J497)&gt;1,"Duplicate invoice",IF(COUNTIF($G$2:$G$1801,G497)&gt;1,"Duplicate ID - review",IF(AND(P497&lt;&gt;"Unmapped",P497&lt;&gt;F497),"Category mismatch","OK"))))))</f>
        <v>OK</v>
      </c>
      <c r="O497" s="125">
        <f t="shared" si="21"/>
        <v>2172.19</v>
      </c>
      <c r="P497" t="str">
        <f>IF(E497="","Unmapped",IFERROR(INDEX(Supplier_Lookup!$B$2:$B$25,MATCH(E497,Supplier_Lookup!$A$2:$A$25,0)),"Unmapped"))</f>
        <v>Vehicle &amp; Fuel</v>
      </c>
      <c r="Q497" s="76">
        <f>IFERROR(INDEX(Category_Targets!$B$2:$B$9,MATCH(F497,Category_Targets!$A$2:$A$9,0)),0)</f>
        <v>0.05</v>
      </c>
      <c r="R497" s="125">
        <f t="shared" si="22"/>
        <v>108.60950000000001</v>
      </c>
      <c r="S497" s="78">
        <f t="shared" si="23"/>
        <v>45870</v>
      </c>
      <c r="T497" t="str">
        <f>IFERROR(VLOOKUP(B497,Sites!$A$2:$D$21,4,FALSE()),"Unknown")</f>
        <v>Leeds</v>
      </c>
      <c r="U497" t="str">
        <f>IF(N497="OK","",COUNTIF($N$2:N497,"&lt;&gt;OK"))</f>
        <v/>
      </c>
      <c r="V497">
        <f>IF(OR(NOT(EXACT(E497,TRIM(Procurement_Raw!E497))),NOT(EXACT(F497,TRIM(Procurement_Raw!F497)))),1,0)</f>
        <v>0</v>
      </c>
    </row>
    <row r="498" spans="1:22" ht="15" customHeight="1" x14ac:dyDescent="0.25">
      <c r="A498" s="123">
        <f>Procurement_Raw!A498</f>
        <v>45710</v>
      </c>
      <c r="B498" t="str">
        <f>TRIM(Procurement_Raw!B498)</f>
        <v>S001</v>
      </c>
      <c r="C498" t="str">
        <f>Procurement_Raw!C498</f>
        <v>Preston Care &amp; Education Centre</v>
      </c>
      <c r="D498" t="str">
        <f>Procurement_Raw!D498</f>
        <v>North</v>
      </c>
      <c r="E498" t="str">
        <f>IF(TRIM(Procurement_Raw!E498)="","",IFERROR(INDEX(Supplier_Lookup!$A$2:$A$25,MATCH(TRIM(Procurement_Raw!E498),Supplier_Lookup!$A$2:$A$25,0)),TRIM(Procurement_Raw!E498)))</f>
        <v>HealthStaffing</v>
      </c>
      <c r="F498" t="str">
        <f>IFERROR(INDEX(Category_Targets!$A$2:$A$9,MATCH(TRIM(Procurement_Raw!F498),Category_Targets!$A$2:$A$9,0)),"Unmapped")</f>
        <v>Agency Labour</v>
      </c>
      <c r="G498" t="str">
        <f>TRIM(Procurement_Raw!G498)</f>
        <v>INV-2025-00497</v>
      </c>
      <c r="H498" s="77">
        <f>Procurement_Raw!H498</f>
        <v>14</v>
      </c>
      <c r="I498" s="124">
        <f>Procurement_Raw!I498</f>
        <v>169.58</v>
      </c>
      <c r="J498" s="125">
        <f>IF(Procurement_Raw!J498="","",Procurement_Raw!J498)</f>
        <v>2374.0500000000002</v>
      </c>
      <c r="K498" s="77">
        <f>Procurement_Raw!K498</f>
        <v>45</v>
      </c>
      <c r="L498" t="str">
        <f>Procurement_Raw!L498</f>
        <v>Procurement Portal</v>
      </c>
      <c r="M498" t="str">
        <f>Procurement_Raw!O498</f>
        <v>N</v>
      </c>
      <c r="N498" t="str">
        <f>IF(E498="","Missing supplier",IF(B498="","Missing site",IF(J498="","Missing spend",IF(COUNTIFS($G$2:G498,G498,$E$2:E498,E498,$J$2:J498,J498)&gt;1,"Duplicate invoice",IF(COUNTIF($G$2:$G$1801,G498)&gt;1,"Duplicate ID - review",IF(AND(P498&lt;&gt;"Unmapped",P498&lt;&gt;F498),"Category mismatch","OK"))))))</f>
        <v>OK</v>
      </c>
      <c r="O498" s="125">
        <f t="shared" si="21"/>
        <v>2374.0500000000002</v>
      </c>
      <c r="P498" t="str">
        <f>IF(E498="","Unmapped",IFERROR(INDEX(Supplier_Lookup!$B$2:$B$25,MATCH(E498,Supplier_Lookup!$A$2:$A$25,0)),"Unmapped"))</f>
        <v>Agency Labour</v>
      </c>
      <c r="Q498" s="76">
        <f>IFERROR(INDEX(Category_Targets!$B$2:$B$9,MATCH(F498,Category_Targets!$A$2:$A$9,0)),0)</f>
        <v>7.0000000000000007E-2</v>
      </c>
      <c r="R498" s="125">
        <f t="shared" si="22"/>
        <v>166.18350000000004</v>
      </c>
      <c r="S498" s="78">
        <f t="shared" si="23"/>
        <v>45689</v>
      </c>
      <c r="T498" t="str">
        <f>IFERROR(VLOOKUP(B498,Sites!$A$2:$D$21,4,FALSE()),"Unknown")</f>
        <v>Preston</v>
      </c>
      <c r="U498" t="str">
        <f>IF(N498="OK","",COUNTIF($N$2:N498,"&lt;&gt;OK"))</f>
        <v/>
      </c>
      <c r="V498">
        <f>IF(OR(NOT(EXACT(E498,TRIM(Procurement_Raw!E498))),NOT(EXACT(F498,TRIM(Procurement_Raw!F498)))),1,0)</f>
        <v>0</v>
      </c>
    </row>
    <row r="499" spans="1:22" ht="15" customHeight="1" x14ac:dyDescent="0.25">
      <c r="A499" s="123">
        <f>Procurement_Raw!A499</f>
        <v>45726</v>
      </c>
      <c r="B499" t="str">
        <f>TRIM(Procurement_Raw!B499)</f>
        <v>S019</v>
      </c>
      <c r="C499" t="str">
        <f>Procurement_Raw!C499</f>
        <v>Wrexham Care &amp; Education Centre</v>
      </c>
      <c r="D499" t="str">
        <f>Procurement_Raw!D499</f>
        <v>Wales</v>
      </c>
      <c r="E499" t="str">
        <f>IF(TRIM(Procurement_Raw!E499)="","",IFERROR(INDEX(Supplier_Lookup!$A$2:$A$25,MATCH(TRIM(Procurement_Raw!E499),Supplier_Lookup!$A$2:$A$25,0)),TRIM(Procurement_Raw!E499)))</f>
        <v>SafeGuard FM</v>
      </c>
      <c r="F499" t="str">
        <f>IFERROR(INDEX(Category_Targets!$A$2:$A$9,MATCH(TRIM(Procurement_Raw!F499),Category_Targets!$A$2:$A$9,0)),"Unmapped")</f>
        <v>Facilities</v>
      </c>
      <c r="G499" t="str">
        <f>TRIM(Procurement_Raw!G499)</f>
        <v>INV-2025-00498</v>
      </c>
      <c r="H499" s="77">
        <f>Procurement_Raw!H499</f>
        <v>19</v>
      </c>
      <c r="I499" s="124">
        <f>Procurement_Raw!I499</f>
        <v>162.11000000000001</v>
      </c>
      <c r="J499" s="125">
        <f>IF(Procurement_Raw!J499="","",Procurement_Raw!J499)</f>
        <v>3080.08</v>
      </c>
      <c r="K499" s="77">
        <f>Procurement_Raw!K499</f>
        <v>30</v>
      </c>
      <c r="L499" t="str">
        <f>Procurement_Raw!L499</f>
        <v>Legacy Spend File</v>
      </c>
      <c r="M499" t="str">
        <f>Procurement_Raw!O499</f>
        <v>N</v>
      </c>
      <c r="N499" t="str">
        <f>IF(E499="","Missing supplier",IF(B499="","Missing site",IF(J499="","Missing spend",IF(COUNTIFS($G$2:G499,G499,$E$2:E499,E499,$J$2:J499,J499)&gt;1,"Duplicate invoice",IF(COUNTIF($G$2:$G$1801,G499)&gt;1,"Duplicate ID - review",IF(AND(P499&lt;&gt;"Unmapped",P499&lt;&gt;F499),"Category mismatch","OK"))))))</f>
        <v>OK</v>
      </c>
      <c r="O499" s="125">
        <f t="shared" si="21"/>
        <v>3080.08</v>
      </c>
      <c r="P499" t="str">
        <f>IF(E499="","Unmapped",IFERROR(INDEX(Supplier_Lookup!$B$2:$B$25,MATCH(E499,Supplier_Lookup!$A$2:$A$25,0)),"Unmapped"))</f>
        <v>Facilities</v>
      </c>
      <c r="Q499" s="76">
        <f>IFERROR(INDEX(Category_Targets!$B$2:$B$9,MATCH(F499,Category_Targets!$A$2:$A$9,0)),0)</f>
        <v>0.05</v>
      </c>
      <c r="R499" s="125">
        <f t="shared" si="22"/>
        <v>154.00400000000002</v>
      </c>
      <c r="S499" s="78">
        <f t="shared" si="23"/>
        <v>45717</v>
      </c>
      <c r="T499" t="str">
        <f>IFERROR(VLOOKUP(B499,Sites!$A$2:$D$21,4,FALSE()),"Unknown")</f>
        <v>Wrexham</v>
      </c>
      <c r="U499" t="str">
        <f>IF(N499="OK","",COUNTIF($N$2:N499,"&lt;&gt;OK"))</f>
        <v/>
      </c>
      <c r="V499">
        <f>IF(OR(NOT(EXACT(E499,TRIM(Procurement_Raw!E499))),NOT(EXACT(F499,TRIM(Procurement_Raw!F499)))),1,0)</f>
        <v>0</v>
      </c>
    </row>
    <row r="500" spans="1:22" ht="15" customHeight="1" x14ac:dyDescent="0.25">
      <c r="A500" s="123">
        <f>Procurement_Raw!A500</f>
        <v>45990</v>
      </c>
      <c r="B500" t="str">
        <f>TRIM(Procurement_Raw!B500)</f>
        <v>S010</v>
      </c>
      <c r="C500" t="str">
        <f>Procurement_Raw!C500</f>
        <v>Coventry Care &amp; Education Centre</v>
      </c>
      <c r="D500" t="str">
        <f>Procurement_Raw!D500</f>
        <v>Midlands</v>
      </c>
      <c r="E500" t="str">
        <f>IF(TRIM(Procurement_Raw!E500)="","",IFERROR(INDEX(Supplier_Lookup!$A$2:$A$25,MATCH(TRIM(Procurement_Raw!E500),Supplier_Lookup!$A$2:$A$25,0)),TRIM(Procurement_Raw!E500)))</f>
        <v>ClinEquip</v>
      </c>
      <c r="F500" t="str">
        <f>IFERROR(INDEX(Category_Targets!$A$2:$A$9,MATCH(TRIM(Procurement_Raw!F500),Category_Targets!$A$2:$A$9,0)),"Unmapped")</f>
        <v>Medical Supplies</v>
      </c>
      <c r="G500" t="str">
        <f>TRIM(Procurement_Raw!G500)</f>
        <v>INV-2025-00499</v>
      </c>
      <c r="H500" s="77">
        <f>Procurement_Raw!H500</f>
        <v>22</v>
      </c>
      <c r="I500" s="124">
        <f>Procurement_Raw!I500</f>
        <v>74.14</v>
      </c>
      <c r="J500" s="125">
        <f>IF(Procurement_Raw!J500="","",Procurement_Raw!J500)</f>
        <v>1630.99</v>
      </c>
      <c r="K500" s="77">
        <f>Procurement_Raw!K500</f>
        <v>45</v>
      </c>
      <c r="L500" t="str">
        <f>Procurement_Raw!L500</f>
        <v>Procurement Portal</v>
      </c>
      <c r="M500" t="str">
        <f>Procurement_Raw!O500</f>
        <v>N</v>
      </c>
      <c r="N500" t="str">
        <f>IF(E500="","Missing supplier",IF(B500="","Missing site",IF(J500="","Missing spend",IF(COUNTIFS($G$2:G500,G500,$E$2:E500,E500,$J$2:J500,J500)&gt;1,"Duplicate invoice",IF(COUNTIF($G$2:$G$1801,G500)&gt;1,"Duplicate ID - review",IF(AND(P500&lt;&gt;"Unmapped",P500&lt;&gt;F500),"Category mismatch","OK"))))))</f>
        <v>OK</v>
      </c>
      <c r="O500" s="125">
        <f t="shared" si="21"/>
        <v>1630.99</v>
      </c>
      <c r="P500" t="str">
        <f>IF(E500="","Unmapped",IFERROR(INDEX(Supplier_Lookup!$B$2:$B$25,MATCH(E500,Supplier_Lookup!$A$2:$A$25,0)),"Unmapped"))</f>
        <v>Medical Supplies</v>
      </c>
      <c r="Q500" s="76">
        <f>IFERROR(INDEX(Category_Targets!$B$2:$B$9,MATCH(F500,Category_Targets!$A$2:$A$9,0)),0)</f>
        <v>0.06</v>
      </c>
      <c r="R500" s="125">
        <f t="shared" si="22"/>
        <v>97.859399999999994</v>
      </c>
      <c r="S500" s="78">
        <f t="shared" si="23"/>
        <v>45962</v>
      </c>
      <c r="T500" t="str">
        <f>IFERROR(VLOOKUP(B500,Sites!$A$2:$D$21,4,FALSE()),"Unknown")</f>
        <v>Coventry</v>
      </c>
      <c r="U500" t="str">
        <f>IF(N500="OK","",COUNTIF($N$2:N500,"&lt;&gt;OK"))</f>
        <v/>
      </c>
      <c r="V500">
        <f>IF(OR(NOT(EXACT(E500,TRIM(Procurement_Raw!E500))),NOT(EXACT(F500,TRIM(Procurement_Raw!F500)))),1,0)</f>
        <v>0</v>
      </c>
    </row>
    <row r="501" spans="1:22" ht="15" customHeight="1" x14ac:dyDescent="0.25">
      <c r="A501" s="123">
        <f>Procurement_Raw!A501</f>
        <v>45735</v>
      </c>
      <c r="B501" t="str">
        <f>TRIM(Procurement_Raw!B501)</f>
        <v>S009</v>
      </c>
      <c r="C501" t="str">
        <f>Procurement_Raw!C501</f>
        <v>Derby Care &amp; Education Centre</v>
      </c>
      <c r="D501" t="str">
        <f>Procurement_Raw!D501</f>
        <v>Midlands</v>
      </c>
      <c r="E501" t="str">
        <f>IF(TRIM(Procurement_Raw!E501)="","",IFERROR(INDEX(Supplier_Lookup!$A$2:$A$25,MATCH(TRIM(Procurement_Raw!E501),Supplier_Lookup!$A$2:$A$25,0)),TRIM(Procurement_Raw!E501)))</f>
        <v>PowerDirect</v>
      </c>
      <c r="F501" t="str">
        <f>IFERROR(INDEX(Category_Targets!$A$2:$A$9,MATCH(TRIM(Procurement_Raw!F501),Category_Targets!$A$2:$A$9,0)),"Unmapped")</f>
        <v>Utilities</v>
      </c>
      <c r="G501" t="str">
        <f>TRIM(Procurement_Raw!G501)</f>
        <v>INV-2025-00500</v>
      </c>
      <c r="H501" s="77">
        <f>Procurement_Raw!H501</f>
        <v>53</v>
      </c>
      <c r="I501" s="124">
        <f>Procurement_Raw!I501</f>
        <v>116.85</v>
      </c>
      <c r="J501" s="125">
        <f>IF(Procurement_Raw!J501="","",Procurement_Raw!J501)</f>
        <v>6193.24</v>
      </c>
      <c r="K501" s="77">
        <f>Procurement_Raw!K501</f>
        <v>60</v>
      </c>
      <c r="L501" t="str">
        <f>Procurement_Raw!L501</f>
        <v>Legacy Spend File</v>
      </c>
      <c r="M501" t="str">
        <f>Procurement_Raw!O501</f>
        <v>N</v>
      </c>
      <c r="N501" t="str">
        <f>IF(E501="","Missing supplier",IF(B501="","Missing site",IF(J501="","Missing spend",IF(COUNTIFS($G$2:G501,G501,$E$2:E501,E501,$J$2:J501,J501)&gt;1,"Duplicate invoice",IF(COUNTIF($G$2:$G$1801,G501)&gt;1,"Duplicate ID - review",IF(AND(P501&lt;&gt;"Unmapped",P501&lt;&gt;F501),"Category mismatch","OK"))))))</f>
        <v>OK</v>
      </c>
      <c r="O501" s="125">
        <f t="shared" si="21"/>
        <v>6193.24</v>
      </c>
      <c r="P501" t="str">
        <f>IF(E501="","Unmapped",IFERROR(INDEX(Supplier_Lookup!$B$2:$B$25,MATCH(E501,Supplier_Lookup!$A$2:$A$25,0)),"Unmapped"))</f>
        <v>Utilities</v>
      </c>
      <c r="Q501" s="76">
        <f>IFERROR(INDEX(Category_Targets!$B$2:$B$9,MATCH(F501,Category_Targets!$A$2:$A$9,0)),0)</f>
        <v>0.03</v>
      </c>
      <c r="R501" s="125">
        <f t="shared" si="22"/>
        <v>185.79719999999998</v>
      </c>
      <c r="S501" s="78">
        <f t="shared" si="23"/>
        <v>45717</v>
      </c>
      <c r="T501" t="str">
        <f>IFERROR(VLOOKUP(B501,Sites!$A$2:$D$21,4,FALSE()),"Unknown")</f>
        <v>Derby</v>
      </c>
      <c r="U501" t="str">
        <f>IF(N501="OK","",COUNTIF($N$2:N501,"&lt;&gt;OK"))</f>
        <v/>
      </c>
      <c r="V501">
        <f>IF(OR(NOT(EXACT(E501,TRIM(Procurement_Raw!E501))),NOT(EXACT(F501,TRIM(Procurement_Raw!F501)))),1,0)</f>
        <v>0</v>
      </c>
    </row>
    <row r="502" spans="1:22" ht="15" customHeight="1" x14ac:dyDescent="0.25">
      <c r="A502" s="123">
        <f>Procurement_Raw!A502</f>
        <v>45709</v>
      </c>
      <c r="B502" t="str">
        <f>TRIM(Procurement_Raw!B502)</f>
        <v>S019</v>
      </c>
      <c r="C502" t="str">
        <f>Procurement_Raw!C502</f>
        <v>Wrexham Care &amp; Education Centre</v>
      </c>
      <c r="D502" t="str">
        <f>Procurement_Raw!D502</f>
        <v>Wales</v>
      </c>
      <c r="E502" t="str">
        <f>IF(TRIM(Procurement_Raw!E502)="","",IFERROR(INDEX(Supplier_Lookup!$A$2:$A$25,MATCH(TRIM(Procurement_Raw!E502),Supplier_Lookup!$A$2:$A$25,0)),TRIM(Procurement_Raw!E502)))</f>
        <v>UK Energy Partners</v>
      </c>
      <c r="F502" t="str">
        <f>IFERROR(INDEX(Category_Targets!$A$2:$A$9,MATCH(TRIM(Procurement_Raw!F502),Category_Targets!$A$2:$A$9,0)),"Unmapped")</f>
        <v>Utilities</v>
      </c>
      <c r="G502" t="str">
        <f>TRIM(Procurement_Raw!G502)</f>
        <v>INV-2025-00501</v>
      </c>
      <c r="H502" s="77">
        <f>Procurement_Raw!H502</f>
        <v>18</v>
      </c>
      <c r="I502" s="124">
        <f>Procurement_Raw!I502</f>
        <v>416.07</v>
      </c>
      <c r="J502" s="125">
        <f>IF(Procurement_Raw!J502="","",Procurement_Raw!J502)</f>
        <v>7489.3</v>
      </c>
      <c r="K502" s="77">
        <f>Procurement_Raw!K502</f>
        <v>30</v>
      </c>
      <c r="L502" t="str">
        <f>Procurement_Raw!L502</f>
        <v>Legacy Spend File</v>
      </c>
      <c r="M502" t="str">
        <f>Procurement_Raw!O502</f>
        <v>N</v>
      </c>
      <c r="N502" t="str">
        <f>IF(E502="","Missing supplier",IF(B502="","Missing site",IF(J502="","Missing spend",IF(COUNTIFS($G$2:G502,G502,$E$2:E502,E502,$J$2:J502,J502)&gt;1,"Duplicate invoice",IF(COUNTIF($G$2:$G$1801,G502)&gt;1,"Duplicate ID - review",IF(AND(P502&lt;&gt;"Unmapped",P502&lt;&gt;F502),"Category mismatch","OK"))))))</f>
        <v>OK</v>
      </c>
      <c r="O502" s="125">
        <f t="shared" si="21"/>
        <v>7489.3</v>
      </c>
      <c r="P502" t="str">
        <f>IF(E502="","Unmapped",IFERROR(INDEX(Supplier_Lookup!$B$2:$B$25,MATCH(E502,Supplier_Lookup!$A$2:$A$25,0)),"Unmapped"))</f>
        <v>Utilities</v>
      </c>
      <c r="Q502" s="76">
        <f>IFERROR(INDEX(Category_Targets!$B$2:$B$9,MATCH(F502,Category_Targets!$A$2:$A$9,0)),0)</f>
        <v>0.03</v>
      </c>
      <c r="R502" s="125">
        <f t="shared" si="22"/>
        <v>224.679</v>
      </c>
      <c r="S502" s="78">
        <f t="shared" si="23"/>
        <v>45689</v>
      </c>
      <c r="T502" t="str">
        <f>IFERROR(VLOOKUP(B502,Sites!$A$2:$D$21,4,FALSE()),"Unknown")</f>
        <v>Wrexham</v>
      </c>
      <c r="U502" t="str">
        <f>IF(N502="OK","",COUNTIF($N$2:N502,"&lt;&gt;OK"))</f>
        <v/>
      </c>
      <c r="V502">
        <f>IF(OR(NOT(EXACT(E502,TRIM(Procurement_Raw!E502))),NOT(EXACT(F502,TRIM(Procurement_Raw!F502)))),1,0)</f>
        <v>0</v>
      </c>
    </row>
    <row r="503" spans="1:22" ht="15" customHeight="1" x14ac:dyDescent="0.25">
      <c r="A503" s="123">
        <f>Procurement_Raw!A503</f>
        <v>45877</v>
      </c>
      <c r="B503" t="str">
        <f>TRIM(Procurement_Raw!B503)</f>
        <v>S010</v>
      </c>
      <c r="C503" t="str">
        <f>Procurement_Raw!C503</f>
        <v>Coventry Care &amp; Education Centre</v>
      </c>
      <c r="D503" t="str">
        <f>Procurement_Raw!D503</f>
        <v>Midlands</v>
      </c>
      <c r="E503" t="str">
        <f>IF(TRIM(Procurement_Raw!E503)="","",IFERROR(INDEX(Supplier_Lookup!$A$2:$A$25,MATCH(TRIM(Procurement_Raw!E503),Supplier_Lookup!$A$2:$A$25,0)),TRIM(Procurement_Raw!E503)))</f>
        <v>CareTemps</v>
      </c>
      <c r="F503" t="str">
        <f>IFERROR(INDEX(Category_Targets!$A$2:$A$9,MATCH(TRIM(Procurement_Raw!F503),Category_Targets!$A$2:$A$9,0)),"Unmapped")</f>
        <v>Agency Labour</v>
      </c>
      <c r="G503" t="str">
        <f>TRIM(Procurement_Raw!G503)</f>
        <v>INV-2025-00502</v>
      </c>
      <c r="H503" s="77">
        <f>Procurement_Raw!H503</f>
        <v>41</v>
      </c>
      <c r="I503" s="124">
        <f>Procurement_Raw!I503</f>
        <v>857.45</v>
      </c>
      <c r="J503" s="125">
        <f>IF(Procurement_Raw!J503="","",Procurement_Raw!J503)</f>
        <v>35155.410000000003</v>
      </c>
      <c r="K503" s="77">
        <f>Procurement_Raw!K503</f>
        <v>30</v>
      </c>
      <c r="L503" t="str">
        <f>Procurement_Raw!L503</f>
        <v>ERP</v>
      </c>
      <c r="M503" t="str">
        <f>Procurement_Raw!O503</f>
        <v>N</v>
      </c>
      <c r="N503" t="str">
        <f>IF(E503="","Missing supplier",IF(B503="","Missing site",IF(J503="","Missing spend",IF(COUNTIFS($G$2:G503,G503,$E$2:E503,E503,$J$2:J503,J503)&gt;1,"Duplicate invoice",IF(COUNTIF($G$2:$G$1801,G503)&gt;1,"Duplicate ID - review",IF(AND(P503&lt;&gt;"Unmapped",P503&lt;&gt;F503),"Category mismatch","OK"))))))</f>
        <v>OK</v>
      </c>
      <c r="O503" s="125">
        <f t="shared" si="21"/>
        <v>35155.410000000003</v>
      </c>
      <c r="P503" t="str">
        <f>IF(E503="","Unmapped",IFERROR(INDEX(Supplier_Lookup!$B$2:$B$25,MATCH(E503,Supplier_Lookup!$A$2:$A$25,0)),"Unmapped"))</f>
        <v>Agency Labour</v>
      </c>
      <c r="Q503" s="76">
        <f>IFERROR(INDEX(Category_Targets!$B$2:$B$9,MATCH(F503,Category_Targets!$A$2:$A$9,0)),0)</f>
        <v>7.0000000000000007E-2</v>
      </c>
      <c r="R503" s="125">
        <f t="shared" si="22"/>
        <v>2460.8787000000007</v>
      </c>
      <c r="S503" s="78">
        <f t="shared" si="23"/>
        <v>45870</v>
      </c>
      <c r="T503" t="str">
        <f>IFERROR(VLOOKUP(B503,Sites!$A$2:$D$21,4,FALSE()),"Unknown")</f>
        <v>Coventry</v>
      </c>
      <c r="U503" t="str">
        <f>IF(N503="OK","",COUNTIF($N$2:N503,"&lt;&gt;OK"))</f>
        <v/>
      </c>
      <c r="V503">
        <f>IF(OR(NOT(EXACT(E503,TRIM(Procurement_Raw!E503))),NOT(EXACT(F503,TRIM(Procurement_Raw!F503)))),1,0)</f>
        <v>0</v>
      </c>
    </row>
    <row r="504" spans="1:22" ht="15" customHeight="1" x14ac:dyDescent="0.25">
      <c r="A504" s="123">
        <f>Procurement_Raw!A504</f>
        <v>45941</v>
      </c>
      <c r="B504" t="str">
        <f>TRIM(Procurement_Raw!B504)</f>
        <v>S009</v>
      </c>
      <c r="C504" t="str">
        <f>Procurement_Raw!C504</f>
        <v>Derby Care &amp; Education Centre</v>
      </c>
      <c r="D504" t="str">
        <f>Procurement_Raw!D504</f>
        <v>Midlands</v>
      </c>
      <c r="E504" t="str">
        <f>IF(TRIM(Procurement_Raw!E504)="","",IFERROR(INDEX(Supplier_Lookup!$A$2:$A$25,MATCH(TRIM(Procurement_Raw!E504),Supplier_Lookup!$A$2:$A$25,0)),TRIM(Procurement_Raw!E504)))</f>
        <v>FreshServe</v>
      </c>
      <c r="F504" t="str">
        <f>IFERROR(INDEX(Category_Targets!$A$2:$A$9,MATCH(TRIM(Procurement_Raw!F504),Category_Targets!$A$2:$A$9,0)),"Unmapped")</f>
        <v>Food &amp; Catering</v>
      </c>
      <c r="G504" t="str">
        <f>TRIM(Procurement_Raw!G504)</f>
        <v>INV-2025-00503</v>
      </c>
      <c r="H504" s="77">
        <f>Procurement_Raw!H504</f>
        <v>77</v>
      </c>
      <c r="I504" s="124">
        <f>Procurement_Raw!I504</f>
        <v>30.12</v>
      </c>
      <c r="J504" s="125">
        <f>IF(Procurement_Raw!J504="","",Procurement_Raw!J504)</f>
        <v>2319.21</v>
      </c>
      <c r="K504" s="77">
        <f>Procurement_Raw!K504</f>
        <v>60</v>
      </c>
      <c r="L504" t="str">
        <f>Procurement_Raw!L504</f>
        <v>Legacy Spend File</v>
      </c>
      <c r="M504" t="str">
        <f>Procurement_Raw!O504</f>
        <v>Y</v>
      </c>
      <c r="N504" t="str">
        <f>IF(E504="","Missing supplier",IF(B504="","Missing site",IF(J504="","Missing spend",IF(COUNTIFS($G$2:G504,G504,$E$2:E504,E504,$J$2:J504,J504)&gt;1,"Duplicate invoice",IF(COUNTIF($G$2:$G$1801,G504)&gt;1,"Duplicate ID - review",IF(AND(P504&lt;&gt;"Unmapped",P504&lt;&gt;F504),"Category mismatch","OK"))))))</f>
        <v>OK</v>
      </c>
      <c r="O504" s="125">
        <f t="shared" si="21"/>
        <v>2319.21</v>
      </c>
      <c r="P504" t="str">
        <f>IF(E504="","Unmapped",IFERROR(INDEX(Supplier_Lookup!$B$2:$B$25,MATCH(E504,Supplier_Lookup!$A$2:$A$25,0)),"Unmapped"))</f>
        <v>Food &amp; Catering</v>
      </c>
      <c r="Q504" s="76">
        <f>IFERROR(INDEX(Category_Targets!$B$2:$B$9,MATCH(F504,Category_Targets!$A$2:$A$9,0)),0)</f>
        <v>0.04</v>
      </c>
      <c r="R504" s="125">
        <f t="shared" si="22"/>
        <v>92.7684</v>
      </c>
      <c r="S504" s="78">
        <f t="shared" si="23"/>
        <v>45931</v>
      </c>
      <c r="T504" t="str">
        <f>IFERROR(VLOOKUP(B504,Sites!$A$2:$D$21,4,FALSE()),"Unknown")</f>
        <v>Derby</v>
      </c>
      <c r="U504" t="str">
        <f>IF(N504="OK","",COUNTIF($N$2:N504,"&lt;&gt;OK"))</f>
        <v/>
      </c>
      <c r="V504">
        <f>IF(OR(NOT(EXACT(E504,TRIM(Procurement_Raw!E504))),NOT(EXACT(F504,TRIM(Procurement_Raw!F504)))),1,0)</f>
        <v>0</v>
      </c>
    </row>
    <row r="505" spans="1:22" ht="15" customHeight="1" x14ac:dyDescent="0.25">
      <c r="A505" s="123">
        <f>Procurement_Raw!A505</f>
        <v>45671</v>
      </c>
      <c r="B505" t="str">
        <f>TRIM(Procurement_Raw!B505)</f>
        <v>S014</v>
      </c>
      <c r="C505" t="str">
        <f>Procurement_Raw!C505</f>
        <v>Southampton Care &amp; Education Centre</v>
      </c>
      <c r="D505" t="str">
        <f>Procurement_Raw!D505</f>
        <v>South</v>
      </c>
      <c r="E505" t="str">
        <f>IF(TRIM(Procurement_Raw!E505)="","",IFERROR(INDEX(Supplier_Lookup!$A$2:$A$25,MATCH(TRIM(Procurement_Raw!E505),Supplier_Lookup!$A$2:$A$25,0)),TRIM(Procurement_Raw!E505)))</f>
        <v>NetServe</v>
      </c>
      <c r="F505" t="str">
        <f>IFERROR(INDEX(Category_Targets!$A$2:$A$9,MATCH(TRIM(Procurement_Raw!F505),Category_Targets!$A$2:$A$9,0)),"Unmapped")</f>
        <v>IT &amp; Telecoms</v>
      </c>
      <c r="G505" t="str">
        <f>TRIM(Procurement_Raw!G505)</f>
        <v>INV-2025-00504</v>
      </c>
      <c r="H505" s="77">
        <f>Procurement_Raw!H505</f>
        <v>39</v>
      </c>
      <c r="I505" s="124">
        <f>Procurement_Raw!I505</f>
        <v>299.83999999999997</v>
      </c>
      <c r="J505" s="125">
        <f>IF(Procurement_Raw!J505="","",Procurement_Raw!J505)</f>
        <v>11693.9</v>
      </c>
      <c r="K505" s="77">
        <f>Procurement_Raw!K505</f>
        <v>30</v>
      </c>
      <c r="L505" t="str">
        <f>Procurement_Raw!L505</f>
        <v>Legacy Spend File</v>
      </c>
      <c r="M505" t="str">
        <f>Procurement_Raw!O505</f>
        <v>N</v>
      </c>
      <c r="N505" t="str">
        <f>IF(E505="","Missing supplier",IF(B505="","Missing site",IF(J505="","Missing spend",IF(COUNTIFS($G$2:G505,G505,$E$2:E505,E505,$J$2:J505,J505)&gt;1,"Duplicate invoice",IF(COUNTIF($G$2:$G$1801,G505)&gt;1,"Duplicate ID - review",IF(AND(P505&lt;&gt;"Unmapped",P505&lt;&gt;F505),"Category mismatch","OK"))))))</f>
        <v>OK</v>
      </c>
      <c r="O505" s="125">
        <f t="shared" si="21"/>
        <v>11693.9</v>
      </c>
      <c r="P505" t="str">
        <f>IF(E505="","Unmapped",IFERROR(INDEX(Supplier_Lookup!$B$2:$B$25,MATCH(E505,Supplier_Lookup!$A$2:$A$25,0)),"Unmapped"))</f>
        <v>IT &amp; Telecoms</v>
      </c>
      <c r="Q505" s="76">
        <f>IFERROR(INDEX(Category_Targets!$B$2:$B$9,MATCH(F505,Category_Targets!$A$2:$A$9,0)),0)</f>
        <v>0.08</v>
      </c>
      <c r="R505" s="125">
        <f t="shared" si="22"/>
        <v>935.51199999999994</v>
      </c>
      <c r="S505" s="78">
        <f t="shared" si="23"/>
        <v>45658</v>
      </c>
      <c r="T505" t="str">
        <f>IFERROR(VLOOKUP(B505,Sites!$A$2:$D$21,4,FALSE()),"Unknown")</f>
        <v>Southampton</v>
      </c>
      <c r="U505" t="str">
        <f>IF(N505="OK","",COUNTIF($N$2:N505,"&lt;&gt;OK"))</f>
        <v/>
      </c>
      <c r="V505">
        <f>IF(OR(NOT(EXACT(E505,TRIM(Procurement_Raw!E505))),NOT(EXACT(F505,TRIM(Procurement_Raw!F505)))),1,0)</f>
        <v>0</v>
      </c>
    </row>
    <row r="506" spans="1:22" ht="15" customHeight="1" x14ac:dyDescent="0.25">
      <c r="A506" s="123">
        <f>Procurement_Raw!A506</f>
        <v>45858</v>
      </c>
      <c r="B506" t="str">
        <f>TRIM(Procurement_Raw!B506)</f>
        <v>S007</v>
      </c>
      <c r="C506" t="str">
        <f>Procurement_Raw!C506</f>
        <v>Nottingham Care &amp; Education Centre</v>
      </c>
      <c r="D506" t="str">
        <f>Procurement_Raw!D506</f>
        <v>Midlands</v>
      </c>
      <c r="E506" t="str">
        <f>IF(TRIM(Procurement_Raw!E506)="","",IFERROR(INDEX(Supplier_Lookup!$A$2:$A$25,MATCH(TRIM(Procurement_Raw!E506),Supplier_Lookup!$A$2:$A$25,0)),TRIM(Procurement_Raw!E506)))</f>
        <v>PowerDirect</v>
      </c>
      <c r="F506" t="str">
        <f>IFERROR(INDEX(Category_Targets!$A$2:$A$9,MATCH(TRIM(Procurement_Raw!F506),Category_Targets!$A$2:$A$9,0)),"Unmapped")</f>
        <v>Utilities</v>
      </c>
      <c r="G506" t="str">
        <f>TRIM(Procurement_Raw!G506)</f>
        <v>INV-2025-00505</v>
      </c>
      <c r="H506" s="77">
        <f>Procurement_Raw!H506</f>
        <v>38</v>
      </c>
      <c r="I506" s="124">
        <f>Procurement_Raw!I506</f>
        <v>174.79</v>
      </c>
      <c r="J506" s="125">
        <f>IF(Procurement_Raw!J506="","",Procurement_Raw!J506)</f>
        <v>6642.17</v>
      </c>
      <c r="K506" s="77">
        <f>Procurement_Raw!K506</f>
        <v>60</v>
      </c>
      <c r="L506" t="str">
        <f>Procurement_Raw!L506</f>
        <v>ERP</v>
      </c>
      <c r="M506" t="str">
        <f>Procurement_Raw!O506</f>
        <v>N</v>
      </c>
      <c r="N506" t="str">
        <f>IF(E506="","Missing supplier",IF(B506="","Missing site",IF(J506="","Missing spend",IF(COUNTIFS($G$2:G506,G506,$E$2:E506,E506,$J$2:J506,J506)&gt;1,"Duplicate invoice",IF(COUNTIF($G$2:$G$1801,G506)&gt;1,"Duplicate ID - review",IF(AND(P506&lt;&gt;"Unmapped",P506&lt;&gt;F506),"Category mismatch","OK"))))))</f>
        <v>OK</v>
      </c>
      <c r="O506" s="125">
        <f t="shared" si="21"/>
        <v>6642.17</v>
      </c>
      <c r="P506" t="str">
        <f>IF(E506="","Unmapped",IFERROR(INDEX(Supplier_Lookup!$B$2:$B$25,MATCH(E506,Supplier_Lookup!$A$2:$A$25,0)),"Unmapped"))</f>
        <v>Utilities</v>
      </c>
      <c r="Q506" s="76">
        <f>IFERROR(INDEX(Category_Targets!$B$2:$B$9,MATCH(F506,Category_Targets!$A$2:$A$9,0)),0)</f>
        <v>0.03</v>
      </c>
      <c r="R506" s="125">
        <f t="shared" si="22"/>
        <v>199.26509999999999</v>
      </c>
      <c r="S506" s="78">
        <f t="shared" si="23"/>
        <v>45839</v>
      </c>
      <c r="T506" t="str">
        <f>IFERROR(VLOOKUP(B506,Sites!$A$2:$D$21,4,FALSE()),"Unknown")</f>
        <v>Nottingham</v>
      </c>
      <c r="U506" t="str">
        <f>IF(N506="OK","",COUNTIF($N$2:N506,"&lt;&gt;OK"))</f>
        <v/>
      </c>
      <c r="V506">
        <f>IF(OR(NOT(EXACT(E506,TRIM(Procurement_Raw!E506))),NOT(EXACT(F506,TRIM(Procurement_Raw!F506)))),1,0)</f>
        <v>0</v>
      </c>
    </row>
    <row r="507" spans="1:22" ht="15" customHeight="1" x14ac:dyDescent="0.25">
      <c r="A507" s="123">
        <f>Procurement_Raw!A507</f>
        <v>45715</v>
      </c>
      <c r="B507" t="str">
        <f>TRIM(Procurement_Raw!B507)</f>
        <v>S003</v>
      </c>
      <c r="C507" t="str">
        <f>Procurement_Raw!C507</f>
        <v>Leeds Care &amp; Education Centre</v>
      </c>
      <c r="D507" t="str">
        <f>Procurement_Raw!D507</f>
        <v>North</v>
      </c>
      <c r="E507" t="str">
        <f>IF(TRIM(Procurement_Raw!E507)="","",IFERROR(INDEX(Supplier_Lookup!$A$2:$A$25,MATCH(TRIM(Procurement_Raw!E507),Supplier_Lookup!$A$2:$A$25,0)),TRIM(Procurement_Raw!E507)))</f>
        <v>LearnWell</v>
      </c>
      <c r="F507" t="str">
        <f>IFERROR(INDEX(Category_Targets!$A$2:$A$9,MATCH(TRIM(Procurement_Raw!F507),Category_Targets!$A$2:$A$9,0)),"Unmapped")</f>
        <v>Office &amp; Training</v>
      </c>
      <c r="G507" t="str">
        <f>TRIM(Procurement_Raw!G507)</f>
        <v>INV-2025-00506</v>
      </c>
      <c r="H507" s="77">
        <f>Procurement_Raw!H507</f>
        <v>31</v>
      </c>
      <c r="I507" s="124">
        <f>Procurement_Raw!I507</f>
        <v>57.37</v>
      </c>
      <c r="J507" s="125">
        <f>IF(Procurement_Raw!J507="","",Procurement_Raw!J507)</f>
        <v>1778.55</v>
      </c>
      <c r="K507" s="77">
        <f>Procurement_Raw!K507</f>
        <v>45</v>
      </c>
      <c r="L507" t="str">
        <f>Procurement_Raw!L507</f>
        <v>Legacy Spend File</v>
      </c>
      <c r="M507" t="str">
        <f>Procurement_Raw!O507</f>
        <v>N</v>
      </c>
      <c r="N507" t="str">
        <f>IF(E507="","Missing supplier",IF(B507="","Missing site",IF(J507="","Missing spend",IF(COUNTIFS($G$2:G507,G507,$E$2:E507,E507,$J$2:J507,J507)&gt;1,"Duplicate invoice",IF(COUNTIF($G$2:$G$1801,G507)&gt;1,"Duplicate ID - review",IF(AND(P507&lt;&gt;"Unmapped",P507&lt;&gt;F507),"Category mismatch","OK"))))))</f>
        <v>OK</v>
      </c>
      <c r="O507" s="125">
        <f t="shared" si="21"/>
        <v>1778.55</v>
      </c>
      <c r="P507" t="str">
        <f>IF(E507="","Unmapped",IFERROR(INDEX(Supplier_Lookup!$B$2:$B$25,MATCH(E507,Supplier_Lookup!$A$2:$A$25,0)),"Unmapped"))</f>
        <v>Office &amp; Training</v>
      </c>
      <c r="Q507" s="76">
        <f>IFERROR(INDEX(Category_Targets!$B$2:$B$9,MATCH(F507,Category_Targets!$A$2:$A$9,0)),0)</f>
        <v>0.04</v>
      </c>
      <c r="R507" s="125">
        <f t="shared" si="22"/>
        <v>71.141999999999996</v>
      </c>
      <c r="S507" s="78">
        <f t="shared" si="23"/>
        <v>45689</v>
      </c>
      <c r="T507" t="str">
        <f>IFERROR(VLOOKUP(B507,Sites!$A$2:$D$21,4,FALSE()),"Unknown")</f>
        <v>Leeds</v>
      </c>
      <c r="U507" t="str">
        <f>IF(N507="OK","",COUNTIF($N$2:N507,"&lt;&gt;OK"))</f>
        <v/>
      </c>
      <c r="V507">
        <f>IF(OR(NOT(EXACT(E507,TRIM(Procurement_Raw!E507))),NOT(EXACT(F507,TRIM(Procurement_Raw!F507)))),1,0)</f>
        <v>0</v>
      </c>
    </row>
    <row r="508" spans="1:22" ht="15" customHeight="1" x14ac:dyDescent="0.25">
      <c r="A508" s="123">
        <f>Procurement_Raw!A508</f>
        <v>45664</v>
      </c>
      <c r="B508" t="str">
        <f>TRIM(Procurement_Raw!B508)</f>
        <v>S014</v>
      </c>
      <c r="C508" t="str">
        <f>Procurement_Raw!C508</f>
        <v>Southampton Care &amp; Education Centre</v>
      </c>
      <c r="D508" t="str">
        <f>Procurement_Raw!D508</f>
        <v>South</v>
      </c>
      <c r="E508" t="str">
        <f>IF(TRIM(Procurement_Raw!E508)="","",IFERROR(INDEX(Supplier_Lookup!$A$2:$A$25,MATCH(TRIM(Procurement_Raw!E508),Supplier_Lookup!$A$2:$A$25,0)),TRIM(Procurement_Raw!E508)))</f>
        <v>KitchenPro</v>
      </c>
      <c r="F508" t="str">
        <f>IFERROR(INDEX(Category_Targets!$A$2:$A$9,MATCH(TRIM(Procurement_Raw!F508),Category_Targets!$A$2:$A$9,0)),"Unmapped")</f>
        <v>Food &amp; Catering</v>
      </c>
      <c r="G508" t="str">
        <f>TRIM(Procurement_Raw!G508)</f>
        <v>INV-2025-00507</v>
      </c>
      <c r="H508" s="77">
        <f>Procurement_Raw!H508</f>
        <v>47</v>
      </c>
      <c r="I508" s="124">
        <f>Procurement_Raw!I508</f>
        <v>46.93</v>
      </c>
      <c r="J508" s="125">
        <f>IF(Procurement_Raw!J508="","",Procurement_Raw!J508)</f>
        <v>2205.52</v>
      </c>
      <c r="K508" s="77">
        <f>Procurement_Raw!K508</f>
        <v>45</v>
      </c>
      <c r="L508" t="str">
        <f>Procurement_Raw!L508</f>
        <v>ERP</v>
      </c>
      <c r="M508" t="str">
        <f>Procurement_Raw!O508</f>
        <v>N</v>
      </c>
      <c r="N508" t="str">
        <f>IF(E508="","Missing supplier",IF(B508="","Missing site",IF(J508="","Missing spend",IF(COUNTIFS($G$2:G508,G508,$E$2:E508,E508,$J$2:J508,J508)&gt;1,"Duplicate invoice",IF(COUNTIF($G$2:$G$1801,G508)&gt;1,"Duplicate ID - review",IF(AND(P508&lt;&gt;"Unmapped",P508&lt;&gt;F508),"Category mismatch","OK"))))))</f>
        <v>OK</v>
      </c>
      <c r="O508" s="125">
        <f t="shared" si="21"/>
        <v>2205.52</v>
      </c>
      <c r="P508" t="str">
        <f>IF(E508="","Unmapped",IFERROR(INDEX(Supplier_Lookup!$B$2:$B$25,MATCH(E508,Supplier_Lookup!$A$2:$A$25,0)),"Unmapped"))</f>
        <v>Food &amp; Catering</v>
      </c>
      <c r="Q508" s="76">
        <f>IFERROR(INDEX(Category_Targets!$B$2:$B$9,MATCH(F508,Category_Targets!$A$2:$A$9,0)),0)</f>
        <v>0.04</v>
      </c>
      <c r="R508" s="125">
        <f t="shared" si="22"/>
        <v>88.220799999999997</v>
      </c>
      <c r="S508" s="78">
        <f t="shared" si="23"/>
        <v>45658</v>
      </c>
      <c r="T508" t="str">
        <f>IFERROR(VLOOKUP(B508,Sites!$A$2:$D$21,4,FALSE()),"Unknown")</f>
        <v>Southampton</v>
      </c>
      <c r="U508" t="str">
        <f>IF(N508="OK","",COUNTIF($N$2:N508,"&lt;&gt;OK"))</f>
        <v/>
      </c>
      <c r="V508">
        <f>IF(OR(NOT(EXACT(E508,TRIM(Procurement_Raw!E508))),NOT(EXACT(F508,TRIM(Procurement_Raw!F508)))),1,0)</f>
        <v>0</v>
      </c>
    </row>
    <row r="509" spans="1:22" ht="15" customHeight="1" x14ac:dyDescent="0.25">
      <c r="A509" s="123">
        <f>Procurement_Raw!A509</f>
        <v>45937</v>
      </c>
      <c r="B509" t="str">
        <f>TRIM(Procurement_Raw!B509)</f>
        <v>S006</v>
      </c>
      <c r="C509" t="str">
        <f>Procurement_Raw!C509</f>
        <v>Birmingham Care &amp; Education Centre</v>
      </c>
      <c r="D509" t="str">
        <f>Procurement_Raw!D509</f>
        <v>Midlands</v>
      </c>
      <c r="E509" t="str">
        <f>IF(TRIM(Procurement_Raw!E509)="","",IFERROR(INDEX(Supplier_Lookup!$A$2:$A$25,MATCH(TRIM(Procurement_Raw!E509),Supplier_Lookup!$A$2:$A$25,0)),TRIM(Procurement_Raw!E509)))</f>
        <v>CareTemps</v>
      </c>
      <c r="F509" t="str">
        <f>IFERROR(INDEX(Category_Targets!$A$2:$A$9,MATCH(TRIM(Procurement_Raw!F509),Category_Targets!$A$2:$A$9,0)),"Unmapped")</f>
        <v>Agency Labour</v>
      </c>
      <c r="G509" t="str">
        <f>TRIM(Procurement_Raw!G509)</f>
        <v>INV-2025-00508</v>
      </c>
      <c r="H509" s="77">
        <f>Procurement_Raw!H509</f>
        <v>23</v>
      </c>
      <c r="I509" s="124">
        <f>Procurement_Raw!I509</f>
        <v>186.53</v>
      </c>
      <c r="J509" s="125">
        <f>IF(Procurement_Raw!J509="","",Procurement_Raw!J509)</f>
        <v>4290.17</v>
      </c>
      <c r="K509" s="77">
        <f>Procurement_Raw!K509</f>
        <v>45</v>
      </c>
      <c r="L509" t="str">
        <f>Procurement_Raw!L509</f>
        <v>ERP</v>
      </c>
      <c r="M509" t="str">
        <f>Procurement_Raw!O509</f>
        <v>N</v>
      </c>
      <c r="N509" t="str">
        <f>IF(E509="","Missing supplier",IF(B509="","Missing site",IF(J509="","Missing spend",IF(COUNTIFS($G$2:G509,G509,$E$2:E509,E509,$J$2:J509,J509)&gt;1,"Duplicate invoice",IF(COUNTIF($G$2:$G$1801,G509)&gt;1,"Duplicate ID - review",IF(AND(P509&lt;&gt;"Unmapped",P509&lt;&gt;F509),"Category mismatch","OK"))))))</f>
        <v>OK</v>
      </c>
      <c r="O509" s="125">
        <f t="shared" si="21"/>
        <v>4290.17</v>
      </c>
      <c r="P509" t="str">
        <f>IF(E509="","Unmapped",IFERROR(INDEX(Supplier_Lookup!$B$2:$B$25,MATCH(E509,Supplier_Lookup!$A$2:$A$25,0)),"Unmapped"))</f>
        <v>Agency Labour</v>
      </c>
      <c r="Q509" s="76">
        <f>IFERROR(INDEX(Category_Targets!$B$2:$B$9,MATCH(F509,Category_Targets!$A$2:$A$9,0)),0)</f>
        <v>7.0000000000000007E-2</v>
      </c>
      <c r="R509" s="125">
        <f t="shared" si="22"/>
        <v>300.31190000000004</v>
      </c>
      <c r="S509" s="78">
        <f t="shared" si="23"/>
        <v>45931</v>
      </c>
      <c r="T509" t="str">
        <f>IFERROR(VLOOKUP(B509,Sites!$A$2:$D$21,4,FALSE()),"Unknown")</f>
        <v>Birmingham</v>
      </c>
      <c r="U509" t="str">
        <f>IF(N509="OK","",COUNTIF($N$2:N509,"&lt;&gt;OK"))</f>
        <v/>
      </c>
      <c r="V509">
        <f>IF(OR(NOT(EXACT(E509,TRIM(Procurement_Raw!E509))),NOT(EXACT(F509,TRIM(Procurement_Raw!F509)))),1,0)</f>
        <v>0</v>
      </c>
    </row>
    <row r="510" spans="1:22" ht="15" customHeight="1" x14ac:dyDescent="0.25">
      <c r="A510" s="123">
        <f>Procurement_Raw!A510</f>
        <v>45792</v>
      </c>
      <c r="B510" t="str">
        <f>TRIM(Procurement_Raw!B510)</f>
        <v>S013</v>
      </c>
      <c r="C510" t="str">
        <f>Procurement_Raw!C510</f>
        <v>Reading Care &amp; Education Centre</v>
      </c>
      <c r="D510" t="str">
        <f>Procurement_Raw!D510</f>
        <v>South</v>
      </c>
      <c r="E510" t="str">
        <f>IF(TRIM(Procurement_Raw!E510)="","",IFERROR(INDEX(Supplier_Lookup!$A$2:$A$25,MATCH(TRIM(Procurement_Raw!E510),Supplier_Lookup!$A$2:$A$25,0)),TRIM(Procurement_Raw!E510)))</f>
        <v>FreshServe</v>
      </c>
      <c r="F510" t="str">
        <f>IFERROR(INDEX(Category_Targets!$A$2:$A$9,MATCH(TRIM(Procurement_Raw!F510),Category_Targets!$A$2:$A$9,0)),"Unmapped")</f>
        <v>Food &amp; Catering</v>
      </c>
      <c r="G510" t="str">
        <f>TRIM(Procurement_Raw!G510)</f>
        <v>INV-2025-00509</v>
      </c>
      <c r="H510" s="77">
        <f>Procurement_Raw!H510</f>
        <v>28</v>
      </c>
      <c r="I510" s="124">
        <f>Procurement_Raw!I510</f>
        <v>66.760000000000005</v>
      </c>
      <c r="J510" s="125">
        <f>IF(Procurement_Raw!J510="","",Procurement_Raw!J510)</f>
        <v>1869.22</v>
      </c>
      <c r="K510" s="77">
        <f>Procurement_Raw!K510</f>
        <v>30</v>
      </c>
      <c r="L510" t="str">
        <f>Procurement_Raw!L510</f>
        <v>ERP</v>
      </c>
      <c r="M510" t="str">
        <f>Procurement_Raw!O510</f>
        <v>Y</v>
      </c>
      <c r="N510" t="str">
        <f>IF(E510="","Missing supplier",IF(B510="","Missing site",IF(J510="","Missing spend",IF(COUNTIFS($G$2:G510,G510,$E$2:E510,E510,$J$2:J510,J510)&gt;1,"Duplicate invoice",IF(COUNTIF($G$2:$G$1801,G510)&gt;1,"Duplicate ID - review",IF(AND(P510&lt;&gt;"Unmapped",P510&lt;&gt;F510),"Category mismatch","OK"))))))</f>
        <v>OK</v>
      </c>
      <c r="O510" s="125">
        <f t="shared" si="21"/>
        <v>1869.22</v>
      </c>
      <c r="P510" t="str">
        <f>IF(E510="","Unmapped",IFERROR(INDEX(Supplier_Lookup!$B$2:$B$25,MATCH(E510,Supplier_Lookup!$A$2:$A$25,0)),"Unmapped"))</f>
        <v>Food &amp; Catering</v>
      </c>
      <c r="Q510" s="76">
        <f>IFERROR(INDEX(Category_Targets!$B$2:$B$9,MATCH(F510,Category_Targets!$A$2:$A$9,0)),0)</f>
        <v>0.04</v>
      </c>
      <c r="R510" s="125">
        <f t="shared" si="22"/>
        <v>74.768799999999999</v>
      </c>
      <c r="S510" s="78">
        <f t="shared" si="23"/>
        <v>45778</v>
      </c>
      <c r="T510" t="str">
        <f>IFERROR(VLOOKUP(B510,Sites!$A$2:$D$21,4,FALSE()),"Unknown")</f>
        <v>Reading</v>
      </c>
      <c r="U510" t="str">
        <f>IF(N510="OK","",COUNTIF($N$2:N510,"&lt;&gt;OK"))</f>
        <v/>
      </c>
      <c r="V510">
        <f>IF(OR(NOT(EXACT(E510,TRIM(Procurement_Raw!E510))),NOT(EXACT(F510,TRIM(Procurement_Raw!F510)))),1,0)</f>
        <v>0</v>
      </c>
    </row>
    <row r="511" spans="1:22" ht="15" customHeight="1" x14ac:dyDescent="0.25">
      <c r="A511" s="123">
        <f>Procurement_Raw!A511</f>
        <v>46022</v>
      </c>
      <c r="B511" t="str">
        <f>TRIM(Procurement_Raw!B511)</f>
        <v>S005</v>
      </c>
      <c r="C511" t="str">
        <f>Procurement_Raw!C511</f>
        <v>Sheffield Care &amp; Education Centre</v>
      </c>
      <c r="D511" t="str">
        <f>Procurement_Raw!D511</f>
        <v>North</v>
      </c>
      <c r="E511" t="str">
        <f>IF(TRIM(Procurement_Raw!E511)="","",IFERROR(INDEX(Supplier_Lookup!$A$2:$A$25,MATCH(TRIM(Procurement_Raw!E511),Supplier_Lookup!$A$2:$A$25,0)),TRIM(Procurement_Raw!E511)))</f>
        <v>NetServe</v>
      </c>
      <c r="F511" t="str">
        <f>IFERROR(INDEX(Category_Targets!$A$2:$A$9,MATCH(TRIM(Procurement_Raw!F511),Category_Targets!$A$2:$A$9,0)),"Unmapped")</f>
        <v>IT &amp; Telecoms</v>
      </c>
      <c r="G511" t="str">
        <f>TRIM(Procurement_Raw!G511)</f>
        <v>INV-2025-00510</v>
      </c>
      <c r="H511" s="77">
        <f>Procurement_Raw!H511</f>
        <v>65</v>
      </c>
      <c r="I511" s="124">
        <f>Procurement_Raw!I511</f>
        <v>139.30000000000001</v>
      </c>
      <c r="J511" s="125">
        <f>IF(Procurement_Raw!J511="","",Procurement_Raw!J511)</f>
        <v>9054.27</v>
      </c>
      <c r="K511" s="77">
        <f>Procurement_Raw!K511</f>
        <v>45</v>
      </c>
      <c r="L511" t="str">
        <f>Procurement_Raw!L511</f>
        <v>Procurement Portal</v>
      </c>
      <c r="M511" t="str">
        <f>Procurement_Raw!O511</f>
        <v>N</v>
      </c>
      <c r="N511" t="str">
        <f>IF(E511="","Missing supplier",IF(B511="","Missing site",IF(J511="","Missing spend",IF(COUNTIFS($G$2:G511,G511,$E$2:E511,E511,$J$2:J511,J511)&gt;1,"Duplicate invoice",IF(COUNTIF($G$2:$G$1801,G511)&gt;1,"Duplicate ID - review",IF(AND(P511&lt;&gt;"Unmapped",P511&lt;&gt;F511),"Category mismatch","OK"))))))</f>
        <v>OK</v>
      </c>
      <c r="O511" s="125">
        <f t="shared" si="21"/>
        <v>9054.27</v>
      </c>
      <c r="P511" t="str">
        <f>IF(E511="","Unmapped",IFERROR(INDEX(Supplier_Lookup!$B$2:$B$25,MATCH(E511,Supplier_Lookup!$A$2:$A$25,0)),"Unmapped"))</f>
        <v>IT &amp; Telecoms</v>
      </c>
      <c r="Q511" s="76">
        <f>IFERROR(INDEX(Category_Targets!$B$2:$B$9,MATCH(F511,Category_Targets!$A$2:$A$9,0)),0)</f>
        <v>0.08</v>
      </c>
      <c r="R511" s="125">
        <f t="shared" si="22"/>
        <v>724.34160000000008</v>
      </c>
      <c r="S511" s="78">
        <f t="shared" si="23"/>
        <v>45992</v>
      </c>
      <c r="T511" t="str">
        <f>IFERROR(VLOOKUP(B511,Sites!$A$2:$D$21,4,FALSE()),"Unknown")</f>
        <v>Sheffield</v>
      </c>
      <c r="U511" t="str">
        <f>IF(N511="OK","",COUNTIF($N$2:N511,"&lt;&gt;OK"))</f>
        <v/>
      </c>
      <c r="V511">
        <f>IF(OR(NOT(EXACT(E511,TRIM(Procurement_Raw!E511))),NOT(EXACT(F511,TRIM(Procurement_Raw!F511)))),1,0)</f>
        <v>0</v>
      </c>
    </row>
    <row r="512" spans="1:22" ht="15" customHeight="1" x14ac:dyDescent="0.25">
      <c r="A512" s="123">
        <f>Procurement_Raw!A512</f>
        <v>45985</v>
      </c>
      <c r="B512" t="str">
        <f>TRIM(Procurement_Raw!B512)</f>
        <v>S004</v>
      </c>
      <c r="C512" t="str">
        <f>Procurement_Raw!C512</f>
        <v>Newcastle Care &amp; Education Centre</v>
      </c>
      <c r="D512" t="str">
        <f>Procurement_Raw!D512</f>
        <v>North</v>
      </c>
      <c r="E512" t="str">
        <f>IF(TRIM(Procurement_Raw!E512)="","",IFERROR(INDEX(Supplier_Lookup!$A$2:$A$25,MATCH(TRIM(Procurement_Raw!E512),Supplier_Lookup!$A$2:$A$25,0)),TRIM(Procurement_Raw!E512)))</f>
        <v>HealthStaffing</v>
      </c>
      <c r="F512" t="str">
        <f>IFERROR(INDEX(Category_Targets!$A$2:$A$9,MATCH(TRIM(Procurement_Raw!F512),Category_Targets!$A$2:$A$9,0)),"Unmapped")</f>
        <v>Agency Labour</v>
      </c>
      <c r="G512" t="str">
        <f>TRIM(Procurement_Raw!G512)</f>
        <v>INV-2025-00511</v>
      </c>
      <c r="H512" s="77">
        <f>Procurement_Raw!H512</f>
        <v>69</v>
      </c>
      <c r="I512" s="124">
        <f>Procurement_Raw!I512</f>
        <v>348.12</v>
      </c>
      <c r="J512" s="125">
        <f>IF(Procurement_Raw!J512="","",Procurement_Raw!J512)</f>
        <v>24019.96</v>
      </c>
      <c r="K512" s="77">
        <f>Procurement_Raw!K512</f>
        <v>60</v>
      </c>
      <c r="L512" t="str">
        <f>Procurement_Raw!L512</f>
        <v>Legacy Spend File</v>
      </c>
      <c r="M512" t="str">
        <f>Procurement_Raw!O512</f>
        <v>N</v>
      </c>
      <c r="N512" t="str">
        <f>IF(E512="","Missing supplier",IF(B512="","Missing site",IF(J512="","Missing spend",IF(COUNTIFS($G$2:G512,G512,$E$2:E512,E512,$J$2:J512,J512)&gt;1,"Duplicate invoice",IF(COUNTIF($G$2:$G$1801,G512)&gt;1,"Duplicate ID - review",IF(AND(P512&lt;&gt;"Unmapped",P512&lt;&gt;F512),"Category mismatch","OK"))))))</f>
        <v>OK</v>
      </c>
      <c r="O512" s="125">
        <f t="shared" si="21"/>
        <v>24019.96</v>
      </c>
      <c r="P512" t="str">
        <f>IF(E512="","Unmapped",IFERROR(INDEX(Supplier_Lookup!$B$2:$B$25,MATCH(E512,Supplier_Lookup!$A$2:$A$25,0)),"Unmapped"))</f>
        <v>Agency Labour</v>
      </c>
      <c r="Q512" s="76">
        <f>IFERROR(INDEX(Category_Targets!$B$2:$B$9,MATCH(F512,Category_Targets!$A$2:$A$9,0)),0)</f>
        <v>7.0000000000000007E-2</v>
      </c>
      <c r="R512" s="125">
        <f t="shared" si="22"/>
        <v>1681.3972000000001</v>
      </c>
      <c r="S512" s="78">
        <f t="shared" si="23"/>
        <v>45962</v>
      </c>
      <c r="T512" t="str">
        <f>IFERROR(VLOOKUP(B512,Sites!$A$2:$D$21,4,FALSE()),"Unknown")</f>
        <v>Newcastle</v>
      </c>
      <c r="U512" t="str">
        <f>IF(N512="OK","",COUNTIF($N$2:N512,"&lt;&gt;OK"))</f>
        <v/>
      </c>
      <c r="V512">
        <f>IF(OR(NOT(EXACT(E512,TRIM(Procurement_Raw!E512))),NOT(EXACT(F512,TRIM(Procurement_Raw!F512)))),1,0)</f>
        <v>0</v>
      </c>
    </row>
    <row r="513" spans="1:22" ht="15" customHeight="1" x14ac:dyDescent="0.25">
      <c r="A513" s="123">
        <f>Procurement_Raw!A513</f>
        <v>45816</v>
      </c>
      <c r="B513" t="str">
        <f>TRIM(Procurement_Raw!B513)</f>
        <v>S003</v>
      </c>
      <c r="C513" t="str">
        <f>Procurement_Raw!C513</f>
        <v>Leeds Care &amp; Education Centre</v>
      </c>
      <c r="D513" t="str">
        <f>Procurement_Raw!D513</f>
        <v>North</v>
      </c>
      <c r="E513" t="str">
        <f>IF(TRIM(Procurement_Raw!E513)="","",IFERROR(INDEX(Supplier_Lookup!$A$2:$A$25,MATCH(TRIM(Procurement_Raw!E513),Supplier_Lookup!$A$2:$A$25,0)),TRIM(Procurement_Raw!E513)))</f>
        <v>CloudLink</v>
      </c>
      <c r="F513" t="str">
        <f>IFERROR(INDEX(Category_Targets!$A$2:$A$9,MATCH(TRIM(Procurement_Raw!F513),Category_Targets!$A$2:$A$9,0)),"Unmapped")</f>
        <v>Medical Supplies</v>
      </c>
      <c r="G513" t="str">
        <f>TRIM(Procurement_Raw!G513)</f>
        <v>INV-2025-00512</v>
      </c>
      <c r="H513" s="77">
        <f>Procurement_Raw!H513</f>
        <v>11</v>
      </c>
      <c r="I513" s="124">
        <f>Procurement_Raw!I513</f>
        <v>214</v>
      </c>
      <c r="J513" s="125">
        <f>IF(Procurement_Raw!J513="","",Procurement_Raw!J513)</f>
        <v>2354.0500000000002</v>
      </c>
      <c r="K513" s="77">
        <f>Procurement_Raw!K513</f>
        <v>60</v>
      </c>
      <c r="L513" t="str">
        <f>Procurement_Raw!L513</f>
        <v>ERP</v>
      </c>
      <c r="M513" t="str">
        <f>Procurement_Raw!O513</f>
        <v>Y</v>
      </c>
      <c r="N513" t="str">
        <f>IF(E513="","Missing supplier",IF(B513="","Missing site",IF(J513="","Missing spend",IF(COUNTIFS($G$2:G513,G513,$E$2:E513,E513,$J$2:J513,J513)&gt;1,"Duplicate invoice",IF(COUNTIF($G$2:$G$1801,G513)&gt;1,"Duplicate ID - review",IF(AND(P513&lt;&gt;"Unmapped",P513&lt;&gt;F513),"Category mismatch","OK"))))))</f>
        <v>Category mismatch</v>
      </c>
      <c r="O513" s="125">
        <f t="shared" si="21"/>
        <v>2354.0500000000002</v>
      </c>
      <c r="P513" t="str">
        <f>IF(E513="","Unmapped",IFERROR(INDEX(Supplier_Lookup!$B$2:$B$25,MATCH(E513,Supplier_Lookup!$A$2:$A$25,0)),"Unmapped"))</f>
        <v>IT &amp; Telecoms</v>
      </c>
      <c r="Q513" s="76">
        <f>IFERROR(INDEX(Category_Targets!$B$2:$B$9,MATCH(F513,Category_Targets!$A$2:$A$9,0)),0)</f>
        <v>0.06</v>
      </c>
      <c r="R513" s="125">
        <f t="shared" si="22"/>
        <v>141.24299999999999</v>
      </c>
      <c r="S513" s="78">
        <f t="shared" si="23"/>
        <v>45809</v>
      </c>
      <c r="T513" t="str">
        <f>IFERROR(VLOOKUP(B513,Sites!$A$2:$D$21,4,FALSE()),"Unknown")</f>
        <v>Leeds</v>
      </c>
      <c r="U513">
        <f>IF(N513="OK","",COUNTIF($N$2:N513,"&lt;&gt;OK"))</f>
        <v>4</v>
      </c>
      <c r="V513">
        <f>IF(OR(NOT(EXACT(E513,TRIM(Procurement_Raw!E513))),NOT(EXACT(F513,TRIM(Procurement_Raw!F513)))),1,0)</f>
        <v>1</v>
      </c>
    </row>
    <row r="514" spans="1:22" ht="15" customHeight="1" x14ac:dyDescent="0.25">
      <c r="A514" s="123">
        <f>Procurement_Raw!A514</f>
        <v>45958</v>
      </c>
      <c r="B514" t="str">
        <f>TRIM(Procurement_Raw!B514)</f>
        <v>S012</v>
      </c>
      <c r="C514" t="str">
        <f>Procurement_Raw!C514</f>
        <v>Bristol Care &amp; Education Centre</v>
      </c>
      <c r="D514" t="str">
        <f>Procurement_Raw!D514</f>
        <v>South</v>
      </c>
      <c r="E514" t="str">
        <f>IF(TRIM(Procurement_Raw!E514)="","",IFERROR(INDEX(Supplier_Lookup!$A$2:$A$25,MATCH(TRIM(Procurement_Raw!E514),Supplier_Lookup!$A$2:$A$25,0)),TRIM(Procurement_Raw!E514)))</f>
        <v>RoadReady</v>
      </c>
      <c r="F514" t="str">
        <f>IFERROR(INDEX(Category_Targets!$A$2:$A$9,MATCH(TRIM(Procurement_Raw!F514),Category_Targets!$A$2:$A$9,0)),"Unmapped")</f>
        <v>Vehicle &amp; Fuel</v>
      </c>
      <c r="G514" t="str">
        <f>TRIM(Procurement_Raw!G514)</f>
        <v>INV-2025-00513</v>
      </c>
      <c r="H514" s="77">
        <f>Procurement_Raw!H514</f>
        <v>9</v>
      </c>
      <c r="I514" s="124">
        <f>Procurement_Raw!I514</f>
        <v>83.3</v>
      </c>
      <c r="J514" s="125">
        <f>IF(Procurement_Raw!J514="","",Procurement_Raw!J514)</f>
        <v>749.71</v>
      </c>
      <c r="K514" s="77">
        <f>Procurement_Raw!K514</f>
        <v>45</v>
      </c>
      <c r="L514" t="str">
        <f>Procurement_Raw!L514</f>
        <v>Legacy Spend File</v>
      </c>
      <c r="M514" t="str">
        <f>Procurement_Raw!O514</f>
        <v>N</v>
      </c>
      <c r="N514" t="str">
        <f>IF(E514="","Missing supplier",IF(B514="","Missing site",IF(J514="","Missing spend",IF(COUNTIFS($G$2:G514,G514,$E$2:E514,E514,$J$2:J514,J514)&gt;1,"Duplicate invoice",IF(COUNTIF($G$2:$G$1801,G514)&gt;1,"Duplicate ID - review",IF(AND(P514&lt;&gt;"Unmapped",P514&lt;&gt;F514),"Category mismatch","OK"))))))</f>
        <v>OK</v>
      </c>
      <c r="O514" s="125">
        <f t="shared" ref="O514:O577" si="24">IF(OR(N514="Missing spend",N514="Duplicate invoice"),0,J514)</f>
        <v>749.71</v>
      </c>
      <c r="P514" t="str">
        <f>IF(E514="","Unmapped",IFERROR(INDEX(Supplier_Lookup!$B$2:$B$25,MATCH(E514,Supplier_Lookup!$A$2:$A$25,0)),"Unmapped"))</f>
        <v>Vehicle &amp; Fuel</v>
      </c>
      <c r="Q514" s="76">
        <f>IFERROR(INDEX(Category_Targets!$B$2:$B$9,MATCH(F514,Category_Targets!$A$2:$A$9,0)),0)</f>
        <v>0.05</v>
      </c>
      <c r="R514" s="125">
        <f t="shared" ref="R514:R577" si="25">O514*Q514</f>
        <v>37.485500000000002</v>
      </c>
      <c r="S514" s="78">
        <f t="shared" ref="S514:S577" si="26">DATE(YEAR(A514),MONTH(A514),1)</f>
        <v>45931</v>
      </c>
      <c r="T514" t="str">
        <f>IFERROR(VLOOKUP(B514,Sites!$A$2:$D$21,4,FALSE()),"Unknown")</f>
        <v>Bristol</v>
      </c>
      <c r="U514" t="str">
        <f>IF(N514="OK","",COUNTIF($N$2:N514,"&lt;&gt;OK"))</f>
        <v/>
      </c>
      <c r="V514">
        <f>IF(OR(NOT(EXACT(E514,TRIM(Procurement_Raw!E514))),NOT(EXACT(F514,TRIM(Procurement_Raw!F514)))),1,0)</f>
        <v>0</v>
      </c>
    </row>
    <row r="515" spans="1:22" ht="15" customHeight="1" x14ac:dyDescent="0.25">
      <c r="A515" s="123">
        <f>Procurement_Raw!A515</f>
        <v>45783</v>
      </c>
      <c r="B515" t="str">
        <f>TRIM(Procurement_Raw!B515)</f>
        <v>S001</v>
      </c>
      <c r="C515" t="str">
        <f>Procurement_Raw!C515</f>
        <v>Preston Care &amp; Education Centre</v>
      </c>
      <c r="D515" t="str">
        <f>Procurement_Raw!D515</f>
        <v>North</v>
      </c>
      <c r="E515" t="str">
        <f>IF(TRIM(Procurement_Raw!E515)="","",IFERROR(INDEX(Supplier_Lookup!$A$2:$A$25,MATCH(TRIM(Procurement_Raw!E515),Supplier_Lookup!$A$2:$A$25,0)),TRIM(Procurement_Raw!E515)))</f>
        <v>UK Energy Partners</v>
      </c>
      <c r="F515" t="str">
        <f>IFERROR(INDEX(Category_Targets!$A$2:$A$9,MATCH(TRIM(Procurement_Raw!F515),Category_Targets!$A$2:$A$9,0)),"Unmapped")</f>
        <v>Utilities</v>
      </c>
      <c r="G515" t="str">
        <f>TRIM(Procurement_Raw!G515)</f>
        <v>INV-2025-00514</v>
      </c>
      <c r="H515" s="77">
        <f>Procurement_Raw!H515</f>
        <v>12</v>
      </c>
      <c r="I515" s="124">
        <f>Procurement_Raw!I515</f>
        <v>151.76</v>
      </c>
      <c r="J515" s="125">
        <f>IF(Procurement_Raw!J515="","",Procurement_Raw!J515)</f>
        <v>1821.12</v>
      </c>
      <c r="K515" s="77">
        <f>Procurement_Raw!K515</f>
        <v>45</v>
      </c>
      <c r="L515" t="str">
        <f>Procurement_Raw!L515</f>
        <v>ERP</v>
      </c>
      <c r="M515" t="str">
        <f>Procurement_Raw!O515</f>
        <v>N</v>
      </c>
      <c r="N515" t="str">
        <f>IF(E515="","Missing supplier",IF(B515="","Missing site",IF(J515="","Missing spend",IF(COUNTIFS($G$2:G515,G515,$E$2:E515,E515,$J$2:J515,J515)&gt;1,"Duplicate invoice",IF(COUNTIF($G$2:$G$1801,G515)&gt;1,"Duplicate ID - review",IF(AND(P515&lt;&gt;"Unmapped",P515&lt;&gt;F515),"Category mismatch","OK"))))))</f>
        <v>OK</v>
      </c>
      <c r="O515" s="125">
        <f t="shared" si="24"/>
        <v>1821.12</v>
      </c>
      <c r="P515" t="str">
        <f>IF(E515="","Unmapped",IFERROR(INDEX(Supplier_Lookup!$B$2:$B$25,MATCH(E515,Supplier_Lookup!$A$2:$A$25,0)),"Unmapped"))</f>
        <v>Utilities</v>
      </c>
      <c r="Q515" s="76">
        <f>IFERROR(INDEX(Category_Targets!$B$2:$B$9,MATCH(F515,Category_Targets!$A$2:$A$9,0)),0)</f>
        <v>0.03</v>
      </c>
      <c r="R515" s="125">
        <f t="shared" si="25"/>
        <v>54.633599999999994</v>
      </c>
      <c r="S515" s="78">
        <f t="shared" si="26"/>
        <v>45778</v>
      </c>
      <c r="T515" t="str">
        <f>IFERROR(VLOOKUP(B515,Sites!$A$2:$D$21,4,FALSE()),"Unknown")</f>
        <v>Preston</v>
      </c>
      <c r="U515" t="str">
        <f>IF(N515="OK","",COUNTIF($N$2:N515,"&lt;&gt;OK"))</f>
        <v/>
      </c>
      <c r="V515">
        <f>IF(OR(NOT(EXACT(E515,TRIM(Procurement_Raw!E515))),NOT(EXACT(F515,TRIM(Procurement_Raw!F515)))),1,0)</f>
        <v>0</v>
      </c>
    </row>
    <row r="516" spans="1:22" ht="15" customHeight="1" x14ac:dyDescent="0.25">
      <c r="A516" s="123">
        <f>Procurement_Raw!A516</f>
        <v>45999</v>
      </c>
      <c r="B516" t="str">
        <f>TRIM(Procurement_Raw!B516)</f>
        <v>S002</v>
      </c>
      <c r="C516" t="str">
        <f>Procurement_Raw!C516</f>
        <v>Manchester Care &amp; Education Centre</v>
      </c>
      <c r="D516" t="str">
        <f>Procurement_Raw!D516</f>
        <v>North</v>
      </c>
      <c r="E516" t="str">
        <f>IF(TRIM(Procurement_Raw!E516)="","",IFERROR(INDEX(Supplier_Lookup!$A$2:$A$25,MATCH(TRIM(Procurement_Raw!E516),Supplier_Lookup!$A$2:$A$25,0)),TRIM(Procurement_Raw!E516)))</f>
        <v>CareMed</v>
      </c>
      <c r="F516" t="str">
        <f>IFERROR(INDEX(Category_Targets!$A$2:$A$9,MATCH(TRIM(Procurement_Raw!F516),Category_Targets!$A$2:$A$9,0)),"Unmapped")</f>
        <v>Medical Supplies</v>
      </c>
      <c r="G516" t="str">
        <f>TRIM(Procurement_Raw!G516)</f>
        <v>INV-2025-00515</v>
      </c>
      <c r="H516" s="77">
        <f>Procurement_Raw!H516</f>
        <v>23</v>
      </c>
      <c r="I516" s="124">
        <f>Procurement_Raw!I516</f>
        <v>87.38</v>
      </c>
      <c r="J516" s="125">
        <f>IF(Procurement_Raw!J516="","",Procurement_Raw!J516)</f>
        <v>2009.74</v>
      </c>
      <c r="K516" s="77">
        <f>Procurement_Raw!K516</f>
        <v>30</v>
      </c>
      <c r="L516" t="str">
        <f>Procurement_Raw!L516</f>
        <v>ERP</v>
      </c>
      <c r="M516" t="str">
        <f>Procurement_Raw!O516</f>
        <v>N</v>
      </c>
      <c r="N516" t="str">
        <f>IF(E516="","Missing supplier",IF(B516="","Missing site",IF(J516="","Missing spend",IF(COUNTIFS($G$2:G516,G516,$E$2:E516,E516,$J$2:J516,J516)&gt;1,"Duplicate invoice",IF(COUNTIF($G$2:$G$1801,G516)&gt;1,"Duplicate ID - review",IF(AND(P516&lt;&gt;"Unmapped",P516&lt;&gt;F516),"Category mismatch","OK"))))))</f>
        <v>OK</v>
      </c>
      <c r="O516" s="125">
        <f t="shared" si="24"/>
        <v>2009.74</v>
      </c>
      <c r="P516" t="str">
        <f>IF(E516="","Unmapped",IFERROR(INDEX(Supplier_Lookup!$B$2:$B$25,MATCH(E516,Supplier_Lookup!$A$2:$A$25,0)),"Unmapped"))</f>
        <v>Medical Supplies</v>
      </c>
      <c r="Q516" s="76">
        <f>IFERROR(INDEX(Category_Targets!$B$2:$B$9,MATCH(F516,Category_Targets!$A$2:$A$9,0)),0)</f>
        <v>0.06</v>
      </c>
      <c r="R516" s="125">
        <f t="shared" si="25"/>
        <v>120.5844</v>
      </c>
      <c r="S516" s="78">
        <f t="shared" si="26"/>
        <v>45992</v>
      </c>
      <c r="T516" t="str">
        <f>IFERROR(VLOOKUP(B516,Sites!$A$2:$D$21,4,FALSE()),"Unknown")</f>
        <v>Manchester</v>
      </c>
      <c r="U516" t="str">
        <f>IF(N516="OK","",COUNTIF($N$2:N516,"&lt;&gt;OK"))</f>
        <v/>
      </c>
      <c r="V516">
        <f>IF(OR(NOT(EXACT(E516,TRIM(Procurement_Raw!E516))),NOT(EXACT(F516,TRIM(Procurement_Raw!F516)))),1,0)</f>
        <v>0</v>
      </c>
    </row>
    <row r="517" spans="1:22" ht="15" customHeight="1" x14ac:dyDescent="0.25">
      <c r="A517" s="123">
        <f>Procurement_Raw!A517</f>
        <v>45663</v>
      </c>
      <c r="B517" t="str">
        <f>TRIM(Procurement_Raw!B517)</f>
        <v>S015</v>
      </c>
      <c r="C517" t="str">
        <f>Procurement_Raw!C517</f>
        <v>Brighton Care &amp; Education Centre</v>
      </c>
      <c r="D517" t="str">
        <f>Procurement_Raw!D517</f>
        <v>South</v>
      </c>
      <c r="E517" t="str">
        <f>IF(TRIM(Procurement_Raw!E517)="","",IFERROR(INDEX(Supplier_Lookup!$A$2:$A$25,MATCH(TRIM(Procurement_Raw!E517),Supplier_Lookup!$A$2:$A$25,0)),TRIM(Procurement_Raw!E517)))</f>
        <v>BuildCare</v>
      </c>
      <c r="F517" t="str">
        <f>IFERROR(INDEX(Category_Targets!$A$2:$A$9,MATCH(TRIM(Procurement_Raw!F517),Category_Targets!$A$2:$A$9,0)),"Unmapped")</f>
        <v>Facilities</v>
      </c>
      <c r="G517" t="str">
        <f>TRIM(Procurement_Raw!G517)</f>
        <v>INV-2025-00516</v>
      </c>
      <c r="H517" s="77">
        <f>Procurement_Raw!H517</f>
        <v>21</v>
      </c>
      <c r="I517" s="124">
        <f>Procurement_Raw!I517</f>
        <v>272.70999999999998</v>
      </c>
      <c r="J517" s="125">
        <f>IF(Procurement_Raw!J517="","",Procurement_Raw!J517)</f>
        <v>5726.98</v>
      </c>
      <c r="K517" s="77">
        <f>Procurement_Raw!K517</f>
        <v>45</v>
      </c>
      <c r="L517" t="str">
        <f>Procurement_Raw!L517</f>
        <v>Procurement Portal</v>
      </c>
      <c r="M517" t="str">
        <f>Procurement_Raw!O517</f>
        <v>N</v>
      </c>
      <c r="N517" t="str">
        <f>IF(E517="","Missing supplier",IF(B517="","Missing site",IF(J517="","Missing spend",IF(COUNTIFS($G$2:G517,G517,$E$2:E517,E517,$J$2:J517,J517)&gt;1,"Duplicate invoice",IF(COUNTIF($G$2:$G$1801,G517)&gt;1,"Duplicate ID - review",IF(AND(P517&lt;&gt;"Unmapped",P517&lt;&gt;F517),"Category mismatch","OK"))))))</f>
        <v>OK</v>
      </c>
      <c r="O517" s="125">
        <f t="shared" si="24"/>
        <v>5726.98</v>
      </c>
      <c r="P517" t="str">
        <f>IF(E517="","Unmapped",IFERROR(INDEX(Supplier_Lookup!$B$2:$B$25,MATCH(E517,Supplier_Lookup!$A$2:$A$25,0)),"Unmapped"))</f>
        <v>Facilities</v>
      </c>
      <c r="Q517" s="76">
        <f>IFERROR(INDEX(Category_Targets!$B$2:$B$9,MATCH(F517,Category_Targets!$A$2:$A$9,0)),0)</f>
        <v>0.05</v>
      </c>
      <c r="R517" s="125">
        <f t="shared" si="25"/>
        <v>286.34899999999999</v>
      </c>
      <c r="S517" s="78">
        <f t="shared" si="26"/>
        <v>45658</v>
      </c>
      <c r="T517" t="str">
        <f>IFERROR(VLOOKUP(B517,Sites!$A$2:$D$21,4,FALSE()),"Unknown")</f>
        <v>Brighton</v>
      </c>
      <c r="U517" t="str">
        <f>IF(N517="OK","",COUNTIF($N$2:N517,"&lt;&gt;OK"))</f>
        <v/>
      </c>
      <c r="V517">
        <f>IF(OR(NOT(EXACT(E517,TRIM(Procurement_Raw!E517))),NOT(EXACT(F517,TRIM(Procurement_Raw!F517)))),1,0)</f>
        <v>0</v>
      </c>
    </row>
    <row r="518" spans="1:22" ht="15" customHeight="1" x14ac:dyDescent="0.25">
      <c r="A518" s="123">
        <f>Procurement_Raw!A518</f>
        <v>45848</v>
      </c>
      <c r="B518" t="str">
        <f>TRIM(Procurement_Raw!B518)</f>
        <v>S001</v>
      </c>
      <c r="C518" t="str">
        <f>Procurement_Raw!C518</f>
        <v>Preston Care &amp; Education Centre</v>
      </c>
      <c r="D518" t="str">
        <f>Procurement_Raw!D518</f>
        <v>North</v>
      </c>
      <c r="E518" t="str">
        <f>IF(TRIM(Procurement_Raw!E518)="","",IFERROR(INDEX(Supplier_Lookup!$A$2:$A$25,MATCH(TRIM(Procurement_Raw!E518),Supplier_Lookup!$A$2:$A$25,0)),TRIM(Procurement_Raw!E518)))</f>
        <v>CloudLink</v>
      </c>
      <c r="F518" t="str">
        <f>IFERROR(INDEX(Category_Targets!$A$2:$A$9,MATCH(TRIM(Procurement_Raw!F518),Category_Targets!$A$2:$A$9,0)),"Unmapped")</f>
        <v>IT &amp; Telecoms</v>
      </c>
      <c r="G518" t="str">
        <f>TRIM(Procurement_Raw!G518)</f>
        <v>INV-2025-00517</v>
      </c>
      <c r="H518" s="77">
        <f>Procurement_Raw!H518</f>
        <v>17</v>
      </c>
      <c r="I518" s="124">
        <f>Procurement_Raw!I518</f>
        <v>289.77999999999997</v>
      </c>
      <c r="J518" s="125">
        <f>IF(Procurement_Raw!J518="","",Procurement_Raw!J518)</f>
        <v>4926.3100000000004</v>
      </c>
      <c r="K518" s="77">
        <f>Procurement_Raw!K518</f>
        <v>60</v>
      </c>
      <c r="L518" t="str">
        <f>Procurement_Raw!L518</f>
        <v>Procurement Portal</v>
      </c>
      <c r="M518" t="str">
        <f>Procurement_Raw!O518</f>
        <v>Y</v>
      </c>
      <c r="N518" t="str">
        <f>IF(E518="","Missing supplier",IF(B518="","Missing site",IF(J518="","Missing spend",IF(COUNTIFS($G$2:G518,G518,$E$2:E518,E518,$J$2:J518,J518)&gt;1,"Duplicate invoice",IF(COUNTIF($G$2:$G$1801,G518)&gt;1,"Duplicate ID - review",IF(AND(P518&lt;&gt;"Unmapped",P518&lt;&gt;F518),"Category mismatch","OK"))))))</f>
        <v>OK</v>
      </c>
      <c r="O518" s="125">
        <f t="shared" si="24"/>
        <v>4926.3100000000004</v>
      </c>
      <c r="P518" t="str">
        <f>IF(E518="","Unmapped",IFERROR(INDEX(Supplier_Lookup!$B$2:$B$25,MATCH(E518,Supplier_Lookup!$A$2:$A$25,0)),"Unmapped"))</f>
        <v>IT &amp; Telecoms</v>
      </c>
      <c r="Q518" s="76">
        <f>IFERROR(INDEX(Category_Targets!$B$2:$B$9,MATCH(F518,Category_Targets!$A$2:$A$9,0)),0)</f>
        <v>0.08</v>
      </c>
      <c r="R518" s="125">
        <f t="shared" si="25"/>
        <v>394.10480000000007</v>
      </c>
      <c r="S518" s="78">
        <f t="shared" si="26"/>
        <v>45839</v>
      </c>
      <c r="T518" t="str">
        <f>IFERROR(VLOOKUP(B518,Sites!$A$2:$D$21,4,FALSE()),"Unknown")</f>
        <v>Preston</v>
      </c>
      <c r="U518" t="str">
        <f>IF(N518="OK","",COUNTIF($N$2:N518,"&lt;&gt;OK"))</f>
        <v/>
      </c>
      <c r="V518">
        <f>IF(OR(NOT(EXACT(E518,TRIM(Procurement_Raw!E518))),NOT(EXACT(F518,TRIM(Procurement_Raw!F518)))),1,0)</f>
        <v>0</v>
      </c>
    </row>
    <row r="519" spans="1:22" ht="15" customHeight="1" x14ac:dyDescent="0.25">
      <c r="A519" s="123">
        <f>Procurement_Raw!A519</f>
        <v>45829</v>
      </c>
      <c r="B519" t="str">
        <f>TRIM(Procurement_Raw!B519)</f>
        <v>S014</v>
      </c>
      <c r="C519" t="str">
        <f>Procurement_Raw!C519</f>
        <v>Southampton Care &amp; Education Centre</v>
      </c>
      <c r="D519" t="str">
        <f>Procurement_Raw!D519</f>
        <v>South</v>
      </c>
      <c r="E519" t="str">
        <f>IF(TRIM(Procurement_Raw!E519)="","",IFERROR(INDEX(Supplier_Lookup!$A$2:$A$25,MATCH(TRIM(Procurement_Raw!E519),Supplier_Lookup!$A$2:$A$25,0)),TRIM(Procurement_Raw!E519)))</f>
        <v>FreshServe</v>
      </c>
      <c r="F519" t="str">
        <f>IFERROR(INDEX(Category_Targets!$A$2:$A$9,MATCH(TRIM(Procurement_Raw!F519),Category_Targets!$A$2:$A$9,0)),"Unmapped")</f>
        <v>Food &amp; Catering</v>
      </c>
      <c r="G519" t="str">
        <f>TRIM(Procurement_Raw!G519)</f>
        <v>INV-2025-00518</v>
      </c>
      <c r="H519" s="77">
        <f>Procurement_Raw!H519</f>
        <v>55</v>
      </c>
      <c r="I519" s="124">
        <f>Procurement_Raw!I519</f>
        <v>37.97</v>
      </c>
      <c r="J519" s="125">
        <f>IF(Procurement_Raw!J519="","",Procurement_Raw!J519)</f>
        <v>2088.2199999999998</v>
      </c>
      <c r="K519" s="77">
        <f>Procurement_Raw!K519</f>
        <v>45</v>
      </c>
      <c r="L519" t="str">
        <f>Procurement_Raw!L519</f>
        <v>Legacy Spend File</v>
      </c>
      <c r="M519" t="str">
        <f>Procurement_Raw!O519</f>
        <v>Y</v>
      </c>
      <c r="N519" t="str">
        <f>IF(E519="","Missing supplier",IF(B519="","Missing site",IF(J519="","Missing spend",IF(COUNTIFS($G$2:G519,G519,$E$2:E519,E519,$J$2:J519,J519)&gt;1,"Duplicate invoice",IF(COUNTIF($G$2:$G$1801,G519)&gt;1,"Duplicate ID - review",IF(AND(P519&lt;&gt;"Unmapped",P519&lt;&gt;F519),"Category mismatch","OK"))))))</f>
        <v>OK</v>
      </c>
      <c r="O519" s="125">
        <f t="shared" si="24"/>
        <v>2088.2199999999998</v>
      </c>
      <c r="P519" t="str">
        <f>IF(E519="","Unmapped",IFERROR(INDEX(Supplier_Lookup!$B$2:$B$25,MATCH(E519,Supplier_Lookup!$A$2:$A$25,0)),"Unmapped"))</f>
        <v>Food &amp; Catering</v>
      </c>
      <c r="Q519" s="76">
        <f>IFERROR(INDEX(Category_Targets!$B$2:$B$9,MATCH(F519,Category_Targets!$A$2:$A$9,0)),0)</f>
        <v>0.04</v>
      </c>
      <c r="R519" s="125">
        <f t="shared" si="25"/>
        <v>83.52879999999999</v>
      </c>
      <c r="S519" s="78">
        <f t="shared" si="26"/>
        <v>45809</v>
      </c>
      <c r="T519" t="str">
        <f>IFERROR(VLOOKUP(B519,Sites!$A$2:$D$21,4,FALSE()),"Unknown")</f>
        <v>Southampton</v>
      </c>
      <c r="U519" t="str">
        <f>IF(N519="OK","",COUNTIF($N$2:N519,"&lt;&gt;OK"))</f>
        <v/>
      </c>
      <c r="V519">
        <f>IF(OR(NOT(EXACT(E519,TRIM(Procurement_Raw!E519))),NOT(EXACT(F519,TRIM(Procurement_Raw!F519)))),1,0)</f>
        <v>0</v>
      </c>
    </row>
    <row r="520" spans="1:22" ht="15" customHeight="1" x14ac:dyDescent="0.25">
      <c r="A520" s="123">
        <f>Procurement_Raw!A520</f>
        <v>45953</v>
      </c>
      <c r="B520" t="str">
        <f>TRIM(Procurement_Raw!B520)</f>
        <v>S001</v>
      </c>
      <c r="C520" t="str">
        <f>Procurement_Raw!C520</f>
        <v>Preston Care &amp; Education Centre</v>
      </c>
      <c r="D520" t="str">
        <f>Procurement_Raw!D520</f>
        <v>North</v>
      </c>
      <c r="E520" t="str">
        <f>IF(TRIM(Procurement_Raw!E520)="","",IFERROR(INDEX(Supplier_Lookup!$A$2:$A$25,MATCH(TRIM(Procurement_Raw!E520),Supplier_Lookup!$A$2:$A$25,0)),TRIM(Procurement_Raw!E520)))</f>
        <v>NetServe</v>
      </c>
      <c r="F520" t="str">
        <f>IFERROR(INDEX(Category_Targets!$A$2:$A$9,MATCH(TRIM(Procurement_Raw!F520),Category_Targets!$A$2:$A$9,0)),"Unmapped")</f>
        <v>IT &amp; Telecoms</v>
      </c>
      <c r="G520" t="str">
        <f>TRIM(Procurement_Raw!G520)</f>
        <v>INV-2025-00519</v>
      </c>
      <c r="H520" s="77">
        <f>Procurement_Raw!H520</f>
        <v>10</v>
      </c>
      <c r="I520" s="124">
        <f>Procurement_Raw!I520</f>
        <v>232.35</v>
      </c>
      <c r="J520" s="125">
        <f>IF(Procurement_Raw!J520="","",Procurement_Raw!J520)</f>
        <v>2323.54</v>
      </c>
      <c r="K520" s="77">
        <f>Procurement_Raw!K520</f>
        <v>45</v>
      </c>
      <c r="L520" t="str">
        <f>Procurement_Raw!L520</f>
        <v>Procurement Portal</v>
      </c>
      <c r="M520" t="str">
        <f>Procurement_Raw!O520</f>
        <v>N</v>
      </c>
      <c r="N520" t="str">
        <f>IF(E520="","Missing supplier",IF(B520="","Missing site",IF(J520="","Missing spend",IF(COUNTIFS($G$2:G520,G520,$E$2:E520,E520,$J$2:J520,J520)&gt;1,"Duplicate invoice",IF(COUNTIF($G$2:$G$1801,G520)&gt;1,"Duplicate ID - review",IF(AND(P520&lt;&gt;"Unmapped",P520&lt;&gt;F520),"Category mismatch","OK"))))))</f>
        <v>OK</v>
      </c>
      <c r="O520" s="125">
        <f t="shared" si="24"/>
        <v>2323.54</v>
      </c>
      <c r="P520" t="str">
        <f>IF(E520="","Unmapped",IFERROR(INDEX(Supplier_Lookup!$B$2:$B$25,MATCH(E520,Supplier_Lookup!$A$2:$A$25,0)),"Unmapped"))</f>
        <v>IT &amp; Telecoms</v>
      </c>
      <c r="Q520" s="76">
        <f>IFERROR(INDEX(Category_Targets!$B$2:$B$9,MATCH(F520,Category_Targets!$A$2:$A$9,0)),0)</f>
        <v>0.08</v>
      </c>
      <c r="R520" s="125">
        <f t="shared" si="25"/>
        <v>185.88319999999999</v>
      </c>
      <c r="S520" s="78">
        <f t="shared" si="26"/>
        <v>45931</v>
      </c>
      <c r="T520" t="str">
        <f>IFERROR(VLOOKUP(B520,Sites!$A$2:$D$21,4,FALSE()),"Unknown")</f>
        <v>Preston</v>
      </c>
      <c r="U520" t="str">
        <f>IF(N520="OK","",COUNTIF($N$2:N520,"&lt;&gt;OK"))</f>
        <v/>
      </c>
      <c r="V520">
        <f>IF(OR(NOT(EXACT(E520,TRIM(Procurement_Raw!E520))),NOT(EXACT(F520,TRIM(Procurement_Raw!F520)))),1,0)</f>
        <v>0</v>
      </c>
    </row>
    <row r="521" spans="1:22" ht="15" customHeight="1" x14ac:dyDescent="0.25">
      <c r="A521" s="123">
        <f>Procurement_Raw!A521</f>
        <v>45913</v>
      </c>
      <c r="B521" t="str">
        <f>TRIM(Procurement_Raw!B521)</f>
        <v>S009</v>
      </c>
      <c r="C521" t="str">
        <f>Procurement_Raw!C521</f>
        <v>Derby Care &amp; Education Centre</v>
      </c>
      <c r="D521" t="str">
        <f>Procurement_Raw!D521</f>
        <v>Midlands</v>
      </c>
      <c r="E521" t="str">
        <f>IF(TRIM(Procurement_Raw!E521)="","",IFERROR(INDEX(Supplier_Lookup!$A$2:$A$25,MATCH(TRIM(Procurement_Raw!E521),Supplier_Lookup!$A$2:$A$25,0)),TRIM(Procurement_Raw!E521)))</f>
        <v>FleetFuel</v>
      </c>
      <c r="F521" t="str">
        <f>IFERROR(INDEX(Category_Targets!$A$2:$A$9,MATCH(TRIM(Procurement_Raw!F521),Category_Targets!$A$2:$A$9,0)),"Unmapped")</f>
        <v>Vehicle &amp; Fuel</v>
      </c>
      <c r="G521" t="str">
        <f>TRIM(Procurement_Raw!G521)</f>
        <v>INV-2025-00520</v>
      </c>
      <c r="H521" s="77">
        <f>Procurement_Raw!H521</f>
        <v>73</v>
      </c>
      <c r="I521" s="124">
        <f>Procurement_Raw!I521</f>
        <v>143.62</v>
      </c>
      <c r="J521" s="125">
        <f>IF(Procurement_Raw!J521="","",Procurement_Raw!J521)</f>
        <v>10483.93</v>
      </c>
      <c r="K521" s="77">
        <f>Procurement_Raw!K521</f>
        <v>30</v>
      </c>
      <c r="L521" t="str">
        <f>Procurement_Raw!L521</f>
        <v>Procurement Portal</v>
      </c>
      <c r="M521" t="str">
        <f>Procurement_Raw!O521</f>
        <v>Y</v>
      </c>
      <c r="N521" t="str">
        <f>IF(E521="","Missing supplier",IF(B521="","Missing site",IF(J521="","Missing spend",IF(COUNTIFS($G$2:G521,G521,$E$2:E521,E521,$J$2:J521,J521)&gt;1,"Duplicate invoice",IF(COUNTIF($G$2:$G$1801,G521)&gt;1,"Duplicate ID - review",IF(AND(P521&lt;&gt;"Unmapped",P521&lt;&gt;F521),"Category mismatch","OK"))))))</f>
        <v>OK</v>
      </c>
      <c r="O521" s="125">
        <f t="shared" si="24"/>
        <v>10483.93</v>
      </c>
      <c r="P521" t="str">
        <f>IF(E521="","Unmapped",IFERROR(INDEX(Supplier_Lookup!$B$2:$B$25,MATCH(E521,Supplier_Lookup!$A$2:$A$25,0)),"Unmapped"))</f>
        <v>Vehicle &amp; Fuel</v>
      </c>
      <c r="Q521" s="76">
        <f>IFERROR(INDEX(Category_Targets!$B$2:$B$9,MATCH(F521,Category_Targets!$A$2:$A$9,0)),0)</f>
        <v>0.05</v>
      </c>
      <c r="R521" s="125">
        <f t="shared" si="25"/>
        <v>524.19650000000001</v>
      </c>
      <c r="S521" s="78">
        <f t="shared" si="26"/>
        <v>45901</v>
      </c>
      <c r="T521" t="str">
        <f>IFERROR(VLOOKUP(B521,Sites!$A$2:$D$21,4,FALSE()),"Unknown")</f>
        <v>Derby</v>
      </c>
      <c r="U521" t="str">
        <f>IF(N521="OK","",COUNTIF($N$2:N521,"&lt;&gt;OK"))</f>
        <v/>
      </c>
      <c r="V521">
        <f>IF(OR(NOT(EXACT(E521,TRIM(Procurement_Raw!E521))),NOT(EXACT(F521,TRIM(Procurement_Raw!F521)))),1,0)</f>
        <v>0</v>
      </c>
    </row>
    <row r="522" spans="1:22" ht="15" customHeight="1" x14ac:dyDescent="0.25">
      <c r="A522" s="123">
        <f>Procurement_Raw!A522</f>
        <v>45951</v>
      </c>
      <c r="B522" t="str">
        <f>TRIM(Procurement_Raw!B522)</f>
        <v>S015</v>
      </c>
      <c r="C522" t="str">
        <f>Procurement_Raw!C522</f>
        <v>Brighton Care &amp; Education Centre</v>
      </c>
      <c r="D522" t="str">
        <f>Procurement_Raw!D522</f>
        <v>South</v>
      </c>
      <c r="E522" t="str">
        <f>IF(TRIM(Procurement_Raw!E522)="","",IFERROR(INDEX(Supplier_Lookup!$A$2:$A$25,MATCH(TRIM(Procurement_Raw!E522),Supplier_Lookup!$A$2:$A$25,0)),TRIM(Procurement_Raw!E522)))</f>
        <v>CloudLink</v>
      </c>
      <c r="F522" t="str">
        <f>IFERROR(INDEX(Category_Targets!$A$2:$A$9,MATCH(TRIM(Procurement_Raw!F522),Category_Targets!$A$2:$A$9,0)),"Unmapped")</f>
        <v>IT &amp; Telecoms</v>
      </c>
      <c r="G522" t="str">
        <f>TRIM(Procurement_Raw!G522)</f>
        <v>INV-2025-00521</v>
      </c>
      <c r="H522" s="77">
        <f>Procurement_Raw!H522</f>
        <v>15</v>
      </c>
      <c r="I522" s="124">
        <f>Procurement_Raw!I522</f>
        <v>87.83</v>
      </c>
      <c r="J522" s="125">
        <f>IF(Procurement_Raw!J522="","",Procurement_Raw!J522)</f>
        <v>1317.52</v>
      </c>
      <c r="K522" s="77">
        <f>Procurement_Raw!K522</f>
        <v>30</v>
      </c>
      <c r="L522" t="str">
        <f>Procurement_Raw!L522</f>
        <v>Legacy Spend File</v>
      </c>
      <c r="M522" t="str">
        <f>Procurement_Raw!O522</f>
        <v>Y</v>
      </c>
      <c r="N522" t="str">
        <f>IF(E522="","Missing supplier",IF(B522="","Missing site",IF(J522="","Missing spend",IF(COUNTIFS($G$2:G522,G522,$E$2:E522,E522,$J$2:J522,J522)&gt;1,"Duplicate invoice",IF(COUNTIF($G$2:$G$1801,G522)&gt;1,"Duplicate ID - review",IF(AND(P522&lt;&gt;"Unmapped",P522&lt;&gt;F522),"Category mismatch","OK"))))))</f>
        <v>OK</v>
      </c>
      <c r="O522" s="125">
        <f t="shared" si="24"/>
        <v>1317.52</v>
      </c>
      <c r="P522" t="str">
        <f>IF(E522="","Unmapped",IFERROR(INDEX(Supplier_Lookup!$B$2:$B$25,MATCH(E522,Supplier_Lookup!$A$2:$A$25,0)),"Unmapped"))</f>
        <v>IT &amp; Telecoms</v>
      </c>
      <c r="Q522" s="76">
        <f>IFERROR(INDEX(Category_Targets!$B$2:$B$9,MATCH(F522,Category_Targets!$A$2:$A$9,0)),0)</f>
        <v>0.08</v>
      </c>
      <c r="R522" s="125">
        <f t="shared" si="25"/>
        <v>105.4016</v>
      </c>
      <c r="S522" s="78">
        <f t="shared" si="26"/>
        <v>45931</v>
      </c>
      <c r="T522" t="str">
        <f>IFERROR(VLOOKUP(B522,Sites!$A$2:$D$21,4,FALSE()),"Unknown")</f>
        <v>Brighton</v>
      </c>
      <c r="U522" t="str">
        <f>IF(N522="OK","",COUNTIF($N$2:N522,"&lt;&gt;OK"))</f>
        <v/>
      </c>
      <c r="V522">
        <f>IF(OR(NOT(EXACT(E522,TRIM(Procurement_Raw!E522))),NOT(EXACT(F522,TRIM(Procurement_Raw!F522)))),1,0)</f>
        <v>0</v>
      </c>
    </row>
    <row r="523" spans="1:22" ht="15" customHeight="1" x14ac:dyDescent="0.25">
      <c r="A523" s="123">
        <f>Procurement_Raw!A523</f>
        <v>45664</v>
      </c>
      <c r="B523" t="str">
        <f>TRIM(Procurement_Raw!B523)</f>
        <v>S001</v>
      </c>
      <c r="C523" t="str">
        <f>Procurement_Raw!C523</f>
        <v>Preston Care &amp; Education Centre</v>
      </c>
      <c r="D523" t="str">
        <f>Procurement_Raw!D523</f>
        <v>North</v>
      </c>
      <c r="E523" t="str">
        <f>IF(TRIM(Procurement_Raw!E523)="","",IFERROR(INDEX(Supplier_Lookup!$A$2:$A$25,MATCH(TRIM(Procurement_Raw!E523),Supplier_Lookup!$A$2:$A$25,0)),TRIM(Procurement_Raw!E523)))</f>
        <v>MediSure</v>
      </c>
      <c r="F523" t="str">
        <f>IFERROR(INDEX(Category_Targets!$A$2:$A$9,MATCH(TRIM(Procurement_Raw!F523),Category_Targets!$A$2:$A$9,0)),"Unmapped")</f>
        <v>Medical Supplies</v>
      </c>
      <c r="G523" t="str">
        <f>TRIM(Procurement_Raw!G523)</f>
        <v>INV-2025-00522</v>
      </c>
      <c r="H523" s="77">
        <f>Procurement_Raw!H523</f>
        <v>32</v>
      </c>
      <c r="I523" s="124">
        <f>Procurement_Raw!I523</f>
        <v>161.80000000000001</v>
      </c>
      <c r="J523" s="125">
        <f>IF(Procurement_Raw!J523="","",Procurement_Raw!J523)</f>
        <v>5177.49</v>
      </c>
      <c r="K523" s="77">
        <f>Procurement_Raw!K523</f>
        <v>30</v>
      </c>
      <c r="L523" t="str">
        <f>Procurement_Raw!L523</f>
        <v>Procurement Portal</v>
      </c>
      <c r="M523" t="str">
        <f>Procurement_Raw!O523</f>
        <v>Y</v>
      </c>
      <c r="N523" t="str">
        <f>IF(E523="","Missing supplier",IF(B523="","Missing site",IF(J523="","Missing spend",IF(COUNTIFS($G$2:G523,G523,$E$2:E523,E523,$J$2:J523,J523)&gt;1,"Duplicate invoice",IF(COUNTIF($G$2:$G$1801,G523)&gt;1,"Duplicate ID - review",IF(AND(P523&lt;&gt;"Unmapped",P523&lt;&gt;F523),"Category mismatch","OK"))))))</f>
        <v>OK</v>
      </c>
      <c r="O523" s="125">
        <f t="shared" si="24"/>
        <v>5177.49</v>
      </c>
      <c r="P523" t="str">
        <f>IF(E523="","Unmapped",IFERROR(INDEX(Supplier_Lookup!$B$2:$B$25,MATCH(E523,Supplier_Lookup!$A$2:$A$25,0)),"Unmapped"))</f>
        <v>Medical Supplies</v>
      </c>
      <c r="Q523" s="76">
        <f>IFERROR(INDEX(Category_Targets!$B$2:$B$9,MATCH(F523,Category_Targets!$A$2:$A$9,0)),0)</f>
        <v>0.06</v>
      </c>
      <c r="R523" s="125">
        <f t="shared" si="25"/>
        <v>310.64939999999996</v>
      </c>
      <c r="S523" s="78">
        <f t="shared" si="26"/>
        <v>45658</v>
      </c>
      <c r="T523" t="str">
        <f>IFERROR(VLOOKUP(B523,Sites!$A$2:$D$21,4,FALSE()),"Unknown")</f>
        <v>Preston</v>
      </c>
      <c r="U523" t="str">
        <f>IF(N523="OK","",COUNTIF($N$2:N523,"&lt;&gt;OK"))</f>
        <v/>
      </c>
      <c r="V523">
        <f>IF(OR(NOT(EXACT(E523,TRIM(Procurement_Raw!E523))),NOT(EXACT(F523,TRIM(Procurement_Raw!F523)))),1,0)</f>
        <v>0</v>
      </c>
    </row>
    <row r="524" spans="1:22" ht="15" customHeight="1" x14ac:dyDescent="0.25">
      <c r="A524" s="123">
        <f>Procurement_Raw!A524</f>
        <v>45749</v>
      </c>
      <c r="B524" t="str">
        <f>TRIM(Procurement_Raw!B524)</f>
        <v>S005</v>
      </c>
      <c r="C524" t="str">
        <f>Procurement_Raw!C524</f>
        <v>Sheffield Care &amp; Education Centre</v>
      </c>
      <c r="D524" t="str">
        <f>Procurement_Raw!D524</f>
        <v>North</v>
      </c>
      <c r="E524" t="str">
        <f>IF(TRIM(Procurement_Raw!E524)="","",IFERROR(INDEX(Supplier_Lookup!$A$2:$A$25,MATCH(TRIM(Procurement_Raw!E524),Supplier_Lookup!$A$2:$A$25,0)),TRIM(Procurement_Raw!E524)))</f>
        <v>HealthStaffing</v>
      </c>
      <c r="F524" t="str">
        <f>IFERROR(INDEX(Category_Targets!$A$2:$A$9,MATCH(TRIM(Procurement_Raw!F524),Category_Targets!$A$2:$A$9,0)),"Unmapped")</f>
        <v>Agency Labour</v>
      </c>
      <c r="G524" t="str">
        <f>TRIM(Procurement_Raw!G524)</f>
        <v>INV-2025-00523</v>
      </c>
      <c r="H524" s="77">
        <f>Procurement_Raw!H524</f>
        <v>5</v>
      </c>
      <c r="I524" s="124">
        <f>Procurement_Raw!I524</f>
        <v>208.38</v>
      </c>
      <c r="J524" s="125">
        <f>IF(Procurement_Raw!J524="","",Procurement_Raw!J524)</f>
        <v>1041.8800000000001</v>
      </c>
      <c r="K524" s="77">
        <f>Procurement_Raw!K524</f>
        <v>60</v>
      </c>
      <c r="L524" t="str">
        <f>Procurement_Raw!L524</f>
        <v>Legacy Spend File</v>
      </c>
      <c r="M524" t="str">
        <f>Procurement_Raw!O524</f>
        <v>N</v>
      </c>
      <c r="N524" t="str">
        <f>IF(E524="","Missing supplier",IF(B524="","Missing site",IF(J524="","Missing spend",IF(COUNTIFS($G$2:G524,G524,$E$2:E524,E524,$J$2:J524,J524)&gt;1,"Duplicate invoice",IF(COUNTIF($G$2:$G$1801,G524)&gt;1,"Duplicate ID - review",IF(AND(P524&lt;&gt;"Unmapped",P524&lt;&gt;F524),"Category mismatch","OK"))))))</f>
        <v>OK</v>
      </c>
      <c r="O524" s="125">
        <f t="shared" si="24"/>
        <v>1041.8800000000001</v>
      </c>
      <c r="P524" t="str">
        <f>IF(E524="","Unmapped",IFERROR(INDEX(Supplier_Lookup!$B$2:$B$25,MATCH(E524,Supplier_Lookup!$A$2:$A$25,0)),"Unmapped"))</f>
        <v>Agency Labour</v>
      </c>
      <c r="Q524" s="76">
        <f>IFERROR(INDEX(Category_Targets!$B$2:$B$9,MATCH(F524,Category_Targets!$A$2:$A$9,0)),0)</f>
        <v>7.0000000000000007E-2</v>
      </c>
      <c r="R524" s="125">
        <f t="shared" si="25"/>
        <v>72.931600000000017</v>
      </c>
      <c r="S524" s="78">
        <f t="shared" si="26"/>
        <v>45748</v>
      </c>
      <c r="T524" t="str">
        <f>IFERROR(VLOOKUP(B524,Sites!$A$2:$D$21,4,FALSE()),"Unknown")</f>
        <v>Sheffield</v>
      </c>
      <c r="U524" t="str">
        <f>IF(N524="OK","",COUNTIF($N$2:N524,"&lt;&gt;OK"))</f>
        <v/>
      </c>
      <c r="V524">
        <f>IF(OR(NOT(EXACT(E524,TRIM(Procurement_Raw!E524))),NOT(EXACT(F524,TRIM(Procurement_Raw!F524)))),1,0)</f>
        <v>0</v>
      </c>
    </row>
    <row r="525" spans="1:22" ht="15" customHeight="1" x14ac:dyDescent="0.25">
      <c r="A525" s="123">
        <f>Procurement_Raw!A525</f>
        <v>45822</v>
      </c>
      <c r="B525" t="str">
        <f>TRIM(Procurement_Raw!B525)</f>
        <v>S016</v>
      </c>
      <c r="C525" t="str">
        <f>Procurement_Raw!C525</f>
        <v>Cardiff Care &amp; Education Centre</v>
      </c>
      <c r="D525" t="str">
        <f>Procurement_Raw!D525</f>
        <v>Wales</v>
      </c>
      <c r="E525" t="str">
        <f>IF(TRIM(Procurement_Raw!E525)="","",IFERROR(INDEX(Supplier_Lookup!$A$2:$A$25,MATCH(TRIM(Procurement_Raw!E525),Supplier_Lookup!$A$2:$A$25,0)),TRIM(Procurement_Raw!E525)))</f>
        <v>HealthStaffing</v>
      </c>
      <c r="F525" t="str">
        <f>IFERROR(INDEX(Category_Targets!$A$2:$A$9,MATCH(TRIM(Procurement_Raw!F525),Category_Targets!$A$2:$A$9,0)),"Unmapped")</f>
        <v>Agency Labour</v>
      </c>
      <c r="G525" t="str">
        <f>TRIM(Procurement_Raw!G525)</f>
        <v>INV-2025-00524</v>
      </c>
      <c r="H525" s="77">
        <f>Procurement_Raw!H525</f>
        <v>32</v>
      </c>
      <c r="I525" s="124">
        <f>Procurement_Raw!I525</f>
        <v>410.6</v>
      </c>
      <c r="J525" s="125">
        <f>IF(Procurement_Raw!J525="","",Procurement_Raw!J525)</f>
        <v>13139.1</v>
      </c>
      <c r="K525" s="77">
        <f>Procurement_Raw!K525</f>
        <v>45</v>
      </c>
      <c r="L525" t="str">
        <f>Procurement_Raw!L525</f>
        <v>Legacy Spend File</v>
      </c>
      <c r="M525" t="str">
        <f>Procurement_Raw!O525</f>
        <v>N</v>
      </c>
      <c r="N525" t="str">
        <f>IF(E525="","Missing supplier",IF(B525="","Missing site",IF(J525="","Missing spend",IF(COUNTIFS($G$2:G525,G525,$E$2:E525,E525,$J$2:J525,J525)&gt;1,"Duplicate invoice",IF(COUNTIF($G$2:$G$1801,G525)&gt;1,"Duplicate ID - review",IF(AND(P525&lt;&gt;"Unmapped",P525&lt;&gt;F525),"Category mismatch","OK"))))))</f>
        <v>OK</v>
      </c>
      <c r="O525" s="125">
        <f t="shared" si="24"/>
        <v>13139.1</v>
      </c>
      <c r="P525" t="str">
        <f>IF(E525="","Unmapped",IFERROR(INDEX(Supplier_Lookup!$B$2:$B$25,MATCH(E525,Supplier_Lookup!$A$2:$A$25,0)),"Unmapped"))</f>
        <v>Agency Labour</v>
      </c>
      <c r="Q525" s="76">
        <f>IFERROR(INDEX(Category_Targets!$B$2:$B$9,MATCH(F525,Category_Targets!$A$2:$A$9,0)),0)</f>
        <v>7.0000000000000007E-2</v>
      </c>
      <c r="R525" s="125">
        <f t="shared" si="25"/>
        <v>919.73700000000008</v>
      </c>
      <c r="S525" s="78">
        <f t="shared" si="26"/>
        <v>45809</v>
      </c>
      <c r="T525" t="str">
        <f>IFERROR(VLOOKUP(B525,Sites!$A$2:$D$21,4,FALSE()),"Unknown")</f>
        <v>Cardiff</v>
      </c>
      <c r="U525" t="str">
        <f>IF(N525="OK","",COUNTIF($N$2:N525,"&lt;&gt;OK"))</f>
        <v/>
      </c>
      <c r="V525">
        <f>IF(OR(NOT(EXACT(E525,TRIM(Procurement_Raw!E525))),NOT(EXACT(F525,TRIM(Procurement_Raw!F525)))),1,0)</f>
        <v>0</v>
      </c>
    </row>
    <row r="526" spans="1:22" ht="15" customHeight="1" x14ac:dyDescent="0.25">
      <c r="A526" s="123">
        <f>Procurement_Raw!A526</f>
        <v>45950</v>
      </c>
      <c r="B526" t="str">
        <f>TRIM(Procurement_Raw!B526)</f>
        <v>S011</v>
      </c>
      <c r="C526" t="str">
        <f>Procurement_Raw!C526</f>
        <v>London Care &amp; Education Centre</v>
      </c>
      <c r="D526" t="str">
        <f>Procurement_Raw!D526</f>
        <v>South</v>
      </c>
      <c r="E526" t="str">
        <f>IF(TRIM(Procurement_Raw!E526)="","",IFERROR(INDEX(Supplier_Lookup!$A$2:$A$25,MATCH(TRIM(Procurement_Raw!E526),Supplier_Lookup!$A$2:$A$25,0)),TRIM(Procurement_Raw!E526)))</f>
        <v>CloudLink</v>
      </c>
      <c r="F526" t="str">
        <f>IFERROR(INDEX(Category_Targets!$A$2:$A$9,MATCH(TRIM(Procurement_Raw!F526),Category_Targets!$A$2:$A$9,0)),"Unmapped")</f>
        <v>IT &amp; Telecoms</v>
      </c>
      <c r="G526" t="str">
        <f>TRIM(Procurement_Raw!G526)</f>
        <v>INV-2025-00525</v>
      </c>
      <c r="H526" s="77">
        <f>Procurement_Raw!H526</f>
        <v>48</v>
      </c>
      <c r="I526" s="124">
        <f>Procurement_Raw!I526</f>
        <v>144.58000000000001</v>
      </c>
      <c r="J526" s="125">
        <f>IF(Procurement_Raw!J526="","",Procurement_Raw!J526)</f>
        <v>6939.85</v>
      </c>
      <c r="K526" s="77">
        <f>Procurement_Raw!K526</f>
        <v>30</v>
      </c>
      <c r="L526" t="str">
        <f>Procurement_Raw!L526</f>
        <v>Legacy Spend File</v>
      </c>
      <c r="M526" t="str">
        <f>Procurement_Raw!O526</f>
        <v>Y</v>
      </c>
      <c r="N526" t="str">
        <f>IF(E526="","Missing supplier",IF(B526="","Missing site",IF(J526="","Missing spend",IF(COUNTIFS($G$2:G526,G526,$E$2:E526,E526,$J$2:J526,J526)&gt;1,"Duplicate invoice",IF(COUNTIF($G$2:$G$1801,G526)&gt;1,"Duplicate ID - review",IF(AND(P526&lt;&gt;"Unmapped",P526&lt;&gt;F526),"Category mismatch","OK"))))))</f>
        <v>OK</v>
      </c>
      <c r="O526" s="125">
        <f t="shared" si="24"/>
        <v>6939.85</v>
      </c>
      <c r="P526" t="str">
        <f>IF(E526="","Unmapped",IFERROR(INDEX(Supplier_Lookup!$B$2:$B$25,MATCH(E526,Supplier_Lookup!$A$2:$A$25,0)),"Unmapped"))</f>
        <v>IT &amp; Telecoms</v>
      </c>
      <c r="Q526" s="76">
        <f>IFERROR(INDEX(Category_Targets!$B$2:$B$9,MATCH(F526,Category_Targets!$A$2:$A$9,0)),0)</f>
        <v>0.08</v>
      </c>
      <c r="R526" s="125">
        <f t="shared" si="25"/>
        <v>555.18799999999999</v>
      </c>
      <c r="S526" s="78">
        <f t="shared" si="26"/>
        <v>45931</v>
      </c>
      <c r="T526" t="str">
        <f>IFERROR(VLOOKUP(B526,Sites!$A$2:$D$21,4,FALSE()),"Unknown")</f>
        <v>London</v>
      </c>
      <c r="U526" t="str">
        <f>IF(N526="OK","",COUNTIF($N$2:N526,"&lt;&gt;OK"))</f>
        <v/>
      </c>
      <c r="V526">
        <f>IF(OR(NOT(EXACT(E526,TRIM(Procurement_Raw!E526))),NOT(EXACT(F526,TRIM(Procurement_Raw!F526)))),1,0)</f>
        <v>0</v>
      </c>
    </row>
    <row r="527" spans="1:22" ht="15" customHeight="1" x14ac:dyDescent="0.25">
      <c r="A527" s="123">
        <f>Procurement_Raw!A527</f>
        <v>45772</v>
      </c>
      <c r="B527" t="str">
        <f>TRIM(Procurement_Raw!B527)</f>
        <v>S017</v>
      </c>
      <c r="C527" t="str">
        <f>Procurement_Raw!C527</f>
        <v>Swansea Care &amp; Education Centre</v>
      </c>
      <c r="D527" t="str">
        <f>Procurement_Raw!D527</f>
        <v>Wales</v>
      </c>
      <c r="E527" t="str">
        <f>IF(TRIM(Procurement_Raw!E527)="","",IFERROR(INDEX(Supplier_Lookup!$A$2:$A$25,MATCH(TRIM(Procurement_Raw!E527),Supplier_Lookup!$A$2:$A$25,0)),TRIM(Procurement_Raw!E527)))</f>
        <v>MediSure</v>
      </c>
      <c r="F527" t="str">
        <f>IFERROR(INDEX(Category_Targets!$A$2:$A$9,MATCH(TRIM(Procurement_Raw!F527),Category_Targets!$A$2:$A$9,0)),"Unmapped")</f>
        <v>Medical Supplies</v>
      </c>
      <c r="G527" t="str">
        <f>TRIM(Procurement_Raw!G527)</f>
        <v>INV-2025-00526</v>
      </c>
      <c r="H527" s="77">
        <f>Procurement_Raw!H527</f>
        <v>67</v>
      </c>
      <c r="I527" s="124">
        <f>Procurement_Raw!I527</f>
        <v>44.47</v>
      </c>
      <c r="J527" s="125">
        <f>IF(Procurement_Raw!J527="","",Procurement_Raw!J527)</f>
        <v>2979.47</v>
      </c>
      <c r="K527" s="77">
        <f>Procurement_Raw!K527</f>
        <v>30</v>
      </c>
      <c r="L527" t="str">
        <f>Procurement_Raw!L527</f>
        <v>Procurement Portal</v>
      </c>
      <c r="M527" t="str">
        <f>Procurement_Raw!O527</f>
        <v>Y</v>
      </c>
      <c r="N527" t="str">
        <f>IF(E527="","Missing supplier",IF(B527="","Missing site",IF(J527="","Missing spend",IF(COUNTIFS($G$2:G527,G527,$E$2:E527,E527,$J$2:J527,J527)&gt;1,"Duplicate invoice",IF(COUNTIF($G$2:$G$1801,G527)&gt;1,"Duplicate ID - review",IF(AND(P527&lt;&gt;"Unmapped",P527&lt;&gt;F527),"Category mismatch","OK"))))))</f>
        <v>OK</v>
      </c>
      <c r="O527" s="125">
        <f t="shared" si="24"/>
        <v>2979.47</v>
      </c>
      <c r="P527" t="str">
        <f>IF(E527="","Unmapped",IFERROR(INDEX(Supplier_Lookup!$B$2:$B$25,MATCH(E527,Supplier_Lookup!$A$2:$A$25,0)),"Unmapped"))</f>
        <v>Medical Supplies</v>
      </c>
      <c r="Q527" s="76">
        <f>IFERROR(INDEX(Category_Targets!$B$2:$B$9,MATCH(F527,Category_Targets!$A$2:$A$9,0)),0)</f>
        <v>0.06</v>
      </c>
      <c r="R527" s="125">
        <f t="shared" si="25"/>
        <v>178.76819999999998</v>
      </c>
      <c r="S527" s="78">
        <f t="shared" si="26"/>
        <v>45748</v>
      </c>
      <c r="T527" t="str">
        <f>IFERROR(VLOOKUP(B527,Sites!$A$2:$D$21,4,FALSE()),"Unknown")</f>
        <v>Swansea</v>
      </c>
      <c r="U527" t="str">
        <f>IF(N527="OK","",COUNTIF($N$2:N527,"&lt;&gt;OK"))</f>
        <v/>
      </c>
      <c r="V527">
        <f>IF(OR(NOT(EXACT(E527,TRIM(Procurement_Raw!E527))),NOT(EXACT(F527,TRIM(Procurement_Raw!F527)))),1,0)</f>
        <v>0</v>
      </c>
    </row>
    <row r="528" spans="1:22" ht="15" customHeight="1" x14ac:dyDescent="0.25">
      <c r="A528" s="123">
        <f>Procurement_Raw!A528</f>
        <v>45817</v>
      </c>
      <c r="B528" t="str">
        <f>TRIM(Procurement_Raw!B528)</f>
        <v>S005</v>
      </c>
      <c r="C528" t="str">
        <f>Procurement_Raw!C528</f>
        <v>Sheffield Care &amp; Education Centre</v>
      </c>
      <c r="D528" t="str">
        <f>Procurement_Raw!D528</f>
        <v>North</v>
      </c>
      <c r="E528" t="str">
        <f>IF(TRIM(Procurement_Raw!E528)="","",IFERROR(INDEX(Supplier_Lookup!$A$2:$A$25,MATCH(TRIM(Procurement_Raw!E528),Supplier_Lookup!$A$2:$A$25,0)),TRIM(Procurement_Raw!E528)))</f>
        <v>LearnWell</v>
      </c>
      <c r="F528" t="str">
        <f>IFERROR(INDEX(Category_Targets!$A$2:$A$9,MATCH(TRIM(Procurement_Raw!F528),Category_Targets!$A$2:$A$9,0)),"Unmapped")</f>
        <v>Office &amp; Training</v>
      </c>
      <c r="G528" t="str">
        <f>TRIM(Procurement_Raw!G528)</f>
        <v>INV-2025-00527</v>
      </c>
      <c r="H528" s="77">
        <f>Procurement_Raw!H528</f>
        <v>42</v>
      </c>
      <c r="I528" s="124">
        <f>Procurement_Raw!I528</f>
        <v>30.64</v>
      </c>
      <c r="J528" s="125">
        <f>IF(Procurement_Raw!J528="","",Procurement_Raw!J528)</f>
        <v>1286.92</v>
      </c>
      <c r="K528" s="77">
        <f>Procurement_Raw!K528</f>
        <v>30</v>
      </c>
      <c r="L528" t="str">
        <f>Procurement_Raw!L528</f>
        <v>Legacy Spend File</v>
      </c>
      <c r="M528" t="str">
        <f>Procurement_Raw!O528</f>
        <v>N</v>
      </c>
      <c r="N528" t="str">
        <f>IF(E528="","Missing supplier",IF(B528="","Missing site",IF(J528="","Missing spend",IF(COUNTIFS($G$2:G528,G528,$E$2:E528,E528,$J$2:J528,J528)&gt;1,"Duplicate invoice",IF(COUNTIF($G$2:$G$1801,G528)&gt;1,"Duplicate ID - review",IF(AND(P528&lt;&gt;"Unmapped",P528&lt;&gt;F528),"Category mismatch","OK"))))))</f>
        <v>OK</v>
      </c>
      <c r="O528" s="125">
        <f t="shared" si="24"/>
        <v>1286.92</v>
      </c>
      <c r="P528" t="str">
        <f>IF(E528="","Unmapped",IFERROR(INDEX(Supplier_Lookup!$B$2:$B$25,MATCH(E528,Supplier_Lookup!$A$2:$A$25,0)),"Unmapped"))</f>
        <v>Office &amp; Training</v>
      </c>
      <c r="Q528" s="76">
        <f>IFERROR(INDEX(Category_Targets!$B$2:$B$9,MATCH(F528,Category_Targets!$A$2:$A$9,0)),0)</f>
        <v>0.04</v>
      </c>
      <c r="R528" s="125">
        <f t="shared" si="25"/>
        <v>51.476800000000004</v>
      </c>
      <c r="S528" s="78">
        <f t="shared" si="26"/>
        <v>45809</v>
      </c>
      <c r="T528" t="str">
        <f>IFERROR(VLOOKUP(B528,Sites!$A$2:$D$21,4,FALSE()),"Unknown")</f>
        <v>Sheffield</v>
      </c>
      <c r="U528" t="str">
        <f>IF(N528="OK","",COUNTIF($N$2:N528,"&lt;&gt;OK"))</f>
        <v/>
      </c>
      <c r="V528">
        <f>IF(OR(NOT(EXACT(E528,TRIM(Procurement_Raw!E528))),NOT(EXACT(F528,TRIM(Procurement_Raw!F528)))),1,0)</f>
        <v>0</v>
      </c>
    </row>
    <row r="529" spans="1:22" ht="15" customHeight="1" x14ac:dyDescent="0.25">
      <c r="A529" s="123">
        <f>Procurement_Raw!A529</f>
        <v>45760</v>
      </c>
      <c r="B529" t="str">
        <f>TRIM(Procurement_Raw!B529)</f>
        <v>S002</v>
      </c>
      <c r="C529" t="str">
        <f>Procurement_Raw!C529</f>
        <v>Manchester Care &amp; Education Centre</v>
      </c>
      <c r="D529" t="str">
        <f>Procurement_Raw!D529</f>
        <v>North</v>
      </c>
      <c r="E529" t="str">
        <f>IF(TRIM(Procurement_Raw!E529)="","",IFERROR(INDEX(Supplier_Lookup!$A$2:$A$25,MATCH(TRIM(Procurement_Raw!E529),Supplier_Lookup!$A$2:$A$25,0)),TRIM(Procurement_Raw!E529)))</f>
        <v>CareMed</v>
      </c>
      <c r="F529" t="str">
        <f>IFERROR(INDEX(Category_Targets!$A$2:$A$9,MATCH(TRIM(Procurement_Raw!F529),Category_Targets!$A$2:$A$9,0)),"Unmapped")</f>
        <v>Medical Supplies</v>
      </c>
      <c r="G529" t="str">
        <f>TRIM(Procurement_Raw!G529)</f>
        <v>INV-2025-00528</v>
      </c>
      <c r="H529" s="77">
        <f>Procurement_Raw!H529</f>
        <v>38</v>
      </c>
      <c r="I529" s="124">
        <f>Procurement_Raw!I529</f>
        <v>123.22</v>
      </c>
      <c r="J529" s="125">
        <f>IF(Procurement_Raw!J529="","",Procurement_Raw!J529)</f>
        <v>4682.21</v>
      </c>
      <c r="K529" s="77">
        <f>Procurement_Raw!K529</f>
        <v>60</v>
      </c>
      <c r="L529" t="str">
        <f>Procurement_Raw!L529</f>
        <v>Procurement Portal</v>
      </c>
      <c r="M529" t="str">
        <f>Procurement_Raw!O529</f>
        <v>N</v>
      </c>
      <c r="N529" t="str">
        <f>IF(E529="","Missing supplier",IF(B529="","Missing site",IF(J529="","Missing spend",IF(COUNTIFS($G$2:G529,G529,$E$2:E529,E529,$J$2:J529,J529)&gt;1,"Duplicate invoice",IF(COUNTIF($G$2:$G$1801,G529)&gt;1,"Duplicate ID - review",IF(AND(P529&lt;&gt;"Unmapped",P529&lt;&gt;F529),"Category mismatch","OK"))))))</f>
        <v>OK</v>
      </c>
      <c r="O529" s="125">
        <f t="shared" si="24"/>
        <v>4682.21</v>
      </c>
      <c r="P529" t="str">
        <f>IF(E529="","Unmapped",IFERROR(INDEX(Supplier_Lookup!$B$2:$B$25,MATCH(E529,Supplier_Lookup!$A$2:$A$25,0)),"Unmapped"))</f>
        <v>Medical Supplies</v>
      </c>
      <c r="Q529" s="76">
        <f>IFERROR(INDEX(Category_Targets!$B$2:$B$9,MATCH(F529,Category_Targets!$A$2:$A$9,0)),0)</f>
        <v>0.06</v>
      </c>
      <c r="R529" s="125">
        <f t="shared" si="25"/>
        <v>280.93259999999998</v>
      </c>
      <c r="S529" s="78">
        <f t="shared" si="26"/>
        <v>45748</v>
      </c>
      <c r="T529" t="str">
        <f>IFERROR(VLOOKUP(B529,Sites!$A$2:$D$21,4,FALSE()),"Unknown")</f>
        <v>Manchester</v>
      </c>
      <c r="U529" t="str">
        <f>IF(N529="OK","",COUNTIF($N$2:N529,"&lt;&gt;OK"))</f>
        <v/>
      </c>
      <c r="V529">
        <f>IF(OR(NOT(EXACT(E529,TRIM(Procurement_Raw!E529))),NOT(EXACT(F529,TRIM(Procurement_Raw!F529)))),1,0)</f>
        <v>0</v>
      </c>
    </row>
    <row r="530" spans="1:22" ht="15" customHeight="1" x14ac:dyDescent="0.25">
      <c r="A530" s="123">
        <f>Procurement_Raw!A530</f>
        <v>45846</v>
      </c>
      <c r="B530" t="str">
        <f>TRIM(Procurement_Raw!B530)</f>
        <v>S011</v>
      </c>
      <c r="C530" t="str">
        <f>Procurement_Raw!C530</f>
        <v>London Care &amp; Education Centre</v>
      </c>
      <c r="D530" t="str">
        <f>Procurement_Raw!D530</f>
        <v>South</v>
      </c>
      <c r="E530" t="str">
        <f>IF(TRIM(Procurement_Raw!E530)="","",IFERROR(INDEX(Supplier_Lookup!$A$2:$A$25,MATCH(TRIM(Procurement_Raw!E530),Supplier_Lookup!$A$2:$A$25,0)),TRIM(Procurement_Raw!E530)))</f>
        <v>WaterGrid</v>
      </c>
      <c r="F530" t="str">
        <f>IFERROR(INDEX(Category_Targets!$A$2:$A$9,MATCH(TRIM(Procurement_Raw!F530),Category_Targets!$A$2:$A$9,0)),"Unmapped")</f>
        <v>Utilities</v>
      </c>
      <c r="G530" t="str">
        <f>TRIM(Procurement_Raw!G530)</f>
        <v>INV-2025-00529</v>
      </c>
      <c r="H530" s="77">
        <f>Procurement_Raw!H530</f>
        <v>76</v>
      </c>
      <c r="I530" s="124">
        <f>Procurement_Raw!I530</f>
        <v>288.39</v>
      </c>
      <c r="J530" s="125">
        <f>IF(Procurement_Raw!J530="","",Procurement_Raw!J530)</f>
        <v>21917.52</v>
      </c>
      <c r="K530" s="77">
        <f>Procurement_Raw!K530</f>
        <v>45</v>
      </c>
      <c r="L530" t="str">
        <f>Procurement_Raw!L530</f>
        <v>ERP</v>
      </c>
      <c r="M530" t="str">
        <f>Procurement_Raw!O530</f>
        <v>N</v>
      </c>
      <c r="N530" t="str">
        <f>IF(E530="","Missing supplier",IF(B530="","Missing site",IF(J530="","Missing spend",IF(COUNTIFS($G$2:G530,G530,$E$2:E530,E530,$J$2:J530,J530)&gt;1,"Duplicate invoice",IF(COUNTIF($G$2:$G$1801,G530)&gt;1,"Duplicate ID - review",IF(AND(P530&lt;&gt;"Unmapped",P530&lt;&gt;F530),"Category mismatch","OK"))))))</f>
        <v>OK</v>
      </c>
      <c r="O530" s="125">
        <f t="shared" si="24"/>
        <v>21917.52</v>
      </c>
      <c r="P530" t="str">
        <f>IF(E530="","Unmapped",IFERROR(INDEX(Supplier_Lookup!$B$2:$B$25,MATCH(E530,Supplier_Lookup!$A$2:$A$25,0)),"Unmapped"))</f>
        <v>Utilities</v>
      </c>
      <c r="Q530" s="76">
        <f>IFERROR(INDEX(Category_Targets!$B$2:$B$9,MATCH(F530,Category_Targets!$A$2:$A$9,0)),0)</f>
        <v>0.03</v>
      </c>
      <c r="R530" s="125">
        <f t="shared" si="25"/>
        <v>657.52559999999994</v>
      </c>
      <c r="S530" s="78">
        <f t="shared" si="26"/>
        <v>45839</v>
      </c>
      <c r="T530" t="str">
        <f>IFERROR(VLOOKUP(B530,Sites!$A$2:$D$21,4,FALSE()),"Unknown")</f>
        <v>London</v>
      </c>
      <c r="U530" t="str">
        <f>IF(N530="OK","",COUNTIF($N$2:N530,"&lt;&gt;OK"))</f>
        <v/>
      </c>
      <c r="V530">
        <f>IF(OR(NOT(EXACT(E530,TRIM(Procurement_Raw!E530))),NOT(EXACT(F530,TRIM(Procurement_Raw!F530)))),1,0)</f>
        <v>0</v>
      </c>
    </row>
    <row r="531" spans="1:22" ht="15" customHeight="1" x14ac:dyDescent="0.25">
      <c r="A531" s="123">
        <f>Procurement_Raw!A531</f>
        <v>45661</v>
      </c>
      <c r="B531" t="str">
        <f>TRIM(Procurement_Raw!B531)</f>
        <v>S005</v>
      </c>
      <c r="C531" t="str">
        <f>Procurement_Raw!C531</f>
        <v>Sheffield Care &amp; Education Centre</v>
      </c>
      <c r="D531" t="str">
        <f>Procurement_Raw!D531</f>
        <v>North</v>
      </c>
      <c r="E531" t="str">
        <f>IF(TRIM(Procurement_Raw!E531)="","",IFERROR(INDEX(Supplier_Lookup!$A$2:$A$25,MATCH(TRIM(Procurement_Raw!E531),Supplier_Lookup!$A$2:$A$25,0)),TRIM(Procurement_Raw!E531)))</f>
        <v>UK Energy Partners</v>
      </c>
      <c r="F531" t="str">
        <f>IFERROR(INDEX(Category_Targets!$A$2:$A$9,MATCH(TRIM(Procurement_Raw!F531),Category_Targets!$A$2:$A$9,0)),"Unmapped")</f>
        <v>Utilities</v>
      </c>
      <c r="G531" t="str">
        <f>TRIM(Procurement_Raw!G531)</f>
        <v>INV-2025-00530</v>
      </c>
      <c r="H531" s="77">
        <f>Procurement_Raw!H531</f>
        <v>53</v>
      </c>
      <c r="I531" s="124">
        <f>Procurement_Raw!I531</f>
        <v>152.03</v>
      </c>
      <c r="J531" s="125">
        <f>IF(Procurement_Raw!J531="","",Procurement_Raw!J531)</f>
        <v>8057.66</v>
      </c>
      <c r="K531" s="77">
        <f>Procurement_Raw!K531</f>
        <v>30</v>
      </c>
      <c r="L531" t="str">
        <f>Procurement_Raw!L531</f>
        <v>ERP</v>
      </c>
      <c r="M531" t="str">
        <f>Procurement_Raw!O531</f>
        <v>N</v>
      </c>
      <c r="N531" t="str">
        <f>IF(E531="","Missing supplier",IF(B531="","Missing site",IF(J531="","Missing spend",IF(COUNTIFS($G$2:G531,G531,$E$2:E531,E531,$J$2:J531,J531)&gt;1,"Duplicate invoice",IF(COUNTIF($G$2:$G$1801,G531)&gt;1,"Duplicate ID - review",IF(AND(P531&lt;&gt;"Unmapped",P531&lt;&gt;F531),"Category mismatch","OK"))))))</f>
        <v>OK</v>
      </c>
      <c r="O531" s="125">
        <f t="shared" si="24"/>
        <v>8057.66</v>
      </c>
      <c r="P531" t="str">
        <f>IF(E531="","Unmapped",IFERROR(INDEX(Supplier_Lookup!$B$2:$B$25,MATCH(E531,Supplier_Lookup!$A$2:$A$25,0)),"Unmapped"))</f>
        <v>Utilities</v>
      </c>
      <c r="Q531" s="76">
        <f>IFERROR(INDEX(Category_Targets!$B$2:$B$9,MATCH(F531,Category_Targets!$A$2:$A$9,0)),0)</f>
        <v>0.03</v>
      </c>
      <c r="R531" s="125">
        <f t="shared" si="25"/>
        <v>241.72979999999998</v>
      </c>
      <c r="S531" s="78">
        <f t="shared" si="26"/>
        <v>45658</v>
      </c>
      <c r="T531" t="str">
        <f>IFERROR(VLOOKUP(B531,Sites!$A$2:$D$21,4,FALSE()),"Unknown")</f>
        <v>Sheffield</v>
      </c>
      <c r="U531" t="str">
        <f>IF(N531="OK","",COUNTIF($N$2:N531,"&lt;&gt;OK"))</f>
        <v/>
      </c>
      <c r="V531">
        <f>IF(OR(NOT(EXACT(E531,TRIM(Procurement_Raw!E531))),NOT(EXACT(F531,TRIM(Procurement_Raw!F531)))),1,0)</f>
        <v>0</v>
      </c>
    </row>
    <row r="532" spans="1:22" ht="15" customHeight="1" x14ac:dyDescent="0.25">
      <c r="A532" s="123">
        <f>Procurement_Raw!A532</f>
        <v>46013</v>
      </c>
      <c r="B532" t="str">
        <f>TRIM(Procurement_Raw!B532)</f>
        <v>S013</v>
      </c>
      <c r="C532" t="str">
        <f>Procurement_Raw!C532</f>
        <v>Reading Care &amp; Education Centre</v>
      </c>
      <c r="D532" t="str">
        <f>Procurement_Raw!D532</f>
        <v>South</v>
      </c>
      <c r="E532" t="str">
        <f>IF(TRIM(Procurement_Raw!E532)="","",IFERROR(INDEX(Supplier_Lookup!$A$2:$A$25,MATCH(TRIM(Procurement_Raw!E532),Supplier_Lookup!$A$2:$A$25,0)),TRIM(Procurement_Raw!E532)))</f>
        <v>AutoCare</v>
      </c>
      <c r="F532" t="str">
        <f>IFERROR(INDEX(Category_Targets!$A$2:$A$9,MATCH(TRIM(Procurement_Raw!F532),Category_Targets!$A$2:$A$9,0)),"Unmapped")</f>
        <v>Vehicle &amp; Fuel</v>
      </c>
      <c r="G532" t="str">
        <f>TRIM(Procurement_Raw!G532)</f>
        <v>INV-2025-00531</v>
      </c>
      <c r="H532" s="77">
        <f>Procurement_Raw!H532</f>
        <v>2</v>
      </c>
      <c r="I532" s="124">
        <f>Procurement_Raw!I532</f>
        <v>134.97999999999999</v>
      </c>
      <c r="J532" s="125">
        <f>IF(Procurement_Raw!J532="","",Procurement_Raw!J532)</f>
        <v>269.95</v>
      </c>
      <c r="K532" s="77">
        <f>Procurement_Raw!K532</f>
        <v>45</v>
      </c>
      <c r="L532" t="str">
        <f>Procurement_Raw!L532</f>
        <v>ERP</v>
      </c>
      <c r="M532" t="str">
        <f>Procurement_Raw!O532</f>
        <v>N</v>
      </c>
      <c r="N532" t="str">
        <f>IF(E532="","Missing supplier",IF(B532="","Missing site",IF(J532="","Missing spend",IF(COUNTIFS($G$2:G532,G532,$E$2:E532,E532,$J$2:J532,J532)&gt;1,"Duplicate invoice",IF(COUNTIF($G$2:$G$1801,G532)&gt;1,"Duplicate ID - review",IF(AND(P532&lt;&gt;"Unmapped",P532&lt;&gt;F532),"Category mismatch","OK"))))))</f>
        <v>OK</v>
      </c>
      <c r="O532" s="125">
        <f t="shared" si="24"/>
        <v>269.95</v>
      </c>
      <c r="P532" t="str">
        <f>IF(E532="","Unmapped",IFERROR(INDEX(Supplier_Lookup!$B$2:$B$25,MATCH(E532,Supplier_Lookup!$A$2:$A$25,0)),"Unmapped"))</f>
        <v>Vehicle &amp; Fuel</v>
      </c>
      <c r="Q532" s="76">
        <f>IFERROR(INDEX(Category_Targets!$B$2:$B$9,MATCH(F532,Category_Targets!$A$2:$A$9,0)),0)</f>
        <v>0.05</v>
      </c>
      <c r="R532" s="125">
        <f t="shared" si="25"/>
        <v>13.4975</v>
      </c>
      <c r="S532" s="78">
        <f t="shared" si="26"/>
        <v>45992</v>
      </c>
      <c r="T532" t="str">
        <f>IFERROR(VLOOKUP(B532,Sites!$A$2:$D$21,4,FALSE()),"Unknown")</f>
        <v>Reading</v>
      </c>
      <c r="U532" t="str">
        <f>IF(N532="OK","",COUNTIF($N$2:N532,"&lt;&gt;OK"))</f>
        <v/>
      </c>
      <c r="V532">
        <f>IF(OR(NOT(EXACT(E532,TRIM(Procurement_Raw!E532))),NOT(EXACT(F532,TRIM(Procurement_Raw!F532)))),1,0)</f>
        <v>0</v>
      </c>
    </row>
    <row r="533" spans="1:22" ht="15" customHeight="1" x14ac:dyDescent="0.25">
      <c r="A533" s="123">
        <f>Procurement_Raw!A533</f>
        <v>45815</v>
      </c>
      <c r="B533" t="str">
        <f>TRIM(Procurement_Raw!B533)</f>
        <v>S019</v>
      </c>
      <c r="C533" t="str">
        <f>Procurement_Raw!C533</f>
        <v>Wrexham Care &amp; Education Centre</v>
      </c>
      <c r="D533" t="str">
        <f>Procurement_Raw!D533</f>
        <v>Wales</v>
      </c>
      <c r="E533" t="str">
        <f>IF(TRIM(Procurement_Raw!E533)="","",IFERROR(INDEX(Supplier_Lookup!$A$2:$A$25,MATCH(TRIM(Procurement_Raw!E533),Supplier_Lookup!$A$2:$A$25,0)),TRIM(Procurement_Raw!E533)))</f>
        <v>NurseLink</v>
      </c>
      <c r="F533" t="str">
        <f>IFERROR(INDEX(Category_Targets!$A$2:$A$9,MATCH(TRIM(Procurement_Raw!F533),Category_Targets!$A$2:$A$9,0)),"Unmapped")</f>
        <v>Agency Labour</v>
      </c>
      <c r="G533" t="str">
        <f>TRIM(Procurement_Raw!G533)</f>
        <v>INV-2025-00532</v>
      </c>
      <c r="H533" s="77">
        <f>Procurement_Raw!H533</f>
        <v>14</v>
      </c>
      <c r="I533" s="124">
        <f>Procurement_Raw!I533</f>
        <v>120.29</v>
      </c>
      <c r="J533" s="125">
        <f>IF(Procurement_Raw!J533="","",Procurement_Raw!J533)</f>
        <v>1684.13</v>
      </c>
      <c r="K533" s="77">
        <f>Procurement_Raw!K533</f>
        <v>30</v>
      </c>
      <c r="L533" t="str">
        <f>Procurement_Raw!L533</f>
        <v>Legacy Spend File</v>
      </c>
      <c r="M533" t="str">
        <f>Procurement_Raw!O533</f>
        <v>N</v>
      </c>
      <c r="N533" t="str">
        <f>IF(E533="","Missing supplier",IF(B533="","Missing site",IF(J533="","Missing spend",IF(COUNTIFS($G$2:G533,G533,$E$2:E533,E533,$J$2:J533,J533)&gt;1,"Duplicate invoice",IF(COUNTIF($G$2:$G$1801,G533)&gt;1,"Duplicate ID - review",IF(AND(P533&lt;&gt;"Unmapped",P533&lt;&gt;F533),"Category mismatch","OK"))))))</f>
        <v>OK</v>
      </c>
      <c r="O533" s="125">
        <f t="shared" si="24"/>
        <v>1684.13</v>
      </c>
      <c r="P533" t="str">
        <f>IF(E533="","Unmapped",IFERROR(INDEX(Supplier_Lookup!$B$2:$B$25,MATCH(E533,Supplier_Lookup!$A$2:$A$25,0)),"Unmapped"))</f>
        <v>Agency Labour</v>
      </c>
      <c r="Q533" s="76">
        <f>IFERROR(INDEX(Category_Targets!$B$2:$B$9,MATCH(F533,Category_Targets!$A$2:$A$9,0)),0)</f>
        <v>7.0000000000000007E-2</v>
      </c>
      <c r="R533" s="125">
        <f t="shared" si="25"/>
        <v>117.88910000000001</v>
      </c>
      <c r="S533" s="78">
        <f t="shared" si="26"/>
        <v>45809</v>
      </c>
      <c r="T533" t="str">
        <f>IFERROR(VLOOKUP(B533,Sites!$A$2:$D$21,4,FALSE()),"Unknown")</f>
        <v>Wrexham</v>
      </c>
      <c r="U533" t="str">
        <f>IF(N533="OK","",COUNTIF($N$2:N533,"&lt;&gt;OK"))</f>
        <v/>
      </c>
      <c r="V533">
        <f>IF(OR(NOT(EXACT(E533,TRIM(Procurement_Raw!E533))),NOT(EXACT(F533,TRIM(Procurement_Raw!F533)))),1,0)</f>
        <v>0</v>
      </c>
    </row>
    <row r="534" spans="1:22" ht="15" customHeight="1" x14ac:dyDescent="0.25">
      <c r="A534" s="123">
        <f>Procurement_Raw!A534</f>
        <v>45688</v>
      </c>
      <c r="B534" t="str">
        <f>TRIM(Procurement_Raw!B534)</f>
        <v>S007</v>
      </c>
      <c r="C534" t="str">
        <f>Procurement_Raw!C534</f>
        <v>Nottingham Care &amp; Education Centre</v>
      </c>
      <c r="D534" t="str">
        <f>Procurement_Raw!D534</f>
        <v>Midlands</v>
      </c>
      <c r="E534" t="str">
        <f>IF(TRIM(Procurement_Raw!E534)="","",IFERROR(INDEX(Supplier_Lookup!$A$2:$A$25,MATCH(TRIM(Procurement_Raw!E534),Supplier_Lookup!$A$2:$A$25,0)),TRIM(Procurement_Raw!E534)))</f>
        <v>CareTemps</v>
      </c>
      <c r="F534" t="str">
        <f>IFERROR(INDEX(Category_Targets!$A$2:$A$9,MATCH(TRIM(Procurement_Raw!F534),Category_Targets!$A$2:$A$9,0)),"Unmapped")</f>
        <v>Agency Labour</v>
      </c>
      <c r="G534" t="str">
        <f>TRIM(Procurement_Raw!G534)</f>
        <v>INV-2025-00533</v>
      </c>
      <c r="H534" s="77">
        <f>Procurement_Raw!H534</f>
        <v>19</v>
      </c>
      <c r="I534" s="124">
        <f>Procurement_Raw!I534</f>
        <v>289.29000000000002</v>
      </c>
      <c r="J534" s="125">
        <f>IF(Procurement_Raw!J534="","",Procurement_Raw!J534)</f>
        <v>5496.56</v>
      </c>
      <c r="K534" s="77">
        <f>Procurement_Raw!K534</f>
        <v>60</v>
      </c>
      <c r="L534" t="str">
        <f>Procurement_Raw!L534</f>
        <v>Procurement Portal</v>
      </c>
      <c r="M534" t="str">
        <f>Procurement_Raw!O534</f>
        <v>N</v>
      </c>
      <c r="N534" t="str">
        <f>IF(E534="","Missing supplier",IF(B534="","Missing site",IF(J534="","Missing spend",IF(COUNTIFS($G$2:G534,G534,$E$2:E534,E534,$J$2:J534,J534)&gt;1,"Duplicate invoice",IF(COUNTIF($G$2:$G$1801,G534)&gt;1,"Duplicate ID - review",IF(AND(P534&lt;&gt;"Unmapped",P534&lt;&gt;F534),"Category mismatch","OK"))))))</f>
        <v>OK</v>
      </c>
      <c r="O534" s="125">
        <f t="shared" si="24"/>
        <v>5496.56</v>
      </c>
      <c r="P534" t="str">
        <f>IF(E534="","Unmapped",IFERROR(INDEX(Supplier_Lookup!$B$2:$B$25,MATCH(E534,Supplier_Lookup!$A$2:$A$25,0)),"Unmapped"))</f>
        <v>Agency Labour</v>
      </c>
      <c r="Q534" s="76">
        <f>IFERROR(INDEX(Category_Targets!$B$2:$B$9,MATCH(F534,Category_Targets!$A$2:$A$9,0)),0)</f>
        <v>7.0000000000000007E-2</v>
      </c>
      <c r="R534" s="125">
        <f t="shared" si="25"/>
        <v>384.75920000000008</v>
      </c>
      <c r="S534" s="78">
        <f t="shared" si="26"/>
        <v>45658</v>
      </c>
      <c r="T534" t="str">
        <f>IFERROR(VLOOKUP(B534,Sites!$A$2:$D$21,4,FALSE()),"Unknown")</f>
        <v>Nottingham</v>
      </c>
      <c r="U534" t="str">
        <f>IF(N534="OK","",COUNTIF($N$2:N534,"&lt;&gt;OK"))</f>
        <v/>
      </c>
      <c r="V534">
        <f>IF(OR(NOT(EXACT(E534,TRIM(Procurement_Raw!E534))),NOT(EXACT(F534,TRIM(Procurement_Raw!F534)))),1,0)</f>
        <v>0</v>
      </c>
    </row>
    <row r="535" spans="1:22" ht="15" customHeight="1" x14ac:dyDescent="0.25">
      <c r="A535" s="123">
        <f>Procurement_Raw!A535</f>
        <v>45924</v>
      </c>
      <c r="B535" t="str">
        <f>TRIM(Procurement_Raw!B535)</f>
        <v>S012</v>
      </c>
      <c r="C535" t="str">
        <f>Procurement_Raw!C535</f>
        <v>Bristol Care &amp; Education Centre</v>
      </c>
      <c r="D535" t="str">
        <f>Procurement_Raw!D535</f>
        <v>South</v>
      </c>
      <c r="E535" t="str">
        <f>IF(TRIM(Procurement_Raw!E535)="","",IFERROR(INDEX(Supplier_Lookup!$A$2:$A$25,MATCH(TRIM(Procurement_Raw!E535),Supplier_Lookup!$A$2:$A$25,0)),TRIM(Procurement_Raw!E535)))</f>
        <v>MediSure</v>
      </c>
      <c r="F535" t="str">
        <f>IFERROR(INDEX(Category_Targets!$A$2:$A$9,MATCH(TRIM(Procurement_Raw!F535),Category_Targets!$A$2:$A$9,0)),"Unmapped")</f>
        <v>Medical Supplies</v>
      </c>
      <c r="G535" t="str">
        <f>TRIM(Procurement_Raw!G535)</f>
        <v>INV-2025-00534</v>
      </c>
      <c r="H535" s="77">
        <f>Procurement_Raw!H535</f>
        <v>53</v>
      </c>
      <c r="I535" s="124">
        <f>Procurement_Raw!I535</f>
        <v>61.65</v>
      </c>
      <c r="J535" s="125">
        <f>IF(Procurement_Raw!J535="","",Procurement_Raw!J535)</f>
        <v>3267.32</v>
      </c>
      <c r="K535" s="77">
        <f>Procurement_Raw!K535</f>
        <v>60</v>
      </c>
      <c r="L535" t="str">
        <f>Procurement_Raw!L535</f>
        <v>Procurement Portal</v>
      </c>
      <c r="M535" t="str">
        <f>Procurement_Raw!O535</f>
        <v>Y</v>
      </c>
      <c r="N535" t="str">
        <f>IF(E535="","Missing supplier",IF(B535="","Missing site",IF(J535="","Missing spend",IF(COUNTIFS($G$2:G535,G535,$E$2:E535,E535,$J$2:J535,J535)&gt;1,"Duplicate invoice",IF(COUNTIF($G$2:$G$1801,G535)&gt;1,"Duplicate ID - review",IF(AND(P535&lt;&gt;"Unmapped",P535&lt;&gt;F535),"Category mismatch","OK"))))))</f>
        <v>OK</v>
      </c>
      <c r="O535" s="125">
        <f t="shared" si="24"/>
        <v>3267.32</v>
      </c>
      <c r="P535" t="str">
        <f>IF(E535="","Unmapped",IFERROR(INDEX(Supplier_Lookup!$B$2:$B$25,MATCH(E535,Supplier_Lookup!$A$2:$A$25,0)),"Unmapped"))</f>
        <v>Medical Supplies</v>
      </c>
      <c r="Q535" s="76">
        <f>IFERROR(INDEX(Category_Targets!$B$2:$B$9,MATCH(F535,Category_Targets!$A$2:$A$9,0)),0)</f>
        <v>0.06</v>
      </c>
      <c r="R535" s="125">
        <f t="shared" si="25"/>
        <v>196.03919999999999</v>
      </c>
      <c r="S535" s="78">
        <f t="shared" si="26"/>
        <v>45901</v>
      </c>
      <c r="T535" t="str">
        <f>IFERROR(VLOOKUP(B535,Sites!$A$2:$D$21,4,FALSE()),"Unknown")</f>
        <v>Bristol</v>
      </c>
      <c r="U535" t="str">
        <f>IF(N535="OK","",COUNTIF($N$2:N535,"&lt;&gt;OK"))</f>
        <v/>
      </c>
      <c r="V535">
        <f>IF(OR(NOT(EXACT(E535,TRIM(Procurement_Raw!E535))),NOT(EXACT(F535,TRIM(Procurement_Raw!F535)))),1,0)</f>
        <v>0</v>
      </c>
    </row>
    <row r="536" spans="1:22" ht="15" customHeight="1" x14ac:dyDescent="0.25">
      <c r="A536" s="123">
        <f>Procurement_Raw!A536</f>
        <v>45706</v>
      </c>
      <c r="B536" t="str">
        <f>TRIM(Procurement_Raw!B536)</f>
        <v>S010</v>
      </c>
      <c r="C536" t="str">
        <f>Procurement_Raw!C536</f>
        <v>Coventry Care &amp; Education Centre</v>
      </c>
      <c r="D536" t="str">
        <f>Procurement_Raw!D536</f>
        <v>Midlands</v>
      </c>
      <c r="E536" t="str">
        <f>IF(TRIM(Procurement_Raw!E536)="","",IFERROR(INDEX(Supplier_Lookup!$A$2:$A$25,MATCH(TRIM(Procurement_Raw!E536),Supplier_Lookup!$A$2:$A$25,0)),TRIM(Procurement_Raw!E536)))</f>
        <v>KitchenPro</v>
      </c>
      <c r="F536" t="str">
        <f>IFERROR(INDEX(Category_Targets!$A$2:$A$9,MATCH(TRIM(Procurement_Raw!F536),Category_Targets!$A$2:$A$9,0)),"Unmapped")</f>
        <v>Food &amp; Catering</v>
      </c>
      <c r="G536" t="str">
        <f>TRIM(Procurement_Raw!G536)</f>
        <v>INV-2025-00535</v>
      </c>
      <c r="H536" s="77">
        <f>Procurement_Raw!H536</f>
        <v>65</v>
      </c>
      <c r="I536" s="124">
        <f>Procurement_Raw!I536</f>
        <v>45.42</v>
      </c>
      <c r="J536" s="125">
        <f>IF(Procurement_Raw!J536="","",Procurement_Raw!J536)</f>
        <v>2952.08</v>
      </c>
      <c r="K536" s="77">
        <f>Procurement_Raw!K536</f>
        <v>30</v>
      </c>
      <c r="L536" t="str">
        <f>Procurement_Raw!L536</f>
        <v>Legacy Spend File</v>
      </c>
      <c r="M536" t="str">
        <f>Procurement_Raw!O536</f>
        <v>N</v>
      </c>
      <c r="N536" t="str">
        <f>IF(E536="","Missing supplier",IF(B536="","Missing site",IF(J536="","Missing spend",IF(COUNTIFS($G$2:G536,G536,$E$2:E536,E536,$J$2:J536,J536)&gt;1,"Duplicate invoice",IF(COUNTIF($G$2:$G$1801,G536)&gt;1,"Duplicate ID - review",IF(AND(P536&lt;&gt;"Unmapped",P536&lt;&gt;F536),"Category mismatch","OK"))))))</f>
        <v>OK</v>
      </c>
      <c r="O536" s="125">
        <f t="shared" si="24"/>
        <v>2952.08</v>
      </c>
      <c r="P536" t="str">
        <f>IF(E536="","Unmapped",IFERROR(INDEX(Supplier_Lookup!$B$2:$B$25,MATCH(E536,Supplier_Lookup!$A$2:$A$25,0)),"Unmapped"))</f>
        <v>Food &amp; Catering</v>
      </c>
      <c r="Q536" s="76">
        <f>IFERROR(INDEX(Category_Targets!$B$2:$B$9,MATCH(F536,Category_Targets!$A$2:$A$9,0)),0)</f>
        <v>0.04</v>
      </c>
      <c r="R536" s="125">
        <f t="shared" si="25"/>
        <v>118.08320000000001</v>
      </c>
      <c r="S536" s="78">
        <f t="shared" si="26"/>
        <v>45689</v>
      </c>
      <c r="T536" t="str">
        <f>IFERROR(VLOOKUP(B536,Sites!$A$2:$D$21,4,FALSE()),"Unknown")</f>
        <v>Coventry</v>
      </c>
      <c r="U536" t="str">
        <f>IF(N536="OK","",COUNTIF($N$2:N536,"&lt;&gt;OK"))</f>
        <v/>
      </c>
      <c r="V536">
        <f>IF(OR(NOT(EXACT(E536,TRIM(Procurement_Raw!E536))),NOT(EXACT(F536,TRIM(Procurement_Raw!F536)))),1,0)</f>
        <v>0</v>
      </c>
    </row>
    <row r="537" spans="1:22" ht="15" customHeight="1" x14ac:dyDescent="0.25">
      <c r="A537" s="123">
        <f>Procurement_Raw!A537</f>
        <v>45948</v>
      </c>
      <c r="B537" t="str">
        <f>TRIM(Procurement_Raw!B537)</f>
        <v>S016</v>
      </c>
      <c r="C537" t="str">
        <f>Procurement_Raw!C537</f>
        <v>Cardiff Care &amp; Education Centre</v>
      </c>
      <c r="D537" t="str">
        <f>Procurement_Raw!D537</f>
        <v>Wales</v>
      </c>
      <c r="E537" t="str">
        <f>IF(TRIM(Procurement_Raw!E537)="","",IFERROR(INDEX(Supplier_Lookup!$A$2:$A$25,MATCH(TRIM(Procurement_Raw!E537),Supplier_Lookup!$A$2:$A$25,0)),TRIM(Procurement_Raw!E537)))</f>
        <v>KitchenPro</v>
      </c>
      <c r="F537" t="str">
        <f>IFERROR(INDEX(Category_Targets!$A$2:$A$9,MATCH(TRIM(Procurement_Raw!F537),Category_Targets!$A$2:$A$9,0)),"Unmapped")</f>
        <v>Food &amp; Catering</v>
      </c>
      <c r="G537" t="str">
        <f>TRIM(Procurement_Raw!G537)</f>
        <v>INV-2025-00536</v>
      </c>
      <c r="H537" s="77">
        <f>Procurement_Raw!H537</f>
        <v>8</v>
      </c>
      <c r="I537" s="124">
        <f>Procurement_Raw!I537</f>
        <v>66.72</v>
      </c>
      <c r="J537" s="125">
        <f>IF(Procurement_Raw!J537="","",Procurement_Raw!J537)</f>
        <v>533.73</v>
      </c>
      <c r="K537" s="77">
        <f>Procurement_Raw!K537</f>
        <v>45</v>
      </c>
      <c r="L537" t="str">
        <f>Procurement_Raw!L537</f>
        <v>Legacy Spend File</v>
      </c>
      <c r="M537" t="str">
        <f>Procurement_Raw!O537</f>
        <v>N</v>
      </c>
      <c r="N537" t="str">
        <f>IF(E537="","Missing supplier",IF(B537="","Missing site",IF(J537="","Missing spend",IF(COUNTIFS($G$2:G537,G537,$E$2:E537,E537,$J$2:J537,J537)&gt;1,"Duplicate invoice",IF(COUNTIF($G$2:$G$1801,G537)&gt;1,"Duplicate ID - review",IF(AND(P537&lt;&gt;"Unmapped",P537&lt;&gt;F537),"Category mismatch","OK"))))))</f>
        <v>OK</v>
      </c>
      <c r="O537" s="125">
        <f t="shared" si="24"/>
        <v>533.73</v>
      </c>
      <c r="P537" t="str">
        <f>IF(E537="","Unmapped",IFERROR(INDEX(Supplier_Lookup!$B$2:$B$25,MATCH(E537,Supplier_Lookup!$A$2:$A$25,0)),"Unmapped"))</f>
        <v>Food &amp; Catering</v>
      </c>
      <c r="Q537" s="76">
        <f>IFERROR(INDEX(Category_Targets!$B$2:$B$9,MATCH(F537,Category_Targets!$A$2:$A$9,0)),0)</f>
        <v>0.04</v>
      </c>
      <c r="R537" s="125">
        <f t="shared" si="25"/>
        <v>21.3492</v>
      </c>
      <c r="S537" s="78">
        <f t="shared" si="26"/>
        <v>45931</v>
      </c>
      <c r="T537" t="str">
        <f>IFERROR(VLOOKUP(B537,Sites!$A$2:$D$21,4,FALSE()),"Unknown")</f>
        <v>Cardiff</v>
      </c>
      <c r="U537" t="str">
        <f>IF(N537="OK","",COUNTIF($N$2:N537,"&lt;&gt;OK"))</f>
        <v/>
      </c>
      <c r="V537">
        <f>IF(OR(NOT(EXACT(E537,TRIM(Procurement_Raw!E537))),NOT(EXACT(F537,TRIM(Procurement_Raw!F537)))),1,0)</f>
        <v>0</v>
      </c>
    </row>
    <row r="538" spans="1:22" ht="15" customHeight="1" x14ac:dyDescent="0.25">
      <c r="A538" s="123">
        <f>Procurement_Raw!A538</f>
        <v>45791</v>
      </c>
      <c r="B538" t="str">
        <f>TRIM(Procurement_Raw!B538)</f>
        <v>S011</v>
      </c>
      <c r="C538" t="str">
        <f>Procurement_Raw!C538</f>
        <v>London Care &amp; Education Centre</v>
      </c>
      <c r="D538" t="str">
        <f>Procurement_Raw!D538</f>
        <v>South</v>
      </c>
      <c r="E538" t="str">
        <f>IF(TRIM(Procurement_Raw!E538)="","",IFERROR(INDEX(Supplier_Lookup!$A$2:$A$25,MATCH(TRIM(Procurement_Raw!E538),Supplier_Lookup!$A$2:$A$25,0)),TRIM(Procurement_Raw!E538)))</f>
        <v>WaterGrid</v>
      </c>
      <c r="F538" t="str">
        <f>IFERROR(INDEX(Category_Targets!$A$2:$A$9,MATCH(TRIM(Procurement_Raw!F538),Category_Targets!$A$2:$A$9,0)),"Unmapped")</f>
        <v>Utilities</v>
      </c>
      <c r="G538" t="str">
        <f>TRIM(Procurement_Raw!G538)</f>
        <v>INV-2025-00537</v>
      </c>
      <c r="H538" s="77">
        <f>Procurement_Raw!H538</f>
        <v>41</v>
      </c>
      <c r="I538" s="124">
        <f>Procurement_Raw!I538</f>
        <v>155.75</v>
      </c>
      <c r="J538" s="125">
        <f>IF(Procurement_Raw!J538="","",Procurement_Raw!J538)</f>
        <v>6385.63</v>
      </c>
      <c r="K538" s="77">
        <f>Procurement_Raw!K538</f>
        <v>45</v>
      </c>
      <c r="L538" t="str">
        <f>Procurement_Raw!L538</f>
        <v>Legacy Spend File</v>
      </c>
      <c r="M538" t="str">
        <f>Procurement_Raw!O538</f>
        <v>N</v>
      </c>
      <c r="N538" t="str">
        <f>IF(E538="","Missing supplier",IF(B538="","Missing site",IF(J538="","Missing spend",IF(COUNTIFS($G$2:G538,G538,$E$2:E538,E538,$J$2:J538,J538)&gt;1,"Duplicate invoice",IF(COUNTIF($G$2:$G$1801,G538)&gt;1,"Duplicate ID - review",IF(AND(P538&lt;&gt;"Unmapped",P538&lt;&gt;F538),"Category mismatch","OK"))))))</f>
        <v>OK</v>
      </c>
      <c r="O538" s="125">
        <f t="shared" si="24"/>
        <v>6385.63</v>
      </c>
      <c r="P538" t="str">
        <f>IF(E538="","Unmapped",IFERROR(INDEX(Supplier_Lookup!$B$2:$B$25,MATCH(E538,Supplier_Lookup!$A$2:$A$25,0)),"Unmapped"))</f>
        <v>Utilities</v>
      </c>
      <c r="Q538" s="76">
        <f>IFERROR(INDEX(Category_Targets!$B$2:$B$9,MATCH(F538,Category_Targets!$A$2:$A$9,0)),0)</f>
        <v>0.03</v>
      </c>
      <c r="R538" s="125">
        <f t="shared" si="25"/>
        <v>191.56889999999999</v>
      </c>
      <c r="S538" s="78">
        <f t="shared" si="26"/>
        <v>45778</v>
      </c>
      <c r="T538" t="str">
        <f>IFERROR(VLOOKUP(B538,Sites!$A$2:$D$21,4,FALSE()),"Unknown")</f>
        <v>London</v>
      </c>
      <c r="U538" t="str">
        <f>IF(N538="OK","",COUNTIF($N$2:N538,"&lt;&gt;OK"))</f>
        <v/>
      </c>
      <c r="V538">
        <f>IF(OR(NOT(EXACT(E538,TRIM(Procurement_Raw!E538))),NOT(EXACT(F538,TRIM(Procurement_Raw!F538)))),1,0)</f>
        <v>0</v>
      </c>
    </row>
    <row r="539" spans="1:22" ht="15" customHeight="1" x14ac:dyDescent="0.25">
      <c r="A539" s="123">
        <f>Procurement_Raw!A539</f>
        <v>45889</v>
      </c>
      <c r="B539" t="str">
        <f>TRIM(Procurement_Raw!B539)</f>
        <v>S016</v>
      </c>
      <c r="C539" t="str">
        <f>Procurement_Raw!C539</f>
        <v>Cardiff Care &amp; Education Centre</v>
      </c>
      <c r="D539" t="str">
        <f>Procurement_Raw!D539</f>
        <v>Wales</v>
      </c>
      <c r="E539" t="str">
        <f>IF(TRIM(Procurement_Raw!E539)="","",IFERROR(INDEX(Supplier_Lookup!$A$2:$A$25,MATCH(TRIM(Procurement_Raw!E539),Supplier_Lookup!$A$2:$A$25,0)),TRIM(Procurement_Raw!E539)))</f>
        <v>RoadReady</v>
      </c>
      <c r="F539" t="str">
        <f>IFERROR(INDEX(Category_Targets!$A$2:$A$9,MATCH(TRIM(Procurement_Raw!F539),Category_Targets!$A$2:$A$9,0)),"Unmapped")</f>
        <v>Vehicle &amp; Fuel</v>
      </c>
      <c r="G539" t="str">
        <f>TRIM(Procurement_Raw!G539)</f>
        <v>INV-2025-00538</v>
      </c>
      <c r="H539" s="77">
        <f>Procurement_Raw!H539</f>
        <v>35</v>
      </c>
      <c r="I539" s="124">
        <f>Procurement_Raw!I539</f>
        <v>76.89</v>
      </c>
      <c r="J539" s="125">
        <f>IF(Procurement_Raw!J539="","",Procurement_Raw!J539)</f>
        <v>2691.14</v>
      </c>
      <c r="K539" s="77">
        <f>Procurement_Raw!K539</f>
        <v>30</v>
      </c>
      <c r="L539" t="str">
        <f>Procurement_Raw!L539</f>
        <v>ERP</v>
      </c>
      <c r="M539" t="str">
        <f>Procurement_Raw!O539</f>
        <v>N</v>
      </c>
      <c r="N539" t="str">
        <f>IF(E539="","Missing supplier",IF(B539="","Missing site",IF(J539="","Missing spend",IF(COUNTIFS($G$2:G539,G539,$E$2:E539,E539,$J$2:J539,J539)&gt;1,"Duplicate invoice",IF(COUNTIF($G$2:$G$1801,G539)&gt;1,"Duplicate ID - review",IF(AND(P539&lt;&gt;"Unmapped",P539&lt;&gt;F539),"Category mismatch","OK"))))))</f>
        <v>OK</v>
      </c>
      <c r="O539" s="125">
        <f t="shared" si="24"/>
        <v>2691.14</v>
      </c>
      <c r="P539" t="str">
        <f>IF(E539="","Unmapped",IFERROR(INDEX(Supplier_Lookup!$B$2:$B$25,MATCH(E539,Supplier_Lookup!$A$2:$A$25,0)),"Unmapped"))</f>
        <v>Vehicle &amp; Fuel</v>
      </c>
      <c r="Q539" s="76">
        <f>IFERROR(INDEX(Category_Targets!$B$2:$B$9,MATCH(F539,Category_Targets!$A$2:$A$9,0)),0)</f>
        <v>0.05</v>
      </c>
      <c r="R539" s="125">
        <f t="shared" si="25"/>
        <v>134.55699999999999</v>
      </c>
      <c r="S539" s="78">
        <f t="shared" si="26"/>
        <v>45870</v>
      </c>
      <c r="T539" t="str">
        <f>IFERROR(VLOOKUP(B539,Sites!$A$2:$D$21,4,FALSE()),"Unknown")</f>
        <v>Cardiff</v>
      </c>
      <c r="U539" t="str">
        <f>IF(N539="OK","",COUNTIF($N$2:N539,"&lt;&gt;OK"))</f>
        <v/>
      </c>
      <c r="V539">
        <f>IF(OR(NOT(EXACT(E539,TRIM(Procurement_Raw!E539))),NOT(EXACT(F539,TRIM(Procurement_Raw!F539)))),1,0)</f>
        <v>0</v>
      </c>
    </row>
    <row r="540" spans="1:22" ht="15" customHeight="1" x14ac:dyDescent="0.25">
      <c r="A540" s="123">
        <f>Procurement_Raw!A540</f>
        <v>45713</v>
      </c>
      <c r="B540" t="str">
        <f>TRIM(Procurement_Raw!B540)</f>
        <v>S013</v>
      </c>
      <c r="C540" t="str">
        <f>Procurement_Raw!C540</f>
        <v>Reading Care &amp; Education Centre</v>
      </c>
      <c r="D540" t="str">
        <f>Procurement_Raw!D540</f>
        <v>South</v>
      </c>
      <c r="E540" t="str">
        <f>IF(TRIM(Procurement_Raw!E540)="","",IFERROR(INDEX(Supplier_Lookup!$A$2:$A$25,MATCH(TRIM(Procurement_Raw!E540),Supplier_Lookup!$A$2:$A$25,0)),TRIM(Procurement_Raw!E540)))</f>
        <v>BuildCare</v>
      </c>
      <c r="F540" t="str">
        <f>IFERROR(INDEX(Category_Targets!$A$2:$A$9,MATCH(TRIM(Procurement_Raw!F540),Category_Targets!$A$2:$A$9,0)),"Unmapped")</f>
        <v>Facilities</v>
      </c>
      <c r="G540" t="str">
        <f>TRIM(Procurement_Raw!G540)</f>
        <v>INV-2025-00539</v>
      </c>
      <c r="H540" s="77">
        <f>Procurement_Raw!H540</f>
        <v>20</v>
      </c>
      <c r="I540" s="124">
        <f>Procurement_Raw!I540</f>
        <v>313.07</v>
      </c>
      <c r="J540" s="125">
        <f>IF(Procurement_Raw!J540="","",Procurement_Raw!J540)</f>
        <v>6261.34</v>
      </c>
      <c r="K540" s="77">
        <f>Procurement_Raw!K540</f>
        <v>30</v>
      </c>
      <c r="L540" t="str">
        <f>Procurement_Raw!L540</f>
        <v>ERP</v>
      </c>
      <c r="M540" t="str">
        <f>Procurement_Raw!O540</f>
        <v>N</v>
      </c>
      <c r="N540" t="str">
        <f>IF(E540="","Missing supplier",IF(B540="","Missing site",IF(J540="","Missing spend",IF(COUNTIFS($G$2:G540,G540,$E$2:E540,E540,$J$2:J540,J540)&gt;1,"Duplicate invoice",IF(COUNTIF($G$2:$G$1801,G540)&gt;1,"Duplicate ID - review",IF(AND(P540&lt;&gt;"Unmapped",P540&lt;&gt;F540),"Category mismatch","OK"))))))</f>
        <v>OK</v>
      </c>
      <c r="O540" s="125">
        <f t="shared" si="24"/>
        <v>6261.34</v>
      </c>
      <c r="P540" t="str">
        <f>IF(E540="","Unmapped",IFERROR(INDEX(Supplier_Lookup!$B$2:$B$25,MATCH(E540,Supplier_Lookup!$A$2:$A$25,0)),"Unmapped"))</f>
        <v>Facilities</v>
      </c>
      <c r="Q540" s="76">
        <f>IFERROR(INDEX(Category_Targets!$B$2:$B$9,MATCH(F540,Category_Targets!$A$2:$A$9,0)),0)</f>
        <v>0.05</v>
      </c>
      <c r="R540" s="125">
        <f t="shared" si="25"/>
        <v>313.06700000000001</v>
      </c>
      <c r="S540" s="78">
        <f t="shared" si="26"/>
        <v>45689</v>
      </c>
      <c r="T540" t="str">
        <f>IFERROR(VLOOKUP(B540,Sites!$A$2:$D$21,4,FALSE()),"Unknown")</f>
        <v>Reading</v>
      </c>
      <c r="U540" t="str">
        <f>IF(N540="OK","",COUNTIF($N$2:N540,"&lt;&gt;OK"))</f>
        <v/>
      </c>
      <c r="V540">
        <f>IF(OR(NOT(EXACT(E540,TRIM(Procurement_Raw!E540))),NOT(EXACT(F540,TRIM(Procurement_Raw!F540)))),1,0)</f>
        <v>0</v>
      </c>
    </row>
    <row r="541" spans="1:22" ht="15" customHeight="1" x14ac:dyDescent="0.25">
      <c r="A541" s="123">
        <f>Procurement_Raw!A541</f>
        <v>45866</v>
      </c>
      <c r="B541" t="str">
        <f>TRIM(Procurement_Raw!B541)</f>
        <v>S005</v>
      </c>
      <c r="C541" t="str">
        <f>Procurement_Raw!C541</f>
        <v>Sheffield Care &amp; Education Centre</v>
      </c>
      <c r="D541" t="str">
        <f>Procurement_Raw!D541</f>
        <v>North</v>
      </c>
      <c r="E541" t="str">
        <f>IF(TRIM(Procurement_Raw!E541)="","",IFERROR(INDEX(Supplier_Lookup!$A$2:$A$25,MATCH(TRIM(Procurement_Raw!E541),Supplier_Lookup!$A$2:$A$25,0)),TRIM(Procurement_Raw!E541)))</f>
        <v>LearnWell</v>
      </c>
      <c r="F541" t="str">
        <f>IFERROR(INDEX(Category_Targets!$A$2:$A$9,MATCH(TRIM(Procurement_Raw!F541),Category_Targets!$A$2:$A$9,0)),"Unmapped")</f>
        <v>Office &amp; Training</v>
      </c>
      <c r="G541" t="str">
        <f>TRIM(Procurement_Raw!G541)</f>
        <v>INV-2025-00540</v>
      </c>
      <c r="H541" s="77">
        <f>Procurement_Raw!H541</f>
        <v>16</v>
      </c>
      <c r="I541" s="124">
        <f>Procurement_Raw!I541</f>
        <v>54.61</v>
      </c>
      <c r="J541" s="125">
        <f>IF(Procurement_Raw!J541="","",Procurement_Raw!J541)</f>
        <v>873.74</v>
      </c>
      <c r="K541" s="77">
        <f>Procurement_Raw!K541</f>
        <v>60</v>
      </c>
      <c r="L541" t="str">
        <f>Procurement_Raw!L541</f>
        <v>Procurement Portal</v>
      </c>
      <c r="M541" t="str">
        <f>Procurement_Raw!O541</f>
        <v>N</v>
      </c>
      <c r="N541" t="str">
        <f>IF(E541="","Missing supplier",IF(B541="","Missing site",IF(J541="","Missing spend",IF(COUNTIFS($G$2:G541,G541,$E$2:E541,E541,$J$2:J541,J541)&gt;1,"Duplicate invoice",IF(COUNTIF($G$2:$G$1801,G541)&gt;1,"Duplicate ID - review",IF(AND(P541&lt;&gt;"Unmapped",P541&lt;&gt;F541),"Category mismatch","OK"))))))</f>
        <v>OK</v>
      </c>
      <c r="O541" s="125">
        <f t="shared" si="24"/>
        <v>873.74</v>
      </c>
      <c r="P541" t="str">
        <f>IF(E541="","Unmapped",IFERROR(INDEX(Supplier_Lookup!$B$2:$B$25,MATCH(E541,Supplier_Lookup!$A$2:$A$25,0)),"Unmapped"))</f>
        <v>Office &amp; Training</v>
      </c>
      <c r="Q541" s="76">
        <f>IFERROR(INDEX(Category_Targets!$B$2:$B$9,MATCH(F541,Category_Targets!$A$2:$A$9,0)),0)</f>
        <v>0.04</v>
      </c>
      <c r="R541" s="125">
        <f t="shared" si="25"/>
        <v>34.949600000000004</v>
      </c>
      <c r="S541" s="78">
        <f t="shared" si="26"/>
        <v>45839</v>
      </c>
      <c r="T541" t="str">
        <f>IFERROR(VLOOKUP(B541,Sites!$A$2:$D$21,4,FALSE()),"Unknown")</f>
        <v>Sheffield</v>
      </c>
      <c r="U541" t="str">
        <f>IF(N541="OK","",COUNTIF($N$2:N541,"&lt;&gt;OK"))</f>
        <v/>
      </c>
      <c r="V541">
        <f>IF(OR(NOT(EXACT(E541,TRIM(Procurement_Raw!E541))),NOT(EXACT(F541,TRIM(Procurement_Raw!F541)))),1,0)</f>
        <v>0</v>
      </c>
    </row>
    <row r="542" spans="1:22" ht="15" customHeight="1" x14ac:dyDescent="0.25">
      <c r="A542" s="123">
        <f>Procurement_Raw!A542</f>
        <v>45895</v>
      </c>
      <c r="B542" t="str">
        <f>TRIM(Procurement_Raw!B542)</f>
        <v>S009</v>
      </c>
      <c r="C542" t="str">
        <f>Procurement_Raw!C542</f>
        <v>Derby Care &amp; Education Centre</v>
      </c>
      <c r="D542" t="str">
        <f>Procurement_Raw!D542</f>
        <v>Midlands</v>
      </c>
      <c r="E542" t="str">
        <f>IF(TRIM(Procurement_Raw!E542)="","",IFERROR(INDEX(Supplier_Lookup!$A$2:$A$25,MATCH(TRIM(Procurement_Raw!E542),Supplier_Lookup!$A$2:$A$25,0)),TRIM(Procurement_Raw!E542)))</f>
        <v>LearnWell</v>
      </c>
      <c r="F542" t="str">
        <f>IFERROR(INDEX(Category_Targets!$A$2:$A$9,MATCH(TRIM(Procurement_Raw!F542),Category_Targets!$A$2:$A$9,0)),"Unmapped")</f>
        <v>Office &amp; Training</v>
      </c>
      <c r="G542" t="str">
        <f>TRIM(Procurement_Raw!G542)</f>
        <v>INV-2025-00541</v>
      </c>
      <c r="H542" s="77">
        <f>Procurement_Raw!H542</f>
        <v>34</v>
      </c>
      <c r="I542" s="124">
        <f>Procurement_Raw!I542</f>
        <v>118.76</v>
      </c>
      <c r="J542" s="125">
        <f>IF(Procurement_Raw!J542="","",Procurement_Raw!J542)</f>
        <v>4037.9</v>
      </c>
      <c r="K542" s="77">
        <f>Procurement_Raw!K542</f>
        <v>30</v>
      </c>
      <c r="L542" t="str">
        <f>Procurement_Raw!L542</f>
        <v>ERP</v>
      </c>
      <c r="M542" t="str">
        <f>Procurement_Raw!O542</f>
        <v>N</v>
      </c>
      <c r="N542" t="str">
        <f>IF(E542="","Missing supplier",IF(B542="","Missing site",IF(J542="","Missing spend",IF(COUNTIFS($G$2:G542,G542,$E$2:E542,E542,$J$2:J542,J542)&gt;1,"Duplicate invoice",IF(COUNTIF($G$2:$G$1801,G542)&gt;1,"Duplicate ID - review",IF(AND(P542&lt;&gt;"Unmapped",P542&lt;&gt;F542),"Category mismatch","OK"))))))</f>
        <v>OK</v>
      </c>
      <c r="O542" s="125">
        <f t="shared" si="24"/>
        <v>4037.9</v>
      </c>
      <c r="P542" t="str">
        <f>IF(E542="","Unmapped",IFERROR(INDEX(Supplier_Lookup!$B$2:$B$25,MATCH(E542,Supplier_Lookup!$A$2:$A$25,0)),"Unmapped"))</f>
        <v>Office &amp; Training</v>
      </c>
      <c r="Q542" s="76">
        <f>IFERROR(INDEX(Category_Targets!$B$2:$B$9,MATCH(F542,Category_Targets!$A$2:$A$9,0)),0)</f>
        <v>0.04</v>
      </c>
      <c r="R542" s="125">
        <f t="shared" si="25"/>
        <v>161.51600000000002</v>
      </c>
      <c r="S542" s="78">
        <f t="shared" si="26"/>
        <v>45870</v>
      </c>
      <c r="T542" t="str">
        <f>IFERROR(VLOOKUP(B542,Sites!$A$2:$D$21,4,FALSE()),"Unknown")</f>
        <v>Derby</v>
      </c>
      <c r="U542" t="str">
        <f>IF(N542="OK","",COUNTIF($N$2:N542,"&lt;&gt;OK"))</f>
        <v/>
      </c>
      <c r="V542">
        <f>IF(OR(NOT(EXACT(E542,TRIM(Procurement_Raw!E542))),NOT(EXACT(F542,TRIM(Procurement_Raw!F542)))),1,0)</f>
        <v>0</v>
      </c>
    </row>
    <row r="543" spans="1:22" ht="15" customHeight="1" x14ac:dyDescent="0.25">
      <c r="A543" s="123">
        <f>Procurement_Raw!A543</f>
        <v>46014</v>
      </c>
      <c r="B543" t="str">
        <f>TRIM(Procurement_Raw!B543)</f>
        <v>S002</v>
      </c>
      <c r="C543" t="str">
        <f>Procurement_Raw!C543</f>
        <v>Manchester Care &amp; Education Centre</v>
      </c>
      <c r="D543" t="str">
        <f>Procurement_Raw!D543</f>
        <v>North</v>
      </c>
      <c r="E543" t="str">
        <f>IF(TRIM(Procurement_Raw!E543)="","",IFERROR(INDEX(Supplier_Lookup!$A$2:$A$25,MATCH(TRIM(Procurement_Raw!E543),Supplier_Lookup!$A$2:$A$25,0)),TRIM(Procurement_Raw!E543)))</f>
        <v>NetServe</v>
      </c>
      <c r="F543" t="str">
        <f>IFERROR(INDEX(Category_Targets!$A$2:$A$9,MATCH(TRIM(Procurement_Raw!F543),Category_Targets!$A$2:$A$9,0)),"Unmapped")</f>
        <v>IT &amp; Telecoms</v>
      </c>
      <c r="G543" t="str">
        <f>TRIM(Procurement_Raw!G543)</f>
        <v>INV-2025-00542</v>
      </c>
      <c r="H543" s="77">
        <f>Procurement_Raw!H543</f>
        <v>78</v>
      </c>
      <c r="I543" s="124">
        <f>Procurement_Raw!I543</f>
        <v>118.19</v>
      </c>
      <c r="J543" s="125">
        <f>IF(Procurement_Raw!J543="","",Procurement_Raw!J543)</f>
        <v>9218.7800000000007</v>
      </c>
      <c r="K543" s="77">
        <f>Procurement_Raw!K543</f>
        <v>30</v>
      </c>
      <c r="L543" t="str">
        <f>Procurement_Raw!L543</f>
        <v>ERP</v>
      </c>
      <c r="M543" t="str">
        <f>Procurement_Raw!O543</f>
        <v>N</v>
      </c>
      <c r="N543" t="str">
        <f>IF(E543="","Missing supplier",IF(B543="","Missing site",IF(J543="","Missing spend",IF(COUNTIFS($G$2:G543,G543,$E$2:E543,E543,$J$2:J543,J543)&gt;1,"Duplicate invoice",IF(COUNTIF($G$2:$G$1801,G543)&gt;1,"Duplicate ID - review",IF(AND(P543&lt;&gt;"Unmapped",P543&lt;&gt;F543),"Category mismatch","OK"))))))</f>
        <v>OK</v>
      </c>
      <c r="O543" s="125">
        <f t="shared" si="24"/>
        <v>9218.7800000000007</v>
      </c>
      <c r="P543" t="str">
        <f>IF(E543="","Unmapped",IFERROR(INDEX(Supplier_Lookup!$B$2:$B$25,MATCH(E543,Supplier_Lookup!$A$2:$A$25,0)),"Unmapped"))</f>
        <v>IT &amp; Telecoms</v>
      </c>
      <c r="Q543" s="76">
        <f>IFERROR(INDEX(Category_Targets!$B$2:$B$9,MATCH(F543,Category_Targets!$A$2:$A$9,0)),0)</f>
        <v>0.08</v>
      </c>
      <c r="R543" s="125">
        <f t="shared" si="25"/>
        <v>737.50240000000008</v>
      </c>
      <c r="S543" s="78">
        <f t="shared" si="26"/>
        <v>45992</v>
      </c>
      <c r="T543" t="str">
        <f>IFERROR(VLOOKUP(B543,Sites!$A$2:$D$21,4,FALSE()),"Unknown")</f>
        <v>Manchester</v>
      </c>
      <c r="U543" t="str">
        <f>IF(N543="OK","",COUNTIF($N$2:N543,"&lt;&gt;OK"))</f>
        <v/>
      </c>
      <c r="V543">
        <f>IF(OR(NOT(EXACT(E543,TRIM(Procurement_Raw!E543))),NOT(EXACT(F543,TRIM(Procurement_Raw!F543)))),1,0)</f>
        <v>0</v>
      </c>
    </row>
    <row r="544" spans="1:22" ht="15" customHeight="1" x14ac:dyDescent="0.25">
      <c r="A544" s="123">
        <f>Procurement_Raw!A544</f>
        <v>46022</v>
      </c>
      <c r="B544" t="str">
        <f>TRIM(Procurement_Raw!B544)</f>
        <v>S003</v>
      </c>
      <c r="C544" t="str">
        <f>Procurement_Raw!C544</f>
        <v>Leeds Care &amp; Education Centre</v>
      </c>
      <c r="D544" t="str">
        <f>Procurement_Raw!D544</f>
        <v>North</v>
      </c>
      <c r="E544" t="str">
        <f>IF(TRIM(Procurement_Raw!E544)="","",IFERROR(INDEX(Supplier_Lookup!$A$2:$A$25,MATCH(TRIM(Procurement_Raw!E544),Supplier_Lookup!$A$2:$A$25,0)),TRIM(Procurement_Raw!E544)))</f>
        <v>CleanWorks</v>
      </c>
      <c r="F544" t="str">
        <f>IFERROR(INDEX(Category_Targets!$A$2:$A$9,MATCH(TRIM(Procurement_Raw!F544),Category_Targets!$A$2:$A$9,0)),"Unmapped")</f>
        <v>Facilities</v>
      </c>
      <c r="G544" t="str">
        <f>TRIM(Procurement_Raw!G544)</f>
        <v>INV-2025-00543</v>
      </c>
      <c r="H544" s="77">
        <f>Procurement_Raw!H544</f>
        <v>32</v>
      </c>
      <c r="I544" s="124">
        <f>Procurement_Raw!I544</f>
        <v>240.89</v>
      </c>
      <c r="J544" s="125">
        <f>IF(Procurement_Raw!J544="","",Procurement_Raw!J544)</f>
        <v>7708.55</v>
      </c>
      <c r="K544" s="77">
        <f>Procurement_Raw!K544</f>
        <v>45</v>
      </c>
      <c r="L544" t="str">
        <f>Procurement_Raw!L544</f>
        <v>Procurement Portal</v>
      </c>
      <c r="M544" t="str">
        <f>Procurement_Raw!O544</f>
        <v>Y</v>
      </c>
      <c r="N544" t="str">
        <f>IF(E544="","Missing supplier",IF(B544="","Missing site",IF(J544="","Missing spend",IF(COUNTIFS($G$2:G544,G544,$E$2:E544,E544,$J$2:J544,J544)&gt;1,"Duplicate invoice",IF(COUNTIF($G$2:$G$1801,G544)&gt;1,"Duplicate ID - review",IF(AND(P544&lt;&gt;"Unmapped",P544&lt;&gt;F544),"Category mismatch","OK"))))))</f>
        <v>OK</v>
      </c>
      <c r="O544" s="125">
        <f t="shared" si="24"/>
        <v>7708.55</v>
      </c>
      <c r="P544" t="str">
        <f>IF(E544="","Unmapped",IFERROR(INDEX(Supplier_Lookup!$B$2:$B$25,MATCH(E544,Supplier_Lookup!$A$2:$A$25,0)),"Unmapped"))</f>
        <v>Facilities</v>
      </c>
      <c r="Q544" s="76">
        <f>IFERROR(INDEX(Category_Targets!$B$2:$B$9,MATCH(F544,Category_Targets!$A$2:$A$9,0)),0)</f>
        <v>0.05</v>
      </c>
      <c r="R544" s="125">
        <f t="shared" si="25"/>
        <v>385.42750000000001</v>
      </c>
      <c r="S544" s="78">
        <f t="shared" si="26"/>
        <v>45992</v>
      </c>
      <c r="T544" t="str">
        <f>IFERROR(VLOOKUP(B544,Sites!$A$2:$D$21,4,FALSE()),"Unknown")</f>
        <v>Leeds</v>
      </c>
      <c r="U544" t="str">
        <f>IF(N544="OK","",COUNTIF($N$2:N544,"&lt;&gt;OK"))</f>
        <v/>
      </c>
      <c r="V544">
        <f>IF(OR(NOT(EXACT(E544,TRIM(Procurement_Raw!E544))),NOT(EXACT(F544,TRIM(Procurement_Raw!F544)))),1,0)</f>
        <v>0</v>
      </c>
    </row>
    <row r="545" spans="1:22" ht="15" customHeight="1" x14ac:dyDescent="0.25">
      <c r="A545" s="123">
        <f>Procurement_Raw!A545</f>
        <v>45811</v>
      </c>
      <c r="B545" t="str">
        <f>TRIM(Procurement_Raw!B545)</f>
        <v>S004</v>
      </c>
      <c r="C545" t="str">
        <f>Procurement_Raw!C545</f>
        <v>Newcastle Care &amp; Education Centre</v>
      </c>
      <c r="D545" t="str">
        <f>Procurement_Raw!D545</f>
        <v>North</v>
      </c>
      <c r="E545" t="str">
        <f>IF(TRIM(Procurement_Raw!E545)="","",IFERROR(INDEX(Supplier_Lookup!$A$2:$A$25,MATCH(TRIM(Procurement_Raw!E545),Supplier_Lookup!$A$2:$A$25,0)),TRIM(Procurement_Raw!E545)))</f>
        <v>ClinEquip</v>
      </c>
      <c r="F545" t="str">
        <f>IFERROR(INDEX(Category_Targets!$A$2:$A$9,MATCH(TRIM(Procurement_Raw!F545),Category_Targets!$A$2:$A$9,0)),"Unmapped")</f>
        <v>Medical Supplies</v>
      </c>
      <c r="G545" t="str">
        <f>TRIM(Procurement_Raw!G545)</f>
        <v>INV-2025-00544</v>
      </c>
      <c r="H545" s="77">
        <f>Procurement_Raw!H545</f>
        <v>34</v>
      </c>
      <c r="I545" s="124">
        <f>Procurement_Raw!I545</f>
        <v>265.17</v>
      </c>
      <c r="J545" s="125">
        <f>IF(Procurement_Raw!J545="","",Procurement_Raw!J545)</f>
        <v>9015.6299999999992</v>
      </c>
      <c r="K545" s="77">
        <f>Procurement_Raw!K545</f>
        <v>30</v>
      </c>
      <c r="L545" t="str">
        <f>Procurement_Raw!L545</f>
        <v>ERP</v>
      </c>
      <c r="M545" t="str">
        <f>Procurement_Raw!O545</f>
        <v>N</v>
      </c>
      <c r="N545" t="str">
        <f>IF(E545="","Missing supplier",IF(B545="","Missing site",IF(J545="","Missing spend",IF(COUNTIFS($G$2:G545,G545,$E$2:E545,E545,$J$2:J545,J545)&gt;1,"Duplicate invoice",IF(COUNTIF($G$2:$G$1801,G545)&gt;1,"Duplicate ID - review",IF(AND(P545&lt;&gt;"Unmapped",P545&lt;&gt;F545),"Category mismatch","OK"))))))</f>
        <v>OK</v>
      </c>
      <c r="O545" s="125">
        <f t="shared" si="24"/>
        <v>9015.6299999999992</v>
      </c>
      <c r="P545" t="str">
        <f>IF(E545="","Unmapped",IFERROR(INDEX(Supplier_Lookup!$B$2:$B$25,MATCH(E545,Supplier_Lookup!$A$2:$A$25,0)),"Unmapped"))</f>
        <v>Medical Supplies</v>
      </c>
      <c r="Q545" s="76">
        <f>IFERROR(INDEX(Category_Targets!$B$2:$B$9,MATCH(F545,Category_Targets!$A$2:$A$9,0)),0)</f>
        <v>0.06</v>
      </c>
      <c r="R545" s="125">
        <f t="shared" si="25"/>
        <v>540.93779999999992</v>
      </c>
      <c r="S545" s="78">
        <f t="shared" si="26"/>
        <v>45809</v>
      </c>
      <c r="T545" t="str">
        <f>IFERROR(VLOOKUP(B545,Sites!$A$2:$D$21,4,FALSE()),"Unknown")</f>
        <v>Newcastle</v>
      </c>
      <c r="U545" t="str">
        <f>IF(N545="OK","",COUNTIF($N$2:N545,"&lt;&gt;OK"))</f>
        <v/>
      </c>
      <c r="V545">
        <f>IF(OR(NOT(EXACT(E545,TRIM(Procurement_Raw!E545))),NOT(EXACT(F545,TRIM(Procurement_Raw!F545)))),1,0)</f>
        <v>0</v>
      </c>
    </row>
    <row r="546" spans="1:22" ht="15" customHeight="1" x14ac:dyDescent="0.25">
      <c r="A546" s="123">
        <f>Procurement_Raw!A546</f>
        <v>45939</v>
      </c>
      <c r="B546" t="str">
        <f>TRIM(Procurement_Raw!B546)</f>
        <v>S009</v>
      </c>
      <c r="C546" t="str">
        <f>Procurement_Raw!C546</f>
        <v>Derby Care &amp; Education Centre</v>
      </c>
      <c r="D546" t="str">
        <f>Procurement_Raw!D546</f>
        <v>Midlands</v>
      </c>
      <c r="E546" t="str">
        <f>IF(TRIM(Procurement_Raw!E546)="","",IFERROR(INDEX(Supplier_Lookup!$A$2:$A$25,MATCH(TRIM(Procurement_Raw!E546),Supplier_Lookup!$A$2:$A$25,0)),TRIM(Procurement_Raw!E546)))</f>
        <v>PrintCo</v>
      </c>
      <c r="F546" t="str">
        <f>IFERROR(INDEX(Category_Targets!$A$2:$A$9,MATCH(TRIM(Procurement_Raw!F546),Category_Targets!$A$2:$A$9,0)),"Unmapped")</f>
        <v>Office &amp; Training</v>
      </c>
      <c r="G546" t="str">
        <f>TRIM(Procurement_Raw!G546)</f>
        <v>INV-2025-00545</v>
      </c>
      <c r="H546" s="77">
        <f>Procurement_Raw!H546</f>
        <v>32</v>
      </c>
      <c r="I546" s="124">
        <f>Procurement_Raw!I546</f>
        <v>19.260000000000002</v>
      </c>
      <c r="J546" s="125">
        <f>IF(Procurement_Raw!J546="","",Procurement_Raw!J546)</f>
        <v>616.35</v>
      </c>
      <c r="K546" s="77">
        <f>Procurement_Raw!K546</f>
        <v>30</v>
      </c>
      <c r="L546" t="str">
        <f>Procurement_Raw!L546</f>
        <v>Procurement Portal</v>
      </c>
      <c r="M546" t="str">
        <f>Procurement_Raw!O546</f>
        <v>N</v>
      </c>
      <c r="N546" t="str">
        <f>IF(E546="","Missing supplier",IF(B546="","Missing site",IF(J546="","Missing spend",IF(COUNTIFS($G$2:G546,G546,$E$2:E546,E546,$J$2:J546,J546)&gt;1,"Duplicate invoice",IF(COUNTIF($G$2:$G$1801,G546)&gt;1,"Duplicate ID - review",IF(AND(P546&lt;&gt;"Unmapped",P546&lt;&gt;F546),"Category mismatch","OK"))))))</f>
        <v>OK</v>
      </c>
      <c r="O546" s="125">
        <f t="shared" si="24"/>
        <v>616.35</v>
      </c>
      <c r="P546" t="str">
        <f>IF(E546="","Unmapped",IFERROR(INDEX(Supplier_Lookup!$B$2:$B$25,MATCH(E546,Supplier_Lookup!$A$2:$A$25,0)),"Unmapped"))</f>
        <v>Office &amp; Training</v>
      </c>
      <c r="Q546" s="76">
        <f>IFERROR(INDEX(Category_Targets!$B$2:$B$9,MATCH(F546,Category_Targets!$A$2:$A$9,0)),0)</f>
        <v>0.04</v>
      </c>
      <c r="R546" s="125">
        <f t="shared" si="25"/>
        <v>24.654</v>
      </c>
      <c r="S546" s="78">
        <f t="shared" si="26"/>
        <v>45931</v>
      </c>
      <c r="T546" t="str">
        <f>IFERROR(VLOOKUP(B546,Sites!$A$2:$D$21,4,FALSE()),"Unknown")</f>
        <v>Derby</v>
      </c>
      <c r="U546" t="str">
        <f>IF(N546="OK","",COUNTIF($N$2:N546,"&lt;&gt;OK"))</f>
        <v/>
      </c>
      <c r="V546">
        <f>IF(OR(NOT(EXACT(E546,TRIM(Procurement_Raw!E546))),NOT(EXACT(F546,TRIM(Procurement_Raw!F546)))),1,0)</f>
        <v>0</v>
      </c>
    </row>
    <row r="547" spans="1:22" ht="15" customHeight="1" x14ac:dyDescent="0.25">
      <c r="A547" s="123">
        <f>Procurement_Raw!A547</f>
        <v>45664</v>
      </c>
      <c r="B547" t="str">
        <f>TRIM(Procurement_Raw!B547)</f>
        <v>S004</v>
      </c>
      <c r="C547" t="str">
        <f>Procurement_Raw!C547</f>
        <v>Newcastle Care &amp; Education Centre</v>
      </c>
      <c r="D547" t="str">
        <f>Procurement_Raw!D547</f>
        <v>North</v>
      </c>
      <c r="E547" t="str">
        <f>IF(TRIM(Procurement_Raw!E547)="","",IFERROR(INDEX(Supplier_Lookup!$A$2:$A$25,MATCH(TRIM(Procurement_Raw!E547),Supplier_Lookup!$A$2:$A$25,0)),TRIM(Procurement_Raw!E547)))</f>
        <v>CleanWorks</v>
      </c>
      <c r="F547" t="str">
        <f>IFERROR(INDEX(Category_Targets!$A$2:$A$9,MATCH(TRIM(Procurement_Raw!F547),Category_Targets!$A$2:$A$9,0)),"Unmapped")</f>
        <v>Facilities</v>
      </c>
      <c r="G547" t="str">
        <f>TRIM(Procurement_Raw!G547)</f>
        <v>INV-2025-00546</v>
      </c>
      <c r="H547" s="77">
        <f>Procurement_Raw!H547</f>
        <v>8</v>
      </c>
      <c r="I547" s="124">
        <f>Procurement_Raw!I547</f>
        <v>116.12</v>
      </c>
      <c r="J547" s="125">
        <f>IF(Procurement_Raw!J547="","",Procurement_Raw!J547)</f>
        <v>929</v>
      </c>
      <c r="K547" s="77">
        <f>Procurement_Raw!K547</f>
        <v>30</v>
      </c>
      <c r="L547" t="str">
        <f>Procurement_Raw!L547</f>
        <v>ERP</v>
      </c>
      <c r="M547" t="str">
        <f>Procurement_Raw!O547</f>
        <v>Y</v>
      </c>
      <c r="N547" t="str">
        <f>IF(E547="","Missing supplier",IF(B547="","Missing site",IF(J547="","Missing spend",IF(COUNTIFS($G$2:G547,G547,$E$2:E547,E547,$J$2:J547,J547)&gt;1,"Duplicate invoice",IF(COUNTIF($G$2:$G$1801,G547)&gt;1,"Duplicate ID - review",IF(AND(P547&lt;&gt;"Unmapped",P547&lt;&gt;F547),"Category mismatch","OK"))))))</f>
        <v>OK</v>
      </c>
      <c r="O547" s="125">
        <f t="shared" si="24"/>
        <v>929</v>
      </c>
      <c r="P547" t="str">
        <f>IF(E547="","Unmapped",IFERROR(INDEX(Supplier_Lookup!$B$2:$B$25,MATCH(E547,Supplier_Lookup!$A$2:$A$25,0)),"Unmapped"))</f>
        <v>Facilities</v>
      </c>
      <c r="Q547" s="76">
        <f>IFERROR(INDEX(Category_Targets!$B$2:$B$9,MATCH(F547,Category_Targets!$A$2:$A$9,0)),0)</f>
        <v>0.05</v>
      </c>
      <c r="R547" s="125">
        <f t="shared" si="25"/>
        <v>46.45</v>
      </c>
      <c r="S547" s="78">
        <f t="shared" si="26"/>
        <v>45658</v>
      </c>
      <c r="T547" t="str">
        <f>IFERROR(VLOOKUP(B547,Sites!$A$2:$D$21,4,FALSE()),"Unknown")</f>
        <v>Newcastle</v>
      </c>
      <c r="U547" t="str">
        <f>IF(N547="OK","",COUNTIF($N$2:N547,"&lt;&gt;OK"))</f>
        <v/>
      </c>
      <c r="V547">
        <f>IF(OR(NOT(EXACT(E547,TRIM(Procurement_Raw!E547))),NOT(EXACT(F547,TRIM(Procurement_Raw!F547)))),1,0)</f>
        <v>0</v>
      </c>
    </row>
    <row r="548" spans="1:22" ht="15" customHeight="1" x14ac:dyDescent="0.25">
      <c r="A548" s="123">
        <f>Procurement_Raw!A548</f>
        <v>46009</v>
      </c>
      <c r="B548" t="str">
        <f>TRIM(Procurement_Raw!B548)</f>
        <v>S006</v>
      </c>
      <c r="C548" t="str">
        <f>Procurement_Raw!C548</f>
        <v>Birmingham Care &amp; Education Centre</v>
      </c>
      <c r="D548" t="str">
        <f>Procurement_Raw!D548</f>
        <v>Midlands</v>
      </c>
      <c r="E548" t="str">
        <f>IF(TRIM(Procurement_Raw!E548)="","",IFERROR(INDEX(Supplier_Lookup!$A$2:$A$25,MATCH(TRIM(Procurement_Raw!E548),Supplier_Lookup!$A$2:$A$25,0)),TRIM(Procurement_Raw!E548)))</f>
        <v>CareTemps</v>
      </c>
      <c r="F548" t="str">
        <f>IFERROR(INDEX(Category_Targets!$A$2:$A$9,MATCH(TRIM(Procurement_Raw!F548),Category_Targets!$A$2:$A$9,0)),"Unmapped")</f>
        <v>Agency Labour</v>
      </c>
      <c r="G548" t="str">
        <f>TRIM(Procurement_Raw!G548)</f>
        <v>INV-2025-00547</v>
      </c>
      <c r="H548" s="77">
        <f>Procurement_Raw!H548</f>
        <v>11</v>
      </c>
      <c r="I548" s="124">
        <f>Procurement_Raw!I548</f>
        <v>412.06</v>
      </c>
      <c r="J548" s="125">
        <f>IF(Procurement_Raw!J548="","",Procurement_Raw!J548)</f>
        <v>4532.67</v>
      </c>
      <c r="K548" s="77">
        <f>Procurement_Raw!K548</f>
        <v>60</v>
      </c>
      <c r="L548" t="str">
        <f>Procurement_Raw!L548</f>
        <v>Legacy Spend File</v>
      </c>
      <c r="M548" t="str">
        <f>Procurement_Raw!O548</f>
        <v>N</v>
      </c>
      <c r="N548" t="str">
        <f>IF(E548="","Missing supplier",IF(B548="","Missing site",IF(J548="","Missing spend",IF(COUNTIFS($G$2:G548,G548,$E$2:E548,E548,$J$2:J548,J548)&gt;1,"Duplicate invoice",IF(COUNTIF($G$2:$G$1801,G548)&gt;1,"Duplicate ID - review",IF(AND(P548&lt;&gt;"Unmapped",P548&lt;&gt;F548),"Category mismatch","OK"))))))</f>
        <v>OK</v>
      </c>
      <c r="O548" s="125">
        <f t="shared" si="24"/>
        <v>4532.67</v>
      </c>
      <c r="P548" t="str">
        <f>IF(E548="","Unmapped",IFERROR(INDEX(Supplier_Lookup!$B$2:$B$25,MATCH(E548,Supplier_Lookup!$A$2:$A$25,0)),"Unmapped"))</f>
        <v>Agency Labour</v>
      </c>
      <c r="Q548" s="76">
        <f>IFERROR(INDEX(Category_Targets!$B$2:$B$9,MATCH(F548,Category_Targets!$A$2:$A$9,0)),0)</f>
        <v>7.0000000000000007E-2</v>
      </c>
      <c r="R548" s="125">
        <f t="shared" si="25"/>
        <v>317.28690000000006</v>
      </c>
      <c r="S548" s="78">
        <f t="shared" si="26"/>
        <v>45992</v>
      </c>
      <c r="T548" t="str">
        <f>IFERROR(VLOOKUP(B548,Sites!$A$2:$D$21,4,FALSE()),"Unknown")</f>
        <v>Birmingham</v>
      </c>
      <c r="U548" t="str">
        <f>IF(N548="OK","",COUNTIF($N$2:N548,"&lt;&gt;OK"))</f>
        <v/>
      </c>
      <c r="V548">
        <f>IF(OR(NOT(EXACT(E548,TRIM(Procurement_Raw!E548))),NOT(EXACT(F548,TRIM(Procurement_Raw!F548)))),1,0)</f>
        <v>0</v>
      </c>
    </row>
    <row r="549" spans="1:22" ht="15" customHeight="1" x14ac:dyDescent="0.25">
      <c r="A549" s="123">
        <f>Procurement_Raw!A549</f>
        <v>45691</v>
      </c>
      <c r="B549" t="str">
        <f>TRIM(Procurement_Raw!B549)</f>
        <v>S018</v>
      </c>
      <c r="C549" t="str">
        <f>Procurement_Raw!C549</f>
        <v>Newport Care &amp; Education Centre</v>
      </c>
      <c r="D549" t="str">
        <f>Procurement_Raw!D549</f>
        <v>Wales</v>
      </c>
      <c r="E549" t="str">
        <f>IF(TRIM(Procurement_Raw!E549)="","",IFERROR(INDEX(Supplier_Lookup!$A$2:$A$25,MATCH(TRIM(Procurement_Raw!E549),Supplier_Lookup!$A$2:$A$25,0)),TRIM(Procurement_Raw!E549)))</f>
        <v>FreshServe</v>
      </c>
      <c r="F549" t="str">
        <f>IFERROR(INDEX(Category_Targets!$A$2:$A$9,MATCH(TRIM(Procurement_Raw!F549),Category_Targets!$A$2:$A$9,0)),"Unmapped")</f>
        <v>Food &amp; Catering</v>
      </c>
      <c r="G549" t="str">
        <f>TRIM(Procurement_Raw!G549)</f>
        <v>INV-2025-00548</v>
      </c>
      <c r="H549" s="77">
        <f>Procurement_Raw!H549</f>
        <v>26</v>
      </c>
      <c r="I549" s="124">
        <f>Procurement_Raw!I549</f>
        <v>58.13</v>
      </c>
      <c r="J549" s="125">
        <f>IF(Procurement_Raw!J549="","",Procurement_Raw!J549)</f>
        <v>1511.43</v>
      </c>
      <c r="K549" s="77">
        <f>Procurement_Raw!K549</f>
        <v>60</v>
      </c>
      <c r="L549" t="str">
        <f>Procurement_Raw!L549</f>
        <v>Procurement Portal</v>
      </c>
      <c r="M549" t="str">
        <f>Procurement_Raw!O549</f>
        <v>Y</v>
      </c>
      <c r="N549" t="str">
        <f>IF(E549="","Missing supplier",IF(B549="","Missing site",IF(J549="","Missing spend",IF(COUNTIFS($G$2:G549,G549,$E$2:E549,E549,$J$2:J549,J549)&gt;1,"Duplicate invoice",IF(COUNTIF($G$2:$G$1801,G549)&gt;1,"Duplicate ID - review",IF(AND(P549&lt;&gt;"Unmapped",P549&lt;&gt;F549),"Category mismatch","OK"))))))</f>
        <v>OK</v>
      </c>
      <c r="O549" s="125">
        <f t="shared" si="24"/>
        <v>1511.43</v>
      </c>
      <c r="P549" t="str">
        <f>IF(E549="","Unmapped",IFERROR(INDEX(Supplier_Lookup!$B$2:$B$25,MATCH(E549,Supplier_Lookup!$A$2:$A$25,0)),"Unmapped"))</f>
        <v>Food &amp; Catering</v>
      </c>
      <c r="Q549" s="76">
        <f>IFERROR(INDEX(Category_Targets!$B$2:$B$9,MATCH(F549,Category_Targets!$A$2:$A$9,0)),0)</f>
        <v>0.04</v>
      </c>
      <c r="R549" s="125">
        <f t="shared" si="25"/>
        <v>60.4572</v>
      </c>
      <c r="S549" s="78">
        <f t="shared" si="26"/>
        <v>45689</v>
      </c>
      <c r="T549" t="str">
        <f>IFERROR(VLOOKUP(B549,Sites!$A$2:$D$21,4,FALSE()),"Unknown")</f>
        <v>Newport</v>
      </c>
      <c r="U549" t="str">
        <f>IF(N549="OK","",COUNTIF($N$2:N549,"&lt;&gt;OK"))</f>
        <v/>
      </c>
      <c r="V549">
        <f>IF(OR(NOT(EXACT(E549,TRIM(Procurement_Raw!E549))),NOT(EXACT(F549,TRIM(Procurement_Raw!F549)))),1,0)</f>
        <v>0</v>
      </c>
    </row>
    <row r="550" spans="1:22" ht="15" customHeight="1" x14ac:dyDescent="0.25">
      <c r="A550" s="123">
        <f>Procurement_Raw!A550</f>
        <v>45720</v>
      </c>
      <c r="B550" t="str">
        <f>TRIM(Procurement_Raw!B550)</f>
        <v>S016</v>
      </c>
      <c r="C550" t="str">
        <f>Procurement_Raw!C550</f>
        <v>Cardiff Care &amp; Education Centre</v>
      </c>
      <c r="D550" t="str">
        <f>Procurement_Raw!D550</f>
        <v>Wales</v>
      </c>
      <c r="E550" t="str">
        <f>IF(TRIM(Procurement_Raw!E550)="","",IFERROR(INDEX(Supplier_Lookup!$A$2:$A$25,MATCH(TRIM(Procurement_Raw!E550),Supplier_Lookup!$A$2:$A$25,0)),TRIM(Procurement_Raw!E550)))</f>
        <v>NourishCo</v>
      </c>
      <c r="F550" t="str">
        <f>IFERROR(INDEX(Category_Targets!$A$2:$A$9,MATCH(TRIM(Procurement_Raw!F550),Category_Targets!$A$2:$A$9,0)),"Unmapped")</f>
        <v>Food &amp; Catering</v>
      </c>
      <c r="G550" t="str">
        <f>TRIM(Procurement_Raw!G550)</f>
        <v>INV-2025-00549</v>
      </c>
      <c r="H550" s="77">
        <f>Procurement_Raw!H550</f>
        <v>6</v>
      </c>
      <c r="I550" s="124">
        <f>Procurement_Raw!I550</f>
        <v>79.72</v>
      </c>
      <c r="J550" s="125">
        <f>IF(Procurement_Raw!J550="","",Procurement_Raw!J550)</f>
        <v>478.32</v>
      </c>
      <c r="K550" s="77">
        <f>Procurement_Raw!K550</f>
        <v>45</v>
      </c>
      <c r="L550" t="str">
        <f>Procurement_Raw!L550</f>
        <v>ERP</v>
      </c>
      <c r="M550" t="str">
        <f>Procurement_Raw!O550</f>
        <v>N</v>
      </c>
      <c r="N550" t="str">
        <f>IF(E550="","Missing supplier",IF(B550="","Missing site",IF(J550="","Missing spend",IF(COUNTIFS($G$2:G550,G550,$E$2:E550,E550,$J$2:J550,J550)&gt;1,"Duplicate invoice",IF(COUNTIF($G$2:$G$1801,G550)&gt;1,"Duplicate ID - review",IF(AND(P550&lt;&gt;"Unmapped",P550&lt;&gt;F550),"Category mismatch","OK"))))))</f>
        <v>OK</v>
      </c>
      <c r="O550" s="125">
        <f t="shared" si="24"/>
        <v>478.32</v>
      </c>
      <c r="P550" t="str">
        <f>IF(E550="","Unmapped",IFERROR(INDEX(Supplier_Lookup!$B$2:$B$25,MATCH(E550,Supplier_Lookup!$A$2:$A$25,0)),"Unmapped"))</f>
        <v>Food &amp; Catering</v>
      </c>
      <c r="Q550" s="76">
        <f>IFERROR(INDEX(Category_Targets!$B$2:$B$9,MATCH(F550,Category_Targets!$A$2:$A$9,0)),0)</f>
        <v>0.04</v>
      </c>
      <c r="R550" s="125">
        <f t="shared" si="25"/>
        <v>19.1328</v>
      </c>
      <c r="S550" s="78">
        <f t="shared" si="26"/>
        <v>45717</v>
      </c>
      <c r="T550" t="str">
        <f>IFERROR(VLOOKUP(B550,Sites!$A$2:$D$21,4,FALSE()),"Unknown")</f>
        <v>Cardiff</v>
      </c>
      <c r="U550" t="str">
        <f>IF(N550="OK","",COUNTIF($N$2:N550,"&lt;&gt;OK"))</f>
        <v/>
      </c>
      <c r="V550">
        <f>IF(OR(NOT(EXACT(E550,TRIM(Procurement_Raw!E550))),NOT(EXACT(F550,TRIM(Procurement_Raw!F550)))),1,0)</f>
        <v>1</v>
      </c>
    </row>
    <row r="551" spans="1:22" ht="15" customHeight="1" x14ac:dyDescent="0.25">
      <c r="A551" s="123">
        <f>Procurement_Raw!A551</f>
        <v>45860</v>
      </c>
      <c r="B551" t="str">
        <f>TRIM(Procurement_Raw!B551)</f>
        <v>S008</v>
      </c>
      <c r="C551" t="str">
        <f>Procurement_Raw!C551</f>
        <v>Leicester Care &amp; Education Centre</v>
      </c>
      <c r="D551" t="str">
        <f>Procurement_Raw!D551</f>
        <v>Midlands</v>
      </c>
      <c r="E551" t="str">
        <f>IF(TRIM(Procurement_Raw!E551)="","",IFERROR(INDEX(Supplier_Lookup!$A$2:$A$25,MATCH(TRIM(Procurement_Raw!E551),Supplier_Lookup!$A$2:$A$25,0)),TRIM(Procurement_Raw!E551)))</f>
        <v>NurseLink</v>
      </c>
      <c r="F551" t="str">
        <f>IFERROR(INDEX(Category_Targets!$A$2:$A$9,MATCH(TRIM(Procurement_Raw!F551),Category_Targets!$A$2:$A$9,0)),"Unmapped")</f>
        <v>Agency Labour</v>
      </c>
      <c r="G551" t="str">
        <f>TRIM(Procurement_Raw!G551)</f>
        <v>INV-2025-00550</v>
      </c>
      <c r="H551" s="77">
        <f>Procurement_Raw!H551</f>
        <v>64</v>
      </c>
      <c r="I551" s="124">
        <f>Procurement_Raw!I551</f>
        <v>215.2</v>
      </c>
      <c r="J551" s="125">
        <f>IF(Procurement_Raw!J551="","",Procurement_Raw!J551)</f>
        <v>13773.11</v>
      </c>
      <c r="K551" s="77">
        <f>Procurement_Raw!K551</f>
        <v>30</v>
      </c>
      <c r="L551" t="str">
        <f>Procurement_Raw!L551</f>
        <v>Procurement Portal</v>
      </c>
      <c r="M551" t="str">
        <f>Procurement_Raw!O551</f>
        <v>N</v>
      </c>
      <c r="N551" t="str">
        <f>IF(E551="","Missing supplier",IF(B551="","Missing site",IF(J551="","Missing spend",IF(COUNTIFS($G$2:G551,G551,$E$2:E551,E551,$J$2:J551,J551)&gt;1,"Duplicate invoice",IF(COUNTIF($G$2:$G$1801,G551)&gt;1,"Duplicate ID - review",IF(AND(P551&lt;&gt;"Unmapped",P551&lt;&gt;F551),"Category mismatch","OK"))))))</f>
        <v>OK</v>
      </c>
      <c r="O551" s="125">
        <f t="shared" si="24"/>
        <v>13773.11</v>
      </c>
      <c r="P551" t="str">
        <f>IF(E551="","Unmapped",IFERROR(INDEX(Supplier_Lookup!$B$2:$B$25,MATCH(E551,Supplier_Lookup!$A$2:$A$25,0)),"Unmapped"))</f>
        <v>Agency Labour</v>
      </c>
      <c r="Q551" s="76">
        <f>IFERROR(INDEX(Category_Targets!$B$2:$B$9,MATCH(F551,Category_Targets!$A$2:$A$9,0)),0)</f>
        <v>7.0000000000000007E-2</v>
      </c>
      <c r="R551" s="125">
        <f t="shared" si="25"/>
        <v>964.11770000000013</v>
      </c>
      <c r="S551" s="78">
        <f t="shared" si="26"/>
        <v>45839</v>
      </c>
      <c r="T551" t="str">
        <f>IFERROR(VLOOKUP(B551,Sites!$A$2:$D$21,4,FALSE()),"Unknown")</f>
        <v>Leicester</v>
      </c>
      <c r="U551" t="str">
        <f>IF(N551="OK","",COUNTIF($N$2:N551,"&lt;&gt;OK"))</f>
        <v/>
      </c>
      <c r="V551">
        <f>IF(OR(NOT(EXACT(E551,TRIM(Procurement_Raw!E551))),NOT(EXACT(F551,TRIM(Procurement_Raw!F551)))),1,0)</f>
        <v>0</v>
      </c>
    </row>
    <row r="552" spans="1:22" ht="15" customHeight="1" x14ac:dyDescent="0.25">
      <c r="A552" s="123">
        <f>Procurement_Raw!A552</f>
        <v>45839</v>
      </c>
      <c r="B552" t="str">
        <f>TRIM(Procurement_Raw!B552)</f>
        <v>S019</v>
      </c>
      <c r="C552" t="str">
        <f>Procurement_Raw!C552</f>
        <v>Wrexham Care &amp; Education Centre</v>
      </c>
      <c r="D552" t="str">
        <f>Procurement_Raw!D552</f>
        <v>Wales</v>
      </c>
      <c r="E552" t="str">
        <f>IF(TRIM(Procurement_Raw!E552)="","",IFERROR(INDEX(Supplier_Lookup!$A$2:$A$25,MATCH(TRIM(Procurement_Raw!E552),Supplier_Lookup!$A$2:$A$25,0)),TRIM(Procurement_Raw!E552)))</f>
        <v>HealthStaffing</v>
      </c>
      <c r="F552" t="str">
        <f>IFERROR(INDEX(Category_Targets!$A$2:$A$9,MATCH(TRIM(Procurement_Raw!F552),Category_Targets!$A$2:$A$9,0)),"Unmapped")</f>
        <v>Agency Labour</v>
      </c>
      <c r="G552" t="str">
        <f>TRIM(Procurement_Raw!G552)</f>
        <v>INV-2025-00551</v>
      </c>
      <c r="H552" s="77">
        <f>Procurement_Raw!H552</f>
        <v>28</v>
      </c>
      <c r="I552" s="124">
        <f>Procurement_Raw!I552</f>
        <v>314.63</v>
      </c>
      <c r="J552" s="125">
        <f>IF(Procurement_Raw!J552="","",Procurement_Raw!J552)</f>
        <v>8809.7199999999993</v>
      </c>
      <c r="K552" s="77">
        <f>Procurement_Raw!K552</f>
        <v>30</v>
      </c>
      <c r="L552" t="str">
        <f>Procurement_Raw!L552</f>
        <v>Procurement Portal</v>
      </c>
      <c r="M552" t="str">
        <f>Procurement_Raw!O552</f>
        <v>N</v>
      </c>
      <c r="N552" t="str">
        <f>IF(E552="","Missing supplier",IF(B552="","Missing site",IF(J552="","Missing spend",IF(COUNTIFS($G$2:G552,G552,$E$2:E552,E552,$J$2:J552,J552)&gt;1,"Duplicate invoice",IF(COUNTIF($G$2:$G$1801,G552)&gt;1,"Duplicate ID - review",IF(AND(P552&lt;&gt;"Unmapped",P552&lt;&gt;F552),"Category mismatch","OK"))))))</f>
        <v>OK</v>
      </c>
      <c r="O552" s="125">
        <f t="shared" si="24"/>
        <v>8809.7199999999993</v>
      </c>
      <c r="P552" t="str">
        <f>IF(E552="","Unmapped",IFERROR(INDEX(Supplier_Lookup!$B$2:$B$25,MATCH(E552,Supplier_Lookup!$A$2:$A$25,0)),"Unmapped"))</f>
        <v>Agency Labour</v>
      </c>
      <c r="Q552" s="76">
        <f>IFERROR(INDEX(Category_Targets!$B$2:$B$9,MATCH(F552,Category_Targets!$A$2:$A$9,0)),0)</f>
        <v>7.0000000000000007E-2</v>
      </c>
      <c r="R552" s="125">
        <f t="shared" si="25"/>
        <v>616.68039999999996</v>
      </c>
      <c r="S552" s="78">
        <f t="shared" si="26"/>
        <v>45839</v>
      </c>
      <c r="T552" t="str">
        <f>IFERROR(VLOOKUP(B552,Sites!$A$2:$D$21,4,FALSE()),"Unknown")</f>
        <v>Wrexham</v>
      </c>
      <c r="U552" t="str">
        <f>IF(N552="OK","",COUNTIF($N$2:N552,"&lt;&gt;OK"))</f>
        <v/>
      </c>
      <c r="V552">
        <f>IF(OR(NOT(EXACT(E552,TRIM(Procurement_Raw!E552))),NOT(EXACT(F552,TRIM(Procurement_Raw!F552)))),1,0)</f>
        <v>0</v>
      </c>
    </row>
    <row r="553" spans="1:22" ht="15" customHeight="1" x14ac:dyDescent="0.25">
      <c r="A553" s="123">
        <f>Procurement_Raw!A553</f>
        <v>45675</v>
      </c>
      <c r="B553" t="str">
        <f>TRIM(Procurement_Raw!B553)</f>
        <v>S007</v>
      </c>
      <c r="C553" t="str">
        <f>Procurement_Raw!C553</f>
        <v>Nottingham Care &amp; Education Centre</v>
      </c>
      <c r="D553" t="str">
        <f>Procurement_Raw!D553</f>
        <v>Midlands</v>
      </c>
      <c r="E553" t="str">
        <f>IF(TRIM(Procurement_Raw!E553)="","",IFERROR(INDEX(Supplier_Lookup!$A$2:$A$25,MATCH(TRIM(Procurement_Raw!E553),Supplier_Lookup!$A$2:$A$25,0)),TRIM(Procurement_Raw!E553)))</f>
        <v>OfficePlus</v>
      </c>
      <c r="F553" t="str">
        <f>IFERROR(INDEX(Category_Targets!$A$2:$A$9,MATCH(TRIM(Procurement_Raw!F553),Category_Targets!$A$2:$A$9,0)),"Unmapped")</f>
        <v>Office &amp; Training</v>
      </c>
      <c r="G553" t="str">
        <f>TRIM(Procurement_Raw!G553)</f>
        <v>INV-2025-00552</v>
      </c>
      <c r="H553" s="77">
        <f>Procurement_Raw!H553</f>
        <v>79</v>
      </c>
      <c r="I553" s="124">
        <f>Procurement_Raw!I553</f>
        <v>68.849999999999994</v>
      </c>
      <c r="J553" s="125">
        <f>IF(Procurement_Raw!J553="","",Procurement_Raw!J553)</f>
        <v>5438.8</v>
      </c>
      <c r="K553" s="77">
        <f>Procurement_Raw!K553</f>
        <v>60</v>
      </c>
      <c r="L553" t="str">
        <f>Procurement_Raw!L553</f>
        <v>Legacy Spend File</v>
      </c>
      <c r="M553" t="str">
        <f>Procurement_Raw!O553</f>
        <v>N</v>
      </c>
      <c r="N553" t="str">
        <f>IF(E553="","Missing supplier",IF(B553="","Missing site",IF(J553="","Missing spend",IF(COUNTIFS($G$2:G553,G553,$E$2:E553,E553,$J$2:J553,J553)&gt;1,"Duplicate invoice",IF(COUNTIF($G$2:$G$1801,G553)&gt;1,"Duplicate ID - review",IF(AND(P553&lt;&gt;"Unmapped",P553&lt;&gt;F553),"Category mismatch","OK"))))))</f>
        <v>OK</v>
      </c>
      <c r="O553" s="125">
        <f t="shared" si="24"/>
        <v>5438.8</v>
      </c>
      <c r="P553" t="str">
        <f>IF(E553="","Unmapped",IFERROR(INDEX(Supplier_Lookup!$B$2:$B$25,MATCH(E553,Supplier_Lookup!$A$2:$A$25,0)),"Unmapped"))</f>
        <v>Office &amp; Training</v>
      </c>
      <c r="Q553" s="76">
        <f>IFERROR(INDEX(Category_Targets!$B$2:$B$9,MATCH(F553,Category_Targets!$A$2:$A$9,0)),0)</f>
        <v>0.04</v>
      </c>
      <c r="R553" s="125">
        <f t="shared" si="25"/>
        <v>217.55200000000002</v>
      </c>
      <c r="S553" s="78">
        <f t="shared" si="26"/>
        <v>45658</v>
      </c>
      <c r="T553" t="str">
        <f>IFERROR(VLOOKUP(B553,Sites!$A$2:$D$21,4,FALSE()),"Unknown")</f>
        <v>Nottingham</v>
      </c>
      <c r="U553" t="str">
        <f>IF(N553="OK","",COUNTIF($N$2:N553,"&lt;&gt;OK"))</f>
        <v/>
      </c>
      <c r="V553">
        <f>IF(OR(NOT(EXACT(E553,TRIM(Procurement_Raw!E553))),NOT(EXACT(F553,TRIM(Procurement_Raw!F553)))),1,0)</f>
        <v>0</v>
      </c>
    </row>
    <row r="554" spans="1:22" ht="15" customHeight="1" x14ac:dyDescent="0.25">
      <c r="A554" s="123">
        <f>Procurement_Raw!A554</f>
        <v>45868</v>
      </c>
      <c r="B554" t="str">
        <f>TRIM(Procurement_Raw!B554)</f>
        <v>S005</v>
      </c>
      <c r="C554" t="str">
        <f>Procurement_Raw!C554</f>
        <v>Sheffield Care &amp; Education Centre</v>
      </c>
      <c r="D554" t="str">
        <f>Procurement_Raw!D554</f>
        <v>North</v>
      </c>
      <c r="E554" t="str">
        <f>IF(TRIM(Procurement_Raw!E554)="","",IFERROR(INDEX(Supplier_Lookup!$A$2:$A$25,MATCH(TRIM(Procurement_Raw!E554),Supplier_Lookup!$A$2:$A$25,0)),TRIM(Procurement_Raw!E554)))</f>
        <v>TeleCare IT</v>
      </c>
      <c r="F554" t="str">
        <f>IFERROR(INDEX(Category_Targets!$A$2:$A$9,MATCH(TRIM(Procurement_Raw!F554),Category_Targets!$A$2:$A$9,0)),"Unmapped")</f>
        <v>IT &amp; Telecoms</v>
      </c>
      <c r="G554" t="str">
        <f>TRIM(Procurement_Raw!G554)</f>
        <v>INV-2025-00553</v>
      </c>
      <c r="H554" s="77">
        <f>Procurement_Raw!H554</f>
        <v>71</v>
      </c>
      <c r="I554" s="124">
        <f>Procurement_Raw!I554</f>
        <v>418.18</v>
      </c>
      <c r="J554" s="125">
        <f>IF(Procurement_Raw!J554="","",Procurement_Raw!J554)</f>
        <v>29690.65</v>
      </c>
      <c r="K554" s="77">
        <f>Procurement_Raw!K554</f>
        <v>45</v>
      </c>
      <c r="L554" t="str">
        <f>Procurement_Raw!L554</f>
        <v>ERP</v>
      </c>
      <c r="M554" t="str">
        <f>Procurement_Raw!O554</f>
        <v>N</v>
      </c>
      <c r="N554" t="str">
        <f>IF(E554="","Missing supplier",IF(B554="","Missing site",IF(J554="","Missing spend",IF(COUNTIFS($G$2:G554,G554,$E$2:E554,E554,$J$2:J554,J554)&gt;1,"Duplicate invoice",IF(COUNTIF($G$2:$G$1801,G554)&gt;1,"Duplicate ID - review",IF(AND(P554&lt;&gt;"Unmapped",P554&lt;&gt;F554),"Category mismatch","OK"))))))</f>
        <v>OK</v>
      </c>
      <c r="O554" s="125">
        <f t="shared" si="24"/>
        <v>29690.65</v>
      </c>
      <c r="P554" t="str">
        <f>IF(E554="","Unmapped",IFERROR(INDEX(Supplier_Lookup!$B$2:$B$25,MATCH(E554,Supplier_Lookup!$A$2:$A$25,0)),"Unmapped"))</f>
        <v>IT &amp; Telecoms</v>
      </c>
      <c r="Q554" s="76">
        <f>IFERROR(INDEX(Category_Targets!$B$2:$B$9,MATCH(F554,Category_Targets!$A$2:$A$9,0)),0)</f>
        <v>0.08</v>
      </c>
      <c r="R554" s="125">
        <f t="shared" si="25"/>
        <v>2375.252</v>
      </c>
      <c r="S554" s="78">
        <f t="shared" si="26"/>
        <v>45839</v>
      </c>
      <c r="T554" t="str">
        <f>IFERROR(VLOOKUP(B554,Sites!$A$2:$D$21,4,FALSE()),"Unknown")</f>
        <v>Sheffield</v>
      </c>
      <c r="U554" t="str">
        <f>IF(N554="OK","",COUNTIF($N$2:N554,"&lt;&gt;OK"))</f>
        <v/>
      </c>
      <c r="V554">
        <f>IF(OR(NOT(EXACT(E554,TRIM(Procurement_Raw!E554))),NOT(EXACT(F554,TRIM(Procurement_Raw!F554)))),1,0)</f>
        <v>0</v>
      </c>
    </row>
    <row r="555" spans="1:22" ht="15" customHeight="1" x14ac:dyDescent="0.25">
      <c r="A555" s="123">
        <f>Procurement_Raw!A555</f>
        <v>45728</v>
      </c>
      <c r="B555" t="str">
        <f>TRIM(Procurement_Raw!B555)</f>
        <v>S011</v>
      </c>
      <c r="C555" t="str">
        <f>Procurement_Raw!C555</f>
        <v>London Care &amp; Education Centre</v>
      </c>
      <c r="D555" t="str">
        <f>Procurement_Raw!D555</f>
        <v>South</v>
      </c>
      <c r="E555" t="str">
        <f>IF(TRIM(Procurement_Raw!E555)="","",IFERROR(INDEX(Supplier_Lookup!$A$2:$A$25,MATCH(TRIM(Procurement_Raw!E555),Supplier_Lookup!$A$2:$A$25,0)),TRIM(Procurement_Raw!E555)))</f>
        <v>TeleCare IT</v>
      </c>
      <c r="F555" t="str">
        <f>IFERROR(INDEX(Category_Targets!$A$2:$A$9,MATCH(TRIM(Procurement_Raw!F555),Category_Targets!$A$2:$A$9,0)),"Unmapped")</f>
        <v>IT &amp; Telecoms</v>
      </c>
      <c r="G555" t="str">
        <f>TRIM(Procurement_Raw!G555)</f>
        <v>INV-2025-00554</v>
      </c>
      <c r="H555" s="77">
        <f>Procurement_Raw!H555</f>
        <v>54</v>
      </c>
      <c r="I555" s="124">
        <f>Procurement_Raw!I555</f>
        <v>253.04</v>
      </c>
      <c r="J555" s="125">
        <f>IF(Procurement_Raw!J555="","",Procurement_Raw!J555)</f>
        <v>13664.32</v>
      </c>
      <c r="K555" s="77">
        <f>Procurement_Raw!K555</f>
        <v>30</v>
      </c>
      <c r="L555" t="str">
        <f>Procurement_Raw!L555</f>
        <v>Legacy Spend File</v>
      </c>
      <c r="M555" t="str">
        <f>Procurement_Raw!O555</f>
        <v>N</v>
      </c>
      <c r="N555" t="str">
        <f>IF(E555="","Missing supplier",IF(B555="","Missing site",IF(J555="","Missing spend",IF(COUNTIFS($G$2:G555,G555,$E$2:E555,E555,$J$2:J555,J555)&gt;1,"Duplicate invoice",IF(COUNTIF($G$2:$G$1801,G555)&gt;1,"Duplicate ID - review",IF(AND(P555&lt;&gt;"Unmapped",P555&lt;&gt;F555),"Category mismatch","OK"))))))</f>
        <v>OK</v>
      </c>
      <c r="O555" s="125">
        <f t="shared" si="24"/>
        <v>13664.32</v>
      </c>
      <c r="P555" t="str">
        <f>IF(E555="","Unmapped",IFERROR(INDEX(Supplier_Lookup!$B$2:$B$25,MATCH(E555,Supplier_Lookup!$A$2:$A$25,0)),"Unmapped"))</f>
        <v>IT &amp; Telecoms</v>
      </c>
      <c r="Q555" s="76">
        <f>IFERROR(INDEX(Category_Targets!$B$2:$B$9,MATCH(F555,Category_Targets!$A$2:$A$9,0)),0)</f>
        <v>0.08</v>
      </c>
      <c r="R555" s="125">
        <f t="shared" si="25"/>
        <v>1093.1456000000001</v>
      </c>
      <c r="S555" s="78">
        <f t="shared" si="26"/>
        <v>45717</v>
      </c>
      <c r="T555" t="str">
        <f>IFERROR(VLOOKUP(B555,Sites!$A$2:$D$21,4,FALSE()),"Unknown")</f>
        <v>London</v>
      </c>
      <c r="U555" t="str">
        <f>IF(N555="OK","",COUNTIF($N$2:N555,"&lt;&gt;OK"))</f>
        <v/>
      </c>
      <c r="V555">
        <f>IF(OR(NOT(EXACT(E555,TRIM(Procurement_Raw!E555))),NOT(EXACT(F555,TRIM(Procurement_Raw!F555)))),1,0)</f>
        <v>0</v>
      </c>
    </row>
    <row r="556" spans="1:22" ht="15" customHeight="1" x14ac:dyDescent="0.25">
      <c r="A556" s="123">
        <f>Procurement_Raw!A556</f>
        <v>45936</v>
      </c>
      <c r="B556" t="str">
        <f>TRIM(Procurement_Raw!B556)</f>
        <v>S001</v>
      </c>
      <c r="C556" t="str">
        <f>Procurement_Raw!C556</f>
        <v>Preston Care &amp; Education Centre</v>
      </c>
      <c r="D556" t="str">
        <f>Procurement_Raw!D556</f>
        <v>North</v>
      </c>
      <c r="E556" t="str">
        <f>IF(TRIM(Procurement_Raw!E556)="","",IFERROR(INDEX(Supplier_Lookup!$A$2:$A$25,MATCH(TRIM(Procurement_Raw!E556),Supplier_Lookup!$A$2:$A$25,0)),TRIM(Procurement_Raw!E556)))</f>
        <v>PowerDirect</v>
      </c>
      <c r="F556" t="str">
        <f>IFERROR(INDEX(Category_Targets!$A$2:$A$9,MATCH(TRIM(Procurement_Raw!F556),Category_Targets!$A$2:$A$9,0)),"Unmapped")</f>
        <v>Utilities</v>
      </c>
      <c r="G556" t="str">
        <f>TRIM(Procurement_Raw!G556)</f>
        <v>INV-2025-00555</v>
      </c>
      <c r="H556" s="77">
        <f>Procurement_Raw!H556</f>
        <v>3</v>
      </c>
      <c r="I556" s="124">
        <f>Procurement_Raw!I556</f>
        <v>301.01</v>
      </c>
      <c r="J556" s="125">
        <f>IF(Procurement_Raw!J556="","",Procurement_Raw!J556)</f>
        <v>903.03</v>
      </c>
      <c r="K556" s="77">
        <f>Procurement_Raw!K556</f>
        <v>45</v>
      </c>
      <c r="L556" t="str">
        <f>Procurement_Raw!L556</f>
        <v>Legacy Spend File</v>
      </c>
      <c r="M556" t="str">
        <f>Procurement_Raw!O556</f>
        <v>N</v>
      </c>
      <c r="N556" t="str">
        <f>IF(E556="","Missing supplier",IF(B556="","Missing site",IF(J556="","Missing spend",IF(COUNTIFS($G$2:G556,G556,$E$2:E556,E556,$J$2:J556,J556)&gt;1,"Duplicate invoice",IF(COUNTIF($G$2:$G$1801,G556)&gt;1,"Duplicate ID - review",IF(AND(P556&lt;&gt;"Unmapped",P556&lt;&gt;F556),"Category mismatch","OK"))))))</f>
        <v>OK</v>
      </c>
      <c r="O556" s="125">
        <f t="shared" si="24"/>
        <v>903.03</v>
      </c>
      <c r="P556" t="str">
        <f>IF(E556="","Unmapped",IFERROR(INDEX(Supplier_Lookup!$B$2:$B$25,MATCH(E556,Supplier_Lookup!$A$2:$A$25,0)),"Unmapped"))</f>
        <v>Utilities</v>
      </c>
      <c r="Q556" s="76">
        <f>IFERROR(INDEX(Category_Targets!$B$2:$B$9,MATCH(F556,Category_Targets!$A$2:$A$9,0)),0)</f>
        <v>0.03</v>
      </c>
      <c r="R556" s="125">
        <f t="shared" si="25"/>
        <v>27.090899999999998</v>
      </c>
      <c r="S556" s="78">
        <f t="shared" si="26"/>
        <v>45931</v>
      </c>
      <c r="T556" t="str">
        <f>IFERROR(VLOOKUP(B556,Sites!$A$2:$D$21,4,FALSE()),"Unknown")</f>
        <v>Preston</v>
      </c>
      <c r="U556" t="str">
        <f>IF(N556="OK","",COUNTIF($N$2:N556,"&lt;&gt;OK"))</f>
        <v/>
      </c>
      <c r="V556">
        <f>IF(OR(NOT(EXACT(E556,TRIM(Procurement_Raw!E556))),NOT(EXACT(F556,TRIM(Procurement_Raw!F556)))),1,0)</f>
        <v>0</v>
      </c>
    </row>
    <row r="557" spans="1:22" ht="15" customHeight="1" x14ac:dyDescent="0.25">
      <c r="A557" s="123">
        <f>Procurement_Raw!A557</f>
        <v>45906</v>
      </c>
      <c r="B557" t="str">
        <f>TRIM(Procurement_Raw!B557)</f>
        <v>S008</v>
      </c>
      <c r="C557" t="str">
        <f>Procurement_Raw!C557</f>
        <v>Leicester Care &amp; Education Centre</v>
      </c>
      <c r="D557" t="str">
        <f>Procurement_Raw!D557</f>
        <v>Midlands</v>
      </c>
      <c r="E557" t="str">
        <f>IF(TRIM(Procurement_Raw!E557)="","",IFERROR(INDEX(Supplier_Lookup!$A$2:$A$25,MATCH(TRIM(Procurement_Raw!E557),Supplier_Lookup!$A$2:$A$25,0)),TRIM(Procurement_Raw!E557)))</f>
        <v>PrintCo</v>
      </c>
      <c r="F557" t="str">
        <f>IFERROR(INDEX(Category_Targets!$A$2:$A$9,MATCH(TRIM(Procurement_Raw!F557),Category_Targets!$A$2:$A$9,0)),"Unmapped")</f>
        <v>Office &amp; Training</v>
      </c>
      <c r="G557" t="str">
        <f>TRIM(Procurement_Raw!G557)</f>
        <v>INV-2025-00556</v>
      </c>
      <c r="H557" s="77">
        <f>Procurement_Raw!H557</f>
        <v>45</v>
      </c>
      <c r="I557" s="124">
        <f>Procurement_Raw!I557</f>
        <v>59.8</v>
      </c>
      <c r="J557" s="125">
        <f>IF(Procurement_Raw!J557="","",Procurement_Raw!J557)</f>
        <v>2690.87</v>
      </c>
      <c r="K557" s="77">
        <f>Procurement_Raw!K557</f>
        <v>60</v>
      </c>
      <c r="L557" t="str">
        <f>Procurement_Raw!L557</f>
        <v>Legacy Spend File</v>
      </c>
      <c r="M557" t="str">
        <f>Procurement_Raw!O557</f>
        <v>N</v>
      </c>
      <c r="N557" t="str">
        <f>IF(E557="","Missing supplier",IF(B557="","Missing site",IF(J557="","Missing spend",IF(COUNTIFS($G$2:G557,G557,$E$2:E557,E557,$J$2:J557,J557)&gt;1,"Duplicate invoice",IF(COUNTIF($G$2:$G$1801,G557)&gt;1,"Duplicate ID - review",IF(AND(P557&lt;&gt;"Unmapped",P557&lt;&gt;F557),"Category mismatch","OK"))))))</f>
        <v>OK</v>
      </c>
      <c r="O557" s="125">
        <f t="shared" si="24"/>
        <v>2690.87</v>
      </c>
      <c r="P557" t="str">
        <f>IF(E557="","Unmapped",IFERROR(INDEX(Supplier_Lookup!$B$2:$B$25,MATCH(E557,Supplier_Lookup!$A$2:$A$25,0)),"Unmapped"))</f>
        <v>Office &amp; Training</v>
      </c>
      <c r="Q557" s="76">
        <f>IFERROR(INDEX(Category_Targets!$B$2:$B$9,MATCH(F557,Category_Targets!$A$2:$A$9,0)),0)</f>
        <v>0.04</v>
      </c>
      <c r="R557" s="125">
        <f t="shared" si="25"/>
        <v>107.6348</v>
      </c>
      <c r="S557" s="78">
        <f t="shared" si="26"/>
        <v>45901</v>
      </c>
      <c r="T557" t="str">
        <f>IFERROR(VLOOKUP(B557,Sites!$A$2:$D$21,4,FALSE()),"Unknown")</f>
        <v>Leicester</v>
      </c>
      <c r="U557" t="str">
        <f>IF(N557="OK","",COUNTIF($N$2:N557,"&lt;&gt;OK"))</f>
        <v/>
      </c>
      <c r="V557">
        <f>IF(OR(NOT(EXACT(E557,TRIM(Procurement_Raw!E557))),NOT(EXACT(F557,TRIM(Procurement_Raw!F557)))),1,0)</f>
        <v>0</v>
      </c>
    </row>
    <row r="558" spans="1:22" ht="15" customHeight="1" x14ac:dyDescent="0.25">
      <c r="A558" s="123">
        <f>Procurement_Raw!A558</f>
        <v>45750</v>
      </c>
      <c r="B558" t="str">
        <f>TRIM(Procurement_Raw!B558)</f>
        <v>S006</v>
      </c>
      <c r="C558" t="str">
        <f>Procurement_Raw!C558</f>
        <v>Birmingham Care &amp; Education Centre</v>
      </c>
      <c r="D558" t="str">
        <f>Procurement_Raw!D558</f>
        <v>Midlands</v>
      </c>
      <c r="E558" t="str">
        <f>IF(TRIM(Procurement_Raw!E558)="","",IFERROR(INDEX(Supplier_Lookup!$A$2:$A$25,MATCH(TRIM(Procurement_Raw!E558),Supplier_Lookup!$A$2:$A$25,0)),TRIM(Procurement_Raw!E558)))</f>
        <v>CareTemps</v>
      </c>
      <c r="F558" t="str">
        <f>IFERROR(INDEX(Category_Targets!$A$2:$A$9,MATCH(TRIM(Procurement_Raw!F558),Category_Targets!$A$2:$A$9,0)),"Unmapped")</f>
        <v>Agency Labour</v>
      </c>
      <c r="G558" t="str">
        <f>TRIM(Procurement_Raw!G558)</f>
        <v>INV-2025-00557</v>
      </c>
      <c r="H558" s="77">
        <f>Procurement_Raw!H558</f>
        <v>4</v>
      </c>
      <c r="I558" s="124">
        <f>Procurement_Raw!I558</f>
        <v>229.43</v>
      </c>
      <c r="J558" s="125">
        <f>IF(Procurement_Raw!J558="","",Procurement_Raw!J558)</f>
        <v>917.72</v>
      </c>
      <c r="K558" s="77">
        <f>Procurement_Raw!K558</f>
        <v>45</v>
      </c>
      <c r="L558" t="str">
        <f>Procurement_Raw!L558</f>
        <v>Legacy Spend File</v>
      </c>
      <c r="M558" t="str">
        <f>Procurement_Raw!O558</f>
        <v>N</v>
      </c>
      <c r="N558" t="str">
        <f>IF(E558="","Missing supplier",IF(B558="","Missing site",IF(J558="","Missing spend",IF(COUNTIFS($G$2:G558,G558,$E$2:E558,E558,$J$2:J558,J558)&gt;1,"Duplicate invoice",IF(COUNTIF($G$2:$G$1801,G558)&gt;1,"Duplicate ID - review",IF(AND(P558&lt;&gt;"Unmapped",P558&lt;&gt;F558),"Category mismatch","OK"))))))</f>
        <v>OK</v>
      </c>
      <c r="O558" s="125">
        <f t="shared" si="24"/>
        <v>917.72</v>
      </c>
      <c r="P558" t="str">
        <f>IF(E558="","Unmapped",IFERROR(INDEX(Supplier_Lookup!$B$2:$B$25,MATCH(E558,Supplier_Lookup!$A$2:$A$25,0)),"Unmapped"))</f>
        <v>Agency Labour</v>
      </c>
      <c r="Q558" s="76">
        <f>IFERROR(INDEX(Category_Targets!$B$2:$B$9,MATCH(F558,Category_Targets!$A$2:$A$9,0)),0)</f>
        <v>7.0000000000000007E-2</v>
      </c>
      <c r="R558" s="125">
        <f t="shared" si="25"/>
        <v>64.240400000000008</v>
      </c>
      <c r="S558" s="78">
        <f t="shared" si="26"/>
        <v>45748</v>
      </c>
      <c r="T558" t="str">
        <f>IFERROR(VLOOKUP(B558,Sites!$A$2:$D$21,4,FALSE()),"Unknown")</f>
        <v>Birmingham</v>
      </c>
      <c r="U558" t="str">
        <f>IF(N558="OK","",COUNTIF($N$2:N558,"&lt;&gt;OK"))</f>
        <v/>
      </c>
      <c r="V558">
        <f>IF(OR(NOT(EXACT(E558,TRIM(Procurement_Raw!E558))),NOT(EXACT(F558,TRIM(Procurement_Raw!F558)))),1,0)</f>
        <v>0</v>
      </c>
    </row>
    <row r="559" spans="1:22" ht="15" customHeight="1" x14ac:dyDescent="0.25">
      <c r="A559" s="123">
        <f>Procurement_Raw!A559</f>
        <v>45687</v>
      </c>
      <c r="B559" t="str">
        <f>TRIM(Procurement_Raw!B559)</f>
        <v>S010</v>
      </c>
      <c r="C559" t="str">
        <f>Procurement_Raw!C559</f>
        <v>Coventry Care &amp; Education Centre</v>
      </c>
      <c r="D559" t="str">
        <f>Procurement_Raw!D559</f>
        <v>Midlands</v>
      </c>
      <c r="E559" t="str">
        <f>IF(TRIM(Procurement_Raw!E559)="","",IFERROR(INDEX(Supplier_Lookup!$A$2:$A$25,MATCH(TRIM(Procurement_Raw!E559),Supplier_Lookup!$A$2:$A$25,0)),TRIM(Procurement_Raw!E559)))</f>
        <v>CareMed</v>
      </c>
      <c r="F559" t="str">
        <f>IFERROR(INDEX(Category_Targets!$A$2:$A$9,MATCH(TRIM(Procurement_Raw!F559),Category_Targets!$A$2:$A$9,0)),"Unmapped")</f>
        <v>Medical Supplies</v>
      </c>
      <c r="G559" t="str">
        <f>TRIM(Procurement_Raw!G559)</f>
        <v>INV-2025-00558</v>
      </c>
      <c r="H559" s="77">
        <f>Procurement_Raw!H559</f>
        <v>61</v>
      </c>
      <c r="I559" s="124">
        <f>Procurement_Raw!I559</f>
        <v>94.59</v>
      </c>
      <c r="J559" s="125">
        <f>IF(Procurement_Raw!J559="","",Procurement_Raw!J559)</f>
        <v>5770.18</v>
      </c>
      <c r="K559" s="77">
        <f>Procurement_Raw!K559</f>
        <v>60</v>
      </c>
      <c r="L559" t="str">
        <f>Procurement_Raw!L559</f>
        <v>Procurement Portal</v>
      </c>
      <c r="M559" t="str">
        <f>Procurement_Raw!O559</f>
        <v>N</v>
      </c>
      <c r="N559" t="str">
        <f>IF(E559="","Missing supplier",IF(B559="","Missing site",IF(J559="","Missing spend",IF(COUNTIFS($G$2:G559,G559,$E$2:E559,E559,$J$2:J559,J559)&gt;1,"Duplicate invoice",IF(COUNTIF($G$2:$G$1801,G559)&gt;1,"Duplicate ID - review",IF(AND(P559&lt;&gt;"Unmapped",P559&lt;&gt;F559),"Category mismatch","OK"))))))</f>
        <v>OK</v>
      </c>
      <c r="O559" s="125">
        <f t="shared" si="24"/>
        <v>5770.18</v>
      </c>
      <c r="P559" t="str">
        <f>IF(E559="","Unmapped",IFERROR(INDEX(Supplier_Lookup!$B$2:$B$25,MATCH(E559,Supplier_Lookup!$A$2:$A$25,0)),"Unmapped"))</f>
        <v>Medical Supplies</v>
      </c>
      <c r="Q559" s="76">
        <f>IFERROR(INDEX(Category_Targets!$B$2:$B$9,MATCH(F559,Category_Targets!$A$2:$A$9,0)),0)</f>
        <v>0.06</v>
      </c>
      <c r="R559" s="125">
        <f t="shared" si="25"/>
        <v>346.21080000000001</v>
      </c>
      <c r="S559" s="78">
        <f t="shared" si="26"/>
        <v>45658</v>
      </c>
      <c r="T559" t="str">
        <f>IFERROR(VLOOKUP(B559,Sites!$A$2:$D$21,4,FALSE()),"Unknown")</f>
        <v>Coventry</v>
      </c>
      <c r="U559" t="str">
        <f>IF(N559="OK","",COUNTIF($N$2:N559,"&lt;&gt;OK"))</f>
        <v/>
      </c>
      <c r="V559">
        <f>IF(OR(NOT(EXACT(E559,TRIM(Procurement_Raw!E559))),NOT(EXACT(F559,TRIM(Procurement_Raw!F559)))),1,0)</f>
        <v>0</v>
      </c>
    </row>
    <row r="560" spans="1:22" ht="15" customHeight="1" x14ac:dyDescent="0.25">
      <c r="A560" s="123">
        <f>Procurement_Raw!A560</f>
        <v>45709</v>
      </c>
      <c r="B560" t="str">
        <f>TRIM(Procurement_Raw!B560)</f>
        <v>S008</v>
      </c>
      <c r="C560" t="str">
        <f>Procurement_Raw!C560</f>
        <v>Leicester Care &amp; Education Centre</v>
      </c>
      <c r="D560" t="str">
        <f>Procurement_Raw!D560</f>
        <v>Midlands</v>
      </c>
      <c r="E560" t="str">
        <f>IF(TRIM(Procurement_Raw!E560)="","",IFERROR(INDEX(Supplier_Lookup!$A$2:$A$25,MATCH(TRIM(Procurement_Raw!E560),Supplier_Lookup!$A$2:$A$25,0)),TRIM(Procurement_Raw!E560)))</f>
        <v>UK Energy Partners</v>
      </c>
      <c r="F560" t="str">
        <f>IFERROR(INDEX(Category_Targets!$A$2:$A$9,MATCH(TRIM(Procurement_Raw!F560),Category_Targets!$A$2:$A$9,0)),"Unmapped")</f>
        <v>Utilities</v>
      </c>
      <c r="G560" t="str">
        <f>TRIM(Procurement_Raw!G560)</f>
        <v>INV-2025-00559</v>
      </c>
      <c r="H560" s="77">
        <f>Procurement_Raw!H560</f>
        <v>32</v>
      </c>
      <c r="I560" s="124">
        <f>Procurement_Raw!I560</f>
        <v>310.57</v>
      </c>
      <c r="J560" s="125">
        <f>IF(Procurement_Raw!J560="","",Procurement_Raw!J560)</f>
        <v>9938.24</v>
      </c>
      <c r="K560" s="77">
        <f>Procurement_Raw!K560</f>
        <v>60</v>
      </c>
      <c r="L560" t="str">
        <f>Procurement_Raw!L560</f>
        <v>ERP</v>
      </c>
      <c r="M560" t="str">
        <f>Procurement_Raw!O560</f>
        <v>N</v>
      </c>
      <c r="N560" t="str">
        <f>IF(E560="","Missing supplier",IF(B560="","Missing site",IF(J560="","Missing spend",IF(COUNTIFS($G$2:G560,G560,$E$2:E560,E560,$J$2:J560,J560)&gt;1,"Duplicate invoice",IF(COUNTIF($G$2:$G$1801,G560)&gt;1,"Duplicate ID - review",IF(AND(P560&lt;&gt;"Unmapped",P560&lt;&gt;F560),"Category mismatch","OK"))))))</f>
        <v>OK</v>
      </c>
      <c r="O560" s="125">
        <f t="shared" si="24"/>
        <v>9938.24</v>
      </c>
      <c r="P560" t="str">
        <f>IF(E560="","Unmapped",IFERROR(INDEX(Supplier_Lookup!$B$2:$B$25,MATCH(E560,Supplier_Lookup!$A$2:$A$25,0)),"Unmapped"))</f>
        <v>Utilities</v>
      </c>
      <c r="Q560" s="76">
        <f>IFERROR(INDEX(Category_Targets!$B$2:$B$9,MATCH(F560,Category_Targets!$A$2:$A$9,0)),0)</f>
        <v>0.03</v>
      </c>
      <c r="R560" s="125">
        <f t="shared" si="25"/>
        <v>298.1472</v>
      </c>
      <c r="S560" s="78">
        <f t="shared" si="26"/>
        <v>45689</v>
      </c>
      <c r="T560" t="str">
        <f>IFERROR(VLOOKUP(B560,Sites!$A$2:$D$21,4,FALSE()),"Unknown")</f>
        <v>Leicester</v>
      </c>
      <c r="U560" t="str">
        <f>IF(N560="OK","",COUNTIF($N$2:N560,"&lt;&gt;OK"))</f>
        <v/>
      </c>
      <c r="V560">
        <f>IF(OR(NOT(EXACT(E560,TRIM(Procurement_Raw!E560))),NOT(EXACT(F560,TRIM(Procurement_Raw!F560)))),1,0)</f>
        <v>0</v>
      </c>
    </row>
    <row r="561" spans="1:22" ht="15" customHeight="1" x14ac:dyDescent="0.25">
      <c r="A561" s="123">
        <f>Procurement_Raw!A561</f>
        <v>45952</v>
      </c>
      <c r="B561" t="str">
        <f>TRIM(Procurement_Raw!B561)</f>
        <v>S017</v>
      </c>
      <c r="C561" t="str">
        <f>Procurement_Raw!C561</f>
        <v>Swansea Care &amp; Education Centre</v>
      </c>
      <c r="D561" t="str">
        <f>Procurement_Raw!D561</f>
        <v>Wales</v>
      </c>
      <c r="E561" t="str">
        <f>IF(TRIM(Procurement_Raw!E561)="","",IFERROR(INDEX(Supplier_Lookup!$A$2:$A$25,MATCH(TRIM(Procurement_Raw!E561),Supplier_Lookup!$A$2:$A$25,0)),TRIM(Procurement_Raw!E561)))</f>
        <v>MediSure</v>
      </c>
      <c r="F561" t="str">
        <f>IFERROR(INDEX(Category_Targets!$A$2:$A$9,MATCH(TRIM(Procurement_Raw!F561),Category_Targets!$A$2:$A$9,0)),"Unmapped")</f>
        <v>Medical Supplies</v>
      </c>
      <c r="G561" t="str">
        <f>TRIM(Procurement_Raw!G561)</f>
        <v>INV-2025-00560</v>
      </c>
      <c r="H561" s="77">
        <f>Procurement_Raw!H561</f>
        <v>50</v>
      </c>
      <c r="I561" s="124">
        <f>Procurement_Raw!I561</f>
        <v>95.2</v>
      </c>
      <c r="J561" s="125">
        <f>IF(Procurement_Raw!J561="","",Procurement_Raw!J561)</f>
        <v>4759.8599999999997</v>
      </c>
      <c r="K561" s="77">
        <f>Procurement_Raw!K561</f>
        <v>45</v>
      </c>
      <c r="L561" t="str">
        <f>Procurement_Raw!L561</f>
        <v>ERP</v>
      </c>
      <c r="M561" t="str">
        <f>Procurement_Raw!O561</f>
        <v>Y</v>
      </c>
      <c r="N561" t="str">
        <f>IF(E561="","Missing supplier",IF(B561="","Missing site",IF(J561="","Missing spend",IF(COUNTIFS($G$2:G561,G561,$E$2:E561,E561,$J$2:J561,J561)&gt;1,"Duplicate invoice",IF(COUNTIF($G$2:$G$1801,G561)&gt;1,"Duplicate ID - review",IF(AND(P561&lt;&gt;"Unmapped",P561&lt;&gt;F561),"Category mismatch","OK"))))))</f>
        <v>OK</v>
      </c>
      <c r="O561" s="125">
        <f t="shared" si="24"/>
        <v>4759.8599999999997</v>
      </c>
      <c r="P561" t="str">
        <f>IF(E561="","Unmapped",IFERROR(INDEX(Supplier_Lookup!$B$2:$B$25,MATCH(E561,Supplier_Lookup!$A$2:$A$25,0)),"Unmapped"))</f>
        <v>Medical Supplies</v>
      </c>
      <c r="Q561" s="76">
        <f>IFERROR(INDEX(Category_Targets!$B$2:$B$9,MATCH(F561,Category_Targets!$A$2:$A$9,0)),0)</f>
        <v>0.06</v>
      </c>
      <c r="R561" s="125">
        <f t="shared" si="25"/>
        <v>285.59159999999997</v>
      </c>
      <c r="S561" s="78">
        <f t="shared" si="26"/>
        <v>45931</v>
      </c>
      <c r="T561" t="str">
        <f>IFERROR(VLOOKUP(B561,Sites!$A$2:$D$21,4,FALSE()),"Unknown")</f>
        <v>Swansea</v>
      </c>
      <c r="U561" t="str">
        <f>IF(N561="OK","",COUNTIF($N$2:N561,"&lt;&gt;OK"))</f>
        <v/>
      </c>
      <c r="V561">
        <f>IF(OR(NOT(EXACT(E561,TRIM(Procurement_Raw!E561))),NOT(EXACT(F561,TRIM(Procurement_Raw!F561)))),1,0)</f>
        <v>0</v>
      </c>
    </row>
    <row r="562" spans="1:22" ht="15" customHeight="1" x14ac:dyDescent="0.25">
      <c r="A562" s="123">
        <f>Procurement_Raw!A562</f>
        <v>45820</v>
      </c>
      <c r="B562" t="str">
        <f>TRIM(Procurement_Raw!B562)</f>
        <v>S016</v>
      </c>
      <c r="C562" t="str">
        <f>Procurement_Raw!C562</f>
        <v>Cardiff Care &amp; Education Centre</v>
      </c>
      <c r="D562" t="str">
        <f>Procurement_Raw!D562</f>
        <v>Wales</v>
      </c>
      <c r="E562" t="str">
        <f>IF(TRIM(Procurement_Raw!E562)="","",IFERROR(INDEX(Supplier_Lookup!$A$2:$A$25,MATCH(TRIM(Procurement_Raw!E562),Supplier_Lookup!$A$2:$A$25,0)),TRIM(Procurement_Raw!E562)))</f>
        <v>PowerDirect</v>
      </c>
      <c r="F562" t="str">
        <f>IFERROR(INDEX(Category_Targets!$A$2:$A$9,MATCH(TRIM(Procurement_Raw!F562),Category_Targets!$A$2:$A$9,0)),"Unmapped")</f>
        <v>Utilities</v>
      </c>
      <c r="G562" t="str">
        <f>TRIM(Procurement_Raw!G562)</f>
        <v>INV-2025-00561</v>
      </c>
      <c r="H562" s="77">
        <f>Procurement_Raw!H562</f>
        <v>46</v>
      </c>
      <c r="I562" s="124">
        <f>Procurement_Raw!I562</f>
        <v>293.19</v>
      </c>
      <c r="J562" s="125">
        <f>IF(Procurement_Raw!J562="","",Procurement_Raw!J562)</f>
        <v>13486.96</v>
      </c>
      <c r="K562" s="77">
        <f>Procurement_Raw!K562</f>
        <v>60</v>
      </c>
      <c r="L562" t="str">
        <f>Procurement_Raw!L562</f>
        <v>ERP</v>
      </c>
      <c r="M562" t="str">
        <f>Procurement_Raw!O562</f>
        <v>N</v>
      </c>
      <c r="N562" t="str">
        <f>IF(E562="","Missing supplier",IF(B562="","Missing site",IF(J562="","Missing spend",IF(COUNTIFS($G$2:G562,G562,$E$2:E562,E562,$J$2:J562,J562)&gt;1,"Duplicate invoice",IF(COUNTIF($G$2:$G$1801,G562)&gt;1,"Duplicate ID - review",IF(AND(P562&lt;&gt;"Unmapped",P562&lt;&gt;F562),"Category mismatch","OK"))))))</f>
        <v>OK</v>
      </c>
      <c r="O562" s="125">
        <f t="shared" si="24"/>
        <v>13486.96</v>
      </c>
      <c r="P562" t="str">
        <f>IF(E562="","Unmapped",IFERROR(INDEX(Supplier_Lookup!$B$2:$B$25,MATCH(E562,Supplier_Lookup!$A$2:$A$25,0)),"Unmapped"))</f>
        <v>Utilities</v>
      </c>
      <c r="Q562" s="76">
        <f>IFERROR(INDEX(Category_Targets!$B$2:$B$9,MATCH(F562,Category_Targets!$A$2:$A$9,0)),0)</f>
        <v>0.03</v>
      </c>
      <c r="R562" s="125">
        <f t="shared" si="25"/>
        <v>404.60879999999997</v>
      </c>
      <c r="S562" s="78">
        <f t="shared" si="26"/>
        <v>45809</v>
      </c>
      <c r="T562" t="str">
        <f>IFERROR(VLOOKUP(B562,Sites!$A$2:$D$21,4,FALSE()),"Unknown")</f>
        <v>Cardiff</v>
      </c>
      <c r="U562" t="str">
        <f>IF(N562="OK","",COUNTIF($N$2:N562,"&lt;&gt;OK"))</f>
        <v/>
      </c>
      <c r="V562">
        <f>IF(OR(NOT(EXACT(E562,TRIM(Procurement_Raw!E562))),NOT(EXACT(F562,TRIM(Procurement_Raw!F562)))),1,0)</f>
        <v>0</v>
      </c>
    </row>
    <row r="563" spans="1:22" ht="15" customHeight="1" x14ac:dyDescent="0.25">
      <c r="A563" s="123">
        <f>Procurement_Raw!A563</f>
        <v>45946</v>
      </c>
      <c r="B563" t="str">
        <f>TRIM(Procurement_Raw!B563)</f>
        <v>S017</v>
      </c>
      <c r="C563" t="str">
        <f>Procurement_Raw!C563</f>
        <v>Swansea Care &amp; Education Centre</v>
      </c>
      <c r="D563" t="str">
        <f>Procurement_Raw!D563</f>
        <v>Wales</v>
      </c>
      <c r="E563" t="str">
        <f>IF(TRIM(Procurement_Raw!E563)="","",IFERROR(INDEX(Supplier_Lookup!$A$2:$A$25,MATCH(TRIM(Procurement_Raw!E563),Supplier_Lookup!$A$2:$A$25,0)),TRIM(Procurement_Raw!E563)))</f>
        <v>AutoCare</v>
      </c>
      <c r="F563" t="str">
        <f>IFERROR(INDEX(Category_Targets!$A$2:$A$9,MATCH(TRIM(Procurement_Raw!F563),Category_Targets!$A$2:$A$9,0)),"Unmapped")</f>
        <v>Vehicle &amp; Fuel</v>
      </c>
      <c r="G563" t="str">
        <f>TRIM(Procurement_Raw!G563)</f>
        <v>INV-2025-00562</v>
      </c>
      <c r="H563" s="77">
        <f>Procurement_Raw!H563</f>
        <v>19</v>
      </c>
      <c r="I563" s="124">
        <f>Procurement_Raw!I563</f>
        <v>297.48</v>
      </c>
      <c r="J563" s="125">
        <f>IF(Procurement_Raw!J563="","",Procurement_Raw!J563)</f>
        <v>5652.12</v>
      </c>
      <c r="K563" s="77">
        <f>Procurement_Raw!K563</f>
        <v>60</v>
      </c>
      <c r="L563" t="str">
        <f>Procurement_Raw!L563</f>
        <v>ERP</v>
      </c>
      <c r="M563" t="str">
        <f>Procurement_Raw!O563</f>
        <v>N</v>
      </c>
      <c r="N563" t="str">
        <f>IF(E563="","Missing supplier",IF(B563="","Missing site",IF(J563="","Missing spend",IF(COUNTIFS($G$2:G563,G563,$E$2:E563,E563,$J$2:J563,J563)&gt;1,"Duplicate invoice",IF(COUNTIF($G$2:$G$1801,G563)&gt;1,"Duplicate ID - review",IF(AND(P563&lt;&gt;"Unmapped",P563&lt;&gt;F563),"Category mismatch","OK"))))))</f>
        <v>OK</v>
      </c>
      <c r="O563" s="125">
        <f t="shared" si="24"/>
        <v>5652.12</v>
      </c>
      <c r="P563" t="str">
        <f>IF(E563="","Unmapped",IFERROR(INDEX(Supplier_Lookup!$B$2:$B$25,MATCH(E563,Supplier_Lookup!$A$2:$A$25,0)),"Unmapped"))</f>
        <v>Vehicle &amp; Fuel</v>
      </c>
      <c r="Q563" s="76">
        <f>IFERROR(INDEX(Category_Targets!$B$2:$B$9,MATCH(F563,Category_Targets!$A$2:$A$9,0)),0)</f>
        <v>0.05</v>
      </c>
      <c r="R563" s="125">
        <f t="shared" si="25"/>
        <v>282.60599999999999</v>
      </c>
      <c r="S563" s="78">
        <f t="shared" si="26"/>
        <v>45931</v>
      </c>
      <c r="T563" t="str">
        <f>IFERROR(VLOOKUP(B563,Sites!$A$2:$D$21,4,FALSE()),"Unknown")</f>
        <v>Swansea</v>
      </c>
      <c r="U563" t="str">
        <f>IF(N563="OK","",COUNTIF($N$2:N563,"&lt;&gt;OK"))</f>
        <v/>
      </c>
      <c r="V563">
        <f>IF(OR(NOT(EXACT(E563,TRIM(Procurement_Raw!E563))),NOT(EXACT(F563,TRIM(Procurement_Raw!F563)))),1,0)</f>
        <v>0</v>
      </c>
    </row>
    <row r="564" spans="1:22" ht="15" customHeight="1" x14ac:dyDescent="0.25">
      <c r="A564" s="123">
        <f>Procurement_Raw!A564</f>
        <v>45909</v>
      </c>
      <c r="B564" t="str">
        <f>TRIM(Procurement_Raw!B564)</f>
        <v>S018</v>
      </c>
      <c r="C564" t="str">
        <f>Procurement_Raw!C564</f>
        <v>Newport Care &amp; Education Centre</v>
      </c>
      <c r="D564" t="str">
        <f>Procurement_Raw!D564</f>
        <v>Wales</v>
      </c>
      <c r="E564" t="str">
        <f>IF(TRIM(Procurement_Raw!E564)="","",IFERROR(INDEX(Supplier_Lookup!$A$2:$A$25,MATCH(TRIM(Procurement_Raw!E564),Supplier_Lookup!$A$2:$A$25,0)),TRIM(Procurement_Raw!E564)))</f>
        <v>CloudLink</v>
      </c>
      <c r="F564" t="str">
        <f>IFERROR(INDEX(Category_Targets!$A$2:$A$9,MATCH(TRIM(Procurement_Raw!F564),Category_Targets!$A$2:$A$9,0)),"Unmapped")</f>
        <v>IT &amp; Telecoms</v>
      </c>
      <c r="G564" t="str">
        <f>TRIM(Procurement_Raw!G564)</f>
        <v>INV-2025-00563</v>
      </c>
      <c r="H564" s="77">
        <f>Procurement_Raw!H564</f>
        <v>5</v>
      </c>
      <c r="I564" s="124">
        <f>Procurement_Raw!I564</f>
        <v>355.22</v>
      </c>
      <c r="J564" s="125">
        <f>IF(Procurement_Raw!J564="","",Procurement_Raw!J564)</f>
        <v>1776.12</v>
      </c>
      <c r="K564" s="77">
        <f>Procurement_Raw!K564</f>
        <v>30</v>
      </c>
      <c r="L564" t="str">
        <f>Procurement_Raw!L564</f>
        <v>ERP</v>
      </c>
      <c r="M564" t="str">
        <f>Procurement_Raw!O564</f>
        <v>Y</v>
      </c>
      <c r="N564" t="str">
        <f>IF(E564="","Missing supplier",IF(B564="","Missing site",IF(J564="","Missing spend",IF(COUNTIFS($G$2:G564,G564,$E$2:E564,E564,$J$2:J564,J564)&gt;1,"Duplicate invoice",IF(COUNTIF($G$2:$G$1801,G564)&gt;1,"Duplicate ID - review",IF(AND(P564&lt;&gt;"Unmapped",P564&lt;&gt;F564),"Category mismatch","OK"))))))</f>
        <v>OK</v>
      </c>
      <c r="O564" s="125">
        <f t="shared" si="24"/>
        <v>1776.12</v>
      </c>
      <c r="P564" t="str">
        <f>IF(E564="","Unmapped",IFERROR(INDEX(Supplier_Lookup!$B$2:$B$25,MATCH(E564,Supplier_Lookup!$A$2:$A$25,0)),"Unmapped"))</f>
        <v>IT &amp; Telecoms</v>
      </c>
      <c r="Q564" s="76">
        <f>IFERROR(INDEX(Category_Targets!$B$2:$B$9,MATCH(F564,Category_Targets!$A$2:$A$9,0)),0)</f>
        <v>0.08</v>
      </c>
      <c r="R564" s="125">
        <f t="shared" si="25"/>
        <v>142.08959999999999</v>
      </c>
      <c r="S564" s="78">
        <f t="shared" si="26"/>
        <v>45901</v>
      </c>
      <c r="T564" t="str">
        <f>IFERROR(VLOOKUP(B564,Sites!$A$2:$D$21,4,FALSE()),"Unknown")</f>
        <v>Newport</v>
      </c>
      <c r="U564" t="str">
        <f>IF(N564="OK","",COUNTIF($N$2:N564,"&lt;&gt;OK"))</f>
        <v/>
      </c>
      <c r="V564">
        <f>IF(OR(NOT(EXACT(E564,TRIM(Procurement_Raw!E564))),NOT(EXACT(F564,TRIM(Procurement_Raw!F564)))),1,0)</f>
        <v>0</v>
      </c>
    </row>
    <row r="565" spans="1:22" ht="15" customHeight="1" x14ac:dyDescent="0.25">
      <c r="A565" s="123">
        <f>Procurement_Raw!A565</f>
        <v>45927</v>
      </c>
      <c r="B565" t="str">
        <f>TRIM(Procurement_Raw!B565)</f>
        <v>S009</v>
      </c>
      <c r="C565" t="str">
        <f>Procurement_Raw!C565</f>
        <v>Derby Care &amp; Education Centre</v>
      </c>
      <c r="D565" t="str">
        <f>Procurement_Raw!D565</f>
        <v>Midlands</v>
      </c>
      <c r="E565" t="str">
        <f>IF(TRIM(Procurement_Raw!E565)="","",IFERROR(INDEX(Supplier_Lookup!$A$2:$A$25,MATCH(TRIM(Procurement_Raw!E565),Supplier_Lookup!$A$2:$A$25,0)),TRIM(Procurement_Raw!E565)))</f>
        <v>UK Energy Partners</v>
      </c>
      <c r="F565" t="str">
        <f>IFERROR(INDEX(Category_Targets!$A$2:$A$9,MATCH(TRIM(Procurement_Raw!F565),Category_Targets!$A$2:$A$9,0)),"Unmapped")</f>
        <v>Utilities</v>
      </c>
      <c r="G565" t="str">
        <f>TRIM(Procurement_Raw!G565)</f>
        <v>INV-2025-00564</v>
      </c>
      <c r="H565" s="77">
        <f>Procurement_Raw!H565</f>
        <v>62</v>
      </c>
      <c r="I565" s="124">
        <f>Procurement_Raw!I565</f>
        <v>208.96</v>
      </c>
      <c r="J565" s="125">
        <f>IF(Procurement_Raw!J565="","",Procurement_Raw!J565)</f>
        <v>12955.59</v>
      </c>
      <c r="K565" s="77">
        <f>Procurement_Raw!K565</f>
        <v>30</v>
      </c>
      <c r="L565" t="str">
        <f>Procurement_Raw!L565</f>
        <v>Procurement Portal</v>
      </c>
      <c r="M565" t="str">
        <f>Procurement_Raw!O565</f>
        <v>N</v>
      </c>
      <c r="N565" t="str">
        <f>IF(E565="","Missing supplier",IF(B565="","Missing site",IF(J565="","Missing spend",IF(COUNTIFS($G$2:G565,G565,$E$2:E565,E565,$J$2:J565,J565)&gt;1,"Duplicate invoice",IF(COUNTIF($G$2:$G$1801,G565)&gt;1,"Duplicate ID - review",IF(AND(P565&lt;&gt;"Unmapped",P565&lt;&gt;F565),"Category mismatch","OK"))))))</f>
        <v>OK</v>
      </c>
      <c r="O565" s="125">
        <f t="shared" si="24"/>
        <v>12955.59</v>
      </c>
      <c r="P565" t="str">
        <f>IF(E565="","Unmapped",IFERROR(INDEX(Supplier_Lookup!$B$2:$B$25,MATCH(E565,Supplier_Lookup!$A$2:$A$25,0)),"Unmapped"))</f>
        <v>Utilities</v>
      </c>
      <c r="Q565" s="76">
        <f>IFERROR(INDEX(Category_Targets!$B$2:$B$9,MATCH(F565,Category_Targets!$A$2:$A$9,0)),0)</f>
        <v>0.03</v>
      </c>
      <c r="R565" s="125">
        <f t="shared" si="25"/>
        <v>388.66769999999997</v>
      </c>
      <c r="S565" s="78">
        <f t="shared" si="26"/>
        <v>45901</v>
      </c>
      <c r="T565" t="str">
        <f>IFERROR(VLOOKUP(B565,Sites!$A$2:$D$21,4,FALSE()),"Unknown")</f>
        <v>Derby</v>
      </c>
      <c r="U565" t="str">
        <f>IF(N565="OK","",COUNTIF($N$2:N565,"&lt;&gt;OK"))</f>
        <v/>
      </c>
      <c r="V565">
        <f>IF(OR(NOT(EXACT(E565,TRIM(Procurement_Raw!E565))),NOT(EXACT(F565,TRIM(Procurement_Raw!F565)))),1,0)</f>
        <v>0</v>
      </c>
    </row>
    <row r="566" spans="1:22" ht="15" customHeight="1" x14ac:dyDescent="0.25">
      <c r="A566" s="123">
        <f>Procurement_Raw!A566</f>
        <v>45832</v>
      </c>
      <c r="B566" t="str">
        <f>TRIM(Procurement_Raw!B566)</f>
        <v>S018</v>
      </c>
      <c r="C566" t="str">
        <f>Procurement_Raw!C566</f>
        <v>Newport Care &amp; Education Centre</v>
      </c>
      <c r="D566" t="str">
        <f>Procurement_Raw!D566</f>
        <v>Wales</v>
      </c>
      <c r="E566" t="str">
        <f>IF(TRIM(Procurement_Raw!E566)="","",IFERROR(INDEX(Supplier_Lookup!$A$2:$A$25,MATCH(TRIM(Procurement_Raw!E566),Supplier_Lookup!$A$2:$A$25,0)),TRIM(Procurement_Raw!E566)))</f>
        <v>UK Energy Partners</v>
      </c>
      <c r="F566" t="str">
        <f>IFERROR(INDEX(Category_Targets!$A$2:$A$9,MATCH(TRIM(Procurement_Raw!F566),Category_Targets!$A$2:$A$9,0)),"Unmapped")</f>
        <v>Utilities</v>
      </c>
      <c r="G566" t="str">
        <f>TRIM(Procurement_Raw!G566)</f>
        <v>INV-2025-00565</v>
      </c>
      <c r="H566" s="77">
        <f>Procurement_Raw!H566</f>
        <v>23</v>
      </c>
      <c r="I566" s="124">
        <f>Procurement_Raw!I566</f>
        <v>484.02</v>
      </c>
      <c r="J566" s="125">
        <f>IF(Procurement_Raw!J566="","",Procurement_Raw!J566)</f>
        <v>11132.49</v>
      </c>
      <c r="K566" s="77">
        <f>Procurement_Raw!K566</f>
        <v>45</v>
      </c>
      <c r="L566" t="str">
        <f>Procurement_Raw!L566</f>
        <v>ERP</v>
      </c>
      <c r="M566" t="str">
        <f>Procurement_Raw!O566</f>
        <v>N</v>
      </c>
      <c r="N566" t="str">
        <f>IF(E566="","Missing supplier",IF(B566="","Missing site",IF(J566="","Missing spend",IF(COUNTIFS($G$2:G566,G566,$E$2:E566,E566,$J$2:J566,J566)&gt;1,"Duplicate invoice",IF(COUNTIF($G$2:$G$1801,G566)&gt;1,"Duplicate ID - review",IF(AND(P566&lt;&gt;"Unmapped",P566&lt;&gt;F566),"Category mismatch","OK"))))))</f>
        <v>OK</v>
      </c>
      <c r="O566" s="125">
        <f t="shared" si="24"/>
        <v>11132.49</v>
      </c>
      <c r="P566" t="str">
        <f>IF(E566="","Unmapped",IFERROR(INDEX(Supplier_Lookup!$B$2:$B$25,MATCH(E566,Supplier_Lookup!$A$2:$A$25,0)),"Unmapped"))</f>
        <v>Utilities</v>
      </c>
      <c r="Q566" s="76">
        <f>IFERROR(INDEX(Category_Targets!$B$2:$B$9,MATCH(F566,Category_Targets!$A$2:$A$9,0)),0)</f>
        <v>0.03</v>
      </c>
      <c r="R566" s="125">
        <f t="shared" si="25"/>
        <v>333.97469999999998</v>
      </c>
      <c r="S566" s="78">
        <f t="shared" si="26"/>
        <v>45809</v>
      </c>
      <c r="T566" t="str">
        <f>IFERROR(VLOOKUP(B566,Sites!$A$2:$D$21,4,FALSE()),"Unknown")</f>
        <v>Newport</v>
      </c>
      <c r="U566" t="str">
        <f>IF(N566="OK","",COUNTIF($N$2:N566,"&lt;&gt;OK"))</f>
        <v/>
      </c>
      <c r="V566">
        <f>IF(OR(NOT(EXACT(E566,TRIM(Procurement_Raw!E566))),NOT(EXACT(F566,TRIM(Procurement_Raw!F566)))),1,0)</f>
        <v>0</v>
      </c>
    </row>
    <row r="567" spans="1:22" ht="15" customHeight="1" x14ac:dyDescent="0.25">
      <c r="A567" s="123">
        <f>Procurement_Raw!A567</f>
        <v>46018</v>
      </c>
      <c r="B567" t="str">
        <f>TRIM(Procurement_Raw!B567)</f>
        <v>S007</v>
      </c>
      <c r="C567" t="str">
        <f>Procurement_Raw!C567</f>
        <v>Nottingham Care &amp; Education Centre</v>
      </c>
      <c r="D567" t="str">
        <f>Procurement_Raw!D567</f>
        <v>Midlands</v>
      </c>
      <c r="E567" t="str">
        <f>IF(TRIM(Procurement_Raw!E567)="","",IFERROR(INDEX(Supplier_Lookup!$A$2:$A$25,MATCH(TRIM(Procurement_Raw!E567),Supplier_Lookup!$A$2:$A$25,0)),TRIM(Procurement_Raw!E567)))</f>
        <v>BuildCare</v>
      </c>
      <c r="F567" t="str">
        <f>IFERROR(INDEX(Category_Targets!$A$2:$A$9,MATCH(TRIM(Procurement_Raw!F567),Category_Targets!$A$2:$A$9,0)),"Unmapped")</f>
        <v>Facilities</v>
      </c>
      <c r="G567" t="str">
        <f>TRIM(Procurement_Raw!G567)</f>
        <v>INV-2025-00566</v>
      </c>
      <c r="H567" s="77">
        <f>Procurement_Raw!H567</f>
        <v>19</v>
      </c>
      <c r="I567" s="124">
        <f>Procurement_Raw!I567</f>
        <v>143.81</v>
      </c>
      <c r="J567" s="125">
        <f>IF(Procurement_Raw!J567="","",Procurement_Raw!J567)</f>
        <v>2732.45</v>
      </c>
      <c r="K567" s="77">
        <f>Procurement_Raw!K567</f>
        <v>30</v>
      </c>
      <c r="L567" t="str">
        <f>Procurement_Raw!L567</f>
        <v>Legacy Spend File</v>
      </c>
      <c r="M567" t="str">
        <f>Procurement_Raw!O567</f>
        <v>N</v>
      </c>
      <c r="N567" t="str">
        <f>IF(E567="","Missing supplier",IF(B567="","Missing site",IF(J567="","Missing spend",IF(COUNTIFS($G$2:G567,G567,$E$2:E567,E567,$J$2:J567,J567)&gt;1,"Duplicate invoice",IF(COUNTIF($G$2:$G$1801,G567)&gt;1,"Duplicate ID - review",IF(AND(P567&lt;&gt;"Unmapped",P567&lt;&gt;F567),"Category mismatch","OK"))))))</f>
        <v>OK</v>
      </c>
      <c r="O567" s="125">
        <f t="shared" si="24"/>
        <v>2732.45</v>
      </c>
      <c r="P567" t="str">
        <f>IF(E567="","Unmapped",IFERROR(INDEX(Supplier_Lookup!$B$2:$B$25,MATCH(E567,Supplier_Lookup!$A$2:$A$25,0)),"Unmapped"))</f>
        <v>Facilities</v>
      </c>
      <c r="Q567" s="76">
        <f>IFERROR(INDEX(Category_Targets!$B$2:$B$9,MATCH(F567,Category_Targets!$A$2:$A$9,0)),0)</f>
        <v>0.05</v>
      </c>
      <c r="R567" s="125">
        <f t="shared" si="25"/>
        <v>136.6225</v>
      </c>
      <c r="S567" s="78">
        <f t="shared" si="26"/>
        <v>45992</v>
      </c>
      <c r="T567" t="str">
        <f>IFERROR(VLOOKUP(B567,Sites!$A$2:$D$21,4,FALSE()),"Unknown")</f>
        <v>Nottingham</v>
      </c>
      <c r="U567" t="str">
        <f>IF(N567="OK","",COUNTIF($N$2:N567,"&lt;&gt;OK"))</f>
        <v/>
      </c>
      <c r="V567">
        <f>IF(OR(NOT(EXACT(E567,TRIM(Procurement_Raw!E567))),NOT(EXACT(F567,TRIM(Procurement_Raw!F567)))),1,0)</f>
        <v>0</v>
      </c>
    </row>
    <row r="568" spans="1:22" ht="15" customHeight="1" x14ac:dyDescent="0.25">
      <c r="A568" s="123">
        <f>Procurement_Raw!A568</f>
        <v>46018</v>
      </c>
      <c r="B568" t="str">
        <f>TRIM(Procurement_Raw!B568)</f>
        <v>S004</v>
      </c>
      <c r="C568" t="str">
        <f>Procurement_Raw!C568</f>
        <v>Newcastle Care &amp; Education Centre</v>
      </c>
      <c r="D568" t="str">
        <f>Procurement_Raw!D568</f>
        <v>North</v>
      </c>
      <c r="E568" t="str">
        <f>IF(TRIM(Procurement_Raw!E568)="","",IFERROR(INDEX(Supplier_Lookup!$A$2:$A$25,MATCH(TRIM(Procurement_Raw!E568),Supplier_Lookup!$A$2:$A$25,0)),TRIM(Procurement_Raw!E568)))</f>
        <v>NourishCo</v>
      </c>
      <c r="F568" t="str">
        <f>IFERROR(INDEX(Category_Targets!$A$2:$A$9,MATCH(TRIM(Procurement_Raw!F568),Category_Targets!$A$2:$A$9,0)),"Unmapped")</f>
        <v>Food &amp; Catering</v>
      </c>
      <c r="G568" t="str">
        <f>TRIM(Procurement_Raw!G568)</f>
        <v>INV-2025-00567</v>
      </c>
      <c r="H568" s="77">
        <f>Procurement_Raw!H568</f>
        <v>51</v>
      </c>
      <c r="I568" s="124">
        <f>Procurement_Raw!I568</f>
        <v>21.19</v>
      </c>
      <c r="J568" s="125">
        <f>IF(Procurement_Raw!J568="","",Procurement_Raw!J568)</f>
        <v>1080.57</v>
      </c>
      <c r="K568" s="77">
        <f>Procurement_Raw!K568</f>
        <v>60</v>
      </c>
      <c r="L568" t="str">
        <f>Procurement_Raw!L568</f>
        <v>ERP</v>
      </c>
      <c r="M568" t="str">
        <f>Procurement_Raw!O568</f>
        <v>N</v>
      </c>
      <c r="N568" t="str">
        <f>IF(E568="","Missing supplier",IF(B568="","Missing site",IF(J568="","Missing spend",IF(COUNTIFS($G$2:G568,G568,$E$2:E568,E568,$J$2:J568,J568)&gt;1,"Duplicate invoice",IF(COUNTIF($G$2:$G$1801,G568)&gt;1,"Duplicate ID - review",IF(AND(P568&lt;&gt;"Unmapped",P568&lt;&gt;F568),"Category mismatch","OK"))))))</f>
        <v>OK</v>
      </c>
      <c r="O568" s="125">
        <f t="shared" si="24"/>
        <v>1080.57</v>
      </c>
      <c r="P568" t="str">
        <f>IF(E568="","Unmapped",IFERROR(INDEX(Supplier_Lookup!$B$2:$B$25,MATCH(E568,Supplier_Lookup!$A$2:$A$25,0)),"Unmapped"))</f>
        <v>Food &amp; Catering</v>
      </c>
      <c r="Q568" s="76">
        <f>IFERROR(INDEX(Category_Targets!$B$2:$B$9,MATCH(F568,Category_Targets!$A$2:$A$9,0)),0)</f>
        <v>0.04</v>
      </c>
      <c r="R568" s="125">
        <f t="shared" si="25"/>
        <v>43.222799999999999</v>
      </c>
      <c r="S568" s="78">
        <f t="shared" si="26"/>
        <v>45992</v>
      </c>
      <c r="T568" t="str">
        <f>IFERROR(VLOOKUP(B568,Sites!$A$2:$D$21,4,FALSE()),"Unknown")</f>
        <v>Newcastle</v>
      </c>
      <c r="U568" t="str">
        <f>IF(N568="OK","",COUNTIF($N$2:N568,"&lt;&gt;OK"))</f>
        <v/>
      </c>
      <c r="V568">
        <f>IF(OR(NOT(EXACT(E568,TRIM(Procurement_Raw!E568))),NOT(EXACT(F568,TRIM(Procurement_Raw!F568)))),1,0)</f>
        <v>0</v>
      </c>
    </row>
    <row r="569" spans="1:22" ht="15" customHeight="1" x14ac:dyDescent="0.25">
      <c r="A569" s="123">
        <f>Procurement_Raw!A569</f>
        <v>45727</v>
      </c>
      <c r="B569" t="str">
        <f>TRIM(Procurement_Raw!B569)</f>
        <v>S014</v>
      </c>
      <c r="C569" t="str">
        <f>Procurement_Raw!C569</f>
        <v>Southampton Care &amp; Education Centre</v>
      </c>
      <c r="D569" t="str">
        <f>Procurement_Raw!D569</f>
        <v>South</v>
      </c>
      <c r="E569" t="str">
        <f>IF(TRIM(Procurement_Raw!E569)="","",IFERROR(INDEX(Supplier_Lookup!$A$2:$A$25,MATCH(TRIM(Procurement_Raw!E569),Supplier_Lookup!$A$2:$A$25,0)),TRIM(Procurement_Raw!E569)))</f>
        <v>TeleCare IT</v>
      </c>
      <c r="F569" t="str">
        <f>IFERROR(INDEX(Category_Targets!$A$2:$A$9,MATCH(TRIM(Procurement_Raw!F569),Category_Targets!$A$2:$A$9,0)),"Unmapped")</f>
        <v>IT &amp; Telecoms</v>
      </c>
      <c r="G569" t="str">
        <f>TRIM(Procurement_Raw!G569)</f>
        <v>INV-2025-00568</v>
      </c>
      <c r="H569" s="77">
        <f>Procurement_Raw!H569</f>
        <v>21</v>
      </c>
      <c r="I569" s="124">
        <f>Procurement_Raw!I569</f>
        <v>126.37</v>
      </c>
      <c r="J569" s="125">
        <f>IF(Procurement_Raw!J569="","",Procurement_Raw!J569)</f>
        <v>2653.68</v>
      </c>
      <c r="K569" s="77">
        <f>Procurement_Raw!K569</f>
        <v>60</v>
      </c>
      <c r="L569" t="str">
        <f>Procurement_Raw!L569</f>
        <v>Procurement Portal</v>
      </c>
      <c r="M569" t="str">
        <f>Procurement_Raw!O569</f>
        <v>N</v>
      </c>
      <c r="N569" t="str">
        <f>IF(E569="","Missing supplier",IF(B569="","Missing site",IF(J569="","Missing spend",IF(COUNTIFS($G$2:G569,G569,$E$2:E569,E569,$J$2:J569,J569)&gt;1,"Duplicate invoice",IF(COUNTIF($G$2:$G$1801,G569)&gt;1,"Duplicate ID - review",IF(AND(P569&lt;&gt;"Unmapped",P569&lt;&gt;F569),"Category mismatch","OK"))))))</f>
        <v>OK</v>
      </c>
      <c r="O569" s="125">
        <f t="shared" si="24"/>
        <v>2653.68</v>
      </c>
      <c r="P569" t="str">
        <f>IF(E569="","Unmapped",IFERROR(INDEX(Supplier_Lookup!$B$2:$B$25,MATCH(E569,Supplier_Lookup!$A$2:$A$25,0)),"Unmapped"))</f>
        <v>IT &amp; Telecoms</v>
      </c>
      <c r="Q569" s="76">
        <f>IFERROR(INDEX(Category_Targets!$B$2:$B$9,MATCH(F569,Category_Targets!$A$2:$A$9,0)),0)</f>
        <v>0.08</v>
      </c>
      <c r="R569" s="125">
        <f t="shared" si="25"/>
        <v>212.2944</v>
      </c>
      <c r="S569" s="78">
        <f t="shared" si="26"/>
        <v>45717</v>
      </c>
      <c r="T569" t="str">
        <f>IFERROR(VLOOKUP(B569,Sites!$A$2:$D$21,4,FALSE()),"Unknown")</f>
        <v>Southampton</v>
      </c>
      <c r="U569" t="str">
        <f>IF(N569="OK","",COUNTIF($N$2:N569,"&lt;&gt;OK"))</f>
        <v/>
      </c>
      <c r="V569">
        <f>IF(OR(NOT(EXACT(E569,TRIM(Procurement_Raw!E569))),NOT(EXACT(F569,TRIM(Procurement_Raw!F569)))),1,0)</f>
        <v>0</v>
      </c>
    </row>
    <row r="570" spans="1:22" ht="15" customHeight="1" x14ac:dyDescent="0.25">
      <c r="A570" s="123">
        <f>Procurement_Raw!A570</f>
        <v>45820</v>
      </c>
      <c r="B570" t="str">
        <f>TRIM(Procurement_Raw!B570)</f>
        <v>S008</v>
      </c>
      <c r="C570" t="str">
        <f>Procurement_Raw!C570</f>
        <v>Leicester Care &amp; Education Centre</v>
      </c>
      <c r="D570" t="str">
        <f>Procurement_Raw!D570</f>
        <v>Midlands</v>
      </c>
      <c r="E570" t="str">
        <f>IF(TRIM(Procurement_Raw!E570)="","",IFERROR(INDEX(Supplier_Lookup!$A$2:$A$25,MATCH(TRIM(Procurement_Raw!E570),Supplier_Lookup!$A$2:$A$25,0)),TRIM(Procurement_Raw!E570)))</f>
        <v>PrintCo</v>
      </c>
      <c r="F570" t="str">
        <f>IFERROR(INDEX(Category_Targets!$A$2:$A$9,MATCH(TRIM(Procurement_Raw!F570),Category_Targets!$A$2:$A$9,0)),"Unmapped")</f>
        <v>Office &amp; Training</v>
      </c>
      <c r="G570" t="str">
        <f>TRIM(Procurement_Raw!G570)</f>
        <v>INV-2025-00569</v>
      </c>
      <c r="H570" s="77">
        <f>Procurement_Raw!H570</f>
        <v>23</v>
      </c>
      <c r="I570" s="124">
        <f>Procurement_Raw!I570</f>
        <v>26.8</v>
      </c>
      <c r="J570" s="125">
        <f>IF(Procurement_Raw!J570="","",Procurement_Raw!J570)</f>
        <v>616.49</v>
      </c>
      <c r="K570" s="77">
        <f>Procurement_Raw!K570</f>
        <v>60</v>
      </c>
      <c r="L570" t="str">
        <f>Procurement_Raw!L570</f>
        <v>Legacy Spend File</v>
      </c>
      <c r="M570" t="str">
        <f>Procurement_Raw!O570</f>
        <v>N</v>
      </c>
      <c r="N570" t="str">
        <f>IF(E570="","Missing supplier",IF(B570="","Missing site",IF(J570="","Missing spend",IF(COUNTIFS($G$2:G570,G570,$E$2:E570,E570,$J$2:J570,J570)&gt;1,"Duplicate invoice",IF(COUNTIF($G$2:$G$1801,G570)&gt;1,"Duplicate ID - review",IF(AND(P570&lt;&gt;"Unmapped",P570&lt;&gt;F570),"Category mismatch","OK"))))))</f>
        <v>OK</v>
      </c>
      <c r="O570" s="125">
        <f t="shared" si="24"/>
        <v>616.49</v>
      </c>
      <c r="P570" t="str">
        <f>IF(E570="","Unmapped",IFERROR(INDEX(Supplier_Lookup!$B$2:$B$25,MATCH(E570,Supplier_Lookup!$A$2:$A$25,0)),"Unmapped"))</f>
        <v>Office &amp; Training</v>
      </c>
      <c r="Q570" s="76">
        <f>IFERROR(INDEX(Category_Targets!$B$2:$B$9,MATCH(F570,Category_Targets!$A$2:$A$9,0)),0)</f>
        <v>0.04</v>
      </c>
      <c r="R570" s="125">
        <f t="shared" si="25"/>
        <v>24.659600000000001</v>
      </c>
      <c r="S570" s="78">
        <f t="shared" si="26"/>
        <v>45809</v>
      </c>
      <c r="T570" t="str">
        <f>IFERROR(VLOOKUP(B570,Sites!$A$2:$D$21,4,FALSE()),"Unknown")</f>
        <v>Leicester</v>
      </c>
      <c r="U570" t="str">
        <f>IF(N570="OK","",COUNTIF($N$2:N570,"&lt;&gt;OK"))</f>
        <v/>
      </c>
      <c r="V570">
        <f>IF(OR(NOT(EXACT(E570,TRIM(Procurement_Raw!E570))),NOT(EXACT(F570,TRIM(Procurement_Raw!F570)))),1,0)</f>
        <v>0</v>
      </c>
    </row>
    <row r="571" spans="1:22" ht="15" customHeight="1" x14ac:dyDescent="0.25">
      <c r="A571" s="123">
        <f>Procurement_Raw!A571</f>
        <v>45998</v>
      </c>
      <c r="B571" t="str">
        <f>TRIM(Procurement_Raw!B571)</f>
        <v>S019</v>
      </c>
      <c r="C571" t="str">
        <f>Procurement_Raw!C571</f>
        <v>Wrexham Care &amp; Education Centre</v>
      </c>
      <c r="D571" t="str">
        <f>Procurement_Raw!D571</f>
        <v>Wales</v>
      </c>
      <c r="E571" t="str">
        <f>IF(TRIM(Procurement_Raw!E571)="","",IFERROR(INDEX(Supplier_Lookup!$A$2:$A$25,MATCH(TRIM(Procurement_Raw!E571),Supplier_Lookup!$A$2:$A$25,0)),TRIM(Procurement_Raw!E571)))</f>
        <v>FleetFuel</v>
      </c>
      <c r="F571" t="str">
        <f>IFERROR(INDEX(Category_Targets!$A$2:$A$9,MATCH(TRIM(Procurement_Raw!F571),Category_Targets!$A$2:$A$9,0)),"Unmapped")</f>
        <v>Vehicle &amp; Fuel</v>
      </c>
      <c r="G571" t="str">
        <f>TRIM(Procurement_Raw!G571)</f>
        <v>INV-2025-00570</v>
      </c>
      <c r="H571" s="77">
        <f>Procurement_Raw!H571</f>
        <v>76</v>
      </c>
      <c r="I571" s="124">
        <f>Procurement_Raw!I571</f>
        <v>78.3</v>
      </c>
      <c r="J571" s="125">
        <f>IF(Procurement_Raw!J571="","",Procurement_Raw!J571)</f>
        <v>5950.78</v>
      </c>
      <c r="K571" s="77">
        <f>Procurement_Raw!K571</f>
        <v>30</v>
      </c>
      <c r="L571" t="str">
        <f>Procurement_Raw!L571</f>
        <v>Procurement Portal</v>
      </c>
      <c r="M571" t="str">
        <f>Procurement_Raw!O571</f>
        <v>Y</v>
      </c>
      <c r="N571" t="str">
        <f>IF(E571="","Missing supplier",IF(B571="","Missing site",IF(J571="","Missing spend",IF(COUNTIFS($G$2:G571,G571,$E$2:E571,E571,$J$2:J571,J571)&gt;1,"Duplicate invoice",IF(COUNTIF($G$2:$G$1801,G571)&gt;1,"Duplicate ID - review",IF(AND(P571&lt;&gt;"Unmapped",P571&lt;&gt;F571),"Category mismatch","OK"))))))</f>
        <v>OK</v>
      </c>
      <c r="O571" s="125">
        <f t="shared" si="24"/>
        <v>5950.78</v>
      </c>
      <c r="P571" t="str">
        <f>IF(E571="","Unmapped",IFERROR(INDEX(Supplier_Lookup!$B$2:$B$25,MATCH(E571,Supplier_Lookup!$A$2:$A$25,0)),"Unmapped"))</f>
        <v>Vehicle &amp; Fuel</v>
      </c>
      <c r="Q571" s="76">
        <f>IFERROR(INDEX(Category_Targets!$B$2:$B$9,MATCH(F571,Category_Targets!$A$2:$A$9,0)),0)</f>
        <v>0.05</v>
      </c>
      <c r="R571" s="125">
        <f t="shared" si="25"/>
        <v>297.53899999999999</v>
      </c>
      <c r="S571" s="78">
        <f t="shared" si="26"/>
        <v>45992</v>
      </c>
      <c r="T571" t="str">
        <f>IFERROR(VLOOKUP(B571,Sites!$A$2:$D$21,4,FALSE()),"Unknown")</f>
        <v>Wrexham</v>
      </c>
      <c r="U571" t="str">
        <f>IF(N571="OK","",COUNTIF($N$2:N571,"&lt;&gt;OK"))</f>
        <v/>
      </c>
      <c r="V571">
        <f>IF(OR(NOT(EXACT(E571,TRIM(Procurement_Raw!E571))),NOT(EXACT(F571,TRIM(Procurement_Raw!F571)))),1,0)</f>
        <v>0</v>
      </c>
    </row>
    <row r="572" spans="1:22" ht="15" customHeight="1" x14ac:dyDescent="0.25">
      <c r="A572" s="123">
        <f>Procurement_Raw!A572</f>
        <v>45748</v>
      </c>
      <c r="B572" t="str">
        <f>TRIM(Procurement_Raw!B572)</f>
        <v>S005</v>
      </c>
      <c r="C572" t="str">
        <f>Procurement_Raw!C572</f>
        <v>Sheffield Care &amp; Education Centre</v>
      </c>
      <c r="D572" t="str">
        <f>Procurement_Raw!D572</f>
        <v>North</v>
      </c>
      <c r="E572" t="str">
        <f>IF(TRIM(Procurement_Raw!E572)="","",IFERROR(INDEX(Supplier_Lookup!$A$2:$A$25,MATCH(TRIM(Procurement_Raw!E572),Supplier_Lookup!$A$2:$A$25,0)),TRIM(Procurement_Raw!E572)))</f>
        <v>CloudLink</v>
      </c>
      <c r="F572" t="str">
        <f>IFERROR(INDEX(Category_Targets!$A$2:$A$9,MATCH(TRIM(Procurement_Raw!F572),Category_Targets!$A$2:$A$9,0)),"Unmapped")</f>
        <v>IT &amp; Telecoms</v>
      </c>
      <c r="G572" t="str">
        <f>TRIM(Procurement_Raw!G572)</f>
        <v>INV-2025-00571</v>
      </c>
      <c r="H572" s="77">
        <f>Procurement_Raw!H572</f>
        <v>1</v>
      </c>
      <c r="I572" s="124">
        <f>Procurement_Raw!I572</f>
        <v>222.24</v>
      </c>
      <c r="J572" s="125">
        <f>IF(Procurement_Raw!J572="","",Procurement_Raw!J572)</f>
        <v>222.24</v>
      </c>
      <c r="K572" s="77">
        <f>Procurement_Raw!K572</f>
        <v>60</v>
      </c>
      <c r="L572" t="str">
        <f>Procurement_Raw!L572</f>
        <v>Legacy Spend File</v>
      </c>
      <c r="M572" t="str">
        <f>Procurement_Raw!O572</f>
        <v>Y</v>
      </c>
      <c r="N572" t="str">
        <f>IF(E572="","Missing supplier",IF(B572="","Missing site",IF(J572="","Missing spend",IF(COUNTIFS($G$2:G572,G572,$E$2:E572,E572,$J$2:J572,J572)&gt;1,"Duplicate invoice",IF(COUNTIF($G$2:$G$1801,G572)&gt;1,"Duplicate ID - review",IF(AND(P572&lt;&gt;"Unmapped",P572&lt;&gt;F572),"Category mismatch","OK"))))))</f>
        <v>OK</v>
      </c>
      <c r="O572" s="125">
        <f t="shared" si="24"/>
        <v>222.24</v>
      </c>
      <c r="P572" t="str">
        <f>IF(E572="","Unmapped",IFERROR(INDEX(Supplier_Lookup!$B$2:$B$25,MATCH(E572,Supplier_Lookup!$A$2:$A$25,0)),"Unmapped"))</f>
        <v>IT &amp; Telecoms</v>
      </c>
      <c r="Q572" s="76">
        <f>IFERROR(INDEX(Category_Targets!$B$2:$B$9,MATCH(F572,Category_Targets!$A$2:$A$9,0)),0)</f>
        <v>0.08</v>
      </c>
      <c r="R572" s="125">
        <f t="shared" si="25"/>
        <v>17.779199999999999</v>
      </c>
      <c r="S572" s="78">
        <f t="shared" si="26"/>
        <v>45748</v>
      </c>
      <c r="T572" t="str">
        <f>IFERROR(VLOOKUP(B572,Sites!$A$2:$D$21,4,FALSE()),"Unknown")</f>
        <v>Sheffield</v>
      </c>
      <c r="U572" t="str">
        <f>IF(N572="OK","",COUNTIF($N$2:N572,"&lt;&gt;OK"))</f>
        <v/>
      </c>
      <c r="V572">
        <f>IF(OR(NOT(EXACT(E572,TRIM(Procurement_Raw!E572))),NOT(EXACT(F572,TRIM(Procurement_Raw!F572)))),1,0)</f>
        <v>0</v>
      </c>
    </row>
    <row r="573" spans="1:22" ht="15" customHeight="1" x14ac:dyDescent="0.25">
      <c r="A573" s="123">
        <f>Procurement_Raw!A573</f>
        <v>45966</v>
      </c>
      <c r="B573" t="str">
        <f>TRIM(Procurement_Raw!B573)</f>
        <v>S020</v>
      </c>
      <c r="C573" t="str">
        <f>Procurement_Raw!C573</f>
        <v>Bangor Care &amp; Education Centre</v>
      </c>
      <c r="D573" t="str">
        <f>Procurement_Raw!D573</f>
        <v>Wales</v>
      </c>
      <c r="E573" t="str">
        <f>IF(TRIM(Procurement_Raw!E573)="","",IFERROR(INDEX(Supplier_Lookup!$A$2:$A$25,MATCH(TRIM(Procurement_Raw!E573),Supplier_Lookup!$A$2:$A$25,0)),TRIM(Procurement_Raw!E573)))</f>
        <v>MediSure</v>
      </c>
      <c r="F573" t="str">
        <f>IFERROR(INDEX(Category_Targets!$A$2:$A$9,MATCH(TRIM(Procurement_Raw!F573),Category_Targets!$A$2:$A$9,0)),"Unmapped")</f>
        <v>Medical Supplies</v>
      </c>
      <c r="G573" t="str">
        <f>TRIM(Procurement_Raw!G573)</f>
        <v>INV-2025-00572</v>
      </c>
      <c r="H573" s="77">
        <f>Procurement_Raw!H573</f>
        <v>41</v>
      </c>
      <c r="I573" s="124">
        <f>Procurement_Raw!I573</f>
        <v>301.73</v>
      </c>
      <c r="J573" s="125">
        <f>IF(Procurement_Raw!J573="","",Procurement_Raw!J573)</f>
        <v>12370.93</v>
      </c>
      <c r="K573" s="77">
        <f>Procurement_Raw!K573</f>
        <v>60</v>
      </c>
      <c r="L573" t="str">
        <f>Procurement_Raw!L573</f>
        <v>ERP</v>
      </c>
      <c r="M573" t="str">
        <f>Procurement_Raw!O573</f>
        <v>Y</v>
      </c>
      <c r="N573" t="str">
        <f>IF(E573="","Missing supplier",IF(B573="","Missing site",IF(J573="","Missing spend",IF(COUNTIFS($G$2:G573,G573,$E$2:E573,E573,$J$2:J573,J573)&gt;1,"Duplicate invoice",IF(COUNTIF($G$2:$G$1801,G573)&gt;1,"Duplicate ID - review",IF(AND(P573&lt;&gt;"Unmapped",P573&lt;&gt;F573),"Category mismatch","OK"))))))</f>
        <v>OK</v>
      </c>
      <c r="O573" s="125">
        <f t="shared" si="24"/>
        <v>12370.93</v>
      </c>
      <c r="P573" t="str">
        <f>IF(E573="","Unmapped",IFERROR(INDEX(Supplier_Lookup!$B$2:$B$25,MATCH(E573,Supplier_Lookup!$A$2:$A$25,0)),"Unmapped"))</f>
        <v>Medical Supplies</v>
      </c>
      <c r="Q573" s="76">
        <f>IFERROR(INDEX(Category_Targets!$B$2:$B$9,MATCH(F573,Category_Targets!$A$2:$A$9,0)),0)</f>
        <v>0.06</v>
      </c>
      <c r="R573" s="125">
        <f t="shared" si="25"/>
        <v>742.25580000000002</v>
      </c>
      <c r="S573" s="78">
        <f t="shared" si="26"/>
        <v>45962</v>
      </c>
      <c r="T573" t="str">
        <f>IFERROR(VLOOKUP(B573,Sites!$A$2:$D$21,4,FALSE()),"Unknown")</f>
        <v>Bangor</v>
      </c>
      <c r="U573" t="str">
        <f>IF(N573="OK","",COUNTIF($N$2:N573,"&lt;&gt;OK"))</f>
        <v/>
      </c>
      <c r="V573">
        <f>IF(OR(NOT(EXACT(E573,TRIM(Procurement_Raw!E573))),NOT(EXACT(F573,TRIM(Procurement_Raw!F573)))),1,0)</f>
        <v>0</v>
      </c>
    </row>
    <row r="574" spans="1:22" ht="15" customHeight="1" x14ac:dyDescent="0.25">
      <c r="A574" s="123">
        <f>Procurement_Raw!A574</f>
        <v>45730</v>
      </c>
      <c r="B574" t="str">
        <f>TRIM(Procurement_Raw!B574)</f>
        <v>S010</v>
      </c>
      <c r="C574" t="str">
        <f>Procurement_Raw!C574</f>
        <v>Coventry Care &amp; Education Centre</v>
      </c>
      <c r="D574" t="str">
        <f>Procurement_Raw!D574</f>
        <v>Midlands</v>
      </c>
      <c r="E574" t="str">
        <f>IF(TRIM(Procurement_Raw!E574)="","",IFERROR(INDEX(Supplier_Lookup!$A$2:$A$25,MATCH(TRIM(Procurement_Raw!E574),Supplier_Lookup!$A$2:$A$25,0)),TRIM(Procurement_Raw!E574)))</f>
        <v>NourishCo</v>
      </c>
      <c r="F574" t="str">
        <f>IFERROR(INDEX(Category_Targets!$A$2:$A$9,MATCH(TRIM(Procurement_Raw!F574),Category_Targets!$A$2:$A$9,0)),"Unmapped")</f>
        <v>Food &amp; Catering</v>
      </c>
      <c r="G574" t="str">
        <f>TRIM(Procurement_Raw!G574)</f>
        <v>INV-2025-00573</v>
      </c>
      <c r="H574" s="77">
        <f>Procurement_Raw!H574</f>
        <v>43</v>
      </c>
      <c r="I574" s="124">
        <f>Procurement_Raw!I574</f>
        <v>77.8</v>
      </c>
      <c r="J574" s="125">
        <f>IF(Procurement_Raw!J574="","",Procurement_Raw!J574)</f>
        <v>3345.59</v>
      </c>
      <c r="K574" s="77">
        <f>Procurement_Raw!K574</f>
        <v>60</v>
      </c>
      <c r="L574" t="str">
        <f>Procurement_Raw!L574</f>
        <v>ERP</v>
      </c>
      <c r="M574" t="str">
        <f>Procurement_Raw!O574</f>
        <v>N</v>
      </c>
      <c r="N574" t="str">
        <f>IF(E574="","Missing supplier",IF(B574="","Missing site",IF(J574="","Missing spend",IF(COUNTIFS($G$2:G574,G574,$E$2:E574,E574,$J$2:J574,J574)&gt;1,"Duplicate invoice",IF(COUNTIF($G$2:$G$1801,G574)&gt;1,"Duplicate ID - review",IF(AND(P574&lt;&gt;"Unmapped",P574&lt;&gt;F574),"Category mismatch","OK"))))))</f>
        <v>OK</v>
      </c>
      <c r="O574" s="125">
        <f t="shared" si="24"/>
        <v>3345.59</v>
      </c>
      <c r="P574" t="str">
        <f>IF(E574="","Unmapped",IFERROR(INDEX(Supplier_Lookup!$B$2:$B$25,MATCH(E574,Supplier_Lookup!$A$2:$A$25,0)),"Unmapped"))</f>
        <v>Food &amp; Catering</v>
      </c>
      <c r="Q574" s="76">
        <f>IFERROR(INDEX(Category_Targets!$B$2:$B$9,MATCH(F574,Category_Targets!$A$2:$A$9,0)),0)</f>
        <v>0.04</v>
      </c>
      <c r="R574" s="125">
        <f t="shared" si="25"/>
        <v>133.8236</v>
      </c>
      <c r="S574" s="78">
        <f t="shared" si="26"/>
        <v>45717</v>
      </c>
      <c r="T574" t="str">
        <f>IFERROR(VLOOKUP(B574,Sites!$A$2:$D$21,4,FALSE()),"Unknown")</f>
        <v>Coventry</v>
      </c>
      <c r="U574" t="str">
        <f>IF(N574="OK","",COUNTIF($N$2:N574,"&lt;&gt;OK"))</f>
        <v/>
      </c>
      <c r="V574">
        <f>IF(OR(NOT(EXACT(E574,TRIM(Procurement_Raw!E574))),NOT(EXACT(F574,TRIM(Procurement_Raw!F574)))),1,0)</f>
        <v>0</v>
      </c>
    </row>
    <row r="575" spans="1:22" ht="15" customHeight="1" x14ac:dyDescent="0.25">
      <c r="A575" s="123">
        <f>Procurement_Raw!A575</f>
        <v>45743</v>
      </c>
      <c r="B575" t="str">
        <f>TRIM(Procurement_Raw!B575)</f>
        <v>S001</v>
      </c>
      <c r="C575" t="str">
        <f>Procurement_Raw!C575</f>
        <v>Preston Care &amp; Education Centre</v>
      </c>
      <c r="D575" t="str">
        <f>Procurement_Raw!D575</f>
        <v>North</v>
      </c>
      <c r="E575" t="str">
        <f>IF(TRIM(Procurement_Raw!E575)="","",IFERROR(INDEX(Supplier_Lookup!$A$2:$A$25,MATCH(TRIM(Procurement_Raw!E575),Supplier_Lookup!$A$2:$A$25,0)),TRIM(Procurement_Raw!E575)))</f>
        <v>RoadReady</v>
      </c>
      <c r="F575" t="str">
        <f>IFERROR(INDEX(Category_Targets!$A$2:$A$9,MATCH(TRIM(Procurement_Raw!F575),Category_Targets!$A$2:$A$9,0)),"Unmapped")</f>
        <v>Vehicle &amp; Fuel</v>
      </c>
      <c r="G575" t="str">
        <f>TRIM(Procurement_Raw!G575)</f>
        <v>INV-2025-00574</v>
      </c>
      <c r="H575" s="77">
        <f>Procurement_Raw!H575</f>
        <v>12</v>
      </c>
      <c r="I575" s="124">
        <f>Procurement_Raw!I575</f>
        <v>84.21</v>
      </c>
      <c r="J575" s="125">
        <f>IF(Procurement_Raw!J575="","",Procurement_Raw!J575)</f>
        <v>1010.58</v>
      </c>
      <c r="K575" s="77">
        <f>Procurement_Raw!K575</f>
        <v>60</v>
      </c>
      <c r="L575" t="str">
        <f>Procurement_Raw!L575</f>
        <v>Legacy Spend File</v>
      </c>
      <c r="M575" t="str">
        <f>Procurement_Raw!O575</f>
        <v>N</v>
      </c>
      <c r="N575" t="str">
        <f>IF(E575="","Missing supplier",IF(B575="","Missing site",IF(J575="","Missing spend",IF(COUNTIFS($G$2:G575,G575,$E$2:E575,E575,$J$2:J575,J575)&gt;1,"Duplicate invoice",IF(COUNTIF($G$2:$G$1801,G575)&gt;1,"Duplicate ID - review",IF(AND(P575&lt;&gt;"Unmapped",P575&lt;&gt;F575),"Category mismatch","OK"))))))</f>
        <v>OK</v>
      </c>
      <c r="O575" s="125">
        <f t="shared" si="24"/>
        <v>1010.58</v>
      </c>
      <c r="P575" t="str">
        <f>IF(E575="","Unmapped",IFERROR(INDEX(Supplier_Lookup!$B$2:$B$25,MATCH(E575,Supplier_Lookup!$A$2:$A$25,0)),"Unmapped"))</f>
        <v>Vehicle &amp; Fuel</v>
      </c>
      <c r="Q575" s="76">
        <f>IFERROR(INDEX(Category_Targets!$B$2:$B$9,MATCH(F575,Category_Targets!$A$2:$A$9,0)),0)</f>
        <v>0.05</v>
      </c>
      <c r="R575" s="125">
        <f t="shared" si="25"/>
        <v>50.529000000000003</v>
      </c>
      <c r="S575" s="78">
        <f t="shared" si="26"/>
        <v>45717</v>
      </c>
      <c r="T575" t="str">
        <f>IFERROR(VLOOKUP(B575,Sites!$A$2:$D$21,4,FALSE()),"Unknown")</f>
        <v>Preston</v>
      </c>
      <c r="U575" t="str">
        <f>IF(N575="OK","",COUNTIF($N$2:N575,"&lt;&gt;OK"))</f>
        <v/>
      </c>
      <c r="V575">
        <f>IF(OR(NOT(EXACT(E575,TRIM(Procurement_Raw!E575))),NOT(EXACT(F575,TRIM(Procurement_Raw!F575)))),1,0)</f>
        <v>0</v>
      </c>
    </row>
    <row r="576" spans="1:22" ht="15" customHeight="1" x14ac:dyDescent="0.25">
      <c r="A576" s="123">
        <f>Procurement_Raw!A576</f>
        <v>45663</v>
      </c>
      <c r="B576" t="str">
        <f>TRIM(Procurement_Raw!B576)</f>
        <v>S002</v>
      </c>
      <c r="C576" t="str">
        <f>Procurement_Raw!C576</f>
        <v>Manchester Care &amp; Education Centre</v>
      </c>
      <c r="D576" t="str">
        <f>Procurement_Raw!D576</f>
        <v>North</v>
      </c>
      <c r="E576" t="str">
        <f>IF(TRIM(Procurement_Raw!E576)="","",IFERROR(INDEX(Supplier_Lookup!$A$2:$A$25,MATCH(TRIM(Procurement_Raw!E576),Supplier_Lookup!$A$2:$A$25,0)),TRIM(Procurement_Raw!E576)))</f>
        <v>RoadReady</v>
      </c>
      <c r="F576" t="str">
        <f>IFERROR(INDEX(Category_Targets!$A$2:$A$9,MATCH(TRIM(Procurement_Raw!F576),Category_Targets!$A$2:$A$9,0)),"Unmapped")</f>
        <v>Vehicle &amp; Fuel</v>
      </c>
      <c r="G576" t="str">
        <f>TRIM(Procurement_Raw!G576)</f>
        <v>INV-2025-00575</v>
      </c>
      <c r="H576" s="77">
        <f>Procurement_Raw!H576</f>
        <v>34</v>
      </c>
      <c r="I576" s="124">
        <f>Procurement_Raw!I576</f>
        <v>149.91</v>
      </c>
      <c r="J576" s="125">
        <f>IF(Procurement_Raw!J576="","",Procurement_Raw!J576)</f>
        <v>5097.0200000000004</v>
      </c>
      <c r="K576" s="77">
        <f>Procurement_Raw!K576</f>
        <v>30</v>
      </c>
      <c r="L576" t="str">
        <f>Procurement_Raw!L576</f>
        <v>ERP</v>
      </c>
      <c r="M576" t="str">
        <f>Procurement_Raw!O576</f>
        <v>N</v>
      </c>
      <c r="N576" t="str">
        <f>IF(E576="","Missing supplier",IF(B576="","Missing site",IF(J576="","Missing spend",IF(COUNTIFS($G$2:G576,G576,$E$2:E576,E576,$J$2:J576,J576)&gt;1,"Duplicate invoice",IF(COUNTIF($G$2:$G$1801,G576)&gt;1,"Duplicate ID - review",IF(AND(P576&lt;&gt;"Unmapped",P576&lt;&gt;F576),"Category mismatch","OK"))))))</f>
        <v>OK</v>
      </c>
      <c r="O576" s="125">
        <f t="shared" si="24"/>
        <v>5097.0200000000004</v>
      </c>
      <c r="P576" t="str">
        <f>IF(E576="","Unmapped",IFERROR(INDEX(Supplier_Lookup!$B$2:$B$25,MATCH(E576,Supplier_Lookup!$A$2:$A$25,0)),"Unmapped"))</f>
        <v>Vehicle &amp; Fuel</v>
      </c>
      <c r="Q576" s="76">
        <f>IFERROR(INDEX(Category_Targets!$B$2:$B$9,MATCH(F576,Category_Targets!$A$2:$A$9,0)),0)</f>
        <v>0.05</v>
      </c>
      <c r="R576" s="125">
        <f t="shared" si="25"/>
        <v>254.85100000000003</v>
      </c>
      <c r="S576" s="78">
        <f t="shared" si="26"/>
        <v>45658</v>
      </c>
      <c r="T576" t="str">
        <f>IFERROR(VLOOKUP(B576,Sites!$A$2:$D$21,4,FALSE()),"Unknown")</f>
        <v>Manchester</v>
      </c>
      <c r="U576" t="str">
        <f>IF(N576="OK","",COUNTIF($N$2:N576,"&lt;&gt;OK"))</f>
        <v/>
      </c>
      <c r="V576">
        <f>IF(OR(NOT(EXACT(E576,TRIM(Procurement_Raw!E576))),NOT(EXACT(F576,TRIM(Procurement_Raw!F576)))),1,0)</f>
        <v>0</v>
      </c>
    </row>
    <row r="577" spans="1:22" ht="15" customHeight="1" x14ac:dyDescent="0.25">
      <c r="A577" s="123">
        <f>Procurement_Raw!A577</f>
        <v>45789</v>
      </c>
      <c r="B577" t="str">
        <f>TRIM(Procurement_Raw!B577)</f>
        <v>S006</v>
      </c>
      <c r="C577" t="str">
        <f>Procurement_Raw!C577</f>
        <v>Birmingham Care &amp; Education Centre</v>
      </c>
      <c r="D577" t="str">
        <f>Procurement_Raw!D577</f>
        <v>Midlands</v>
      </c>
      <c r="E577" t="str">
        <f>IF(TRIM(Procurement_Raw!E577)="","",IFERROR(INDEX(Supplier_Lookup!$A$2:$A$25,MATCH(TRIM(Procurement_Raw!E577),Supplier_Lookup!$A$2:$A$25,0)),TRIM(Procurement_Raw!E577)))</f>
        <v>NourishCo</v>
      </c>
      <c r="F577" t="str">
        <f>IFERROR(INDEX(Category_Targets!$A$2:$A$9,MATCH(TRIM(Procurement_Raw!F577),Category_Targets!$A$2:$A$9,0)),"Unmapped")</f>
        <v>Food &amp; Catering</v>
      </c>
      <c r="G577" t="str">
        <f>TRIM(Procurement_Raw!G577)</f>
        <v>INV-2025-00576</v>
      </c>
      <c r="H577" s="77">
        <f>Procurement_Raw!H577</f>
        <v>14</v>
      </c>
      <c r="I577" s="124">
        <f>Procurement_Raw!I577</f>
        <v>19.260000000000002</v>
      </c>
      <c r="J577" s="125">
        <f>IF(Procurement_Raw!J577="","",Procurement_Raw!J577)</f>
        <v>269.7</v>
      </c>
      <c r="K577" s="77">
        <f>Procurement_Raw!K577</f>
        <v>60</v>
      </c>
      <c r="L577" t="str">
        <f>Procurement_Raw!L577</f>
        <v>ERP</v>
      </c>
      <c r="M577" t="str">
        <f>Procurement_Raw!O577</f>
        <v>N</v>
      </c>
      <c r="N577" t="str">
        <f>IF(E577="","Missing supplier",IF(B577="","Missing site",IF(J577="","Missing spend",IF(COUNTIFS($G$2:G577,G577,$E$2:E577,E577,$J$2:J577,J577)&gt;1,"Duplicate invoice",IF(COUNTIF($G$2:$G$1801,G577)&gt;1,"Duplicate ID - review",IF(AND(P577&lt;&gt;"Unmapped",P577&lt;&gt;F577),"Category mismatch","OK"))))))</f>
        <v>OK</v>
      </c>
      <c r="O577" s="125">
        <f t="shared" si="24"/>
        <v>269.7</v>
      </c>
      <c r="P577" t="str">
        <f>IF(E577="","Unmapped",IFERROR(INDEX(Supplier_Lookup!$B$2:$B$25,MATCH(E577,Supplier_Lookup!$A$2:$A$25,0)),"Unmapped"))</f>
        <v>Food &amp; Catering</v>
      </c>
      <c r="Q577" s="76">
        <f>IFERROR(INDEX(Category_Targets!$B$2:$B$9,MATCH(F577,Category_Targets!$A$2:$A$9,0)),0)</f>
        <v>0.04</v>
      </c>
      <c r="R577" s="125">
        <f t="shared" si="25"/>
        <v>10.788</v>
      </c>
      <c r="S577" s="78">
        <f t="shared" si="26"/>
        <v>45778</v>
      </c>
      <c r="T577" t="str">
        <f>IFERROR(VLOOKUP(B577,Sites!$A$2:$D$21,4,FALSE()),"Unknown")</f>
        <v>Birmingham</v>
      </c>
      <c r="U577" t="str">
        <f>IF(N577="OK","",COUNTIF($N$2:N577,"&lt;&gt;OK"))</f>
        <v/>
      </c>
      <c r="V577">
        <f>IF(OR(NOT(EXACT(E577,TRIM(Procurement_Raw!E577))),NOT(EXACT(F577,TRIM(Procurement_Raw!F577)))),1,0)</f>
        <v>0</v>
      </c>
    </row>
    <row r="578" spans="1:22" ht="15" customHeight="1" x14ac:dyDescent="0.25">
      <c r="A578" s="123">
        <f>Procurement_Raw!A578</f>
        <v>45872</v>
      </c>
      <c r="B578" t="str">
        <f>TRIM(Procurement_Raw!B578)</f>
        <v>S018</v>
      </c>
      <c r="C578" t="str">
        <f>Procurement_Raw!C578</f>
        <v>Newport Care &amp; Education Centre</v>
      </c>
      <c r="D578" t="str">
        <f>Procurement_Raw!D578</f>
        <v>Wales</v>
      </c>
      <c r="E578" t="str">
        <f>IF(TRIM(Procurement_Raw!E578)="","",IFERROR(INDEX(Supplier_Lookup!$A$2:$A$25,MATCH(TRIM(Procurement_Raw!E578),Supplier_Lookup!$A$2:$A$25,0)),TRIM(Procurement_Raw!E578)))</f>
        <v>CareTemps</v>
      </c>
      <c r="F578" t="str">
        <f>IFERROR(INDEX(Category_Targets!$A$2:$A$9,MATCH(TRIM(Procurement_Raw!F578),Category_Targets!$A$2:$A$9,0)),"Unmapped")</f>
        <v>Agency Labour</v>
      </c>
      <c r="G578" t="str">
        <f>TRIM(Procurement_Raw!G578)</f>
        <v>INV-2025-00577</v>
      </c>
      <c r="H578" s="77">
        <f>Procurement_Raw!H578</f>
        <v>22</v>
      </c>
      <c r="I578" s="124">
        <f>Procurement_Raw!I578</f>
        <v>341.51</v>
      </c>
      <c r="J578" s="125">
        <f>IF(Procurement_Raw!J578="","",Procurement_Raw!J578)</f>
        <v>7513.17</v>
      </c>
      <c r="K578" s="77">
        <f>Procurement_Raw!K578</f>
        <v>45</v>
      </c>
      <c r="L578" t="str">
        <f>Procurement_Raw!L578</f>
        <v>Procurement Portal</v>
      </c>
      <c r="M578" t="str">
        <f>Procurement_Raw!O578</f>
        <v>N</v>
      </c>
      <c r="N578" t="str">
        <f>IF(E578="","Missing supplier",IF(B578="","Missing site",IF(J578="","Missing spend",IF(COUNTIFS($G$2:G578,G578,$E$2:E578,E578,$J$2:J578,J578)&gt;1,"Duplicate invoice",IF(COUNTIF($G$2:$G$1801,G578)&gt;1,"Duplicate ID - review",IF(AND(P578&lt;&gt;"Unmapped",P578&lt;&gt;F578),"Category mismatch","OK"))))))</f>
        <v>OK</v>
      </c>
      <c r="O578" s="125">
        <f t="shared" ref="O578:O641" si="27">IF(OR(N578="Missing spend",N578="Duplicate invoice"),0,J578)</f>
        <v>7513.17</v>
      </c>
      <c r="P578" t="str">
        <f>IF(E578="","Unmapped",IFERROR(INDEX(Supplier_Lookup!$B$2:$B$25,MATCH(E578,Supplier_Lookup!$A$2:$A$25,0)),"Unmapped"))</f>
        <v>Agency Labour</v>
      </c>
      <c r="Q578" s="76">
        <f>IFERROR(INDEX(Category_Targets!$B$2:$B$9,MATCH(F578,Category_Targets!$A$2:$A$9,0)),0)</f>
        <v>7.0000000000000007E-2</v>
      </c>
      <c r="R578" s="125">
        <f t="shared" ref="R578:R641" si="28">O578*Q578</f>
        <v>525.92190000000005</v>
      </c>
      <c r="S578" s="78">
        <f t="shared" ref="S578:S641" si="29">DATE(YEAR(A578),MONTH(A578),1)</f>
        <v>45870</v>
      </c>
      <c r="T578" t="str">
        <f>IFERROR(VLOOKUP(B578,Sites!$A$2:$D$21,4,FALSE()),"Unknown")</f>
        <v>Newport</v>
      </c>
      <c r="U578" t="str">
        <f>IF(N578="OK","",COUNTIF($N$2:N578,"&lt;&gt;OK"))</f>
        <v/>
      </c>
      <c r="V578">
        <f>IF(OR(NOT(EXACT(E578,TRIM(Procurement_Raw!E578))),NOT(EXACT(F578,TRIM(Procurement_Raw!F578)))),1,0)</f>
        <v>0</v>
      </c>
    </row>
    <row r="579" spans="1:22" ht="15" customHeight="1" x14ac:dyDescent="0.25">
      <c r="A579" s="123">
        <f>Procurement_Raw!A579</f>
        <v>45850</v>
      </c>
      <c r="B579" t="str">
        <f>TRIM(Procurement_Raw!B579)</f>
        <v>S006</v>
      </c>
      <c r="C579" t="str">
        <f>Procurement_Raw!C579</f>
        <v>Birmingham Care &amp; Education Centre</v>
      </c>
      <c r="D579" t="str">
        <f>Procurement_Raw!D579</f>
        <v>Midlands</v>
      </c>
      <c r="E579" t="str">
        <f>IF(TRIM(Procurement_Raw!E579)="","",IFERROR(INDEX(Supplier_Lookup!$A$2:$A$25,MATCH(TRIM(Procurement_Raw!E579),Supplier_Lookup!$A$2:$A$25,0)),TRIM(Procurement_Raw!E579)))</f>
        <v>AutoCare</v>
      </c>
      <c r="F579" t="str">
        <f>IFERROR(INDEX(Category_Targets!$A$2:$A$9,MATCH(TRIM(Procurement_Raw!F579),Category_Targets!$A$2:$A$9,0)),"Unmapped")</f>
        <v>Vehicle &amp; Fuel</v>
      </c>
      <c r="G579" t="str">
        <f>TRIM(Procurement_Raw!G579)</f>
        <v>INV-2025-00578</v>
      </c>
      <c r="H579" s="77">
        <f>Procurement_Raw!H579</f>
        <v>13</v>
      </c>
      <c r="I579" s="124">
        <f>Procurement_Raw!I579</f>
        <v>145.16</v>
      </c>
      <c r="J579" s="125">
        <f>IF(Procurement_Raw!J579="","",Procurement_Raw!J579)</f>
        <v>1887.11</v>
      </c>
      <c r="K579" s="77">
        <f>Procurement_Raw!K579</f>
        <v>45</v>
      </c>
      <c r="L579" t="str">
        <f>Procurement_Raw!L579</f>
        <v>Legacy Spend File</v>
      </c>
      <c r="M579" t="str">
        <f>Procurement_Raw!O579</f>
        <v>N</v>
      </c>
      <c r="N579" t="str">
        <f>IF(E579="","Missing supplier",IF(B579="","Missing site",IF(J579="","Missing spend",IF(COUNTIFS($G$2:G579,G579,$E$2:E579,E579,$J$2:J579,J579)&gt;1,"Duplicate invoice",IF(COUNTIF($G$2:$G$1801,G579)&gt;1,"Duplicate ID - review",IF(AND(P579&lt;&gt;"Unmapped",P579&lt;&gt;F579),"Category mismatch","OK"))))))</f>
        <v>OK</v>
      </c>
      <c r="O579" s="125">
        <f t="shared" si="27"/>
        <v>1887.11</v>
      </c>
      <c r="P579" t="str">
        <f>IF(E579="","Unmapped",IFERROR(INDEX(Supplier_Lookup!$B$2:$B$25,MATCH(E579,Supplier_Lookup!$A$2:$A$25,0)),"Unmapped"))</f>
        <v>Vehicle &amp; Fuel</v>
      </c>
      <c r="Q579" s="76">
        <f>IFERROR(INDEX(Category_Targets!$B$2:$B$9,MATCH(F579,Category_Targets!$A$2:$A$9,0)),0)</f>
        <v>0.05</v>
      </c>
      <c r="R579" s="125">
        <f t="shared" si="28"/>
        <v>94.355500000000006</v>
      </c>
      <c r="S579" s="78">
        <f t="shared" si="29"/>
        <v>45839</v>
      </c>
      <c r="T579" t="str">
        <f>IFERROR(VLOOKUP(B579,Sites!$A$2:$D$21,4,FALSE()),"Unknown")</f>
        <v>Birmingham</v>
      </c>
      <c r="U579" t="str">
        <f>IF(N579="OK","",COUNTIF($N$2:N579,"&lt;&gt;OK"))</f>
        <v/>
      </c>
      <c r="V579">
        <f>IF(OR(NOT(EXACT(E579,TRIM(Procurement_Raw!E579))),NOT(EXACT(F579,TRIM(Procurement_Raw!F579)))),1,0)</f>
        <v>0</v>
      </c>
    </row>
    <row r="580" spans="1:22" ht="15" customHeight="1" x14ac:dyDescent="0.25">
      <c r="A580" s="123">
        <f>Procurement_Raw!A580</f>
        <v>45889</v>
      </c>
      <c r="B580" t="str">
        <f>TRIM(Procurement_Raw!B580)</f>
        <v>S009</v>
      </c>
      <c r="C580" t="str">
        <f>Procurement_Raw!C580</f>
        <v>Derby Care &amp; Education Centre</v>
      </c>
      <c r="D580" t="str">
        <f>Procurement_Raw!D580</f>
        <v>Midlands</v>
      </c>
      <c r="E580" t="str">
        <f>IF(TRIM(Procurement_Raw!E580)="","",IFERROR(INDEX(Supplier_Lookup!$A$2:$A$25,MATCH(TRIM(Procurement_Raw!E580),Supplier_Lookup!$A$2:$A$25,0)),TRIM(Procurement_Raw!E580)))</f>
        <v>UK Energy Partners</v>
      </c>
      <c r="F580" t="str">
        <f>IFERROR(INDEX(Category_Targets!$A$2:$A$9,MATCH(TRIM(Procurement_Raw!F580),Category_Targets!$A$2:$A$9,0)),"Unmapped")</f>
        <v>Utilities</v>
      </c>
      <c r="G580" t="str">
        <f>TRIM(Procurement_Raw!G580)</f>
        <v>INV-2025-00579</v>
      </c>
      <c r="H580" s="77">
        <f>Procurement_Raw!H580</f>
        <v>10</v>
      </c>
      <c r="I580" s="124">
        <f>Procurement_Raw!I580</f>
        <v>110.86</v>
      </c>
      <c r="J580" s="125">
        <f>IF(Procurement_Raw!J580="","",Procurement_Raw!J580)</f>
        <v>1108.57</v>
      </c>
      <c r="K580" s="77">
        <f>Procurement_Raw!K580</f>
        <v>30</v>
      </c>
      <c r="L580" t="str">
        <f>Procurement_Raw!L580</f>
        <v>Procurement Portal</v>
      </c>
      <c r="M580" t="str">
        <f>Procurement_Raw!O580</f>
        <v>N</v>
      </c>
      <c r="N580" t="str">
        <f>IF(E580="","Missing supplier",IF(B580="","Missing site",IF(J580="","Missing spend",IF(COUNTIFS($G$2:G580,G580,$E$2:E580,E580,$J$2:J580,J580)&gt;1,"Duplicate invoice",IF(COUNTIF($G$2:$G$1801,G580)&gt;1,"Duplicate ID - review",IF(AND(P580&lt;&gt;"Unmapped",P580&lt;&gt;F580),"Category mismatch","OK"))))))</f>
        <v>OK</v>
      </c>
      <c r="O580" s="125">
        <f t="shared" si="27"/>
        <v>1108.57</v>
      </c>
      <c r="P580" t="str">
        <f>IF(E580="","Unmapped",IFERROR(INDEX(Supplier_Lookup!$B$2:$B$25,MATCH(E580,Supplier_Lookup!$A$2:$A$25,0)),"Unmapped"))</f>
        <v>Utilities</v>
      </c>
      <c r="Q580" s="76">
        <f>IFERROR(INDEX(Category_Targets!$B$2:$B$9,MATCH(F580,Category_Targets!$A$2:$A$9,0)),0)</f>
        <v>0.03</v>
      </c>
      <c r="R580" s="125">
        <f t="shared" si="28"/>
        <v>33.257099999999994</v>
      </c>
      <c r="S580" s="78">
        <f t="shared" si="29"/>
        <v>45870</v>
      </c>
      <c r="T580" t="str">
        <f>IFERROR(VLOOKUP(B580,Sites!$A$2:$D$21,4,FALSE()),"Unknown")</f>
        <v>Derby</v>
      </c>
      <c r="U580" t="str">
        <f>IF(N580="OK","",COUNTIF($N$2:N580,"&lt;&gt;OK"))</f>
        <v/>
      </c>
      <c r="V580">
        <f>IF(OR(NOT(EXACT(E580,TRIM(Procurement_Raw!E580))),NOT(EXACT(F580,TRIM(Procurement_Raw!F580)))),1,0)</f>
        <v>0</v>
      </c>
    </row>
    <row r="581" spans="1:22" ht="15" customHeight="1" x14ac:dyDescent="0.25">
      <c r="A581" s="123">
        <f>Procurement_Raw!A581</f>
        <v>45711</v>
      </c>
      <c r="B581" t="str">
        <f>TRIM(Procurement_Raw!B581)</f>
        <v>S001</v>
      </c>
      <c r="C581" t="str">
        <f>Procurement_Raw!C581</f>
        <v>Preston Care &amp; Education Centre</v>
      </c>
      <c r="D581" t="str">
        <f>Procurement_Raw!D581</f>
        <v>North</v>
      </c>
      <c r="E581" t="str">
        <f>IF(TRIM(Procurement_Raw!E581)="","",IFERROR(INDEX(Supplier_Lookup!$A$2:$A$25,MATCH(TRIM(Procurement_Raw!E581),Supplier_Lookup!$A$2:$A$25,0)),TRIM(Procurement_Raw!E581)))</f>
        <v>RoadReady</v>
      </c>
      <c r="F581" t="str">
        <f>IFERROR(INDEX(Category_Targets!$A$2:$A$9,MATCH(TRIM(Procurement_Raw!F581),Category_Targets!$A$2:$A$9,0)),"Unmapped")</f>
        <v>Vehicle &amp; Fuel</v>
      </c>
      <c r="G581" t="str">
        <f>TRIM(Procurement_Raw!G581)</f>
        <v>INV-2025-00580</v>
      </c>
      <c r="H581" s="77">
        <f>Procurement_Raw!H581</f>
        <v>10</v>
      </c>
      <c r="I581" s="124">
        <f>Procurement_Raw!I581</f>
        <v>178.21</v>
      </c>
      <c r="J581" s="125">
        <f>IF(Procurement_Raw!J581="","",Procurement_Raw!J581)</f>
        <v>1782.06</v>
      </c>
      <c r="K581" s="77">
        <f>Procurement_Raw!K581</f>
        <v>45</v>
      </c>
      <c r="L581" t="str">
        <f>Procurement_Raw!L581</f>
        <v>ERP</v>
      </c>
      <c r="M581" t="str">
        <f>Procurement_Raw!O581</f>
        <v>N</v>
      </c>
      <c r="N581" t="str">
        <f>IF(E581="","Missing supplier",IF(B581="","Missing site",IF(J581="","Missing spend",IF(COUNTIFS($G$2:G581,G581,$E$2:E581,E581,$J$2:J581,J581)&gt;1,"Duplicate invoice",IF(COUNTIF($G$2:$G$1801,G581)&gt;1,"Duplicate ID - review",IF(AND(P581&lt;&gt;"Unmapped",P581&lt;&gt;F581),"Category mismatch","OK"))))))</f>
        <v>OK</v>
      </c>
      <c r="O581" s="125">
        <f t="shared" si="27"/>
        <v>1782.06</v>
      </c>
      <c r="P581" t="str">
        <f>IF(E581="","Unmapped",IFERROR(INDEX(Supplier_Lookup!$B$2:$B$25,MATCH(E581,Supplier_Lookup!$A$2:$A$25,0)),"Unmapped"))</f>
        <v>Vehicle &amp; Fuel</v>
      </c>
      <c r="Q581" s="76">
        <f>IFERROR(INDEX(Category_Targets!$B$2:$B$9,MATCH(F581,Category_Targets!$A$2:$A$9,0)),0)</f>
        <v>0.05</v>
      </c>
      <c r="R581" s="125">
        <f t="shared" si="28"/>
        <v>89.103000000000009</v>
      </c>
      <c r="S581" s="78">
        <f t="shared" si="29"/>
        <v>45689</v>
      </c>
      <c r="T581" t="str">
        <f>IFERROR(VLOOKUP(B581,Sites!$A$2:$D$21,4,FALSE()),"Unknown")</f>
        <v>Preston</v>
      </c>
      <c r="U581" t="str">
        <f>IF(N581="OK","",COUNTIF($N$2:N581,"&lt;&gt;OK"))</f>
        <v/>
      </c>
      <c r="V581">
        <f>IF(OR(NOT(EXACT(E581,TRIM(Procurement_Raw!E581))),NOT(EXACT(F581,TRIM(Procurement_Raw!F581)))),1,0)</f>
        <v>0</v>
      </c>
    </row>
    <row r="582" spans="1:22" ht="15" customHeight="1" x14ac:dyDescent="0.25">
      <c r="A582" s="123">
        <f>Procurement_Raw!A582</f>
        <v>45696</v>
      </c>
      <c r="B582" t="str">
        <f>TRIM(Procurement_Raw!B582)</f>
        <v>S019</v>
      </c>
      <c r="C582" t="str">
        <f>Procurement_Raw!C582</f>
        <v>Wrexham Care &amp; Education Centre</v>
      </c>
      <c r="D582" t="str">
        <f>Procurement_Raw!D582</f>
        <v>Wales</v>
      </c>
      <c r="E582" t="str">
        <f>IF(TRIM(Procurement_Raw!E582)="","",IFERROR(INDEX(Supplier_Lookup!$A$2:$A$25,MATCH(TRIM(Procurement_Raw!E582),Supplier_Lookup!$A$2:$A$25,0)),TRIM(Procurement_Raw!E582)))</f>
        <v>BuildCare</v>
      </c>
      <c r="F582" t="str">
        <f>IFERROR(INDEX(Category_Targets!$A$2:$A$9,MATCH(TRIM(Procurement_Raw!F582),Category_Targets!$A$2:$A$9,0)),"Unmapped")</f>
        <v>Facilities</v>
      </c>
      <c r="G582" t="str">
        <f>TRIM(Procurement_Raw!G582)</f>
        <v>INV-2025-00581</v>
      </c>
      <c r="H582" s="77">
        <f>Procurement_Raw!H582</f>
        <v>71</v>
      </c>
      <c r="I582" s="124">
        <f>Procurement_Raw!I582</f>
        <v>216.83</v>
      </c>
      <c r="J582" s="125">
        <f>IF(Procurement_Raw!J582="","",Procurement_Raw!J582)</f>
        <v>15395.18</v>
      </c>
      <c r="K582" s="77">
        <f>Procurement_Raw!K582</f>
        <v>30</v>
      </c>
      <c r="L582" t="str">
        <f>Procurement_Raw!L582</f>
        <v>Procurement Portal</v>
      </c>
      <c r="M582" t="str">
        <f>Procurement_Raw!O582</f>
        <v>N</v>
      </c>
      <c r="N582" t="str">
        <f>IF(E582="","Missing supplier",IF(B582="","Missing site",IF(J582="","Missing spend",IF(COUNTIFS($G$2:G582,G582,$E$2:E582,E582,$J$2:J582,J582)&gt;1,"Duplicate invoice",IF(COUNTIF($G$2:$G$1801,G582)&gt;1,"Duplicate ID - review",IF(AND(P582&lt;&gt;"Unmapped",P582&lt;&gt;F582),"Category mismatch","OK"))))))</f>
        <v>OK</v>
      </c>
      <c r="O582" s="125">
        <f t="shared" si="27"/>
        <v>15395.18</v>
      </c>
      <c r="P582" t="str">
        <f>IF(E582="","Unmapped",IFERROR(INDEX(Supplier_Lookup!$B$2:$B$25,MATCH(E582,Supplier_Lookup!$A$2:$A$25,0)),"Unmapped"))</f>
        <v>Facilities</v>
      </c>
      <c r="Q582" s="76">
        <f>IFERROR(INDEX(Category_Targets!$B$2:$B$9,MATCH(F582,Category_Targets!$A$2:$A$9,0)),0)</f>
        <v>0.05</v>
      </c>
      <c r="R582" s="125">
        <f t="shared" si="28"/>
        <v>769.75900000000001</v>
      </c>
      <c r="S582" s="78">
        <f t="shared" si="29"/>
        <v>45689</v>
      </c>
      <c r="T582" t="str">
        <f>IFERROR(VLOOKUP(B582,Sites!$A$2:$D$21,4,FALSE()),"Unknown")</f>
        <v>Wrexham</v>
      </c>
      <c r="U582" t="str">
        <f>IF(N582="OK","",COUNTIF($N$2:N582,"&lt;&gt;OK"))</f>
        <v/>
      </c>
      <c r="V582">
        <f>IF(OR(NOT(EXACT(E582,TRIM(Procurement_Raw!E582))),NOT(EXACT(F582,TRIM(Procurement_Raw!F582)))),1,0)</f>
        <v>0</v>
      </c>
    </row>
    <row r="583" spans="1:22" ht="15" customHeight="1" x14ac:dyDescent="0.25">
      <c r="A583" s="123">
        <f>Procurement_Raw!A583</f>
        <v>45673</v>
      </c>
      <c r="B583" t="str">
        <f>TRIM(Procurement_Raw!B583)</f>
        <v>S015</v>
      </c>
      <c r="C583" t="str">
        <f>Procurement_Raw!C583</f>
        <v>Brighton Care &amp; Education Centre</v>
      </c>
      <c r="D583" t="str">
        <f>Procurement_Raw!D583</f>
        <v>South</v>
      </c>
      <c r="E583" t="str">
        <f>IF(TRIM(Procurement_Raw!E583)="","",IFERROR(INDEX(Supplier_Lookup!$A$2:$A$25,MATCH(TRIM(Procurement_Raw!E583),Supplier_Lookup!$A$2:$A$25,0)),TRIM(Procurement_Raw!E583)))</f>
        <v>PrintCo</v>
      </c>
      <c r="F583" t="str">
        <f>IFERROR(INDEX(Category_Targets!$A$2:$A$9,MATCH(TRIM(Procurement_Raw!F583),Category_Targets!$A$2:$A$9,0)),"Unmapped")</f>
        <v>Office &amp; Training</v>
      </c>
      <c r="G583" t="str">
        <f>TRIM(Procurement_Raw!G583)</f>
        <v>INV-2025-00582</v>
      </c>
      <c r="H583" s="77">
        <f>Procurement_Raw!H583</f>
        <v>56</v>
      </c>
      <c r="I583" s="124">
        <f>Procurement_Raw!I583</f>
        <v>59.68</v>
      </c>
      <c r="J583" s="125">
        <f>IF(Procurement_Raw!J583="","",Procurement_Raw!J583)</f>
        <v>3342.36</v>
      </c>
      <c r="K583" s="77">
        <f>Procurement_Raw!K583</f>
        <v>60</v>
      </c>
      <c r="L583" t="str">
        <f>Procurement_Raw!L583</f>
        <v>ERP</v>
      </c>
      <c r="M583" t="str">
        <f>Procurement_Raw!O583</f>
        <v>N</v>
      </c>
      <c r="N583" t="str">
        <f>IF(E583="","Missing supplier",IF(B583="","Missing site",IF(J583="","Missing spend",IF(COUNTIFS($G$2:G583,G583,$E$2:E583,E583,$J$2:J583,J583)&gt;1,"Duplicate invoice",IF(COUNTIF($G$2:$G$1801,G583)&gt;1,"Duplicate ID - review",IF(AND(P583&lt;&gt;"Unmapped",P583&lt;&gt;F583),"Category mismatch","OK"))))))</f>
        <v>OK</v>
      </c>
      <c r="O583" s="125">
        <f t="shared" si="27"/>
        <v>3342.36</v>
      </c>
      <c r="P583" t="str">
        <f>IF(E583="","Unmapped",IFERROR(INDEX(Supplier_Lookup!$B$2:$B$25,MATCH(E583,Supplier_Lookup!$A$2:$A$25,0)),"Unmapped"))</f>
        <v>Office &amp; Training</v>
      </c>
      <c r="Q583" s="76">
        <f>IFERROR(INDEX(Category_Targets!$B$2:$B$9,MATCH(F583,Category_Targets!$A$2:$A$9,0)),0)</f>
        <v>0.04</v>
      </c>
      <c r="R583" s="125">
        <f t="shared" si="28"/>
        <v>133.6944</v>
      </c>
      <c r="S583" s="78">
        <f t="shared" si="29"/>
        <v>45658</v>
      </c>
      <c r="T583" t="str">
        <f>IFERROR(VLOOKUP(B583,Sites!$A$2:$D$21,4,FALSE()),"Unknown")</f>
        <v>Brighton</v>
      </c>
      <c r="U583" t="str">
        <f>IF(N583="OK","",COUNTIF($N$2:N583,"&lt;&gt;OK"))</f>
        <v/>
      </c>
      <c r="V583">
        <f>IF(OR(NOT(EXACT(E583,TRIM(Procurement_Raw!E583))),NOT(EXACT(F583,TRIM(Procurement_Raw!F583)))),1,0)</f>
        <v>0</v>
      </c>
    </row>
    <row r="584" spans="1:22" ht="15" customHeight="1" x14ac:dyDescent="0.25">
      <c r="A584" s="123">
        <f>Procurement_Raw!A584</f>
        <v>45685</v>
      </c>
      <c r="B584" t="str">
        <f>TRIM(Procurement_Raw!B584)</f>
        <v>S014</v>
      </c>
      <c r="C584" t="str">
        <f>Procurement_Raw!C584</f>
        <v>Southampton Care &amp; Education Centre</v>
      </c>
      <c r="D584" t="str">
        <f>Procurement_Raw!D584</f>
        <v>South</v>
      </c>
      <c r="E584" t="str">
        <f>IF(TRIM(Procurement_Raw!E584)="","",IFERROR(INDEX(Supplier_Lookup!$A$2:$A$25,MATCH(TRIM(Procurement_Raw!E584),Supplier_Lookup!$A$2:$A$25,0)),TRIM(Procurement_Raw!E584)))</f>
        <v>HealthStaffing</v>
      </c>
      <c r="F584" t="str">
        <f>IFERROR(INDEX(Category_Targets!$A$2:$A$9,MATCH(TRIM(Procurement_Raw!F584),Category_Targets!$A$2:$A$9,0)),"Unmapped")</f>
        <v>Agency Labour</v>
      </c>
      <c r="G584" t="str">
        <f>TRIM(Procurement_Raw!G584)</f>
        <v>INV-2025-00583</v>
      </c>
      <c r="H584" s="77">
        <f>Procurement_Raw!H584</f>
        <v>13</v>
      </c>
      <c r="I584" s="124">
        <f>Procurement_Raw!I584</f>
        <v>424.88</v>
      </c>
      <c r="J584" s="125">
        <f>IF(Procurement_Raw!J584="","",Procurement_Raw!J584)</f>
        <v>5523.47</v>
      </c>
      <c r="K584" s="77">
        <f>Procurement_Raw!K584</f>
        <v>45</v>
      </c>
      <c r="L584" t="str">
        <f>Procurement_Raw!L584</f>
        <v>ERP</v>
      </c>
      <c r="M584" t="str">
        <f>Procurement_Raw!O584</f>
        <v>N</v>
      </c>
      <c r="N584" t="str">
        <f>IF(E584="","Missing supplier",IF(B584="","Missing site",IF(J584="","Missing spend",IF(COUNTIFS($G$2:G584,G584,$E$2:E584,E584,$J$2:J584,J584)&gt;1,"Duplicate invoice",IF(COUNTIF($G$2:$G$1801,G584)&gt;1,"Duplicate ID - review",IF(AND(P584&lt;&gt;"Unmapped",P584&lt;&gt;F584),"Category mismatch","OK"))))))</f>
        <v>OK</v>
      </c>
      <c r="O584" s="125">
        <f t="shared" si="27"/>
        <v>5523.47</v>
      </c>
      <c r="P584" t="str">
        <f>IF(E584="","Unmapped",IFERROR(INDEX(Supplier_Lookup!$B$2:$B$25,MATCH(E584,Supplier_Lookup!$A$2:$A$25,0)),"Unmapped"))</f>
        <v>Agency Labour</v>
      </c>
      <c r="Q584" s="76">
        <f>IFERROR(INDEX(Category_Targets!$B$2:$B$9,MATCH(F584,Category_Targets!$A$2:$A$9,0)),0)</f>
        <v>7.0000000000000007E-2</v>
      </c>
      <c r="R584" s="125">
        <f t="shared" si="28"/>
        <v>386.64290000000005</v>
      </c>
      <c r="S584" s="78">
        <f t="shared" si="29"/>
        <v>45658</v>
      </c>
      <c r="T584" t="str">
        <f>IFERROR(VLOOKUP(B584,Sites!$A$2:$D$21,4,FALSE()),"Unknown")</f>
        <v>Southampton</v>
      </c>
      <c r="U584" t="str">
        <f>IF(N584="OK","",COUNTIF($N$2:N584,"&lt;&gt;OK"))</f>
        <v/>
      </c>
      <c r="V584">
        <f>IF(OR(NOT(EXACT(E584,TRIM(Procurement_Raw!E584))),NOT(EXACT(F584,TRIM(Procurement_Raw!F584)))),1,0)</f>
        <v>0</v>
      </c>
    </row>
    <row r="585" spans="1:22" ht="15" customHeight="1" x14ac:dyDescent="0.25">
      <c r="A585" s="123">
        <f>Procurement_Raw!A585</f>
        <v>45941</v>
      </c>
      <c r="B585" t="str">
        <f>TRIM(Procurement_Raw!B585)</f>
        <v>S018</v>
      </c>
      <c r="C585" t="str">
        <f>Procurement_Raw!C585</f>
        <v>Newport Care &amp; Education Centre</v>
      </c>
      <c r="D585" t="str">
        <f>Procurement_Raw!D585</f>
        <v>Wales</v>
      </c>
      <c r="E585" t="str">
        <f>IF(TRIM(Procurement_Raw!E585)="","",IFERROR(INDEX(Supplier_Lookup!$A$2:$A$25,MATCH(TRIM(Procurement_Raw!E585),Supplier_Lookup!$A$2:$A$25,0)),TRIM(Procurement_Raw!E585)))</f>
        <v>NurseLink</v>
      </c>
      <c r="F585" t="str">
        <f>IFERROR(INDEX(Category_Targets!$A$2:$A$9,MATCH(TRIM(Procurement_Raw!F585),Category_Targets!$A$2:$A$9,0)),"Unmapped")</f>
        <v>Agency Labour</v>
      </c>
      <c r="G585" t="str">
        <f>TRIM(Procurement_Raw!G585)</f>
        <v>INV-2025-00584</v>
      </c>
      <c r="H585" s="77">
        <f>Procurement_Raw!H585</f>
        <v>70</v>
      </c>
      <c r="I585" s="124">
        <f>Procurement_Raw!I585</f>
        <v>1045.93</v>
      </c>
      <c r="J585" s="125">
        <f>IF(Procurement_Raw!J585="","",Procurement_Raw!J585)</f>
        <v>73215.23</v>
      </c>
      <c r="K585" s="77">
        <f>Procurement_Raw!K585</f>
        <v>45</v>
      </c>
      <c r="L585" t="str">
        <f>Procurement_Raw!L585</f>
        <v>Legacy Spend File</v>
      </c>
      <c r="M585" t="str">
        <f>Procurement_Raw!O585</f>
        <v>N</v>
      </c>
      <c r="N585" t="str">
        <f>IF(E585="","Missing supplier",IF(B585="","Missing site",IF(J585="","Missing spend",IF(COUNTIFS($G$2:G585,G585,$E$2:E585,E585,$J$2:J585,J585)&gt;1,"Duplicate invoice",IF(COUNTIF($G$2:$G$1801,G585)&gt;1,"Duplicate ID - review",IF(AND(P585&lt;&gt;"Unmapped",P585&lt;&gt;F585),"Category mismatch","OK"))))))</f>
        <v>OK</v>
      </c>
      <c r="O585" s="125">
        <f t="shared" si="27"/>
        <v>73215.23</v>
      </c>
      <c r="P585" t="str">
        <f>IF(E585="","Unmapped",IFERROR(INDEX(Supplier_Lookup!$B$2:$B$25,MATCH(E585,Supplier_Lookup!$A$2:$A$25,0)),"Unmapped"))</f>
        <v>Agency Labour</v>
      </c>
      <c r="Q585" s="76">
        <f>IFERROR(INDEX(Category_Targets!$B$2:$B$9,MATCH(F585,Category_Targets!$A$2:$A$9,0)),0)</f>
        <v>7.0000000000000007E-2</v>
      </c>
      <c r="R585" s="125">
        <f t="shared" si="28"/>
        <v>5125.0661</v>
      </c>
      <c r="S585" s="78">
        <f t="shared" si="29"/>
        <v>45931</v>
      </c>
      <c r="T585" t="str">
        <f>IFERROR(VLOOKUP(B585,Sites!$A$2:$D$21,4,FALSE()),"Unknown")</f>
        <v>Newport</v>
      </c>
      <c r="U585" t="str">
        <f>IF(N585="OK","",COUNTIF($N$2:N585,"&lt;&gt;OK"))</f>
        <v/>
      </c>
      <c r="V585">
        <f>IF(OR(NOT(EXACT(E585,TRIM(Procurement_Raw!E585))),NOT(EXACT(F585,TRIM(Procurement_Raw!F585)))),1,0)</f>
        <v>0</v>
      </c>
    </row>
    <row r="586" spans="1:22" ht="15" customHeight="1" x14ac:dyDescent="0.25">
      <c r="A586" s="123">
        <f>Procurement_Raw!A586</f>
        <v>45707</v>
      </c>
      <c r="B586" t="str">
        <f>TRIM(Procurement_Raw!B586)</f>
        <v>S011</v>
      </c>
      <c r="C586" t="str">
        <f>Procurement_Raw!C586</f>
        <v>London Care &amp; Education Centre</v>
      </c>
      <c r="D586" t="str">
        <f>Procurement_Raw!D586</f>
        <v>South</v>
      </c>
      <c r="E586" t="str">
        <f>IF(TRIM(Procurement_Raw!E586)="","",IFERROR(INDEX(Supplier_Lookup!$A$2:$A$25,MATCH(TRIM(Procurement_Raw!E586),Supplier_Lookup!$A$2:$A$25,0)),TRIM(Procurement_Raw!E586)))</f>
        <v>CloudLink</v>
      </c>
      <c r="F586" t="str">
        <f>IFERROR(INDEX(Category_Targets!$A$2:$A$9,MATCH(TRIM(Procurement_Raw!F586),Category_Targets!$A$2:$A$9,0)),"Unmapped")</f>
        <v>IT &amp; Telecoms</v>
      </c>
      <c r="G586" t="str">
        <f>TRIM(Procurement_Raw!G586)</f>
        <v>INV-2025-00585</v>
      </c>
      <c r="H586" s="77">
        <f>Procurement_Raw!H586</f>
        <v>7</v>
      </c>
      <c r="I586" s="124">
        <f>Procurement_Raw!I586</f>
        <v>243.14</v>
      </c>
      <c r="J586" s="125">
        <f>IF(Procurement_Raw!J586="","",Procurement_Raw!J586)</f>
        <v>1702.01</v>
      </c>
      <c r="K586" s="77">
        <f>Procurement_Raw!K586</f>
        <v>45</v>
      </c>
      <c r="L586" t="str">
        <f>Procurement_Raw!L586</f>
        <v>Legacy Spend File</v>
      </c>
      <c r="M586" t="str">
        <f>Procurement_Raw!O586</f>
        <v>Y</v>
      </c>
      <c r="N586" t="str">
        <f>IF(E586="","Missing supplier",IF(B586="","Missing site",IF(J586="","Missing spend",IF(COUNTIFS($G$2:G586,G586,$E$2:E586,E586,$J$2:J586,J586)&gt;1,"Duplicate invoice",IF(COUNTIF($G$2:$G$1801,G586)&gt;1,"Duplicate ID - review",IF(AND(P586&lt;&gt;"Unmapped",P586&lt;&gt;F586),"Category mismatch","OK"))))))</f>
        <v>OK</v>
      </c>
      <c r="O586" s="125">
        <f t="shared" si="27"/>
        <v>1702.01</v>
      </c>
      <c r="P586" t="str">
        <f>IF(E586="","Unmapped",IFERROR(INDEX(Supplier_Lookup!$B$2:$B$25,MATCH(E586,Supplier_Lookup!$A$2:$A$25,0)),"Unmapped"))</f>
        <v>IT &amp; Telecoms</v>
      </c>
      <c r="Q586" s="76">
        <f>IFERROR(INDEX(Category_Targets!$B$2:$B$9,MATCH(F586,Category_Targets!$A$2:$A$9,0)),0)</f>
        <v>0.08</v>
      </c>
      <c r="R586" s="125">
        <f t="shared" si="28"/>
        <v>136.16079999999999</v>
      </c>
      <c r="S586" s="78">
        <f t="shared" si="29"/>
        <v>45689</v>
      </c>
      <c r="T586" t="str">
        <f>IFERROR(VLOOKUP(B586,Sites!$A$2:$D$21,4,FALSE()),"Unknown")</f>
        <v>London</v>
      </c>
      <c r="U586" t="str">
        <f>IF(N586="OK","",COUNTIF($N$2:N586,"&lt;&gt;OK"))</f>
        <v/>
      </c>
      <c r="V586">
        <f>IF(OR(NOT(EXACT(E586,TRIM(Procurement_Raw!E586))),NOT(EXACT(F586,TRIM(Procurement_Raw!F586)))),1,0)</f>
        <v>0</v>
      </c>
    </row>
    <row r="587" spans="1:22" ht="15" customHeight="1" x14ac:dyDescent="0.25">
      <c r="A587" s="123">
        <f>Procurement_Raw!A587</f>
        <v>45685</v>
      </c>
      <c r="B587" t="str">
        <f>TRIM(Procurement_Raw!B587)</f>
        <v>S004</v>
      </c>
      <c r="C587" t="str">
        <f>Procurement_Raw!C587</f>
        <v>Newcastle Care &amp; Education Centre</v>
      </c>
      <c r="D587" t="str">
        <f>Procurement_Raw!D587</f>
        <v>North</v>
      </c>
      <c r="E587" t="str">
        <f>IF(TRIM(Procurement_Raw!E587)="","",IFERROR(INDEX(Supplier_Lookup!$A$2:$A$25,MATCH(TRIM(Procurement_Raw!E587),Supplier_Lookup!$A$2:$A$25,0)),TRIM(Procurement_Raw!E587)))</f>
        <v>OfficePlus</v>
      </c>
      <c r="F587" t="str">
        <f>IFERROR(INDEX(Category_Targets!$A$2:$A$9,MATCH(TRIM(Procurement_Raw!F587),Category_Targets!$A$2:$A$9,0)),"Unmapped")</f>
        <v>Office &amp; Training</v>
      </c>
      <c r="G587" t="str">
        <f>TRIM(Procurement_Raw!G587)</f>
        <v>INV-2025-00586</v>
      </c>
      <c r="H587" s="77">
        <f>Procurement_Raw!H587</f>
        <v>47</v>
      </c>
      <c r="I587" s="124">
        <f>Procurement_Raw!I587</f>
        <v>85.97</v>
      </c>
      <c r="J587" s="125">
        <f>IF(Procurement_Raw!J587="","",Procurement_Raw!J587)</f>
        <v>4040.63</v>
      </c>
      <c r="K587" s="77">
        <f>Procurement_Raw!K587</f>
        <v>30</v>
      </c>
      <c r="L587" t="str">
        <f>Procurement_Raw!L587</f>
        <v>Procurement Portal</v>
      </c>
      <c r="M587" t="str">
        <f>Procurement_Raw!O587</f>
        <v>N</v>
      </c>
      <c r="N587" t="str">
        <f>IF(E587="","Missing supplier",IF(B587="","Missing site",IF(J587="","Missing spend",IF(COUNTIFS($G$2:G587,G587,$E$2:E587,E587,$J$2:J587,J587)&gt;1,"Duplicate invoice",IF(COUNTIF($G$2:$G$1801,G587)&gt;1,"Duplicate ID - review",IF(AND(P587&lt;&gt;"Unmapped",P587&lt;&gt;F587),"Category mismatch","OK"))))))</f>
        <v>OK</v>
      </c>
      <c r="O587" s="125">
        <f t="shared" si="27"/>
        <v>4040.63</v>
      </c>
      <c r="P587" t="str">
        <f>IF(E587="","Unmapped",IFERROR(INDEX(Supplier_Lookup!$B$2:$B$25,MATCH(E587,Supplier_Lookup!$A$2:$A$25,0)),"Unmapped"))</f>
        <v>Office &amp; Training</v>
      </c>
      <c r="Q587" s="76">
        <f>IFERROR(INDEX(Category_Targets!$B$2:$B$9,MATCH(F587,Category_Targets!$A$2:$A$9,0)),0)</f>
        <v>0.04</v>
      </c>
      <c r="R587" s="125">
        <f t="shared" si="28"/>
        <v>161.62520000000001</v>
      </c>
      <c r="S587" s="78">
        <f t="shared" si="29"/>
        <v>45658</v>
      </c>
      <c r="T587" t="str">
        <f>IFERROR(VLOOKUP(B587,Sites!$A$2:$D$21,4,FALSE()),"Unknown")</f>
        <v>Newcastle</v>
      </c>
      <c r="U587" t="str">
        <f>IF(N587="OK","",COUNTIF($N$2:N587,"&lt;&gt;OK"))</f>
        <v/>
      </c>
      <c r="V587">
        <f>IF(OR(NOT(EXACT(E587,TRIM(Procurement_Raw!E587))),NOT(EXACT(F587,TRIM(Procurement_Raw!F587)))),1,0)</f>
        <v>0</v>
      </c>
    </row>
    <row r="588" spans="1:22" ht="15" customHeight="1" x14ac:dyDescent="0.25">
      <c r="A588" s="123">
        <f>Procurement_Raw!A588</f>
        <v>45978</v>
      </c>
      <c r="B588" t="str">
        <f>TRIM(Procurement_Raw!B588)</f>
        <v>S019</v>
      </c>
      <c r="C588" t="str">
        <f>Procurement_Raw!C588</f>
        <v>Wrexham Care &amp; Education Centre</v>
      </c>
      <c r="D588" t="str">
        <f>Procurement_Raw!D588</f>
        <v>Wales</v>
      </c>
      <c r="E588" t="str">
        <f>IF(TRIM(Procurement_Raw!E588)="","",IFERROR(INDEX(Supplier_Lookup!$A$2:$A$25,MATCH(TRIM(Procurement_Raw!E588),Supplier_Lookup!$A$2:$A$25,0)),TRIM(Procurement_Raw!E588)))</f>
        <v>NetServe</v>
      </c>
      <c r="F588" t="str">
        <f>IFERROR(INDEX(Category_Targets!$A$2:$A$9,MATCH(TRIM(Procurement_Raw!F588),Category_Targets!$A$2:$A$9,0)),"Unmapped")</f>
        <v>IT &amp; Telecoms</v>
      </c>
      <c r="G588" t="str">
        <f>TRIM(Procurement_Raw!G588)</f>
        <v>INV-2025-00587</v>
      </c>
      <c r="H588" s="77">
        <f>Procurement_Raw!H588</f>
        <v>77</v>
      </c>
      <c r="I588" s="124">
        <f>Procurement_Raw!I588</f>
        <v>170.88</v>
      </c>
      <c r="J588" s="125">
        <f>IF(Procurement_Raw!J588="","",Procurement_Raw!J588)</f>
        <v>13157.99</v>
      </c>
      <c r="K588" s="77">
        <f>Procurement_Raw!K588</f>
        <v>45</v>
      </c>
      <c r="L588" t="str">
        <f>Procurement_Raw!L588</f>
        <v>ERP</v>
      </c>
      <c r="M588" t="str">
        <f>Procurement_Raw!O588</f>
        <v>N</v>
      </c>
      <c r="N588" t="str">
        <f>IF(E588="","Missing supplier",IF(B588="","Missing site",IF(J588="","Missing spend",IF(COUNTIFS($G$2:G588,G588,$E$2:E588,E588,$J$2:J588,J588)&gt;1,"Duplicate invoice",IF(COUNTIF($G$2:$G$1801,G588)&gt;1,"Duplicate ID - review",IF(AND(P588&lt;&gt;"Unmapped",P588&lt;&gt;F588),"Category mismatch","OK"))))))</f>
        <v>OK</v>
      </c>
      <c r="O588" s="125">
        <f t="shared" si="27"/>
        <v>13157.99</v>
      </c>
      <c r="P588" t="str">
        <f>IF(E588="","Unmapped",IFERROR(INDEX(Supplier_Lookup!$B$2:$B$25,MATCH(E588,Supplier_Lookup!$A$2:$A$25,0)),"Unmapped"))</f>
        <v>IT &amp; Telecoms</v>
      </c>
      <c r="Q588" s="76">
        <f>IFERROR(INDEX(Category_Targets!$B$2:$B$9,MATCH(F588,Category_Targets!$A$2:$A$9,0)),0)</f>
        <v>0.08</v>
      </c>
      <c r="R588" s="125">
        <f t="shared" si="28"/>
        <v>1052.6392000000001</v>
      </c>
      <c r="S588" s="78">
        <f t="shared" si="29"/>
        <v>45962</v>
      </c>
      <c r="T588" t="str">
        <f>IFERROR(VLOOKUP(B588,Sites!$A$2:$D$21,4,FALSE()),"Unknown")</f>
        <v>Wrexham</v>
      </c>
      <c r="U588" t="str">
        <f>IF(N588="OK","",COUNTIF($N$2:N588,"&lt;&gt;OK"))</f>
        <v/>
      </c>
      <c r="V588">
        <f>IF(OR(NOT(EXACT(E588,TRIM(Procurement_Raw!E588))),NOT(EXACT(F588,TRIM(Procurement_Raw!F588)))),1,0)</f>
        <v>0</v>
      </c>
    </row>
    <row r="589" spans="1:22" ht="15" customHeight="1" x14ac:dyDescent="0.25">
      <c r="A589" s="123">
        <f>Procurement_Raw!A589</f>
        <v>45745</v>
      </c>
      <c r="B589" t="str">
        <f>TRIM(Procurement_Raw!B589)</f>
        <v>S013</v>
      </c>
      <c r="C589" t="str">
        <f>Procurement_Raw!C589</f>
        <v>Reading Care &amp; Education Centre</v>
      </c>
      <c r="D589" t="str">
        <f>Procurement_Raw!D589</f>
        <v>South</v>
      </c>
      <c r="E589" t="str">
        <f>IF(TRIM(Procurement_Raw!E589)="","",IFERROR(INDEX(Supplier_Lookup!$A$2:$A$25,MATCH(TRIM(Procurement_Raw!E589),Supplier_Lookup!$A$2:$A$25,0)),TRIM(Procurement_Raw!E589)))</f>
        <v>MediSure</v>
      </c>
      <c r="F589" t="str">
        <f>IFERROR(INDEX(Category_Targets!$A$2:$A$9,MATCH(TRIM(Procurement_Raw!F589),Category_Targets!$A$2:$A$9,0)),"Unmapped")</f>
        <v>Medical Supplies</v>
      </c>
      <c r="G589" t="str">
        <f>TRIM(Procurement_Raw!G589)</f>
        <v>INV-2025-00588</v>
      </c>
      <c r="H589" s="77">
        <f>Procurement_Raw!H589</f>
        <v>38</v>
      </c>
      <c r="I589" s="124">
        <f>Procurement_Raw!I589</f>
        <v>75.19</v>
      </c>
      <c r="J589" s="125">
        <f>IF(Procurement_Raw!J589="","",Procurement_Raw!J589)</f>
        <v>2857.39</v>
      </c>
      <c r="K589" s="77">
        <f>Procurement_Raw!K589</f>
        <v>30</v>
      </c>
      <c r="L589" t="str">
        <f>Procurement_Raw!L589</f>
        <v>Procurement Portal</v>
      </c>
      <c r="M589" t="str">
        <f>Procurement_Raw!O589</f>
        <v>Y</v>
      </c>
      <c r="N589" t="str">
        <f>IF(E589="","Missing supplier",IF(B589="","Missing site",IF(J589="","Missing spend",IF(COUNTIFS($G$2:G589,G589,$E$2:E589,E589,$J$2:J589,J589)&gt;1,"Duplicate invoice",IF(COUNTIF($G$2:$G$1801,G589)&gt;1,"Duplicate ID - review",IF(AND(P589&lt;&gt;"Unmapped",P589&lt;&gt;F589),"Category mismatch","OK"))))))</f>
        <v>OK</v>
      </c>
      <c r="O589" s="125">
        <f t="shared" si="27"/>
        <v>2857.39</v>
      </c>
      <c r="P589" t="str">
        <f>IF(E589="","Unmapped",IFERROR(INDEX(Supplier_Lookup!$B$2:$B$25,MATCH(E589,Supplier_Lookup!$A$2:$A$25,0)),"Unmapped"))</f>
        <v>Medical Supplies</v>
      </c>
      <c r="Q589" s="76">
        <f>IFERROR(INDEX(Category_Targets!$B$2:$B$9,MATCH(F589,Category_Targets!$A$2:$A$9,0)),0)</f>
        <v>0.06</v>
      </c>
      <c r="R589" s="125">
        <f t="shared" si="28"/>
        <v>171.4434</v>
      </c>
      <c r="S589" s="78">
        <f t="shared" si="29"/>
        <v>45717</v>
      </c>
      <c r="T589" t="str">
        <f>IFERROR(VLOOKUP(B589,Sites!$A$2:$D$21,4,FALSE()),"Unknown")</f>
        <v>Reading</v>
      </c>
      <c r="U589" t="str">
        <f>IF(N589="OK","",COUNTIF($N$2:N589,"&lt;&gt;OK"))</f>
        <v/>
      </c>
      <c r="V589">
        <f>IF(OR(NOT(EXACT(E589,TRIM(Procurement_Raw!E589))),NOT(EXACT(F589,TRIM(Procurement_Raw!F589)))),1,0)</f>
        <v>0</v>
      </c>
    </row>
    <row r="590" spans="1:22" ht="15" customHeight="1" x14ac:dyDescent="0.25">
      <c r="A590" s="123">
        <f>Procurement_Raw!A590</f>
        <v>45899</v>
      </c>
      <c r="B590" t="str">
        <f>TRIM(Procurement_Raw!B590)</f>
        <v>S010</v>
      </c>
      <c r="C590" t="str">
        <f>Procurement_Raw!C590</f>
        <v>Coventry Care &amp; Education Centre</v>
      </c>
      <c r="D590" t="str">
        <f>Procurement_Raw!D590</f>
        <v>Midlands</v>
      </c>
      <c r="E590" t="str">
        <f>IF(TRIM(Procurement_Raw!E590)="","",IFERROR(INDEX(Supplier_Lookup!$A$2:$A$25,MATCH(TRIM(Procurement_Raw!E590),Supplier_Lookup!$A$2:$A$25,0)),TRIM(Procurement_Raw!E590)))</f>
        <v>TeleCare IT</v>
      </c>
      <c r="F590" t="str">
        <f>IFERROR(INDEX(Category_Targets!$A$2:$A$9,MATCH(TRIM(Procurement_Raw!F590),Category_Targets!$A$2:$A$9,0)),"Unmapped")</f>
        <v>IT &amp; Telecoms</v>
      </c>
      <c r="G590" t="str">
        <f>TRIM(Procurement_Raw!G590)</f>
        <v>INV-2025-00589</v>
      </c>
      <c r="H590" s="77">
        <f>Procurement_Raw!H590</f>
        <v>63</v>
      </c>
      <c r="I590" s="124">
        <f>Procurement_Raw!I590</f>
        <v>347.34</v>
      </c>
      <c r="J590" s="125">
        <f>IF(Procurement_Raw!J590="","",Procurement_Raw!J590)</f>
        <v>21882.6</v>
      </c>
      <c r="K590" s="77">
        <f>Procurement_Raw!K590</f>
        <v>60</v>
      </c>
      <c r="L590" t="str">
        <f>Procurement_Raw!L590</f>
        <v>Procurement Portal</v>
      </c>
      <c r="M590" t="str">
        <f>Procurement_Raw!O590</f>
        <v>N</v>
      </c>
      <c r="N590" t="str">
        <f>IF(E590="","Missing supplier",IF(B590="","Missing site",IF(J590="","Missing spend",IF(COUNTIFS($G$2:G590,G590,$E$2:E590,E590,$J$2:J590,J590)&gt;1,"Duplicate invoice",IF(COUNTIF($G$2:$G$1801,G590)&gt;1,"Duplicate ID - review",IF(AND(P590&lt;&gt;"Unmapped",P590&lt;&gt;F590),"Category mismatch","OK"))))))</f>
        <v>OK</v>
      </c>
      <c r="O590" s="125">
        <f t="shared" si="27"/>
        <v>21882.6</v>
      </c>
      <c r="P590" t="str">
        <f>IF(E590="","Unmapped",IFERROR(INDEX(Supplier_Lookup!$B$2:$B$25,MATCH(E590,Supplier_Lookup!$A$2:$A$25,0)),"Unmapped"))</f>
        <v>IT &amp; Telecoms</v>
      </c>
      <c r="Q590" s="76">
        <f>IFERROR(INDEX(Category_Targets!$B$2:$B$9,MATCH(F590,Category_Targets!$A$2:$A$9,0)),0)</f>
        <v>0.08</v>
      </c>
      <c r="R590" s="125">
        <f t="shared" si="28"/>
        <v>1750.6079999999999</v>
      </c>
      <c r="S590" s="78">
        <f t="shared" si="29"/>
        <v>45870</v>
      </c>
      <c r="T590" t="str">
        <f>IFERROR(VLOOKUP(B590,Sites!$A$2:$D$21,4,FALSE()),"Unknown")</f>
        <v>Coventry</v>
      </c>
      <c r="U590" t="str">
        <f>IF(N590="OK","",COUNTIF($N$2:N590,"&lt;&gt;OK"))</f>
        <v/>
      </c>
      <c r="V590">
        <f>IF(OR(NOT(EXACT(E590,TRIM(Procurement_Raw!E590))),NOT(EXACT(F590,TRIM(Procurement_Raw!F590)))),1,0)</f>
        <v>0</v>
      </c>
    </row>
    <row r="591" spans="1:22" ht="15" customHeight="1" x14ac:dyDescent="0.25">
      <c r="A591" s="123">
        <f>Procurement_Raw!A591</f>
        <v>45847</v>
      </c>
      <c r="B591" t="str">
        <f>TRIM(Procurement_Raw!B591)</f>
        <v>S009</v>
      </c>
      <c r="C591" t="str">
        <f>Procurement_Raw!C591</f>
        <v>Derby Care &amp; Education Centre</v>
      </c>
      <c r="D591" t="str">
        <f>Procurement_Raw!D591</f>
        <v>Midlands</v>
      </c>
      <c r="E591" t="str">
        <f>IF(TRIM(Procurement_Raw!E591)="","",IFERROR(INDEX(Supplier_Lookup!$A$2:$A$25,MATCH(TRIM(Procurement_Raw!E591),Supplier_Lookup!$A$2:$A$25,0)),TRIM(Procurement_Raw!E591)))</f>
        <v>HealthStaffing</v>
      </c>
      <c r="F591" t="str">
        <f>IFERROR(INDEX(Category_Targets!$A$2:$A$9,MATCH(TRIM(Procurement_Raw!F591),Category_Targets!$A$2:$A$9,0)),"Unmapped")</f>
        <v>Agency Labour</v>
      </c>
      <c r="G591" t="str">
        <f>TRIM(Procurement_Raw!G591)</f>
        <v>INV-2025-00590</v>
      </c>
      <c r="H591" s="77">
        <f>Procurement_Raw!H591</f>
        <v>49</v>
      </c>
      <c r="I591" s="124">
        <f>Procurement_Raw!I591</f>
        <v>187.34</v>
      </c>
      <c r="J591" s="125">
        <f>IF(Procurement_Raw!J591="","",Procurement_Raw!J591)</f>
        <v>9179.76</v>
      </c>
      <c r="K591" s="77">
        <f>Procurement_Raw!K591</f>
        <v>45</v>
      </c>
      <c r="L591" t="str">
        <f>Procurement_Raw!L591</f>
        <v>ERP</v>
      </c>
      <c r="M591" t="str">
        <f>Procurement_Raw!O591</f>
        <v>N</v>
      </c>
      <c r="N591" t="str">
        <f>IF(E591="","Missing supplier",IF(B591="","Missing site",IF(J591="","Missing spend",IF(COUNTIFS($G$2:G591,G591,$E$2:E591,E591,$J$2:J591,J591)&gt;1,"Duplicate invoice",IF(COUNTIF($G$2:$G$1801,G591)&gt;1,"Duplicate ID - review",IF(AND(P591&lt;&gt;"Unmapped",P591&lt;&gt;F591),"Category mismatch","OK"))))))</f>
        <v>OK</v>
      </c>
      <c r="O591" s="125">
        <f t="shared" si="27"/>
        <v>9179.76</v>
      </c>
      <c r="P591" t="str">
        <f>IF(E591="","Unmapped",IFERROR(INDEX(Supplier_Lookup!$B$2:$B$25,MATCH(E591,Supplier_Lookup!$A$2:$A$25,0)),"Unmapped"))</f>
        <v>Agency Labour</v>
      </c>
      <c r="Q591" s="76">
        <f>IFERROR(INDEX(Category_Targets!$B$2:$B$9,MATCH(F591,Category_Targets!$A$2:$A$9,0)),0)</f>
        <v>7.0000000000000007E-2</v>
      </c>
      <c r="R591" s="125">
        <f t="shared" si="28"/>
        <v>642.58320000000003</v>
      </c>
      <c r="S591" s="78">
        <f t="shared" si="29"/>
        <v>45839</v>
      </c>
      <c r="T591" t="str">
        <f>IFERROR(VLOOKUP(B591,Sites!$A$2:$D$21,4,FALSE()),"Unknown")</f>
        <v>Derby</v>
      </c>
      <c r="U591" t="str">
        <f>IF(N591="OK","",COUNTIF($N$2:N591,"&lt;&gt;OK"))</f>
        <v/>
      </c>
      <c r="V591">
        <f>IF(OR(NOT(EXACT(E591,TRIM(Procurement_Raw!E591))),NOT(EXACT(F591,TRIM(Procurement_Raw!F591)))),1,0)</f>
        <v>0</v>
      </c>
    </row>
    <row r="592" spans="1:22" ht="15" customHeight="1" x14ac:dyDescent="0.25">
      <c r="A592" s="123">
        <f>Procurement_Raw!A592</f>
        <v>45883</v>
      </c>
      <c r="B592" t="str">
        <f>TRIM(Procurement_Raw!B592)</f>
        <v>S012</v>
      </c>
      <c r="C592" t="str">
        <f>Procurement_Raw!C592</f>
        <v>Bristol Care &amp; Education Centre</v>
      </c>
      <c r="D592" t="str">
        <f>Procurement_Raw!D592</f>
        <v>South</v>
      </c>
      <c r="E592" t="str">
        <f>IF(TRIM(Procurement_Raw!E592)="","",IFERROR(INDEX(Supplier_Lookup!$A$2:$A$25,MATCH(TRIM(Procurement_Raw!E592),Supplier_Lookup!$A$2:$A$25,0)),TRIM(Procurement_Raw!E592)))</f>
        <v>CareMed</v>
      </c>
      <c r="F592" t="str">
        <f>IFERROR(INDEX(Category_Targets!$A$2:$A$9,MATCH(TRIM(Procurement_Raw!F592),Category_Targets!$A$2:$A$9,0)),"Unmapped")</f>
        <v>Medical Supplies</v>
      </c>
      <c r="G592" t="str">
        <f>TRIM(Procurement_Raw!G592)</f>
        <v>INV-2025-00591</v>
      </c>
      <c r="H592" s="77">
        <f>Procurement_Raw!H592</f>
        <v>60</v>
      </c>
      <c r="I592" s="124">
        <f>Procurement_Raw!I592</f>
        <v>124.82</v>
      </c>
      <c r="J592" s="125">
        <f>IF(Procurement_Raw!J592="","",Procurement_Raw!J592)</f>
        <v>7489.05</v>
      </c>
      <c r="K592" s="77">
        <f>Procurement_Raw!K592</f>
        <v>45</v>
      </c>
      <c r="L592" t="str">
        <f>Procurement_Raw!L592</f>
        <v>ERP</v>
      </c>
      <c r="M592" t="str">
        <f>Procurement_Raw!O592</f>
        <v>N</v>
      </c>
      <c r="N592" t="str">
        <f>IF(E592="","Missing supplier",IF(B592="","Missing site",IF(J592="","Missing spend",IF(COUNTIFS($G$2:G592,G592,$E$2:E592,E592,$J$2:J592,J592)&gt;1,"Duplicate invoice",IF(COUNTIF($G$2:$G$1801,G592)&gt;1,"Duplicate ID - review",IF(AND(P592&lt;&gt;"Unmapped",P592&lt;&gt;F592),"Category mismatch","OK"))))))</f>
        <v>OK</v>
      </c>
      <c r="O592" s="125">
        <f t="shared" si="27"/>
        <v>7489.05</v>
      </c>
      <c r="P592" t="str">
        <f>IF(E592="","Unmapped",IFERROR(INDEX(Supplier_Lookup!$B$2:$B$25,MATCH(E592,Supplier_Lookup!$A$2:$A$25,0)),"Unmapped"))</f>
        <v>Medical Supplies</v>
      </c>
      <c r="Q592" s="76">
        <f>IFERROR(INDEX(Category_Targets!$B$2:$B$9,MATCH(F592,Category_Targets!$A$2:$A$9,0)),0)</f>
        <v>0.06</v>
      </c>
      <c r="R592" s="125">
        <f t="shared" si="28"/>
        <v>449.34300000000002</v>
      </c>
      <c r="S592" s="78">
        <f t="shared" si="29"/>
        <v>45870</v>
      </c>
      <c r="T592" t="str">
        <f>IFERROR(VLOOKUP(B592,Sites!$A$2:$D$21,4,FALSE()),"Unknown")</f>
        <v>Bristol</v>
      </c>
      <c r="U592" t="str">
        <f>IF(N592="OK","",COUNTIF($N$2:N592,"&lt;&gt;OK"))</f>
        <v/>
      </c>
      <c r="V592">
        <f>IF(OR(NOT(EXACT(E592,TRIM(Procurement_Raw!E592))),NOT(EXACT(F592,TRIM(Procurement_Raw!F592)))),1,0)</f>
        <v>0</v>
      </c>
    </row>
    <row r="593" spans="1:22" ht="15" customHeight="1" x14ac:dyDescent="0.25">
      <c r="A593" s="123">
        <f>Procurement_Raw!A593</f>
        <v>46014</v>
      </c>
      <c r="B593" t="str">
        <f>TRIM(Procurement_Raw!B593)</f>
        <v>S005</v>
      </c>
      <c r="C593" t="str">
        <f>Procurement_Raw!C593</f>
        <v>Sheffield Care &amp; Education Centre</v>
      </c>
      <c r="D593" t="str">
        <f>Procurement_Raw!D593</f>
        <v>North</v>
      </c>
      <c r="E593" t="str">
        <f>IF(TRIM(Procurement_Raw!E593)="","",IFERROR(INDEX(Supplier_Lookup!$A$2:$A$25,MATCH(TRIM(Procurement_Raw!E593),Supplier_Lookup!$A$2:$A$25,0)),TRIM(Procurement_Raw!E593)))</f>
        <v>MediSure</v>
      </c>
      <c r="F593" t="str">
        <f>IFERROR(INDEX(Category_Targets!$A$2:$A$9,MATCH(TRIM(Procurement_Raw!F593),Category_Targets!$A$2:$A$9,0)),"Unmapped")</f>
        <v>Medical Supplies</v>
      </c>
      <c r="G593" t="str">
        <f>TRIM(Procurement_Raw!G593)</f>
        <v>INV-2025-00592</v>
      </c>
      <c r="H593" s="77">
        <f>Procurement_Raw!H593</f>
        <v>13</v>
      </c>
      <c r="I593" s="124">
        <f>Procurement_Raw!I593</f>
        <v>92.28</v>
      </c>
      <c r="J593" s="125">
        <f>IF(Procurement_Raw!J593="","",Procurement_Raw!J593)</f>
        <v>1199.58</v>
      </c>
      <c r="K593" s="77">
        <f>Procurement_Raw!K593</f>
        <v>30</v>
      </c>
      <c r="L593" t="str">
        <f>Procurement_Raw!L593</f>
        <v>Legacy Spend File</v>
      </c>
      <c r="M593" t="str">
        <f>Procurement_Raw!O593</f>
        <v>Y</v>
      </c>
      <c r="N593" t="str">
        <f>IF(E593="","Missing supplier",IF(B593="","Missing site",IF(J593="","Missing spend",IF(COUNTIFS($G$2:G593,G593,$E$2:E593,E593,$J$2:J593,J593)&gt;1,"Duplicate invoice",IF(COUNTIF($G$2:$G$1801,G593)&gt;1,"Duplicate ID - review",IF(AND(P593&lt;&gt;"Unmapped",P593&lt;&gt;F593),"Category mismatch","OK"))))))</f>
        <v>OK</v>
      </c>
      <c r="O593" s="125">
        <f t="shared" si="27"/>
        <v>1199.58</v>
      </c>
      <c r="P593" t="str">
        <f>IF(E593="","Unmapped",IFERROR(INDEX(Supplier_Lookup!$B$2:$B$25,MATCH(E593,Supplier_Lookup!$A$2:$A$25,0)),"Unmapped"))</f>
        <v>Medical Supplies</v>
      </c>
      <c r="Q593" s="76">
        <f>IFERROR(INDEX(Category_Targets!$B$2:$B$9,MATCH(F593,Category_Targets!$A$2:$A$9,0)),0)</f>
        <v>0.06</v>
      </c>
      <c r="R593" s="125">
        <f t="shared" si="28"/>
        <v>71.974799999999988</v>
      </c>
      <c r="S593" s="78">
        <f t="shared" si="29"/>
        <v>45992</v>
      </c>
      <c r="T593" t="str">
        <f>IFERROR(VLOOKUP(B593,Sites!$A$2:$D$21,4,FALSE()),"Unknown")</f>
        <v>Sheffield</v>
      </c>
      <c r="U593" t="str">
        <f>IF(N593="OK","",COUNTIF($N$2:N593,"&lt;&gt;OK"))</f>
        <v/>
      </c>
      <c r="V593">
        <f>IF(OR(NOT(EXACT(E593,TRIM(Procurement_Raw!E593))),NOT(EXACT(F593,TRIM(Procurement_Raw!F593)))),1,0)</f>
        <v>0</v>
      </c>
    </row>
    <row r="594" spans="1:22" ht="15" customHeight="1" x14ac:dyDescent="0.25">
      <c r="A594" s="123">
        <f>Procurement_Raw!A594</f>
        <v>45774</v>
      </c>
      <c r="B594" t="str">
        <f>TRIM(Procurement_Raw!B594)</f>
        <v>S006</v>
      </c>
      <c r="C594" t="str">
        <f>Procurement_Raw!C594</f>
        <v>Birmingham Care &amp; Education Centre</v>
      </c>
      <c r="D594" t="str">
        <f>Procurement_Raw!D594</f>
        <v>Midlands</v>
      </c>
      <c r="E594" t="str">
        <f>IF(TRIM(Procurement_Raw!E594)="","",IFERROR(INDEX(Supplier_Lookup!$A$2:$A$25,MATCH(TRIM(Procurement_Raw!E594),Supplier_Lookup!$A$2:$A$25,0)),TRIM(Procurement_Raw!E594)))</f>
        <v>NurseLink</v>
      </c>
      <c r="F594" t="str">
        <f>IFERROR(INDEX(Category_Targets!$A$2:$A$9,MATCH(TRIM(Procurement_Raw!F594),Category_Targets!$A$2:$A$9,0)),"Unmapped")</f>
        <v>Agency Labour</v>
      </c>
      <c r="G594" t="str">
        <f>TRIM(Procurement_Raw!G594)</f>
        <v>INV-2025-00593</v>
      </c>
      <c r="H594" s="77">
        <f>Procurement_Raw!H594</f>
        <v>71</v>
      </c>
      <c r="I594" s="124">
        <f>Procurement_Raw!I594</f>
        <v>390.42</v>
      </c>
      <c r="J594" s="125">
        <f>IF(Procurement_Raw!J594="","",Procurement_Raw!J594)</f>
        <v>27719.77</v>
      </c>
      <c r="K594" s="77">
        <f>Procurement_Raw!K594</f>
        <v>30</v>
      </c>
      <c r="L594" t="str">
        <f>Procurement_Raw!L594</f>
        <v>Procurement Portal</v>
      </c>
      <c r="M594" t="str">
        <f>Procurement_Raw!O594</f>
        <v>N</v>
      </c>
      <c r="N594" t="str">
        <f>IF(E594="","Missing supplier",IF(B594="","Missing site",IF(J594="","Missing spend",IF(COUNTIFS($G$2:G594,G594,$E$2:E594,E594,$J$2:J594,J594)&gt;1,"Duplicate invoice",IF(COUNTIF($G$2:$G$1801,G594)&gt;1,"Duplicate ID - review",IF(AND(P594&lt;&gt;"Unmapped",P594&lt;&gt;F594),"Category mismatch","OK"))))))</f>
        <v>OK</v>
      </c>
      <c r="O594" s="125">
        <f t="shared" si="27"/>
        <v>27719.77</v>
      </c>
      <c r="P594" t="str">
        <f>IF(E594="","Unmapped",IFERROR(INDEX(Supplier_Lookup!$B$2:$B$25,MATCH(E594,Supplier_Lookup!$A$2:$A$25,0)),"Unmapped"))</f>
        <v>Agency Labour</v>
      </c>
      <c r="Q594" s="76">
        <f>IFERROR(INDEX(Category_Targets!$B$2:$B$9,MATCH(F594,Category_Targets!$A$2:$A$9,0)),0)</f>
        <v>7.0000000000000007E-2</v>
      </c>
      <c r="R594" s="125">
        <f t="shared" si="28"/>
        <v>1940.3839000000003</v>
      </c>
      <c r="S594" s="78">
        <f t="shared" si="29"/>
        <v>45748</v>
      </c>
      <c r="T594" t="str">
        <f>IFERROR(VLOOKUP(B594,Sites!$A$2:$D$21,4,FALSE()),"Unknown")</f>
        <v>Birmingham</v>
      </c>
      <c r="U594" t="str">
        <f>IF(N594="OK","",COUNTIF($N$2:N594,"&lt;&gt;OK"))</f>
        <v/>
      </c>
      <c r="V594">
        <f>IF(OR(NOT(EXACT(E594,TRIM(Procurement_Raw!E594))),NOT(EXACT(F594,TRIM(Procurement_Raw!F594)))),1,0)</f>
        <v>0</v>
      </c>
    </row>
    <row r="595" spans="1:22" ht="15" customHeight="1" x14ac:dyDescent="0.25">
      <c r="A595" s="123">
        <f>Procurement_Raw!A595</f>
        <v>46009</v>
      </c>
      <c r="B595" t="str">
        <f>TRIM(Procurement_Raw!B595)</f>
        <v>S005</v>
      </c>
      <c r="C595" t="str">
        <f>Procurement_Raw!C595</f>
        <v>Sheffield Care &amp; Education Centre</v>
      </c>
      <c r="D595" t="str">
        <f>Procurement_Raw!D595</f>
        <v>North</v>
      </c>
      <c r="E595" t="str">
        <f>IF(TRIM(Procurement_Raw!E595)="","",IFERROR(INDEX(Supplier_Lookup!$A$2:$A$25,MATCH(TRIM(Procurement_Raw!E595),Supplier_Lookup!$A$2:$A$25,0)),TRIM(Procurement_Raw!E595)))</f>
        <v>NurseLink</v>
      </c>
      <c r="F595" t="str">
        <f>IFERROR(INDEX(Category_Targets!$A$2:$A$9,MATCH(TRIM(Procurement_Raw!F595),Category_Targets!$A$2:$A$9,0)),"Unmapped")</f>
        <v>Agency Labour</v>
      </c>
      <c r="G595" t="str">
        <f>TRIM(Procurement_Raw!G595)</f>
        <v>INV-2025-00594</v>
      </c>
      <c r="H595" s="77">
        <f>Procurement_Raw!H595</f>
        <v>61</v>
      </c>
      <c r="I595" s="124">
        <f>Procurement_Raw!I595</f>
        <v>360.43</v>
      </c>
      <c r="J595" s="125">
        <f>IF(Procurement_Raw!J595="","",Procurement_Raw!J595)</f>
        <v>21986.21</v>
      </c>
      <c r="K595" s="77">
        <f>Procurement_Raw!K595</f>
        <v>60</v>
      </c>
      <c r="L595" t="str">
        <f>Procurement_Raw!L595</f>
        <v>ERP</v>
      </c>
      <c r="M595" t="str">
        <f>Procurement_Raw!O595</f>
        <v>N</v>
      </c>
      <c r="N595" t="str">
        <f>IF(E595="","Missing supplier",IF(B595="","Missing site",IF(J595="","Missing spend",IF(COUNTIFS($G$2:G595,G595,$E$2:E595,E595,$J$2:J595,J595)&gt;1,"Duplicate invoice",IF(COUNTIF($G$2:$G$1801,G595)&gt;1,"Duplicate ID - review",IF(AND(P595&lt;&gt;"Unmapped",P595&lt;&gt;F595),"Category mismatch","OK"))))))</f>
        <v>OK</v>
      </c>
      <c r="O595" s="125">
        <f t="shared" si="27"/>
        <v>21986.21</v>
      </c>
      <c r="P595" t="str">
        <f>IF(E595="","Unmapped",IFERROR(INDEX(Supplier_Lookup!$B$2:$B$25,MATCH(E595,Supplier_Lookup!$A$2:$A$25,0)),"Unmapped"))</f>
        <v>Agency Labour</v>
      </c>
      <c r="Q595" s="76">
        <f>IFERROR(INDEX(Category_Targets!$B$2:$B$9,MATCH(F595,Category_Targets!$A$2:$A$9,0)),0)</f>
        <v>7.0000000000000007E-2</v>
      </c>
      <c r="R595" s="125">
        <f t="shared" si="28"/>
        <v>1539.0347000000002</v>
      </c>
      <c r="S595" s="78">
        <f t="shared" si="29"/>
        <v>45992</v>
      </c>
      <c r="T595" t="str">
        <f>IFERROR(VLOOKUP(B595,Sites!$A$2:$D$21,4,FALSE()),"Unknown")</f>
        <v>Sheffield</v>
      </c>
      <c r="U595" t="str">
        <f>IF(N595="OK","",COUNTIF($N$2:N595,"&lt;&gt;OK"))</f>
        <v/>
      </c>
      <c r="V595">
        <f>IF(OR(NOT(EXACT(E595,TRIM(Procurement_Raw!E595))),NOT(EXACT(F595,TRIM(Procurement_Raw!F595)))),1,0)</f>
        <v>0</v>
      </c>
    </row>
    <row r="596" spans="1:22" ht="15" customHeight="1" x14ac:dyDescent="0.25">
      <c r="A596" s="123">
        <f>Procurement_Raw!A596</f>
        <v>45860</v>
      </c>
      <c r="B596" t="str">
        <f>TRIM(Procurement_Raw!B596)</f>
        <v>S018</v>
      </c>
      <c r="C596" t="str">
        <f>Procurement_Raw!C596</f>
        <v>Newport Care &amp; Education Centre</v>
      </c>
      <c r="D596" t="str">
        <f>Procurement_Raw!D596</f>
        <v>Wales</v>
      </c>
      <c r="E596" t="str">
        <f>IF(TRIM(Procurement_Raw!E596)="","",IFERROR(INDEX(Supplier_Lookup!$A$2:$A$25,MATCH(TRIM(Procurement_Raw!E596),Supplier_Lookup!$A$2:$A$25,0)),TRIM(Procurement_Raw!E596)))</f>
        <v>CloudLink</v>
      </c>
      <c r="F596" t="str">
        <f>IFERROR(INDEX(Category_Targets!$A$2:$A$9,MATCH(TRIM(Procurement_Raw!F596),Category_Targets!$A$2:$A$9,0)),"Unmapped")</f>
        <v>IT &amp; Telecoms</v>
      </c>
      <c r="G596" t="str">
        <f>TRIM(Procurement_Raw!G596)</f>
        <v>INV-2025-00595</v>
      </c>
      <c r="H596" s="77">
        <f>Procurement_Raw!H596</f>
        <v>5</v>
      </c>
      <c r="I596" s="124">
        <f>Procurement_Raw!I596</f>
        <v>389.27</v>
      </c>
      <c r="J596" s="125">
        <f>IF(Procurement_Raw!J596="","",Procurement_Raw!J596)</f>
        <v>1946.35</v>
      </c>
      <c r="K596" s="77">
        <f>Procurement_Raw!K596</f>
        <v>60</v>
      </c>
      <c r="L596" t="str">
        <f>Procurement_Raw!L596</f>
        <v>Legacy Spend File</v>
      </c>
      <c r="M596" t="str">
        <f>Procurement_Raw!O596</f>
        <v>Y</v>
      </c>
      <c r="N596" t="str">
        <f>IF(E596="","Missing supplier",IF(B596="","Missing site",IF(J596="","Missing spend",IF(COUNTIFS($G$2:G596,G596,$E$2:E596,E596,$J$2:J596,J596)&gt;1,"Duplicate invoice",IF(COUNTIF($G$2:$G$1801,G596)&gt;1,"Duplicate ID - review",IF(AND(P596&lt;&gt;"Unmapped",P596&lt;&gt;F596),"Category mismatch","OK"))))))</f>
        <v>OK</v>
      </c>
      <c r="O596" s="125">
        <f t="shared" si="27"/>
        <v>1946.35</v>
      </c>
      <c r="P596" t="str">
        <f>IF(E596="","Unmapped",IFERROR(INDEX(Supplier_Lookup!$B$2:$B$25,MATCH(E596,Supplier_Lookup!$A$2:$A$25,0)),"Unmapped"))</f>
        <v>IT &amp; Telecoms</v>
      </c>
      <c r="Q596" s="76">
        <f>IFERROR(INDEX(Category_Targets!$B$2:$B$9,MATCH(F596,Category_Targets!$A$2:$A$9,0)),0)</f>
        <v>0.08</v>
      </c>
      <c r="R596" s="125">
        <f t="shared" si="28"/>
        <v>155.708</v>
      </c>
      <c r="S596" s="78">
        <f t="shared" si="29"/>
        <v>45839</v>
      </c>
      <c r="T596" t="str">
        <f>IFERROR(VLOOKUP(B596,Sites!$A$2:$D$21,4,FALSE()),"Unknown")</f>
        <v>Newport</v>
      </c>
      <c r="U596" t="str">
        <f>IF(N596="OK","",COUNTIF($N$2:N596,"&lt;&gt;OK"))</f>
        <v/>
      </c>
      <c r="V596">
        <f>IF(OR(NOT(EXACT(E596,TRIM(Procurement_Raw!E596))),NOT(EXACT(F596,TRIM(Procurement_Raw!F596)))),1,0)</f>
        <v>0</v>
      </c>
    </row>
    <row r="597" spans="1:22" ht="15" customHeight="1" x14ac:dyDescent="0.25">
      <c r="A597" s="123">
        <f>Procurement_Raw!A597</f>
        <v>45887</v>
      </c>
      <c r="B597" t="str">
        <f>TRIM(Procurement_Raw!B597)</f>
        <v>S009</v>
      </c>
      <c r="C597" t="str">
        <f>Procurement_Raw!C597</f>
        <v>Derby Care &amp; Education Centre</v>
      </c>
      <c r="D597" t="str">
        <f>Procurement_Raw!D597</f>
        <v>Midlands</v>
      </c>
      <c r="E597" t="str">
        <f>IF(TRIM(Procurement_Raw!E597)="","",IFERROR(INDEX(Supplier_Lookup!$A$2:$A$25,MATCH(TRIM(Procurement_Raw!E597),Supplier_Lookup!$A$2:$A$25,0)),TRIM(Procurement_Raw!E597)))</f>
        <v>CleanWorks</v>
      </c>
      <c r="F597" t="str">
        <f>IFERROR(INDEX(Category_Targets!$A$2:$A$9,MATCH(TRIM(Procurement_Raw!F597),Category_Targets!$A$2:$A$9,0)),"Unmapped")</f>
        <v>Facilities</v>
      </c>
      <c r="G597" t="str">
        <f>TRIM(Procurement_Raw!G597)</f>
        <v>INV-2025-00596</v>
      </c>
      <c r="H597" s="77">
        <f>Procurement_Raw!H597</f>
        <v>23</v>
      </c>
      <c r="I597" s="124">
        <f>Procurement_Raw!I597</f>
        <v>135.97</v>
      </c>
      <c r="J597" s="125">
        <f>IF(Procurement_Raw!J597="","",Procurement_Raw!J597)</f>
        <v>3127.35</v>
      </c>
      <c r="K597" s="77">
        <f>Procurement_Raw!K597</f>
        <v>30</v>
      </c>
      <c r="L597" t="str">
        <f>Procurement_Raw!L597</f>
        <v>ERP</v>
      </c>
      <c r="M597" t="str">
        <f>Procurement_Raw!O597</f>
        <v>Y</v>
      </c>
      <c r="N597" t="str">
        <f>IF(E597="","Missing supplier",IF(B597="","Missing site",IF(J597="","Missing spend",IF(COUNTIFS($G$2:G597,G597,$E$2:E597,E597,$J$2:J597,J597)&gt;1,"Duplicate invoice",IF(COUNTIF($G$2:$G$1801,G597)&gt;1,"Duplicate ID - review",IF(AND(P597&lt;&gt;"Unmapped",P597&lt;&gt;F597),"Category mismatch","OK"))))))</f>
        <v>OK</v>
      </c>
      <c r="O597" s="125">
        <f t="shared" si="27"/>
        <v>3127.35</v>
      </c>
      <c r="P597" t="str">
        <f>IF(E597="","Unmapped",IFERROR(INDEX(Supplier_Lookup!$B$2:$B$25,MATCH(E597,Supplier_Lookup!$A$2:$A$25,0)),"Unmapped"))</f>
        <v>Facilities</v>
      </c>
      <c r="Q597" s="76">
        <f>IFERROR(INDEX(Category_Targets!$B$2:$B$9,MATCH(F597,Category_Targets!$A$2:$A$9,0)),0)</f>
        <v>0.05</v>
      </c>
      <c r="R597" s="125">
        <f t="shared" si="28"/>
        <v>156.36750000000001</v>
      </c>
      <c r="S597" s="78">
        <f t="shared" si="29"/>
        <v>45870</v>
      </c>
      <c r="T597" t="str">
        <f>IFERROR(VLOOKUP(B597,Sites!$A$2:$D$21,4,FALSE()),"Unknown")</f>
        <v>Derby</v>
      </c>
      <c r="U597" t="str">
        <f>IF(N597="OK","",COUNTIF($N$2:N597,"&lt;&gt;OK"))</f>
        <v/>
      </c>
      <c r="V597">
        <f>IF(OR(NOT(EXACT(E597,TRIM(Procurement_Raw!E597))),NOT(EXACT(F597,TRIM(Procurement_Raw!F597)))),1,0)</f>
        <v>0</v>
      </c>
    </row>
    <row r="598" spans="1:22" ht="15" customHeight="1" x14ac:dyDescent="0.25">
      <c r="A598" s="123">
        <f>Procurement_Raw!A598</f>
        <v>45874</v>
      </c>
      <c r="B598" t="str">
        <f>TRIM(Procurement_Raw!B598)</f>
        <v>S020</v>
      </c>
      <c r="C598" t="str">
        <f>Procurement_Raw!C598</f>
        <v>Bangor Care &amp; Education Centre</v>
      </c>
      <c r="D598" t="str">
        <f>Procurement_Raw!D598</f>
        <v>Wales</v>
      </c>
      <c r="E598" t="str">
        <f>IF(TRIM(Procurement_Raw!E598)="","",IFERROR(INDEX(Supplier_Lookup!$A$2:$A$25,MATCH(TRIM(Procurement_Raw!E598),Supplier_Lookup!$A$2:$A$25,0)),TRIM(Procurement_Raw!E598)))</f>
        <v>CleanWorks</v>
      </c>
      <c r="F598" t="str">
        <f>IFERROR(INDEX(Category_Targets!$A$2:$A$9,MATCH(TRIM(Procurement_Raw!F598),Category_Targets!$A$2:$A$9,0)),"Unmapped")</f>
        <v>Facilities</v>
      </c>
      <c r="G598" t="str">
        <f>TRIM(Procurement_Raw!G598)</f>
        <v>INV-2025-00597</v>
      </c>
      <c r="H598" s="77">
        <f>Procurement_Raw!H598</f>
        <v>11</v>
      </c>
      <c r="I598" s="124">
        <f>Procurement_Raw!I598</f>
        <v>155.16999999999999</v>
      </c>
      <c r="J598" s="125">
        <f>IF(Procurement_Raw!J598="","",Procurement_Raw!J598)</f>
        <v>1706.88</v>
      </c>
      <c r="K598" s="77">
        <f>Procurement_Raw!K598</f>
        <v>60</v>
      </c>
      <c r="L598" t="str">
        <f>Procurement_Raw!L598</f>
        <v>Procurement Portal</v>
      </c>
      <c r="M598" t="str">
        <f>Procurement_Raw!O598</f>
        <v>Y</v>
      </c>
      <c r="N598" t="str">
        <f>IF(E598="","Missing supplier",IF(B598="","Missing site",IF(J598="","Missing spend",IF(COUNTIFS($G$2:G598,G598,$E$2:E598,E598,$J$2:J598,J598)&gt;1,"Duplicate invoice",IF(COUNTIF($G$2:$G$1801,G598)&gt;1,"Duplicate ID - review",IF(AND(P598&lt;&gt;"Unmapped",P598&lt;&gt;F598),"Category mismatch","OK"))))))</f>
        <v>OK</v>
      </c>
      <c r="O598" s="125">
        <f t="shared" si="27"/>
        <v>1706.88</v>
      </c>
      <c r="P598" t="str">
        <f>IF(E598="","Unmapped",IFERROR(INDEX(Supplier_Lookup!$B$2:$B$25,MATCH(E598,Supplier_Lookup!$A$2:$A$25,0)),"Unmapped"))</f>
        <v>Facilities</v>
      </c>
      <c r="Q598" s="76">
        <f>IFERROR(INDEX(Category_Targets!$B$2:$B$9,MATCH(F598,Category_Targets!$A$2:$A$9,0)),0)</f>
        <v>0.05</v>
      </c>
      <c r="R598" s="125">
        <f t="shared" si="28"/>
        <v>85.344000000000008</v>
      </c>
      <c r="S598" s="78">
        <f t="shared" si="29"/>
        <v>45870</v>
      </c>
      <c r="T598" t="str">
        <f>IFERROR(VLOOKUP(B598,Sites!$A$2:$D$21,4,FALSE()),"Unknown")</f>
        <v>Bangor</v>
      </c>
      <c r="U598" t="str">
        <f>IF(N598="OK","",COUNTIF($N$2:N598,"&lt;&gt;OK"))</f>
        <v/>
      </c>
      <c r="V598">
        <f>IF(OR(NOT(EXACT(E598,TRIM(Procurement_Raw!E598))),NOT(EXACT(F598,TRIM(Procurement_Raw!F598)))),1,0)</f>
        <v>0</v>
      </c>
    </row>
    <row r="599" spans="1:22" ht="15" customHeight="1" x14ac:dyDescent="0.25">
      <c r="A599" s="123">
        <f>Procurement_Raw!A599</f>
        <v>45790</v>
      </c>
      <c r="B599" t="str">
        <f>TRIM(Procurement_Raw!B599)</f>
        <v>S008</v>
      </c>
      <c r="C599" t="str">
        <f>Procurement_Raw!C599</f>
        <v>Leicester Care &amp; Education Centre</v>
      </c>
      <c r="D599" t="str">
        <f>Procurement_Raw!D599</f>
        <v>Midlands</v>
      </c>
      <c r="E599" t="str">
        <f>IF(TRIM(Procurement_Raw!E599)="","",IFERROR(INDEX(Supplier_Lookup!$A$2:$A$25,MATCH(TRIM(Procurement_Raw!E599),Supplier_Lookup!$A$2:$A$25,0)),TRIM(Procurement_Raw!E599)))</f>
        <v>BuildCare</v>
      </c>
      <c r="F599" t="str">
        <f>IFERROR(INDEX(Category_Targets!$A$2:$A$9,MATCH(TRIM(Procurement_Raw!F599),Category_Targets!$A$2:$A$9,0)),"Unmapped")</f>
        <v>Facilities</v>
      </c>
      <c r="G599" t="str">
        <f>TRIM(Procurement_Raw!G599)</f>
        <v>INV-2025-00598</v>
      </c>
      <c r="H599" s="77">
        <f>Procurement_Raw!H599</f>
        <v>41</v>
      </c>
      <c r="I599" s="124">
        <f>Procurement_Raw!I599</f>
        <v>105.07</v>
      </c>
      <c r="J599" s="125">
        <f>IF(Procurement_Raw!J599="","",Procurement_Raw!J599)</f>
        <v>4307.91</v>
      </c>
      <c r="K599" s="77">
        <f>Procurement_Raw!K599</f>
        <v>60</v>
      </c>
      <c r="L599" t="str">
        <f>Procurement_Raw!L599</f>
        <v>ERP</v>
      </c>
      <c r="M599" t="str">
        <f>Procurement_Raw!O599</f>
        <v>N</v>
      </c>
      <c r="N599" t="str">
        <f>IF(E599="","Missing supplier",IF(B599="","Missing site",IF(J599="","Missing spend",IF(COUNTIFS($G$2:G599,G599,$E$2:E599,E599,$J$2:J599,J599)&gt;1,"Duplicate invoice",IF(COUNTIF($G$2:$G$1801,G599)&gt;1,"Duplicate ID - review",IF(AND(P599&lt;&gt;"Unmapped",P599&lt;&gt;F599),"Category mismatch","OK"))))))</f>
        <v>OK</v>
      </c>
      <c r="O599" s="125">
        <f t="shared" si="27"/>
        <v>4307.91</v>
      </c>
      <c r="P599" t="str">
        <f>IF(E599="","Unmapped",IFERROR(INDEX(Supplier_Lookup!$B$2:$B$25,MATCH(E599,Supplier_Lookup!$A$2:$A$25,0)),"Unmapped"))</f>
        <v>Facilities</v>
      </c>
      <c r="Q599" s="76">
        <f>IFERROR(INDEX(Category_Targets!$B$2:$B$9,MATCH(F599,Category_Targets!$A$2:$A$9,0)),0)</f>
        <v>0.05</v>
      </c>
      <c r="R599" s="125">
        <f t="shared" si="28"/>
        <v>215.3955</v>
      </c>
      <c r="S599" s="78">
        <f t="shared" si="29"/>
        <v>45778</v>
      </c>
      <c r="T599" t="str">
        <f>IFERROR(VLOOKUP(B599,Sites!$A$2:$D$21,4,FALSE()),"Unknown")</f>
        <v>Leicester</v>
      </c>
      <c r="U599" t="str">
        <f>IF(N599="OK","",COUNTIF($N$2:N599,"&lt;&gt;OK"))</f>
        <v/>
      </c>
      <c r="V599">
        <f>IF(OR(NOT(EXACT(E599,TRIM(Procurement_Raw!E599))),NOT(EXACT(F599,TRIM(Procurement_Raw!F599)))),1,0)</f>
        <v>0</v>
      </c>
    </row>
    <row r="600" spans="1:22" ht="15" customHeight="1" x14ac:dyDescent="0.25">
      <c r="A600" s="123">
        <f>Procurement_Raw!A600</f>
        <v>45861</v>
      </c>
      <c r="B600" t="str">
        <f>TRIM(Procurement_Raw!B600)</f>
        <v>S008</v>
      </c>
      <c r="C600" t="str">
        <f>Procurement_Raw!C600</f>
        <v>Leicester Care &amp; Education Centre</v>
      </c>
      <c r="D600" t="str">
        <f>Procurement_Raw!D600</f>
        <v>Midlands</v>
      </c>
      <c r="E600" t="str">
        <f>IF(TRIM(Procurement_Raw!E600)="","",IFERROR(INDEX(Supplier_Lookup!$A$2:$A$25,MATCH(TRIM(Procurement_Raw!E600),Supplier_Lookup!$A$2:$A$25,0)),TRIM(Procurement_Raw!E600)))</f>
        <v>NurseLink</v>
      </c>
      <c r="F600" t="str">
        <f>IFERROR(INDEX(Category_Targets!$A$2:$A$9,MATCH(TRIM(Procurement_Raw!F600),Category_Targets!$A$2:$A$9,0)),"Unmapped")</f>
        <v>Agency Labour</v>
      </c>
      <c r="G600" t="str">
        <f>TRIM(Procurement_Raw!G600)</f>
        <v>INV-2025-00599</v>
      </c>
      <c r="H600" s="77">
        <f>Procurement_Raw!H600</f>
        <v>71</v>
      </c>
      <c r="I600" s="124">
        <f>Procurement_Raw!I600</f>
        <v>234.96</v>
      </c>
      <c r="J600" s="125">
        <f>IF(Procurement_Raw!J600="","",Procurement_Raw!J600)</f>
        <v>16682.259999999998</v>
      </c>
      <c r="K600" s="77">
        <f>Procurement_Raw!K600</f>
        <v>45</v>
      </c>
      <c r="L600" t="str">
        <f>Procurement_Raw!L600</f>
        <v>Procurement Portal</v>
      </c>
      <c r="M600" t="str">
        <f>Procurement_Raw!O600</f>
        <v>N</v>
      </c>
      <c r="N600" t="str">
        <f>IF(E600="","Missing supplier",IF(B600="","Missing site",IF(J600="","Missing spend",IF(COUNTIFS($G$2:G600,G600,$E$2:E600,E600,$J$2:J600,J600)&gt;1,"Duplicate invoice",IF(COUNTIF($G$2:$G$1801,G600)&gt;1,"Duplicate ID - review",IF(AND(P600&lt;&gt;"Unmapped",P600&lt;&gt;F600),"Category mismatch","OK"))))))</f>
        <v>OK</v>
      </c>
      <c r="O600" s="125">
        <f t="shared" si="27"/>
        <v>16682.259999999998</v>
      </c>
      <c r="P600" t="str">
        <f>IF(E600="","Unmapped",IFERROR(INDEX(Supplier_Lookup!$B$2:$B$25,MATCH(E600,Supplier_Lookup!$A$2:$A$25,0)),"Unmapped"))</f>
        <v>Agency Labour</v>
      </c>
      <c r="Q600" s="76">
        <f>IFERROR(INDEX(Category_Targets!$B$2:$B$9,MATCH(F600,Category_Targets!$A$2:$A$9,0)),0)</f>
        <v>7.0000000000000007E-2</v>
      </c>
      <c r="R600" s="125">
        <f t="shared" si="28"/>
        <v>1167.7582</v>
      </c>
      <c r="S600" s="78">
        <f t="shared" si="29"/>
        <v>45839</v>
      </c>
      <c r="T600" t="str">
        <f>IFERROR(VLOOKUP(B600,Sites!$A$2:$D$21,4,FALSE()),"Unknown")</f>
        <v>Leicester</v>
      </c>
      <c r="U600" t="str">
        <f>IF(N600="OK","",COUNTIF($N$2:N600,"&lt;&gt;OK"))</f>
        <v/>
      </c>
      <c r="V600">
        <f>IF(OR(NOT(EXACT(E600,TRIM(Procurement_Raw!E600))),NOT(EXACT(F600,TRIM(Procurement_Raw!F600)))),1,0)</f>
        <v>0</v>
      </c>
    </row>
    <row r="601" spans="1:22" ht="15" customHeight="1" x14ac:dyDescent="0.25">
      <c r="A601" s="123">
        <f>Procurement_Raw!A601</f>
        <v>46016</v>
      </c>
      <c r="B601" t="str">
        <f>TRIM(Procurement_Raw!B601)</f>
        <v>S011</v>
      </c>
      <c r="C601" t="str">
        <f>Procurement_Raw!C601</f>
        <v>London Care &amp; Education Centre</v>
      </c>
      <c r="D601" t="str">
        <f>Procurement_Raw!D601</f>
        <v>South</v>
      </c>
      <c r="E601" t="str">
        <f>IF(TRIM(Procurement_Raw!E601)="","",IFERROR(INDEX(Supplier_Lookup!$A$2:$A$25,MATCH(TRIM(Procurement_Raw!E601),Supplier_Lookup!$A$2:$A$25,0)),TRIM(Procurement_Raw!E601)))</f>
        <v>OfficePlus</v>
      </c>
      <c r="F601" t="str">
        <f>IFERROR(INDEX(Category_Targets!$A$2:$A$9,MATCH(TRIM(Procurement_Raw!F601),Category_Targets!$A$2:$A$9,0)),"Unmapped")</f>
        <v>Office &amp; Training</v>
      </c>
      <c r="G601" t="str">
        <f>TRIM(Procurement_Raw!G601)</f>
        <v>INV-2025-00600</v>
      </c>
      <c r="H601" s="77">
        <f>Procurement_Raw!H601</f>
        <v>80</v>
      </c>
      <c r="I601" s="124">
        <f>Procurement_Raw!I601</f>
        <v>92.3</v>
      </c>
      <c r="J601" s="125">
        <f>IF(Procurement_Raw!J601="","",Procurement_Raw!J601)</f>
        <v>7383.7</v>
      </c>
      <c r="K601" s="77">
        <f>Procurement_Raw!K601</f>
        <v>60</v>
      </c>
      <c r="L601" t="str">
        <f>Procurement_Raw!L601</f>
        <v>Legacy Spend File</v>
      </c>
      <c r="M601" t="str">
        <f>Procurement_Raw!O601</f>
        <v>N</v>
      </c>
      <c r="N601" t="str">
        <f>IF(E601="","Missing supplier",IF(B601="","Missing site",IF(J601="","Missing spend",IF(COUNTIFS($G$2:G601,G601,$E$2:E601,E601,$J$2:J601,J601)&gt;1,"Duplicate invoice",IF(COUNTIF($G$2:$G$1801,G601)&gt;1,"Duplicate ID - review",IF(AND(P601&lt;&gt;"Unmapped",P601&lt;&gt;F601),"Category mismatch","OK"))))))</f>
        <v>OK</v>
      </c>
      <c r="O601" s="125">
        <f t="shared" si="27"/>
        <v>7383.7</v>
      </c>
      <c r="P601" t="str">
        <f>IF(E601="","Unmapped",IFERROR(INDEX(Supplier_Lookup!$B$2:$B$25,MATCH(E601,Supplier_Lookup!$A$2:$A$25,0)),"Unmapped"))</f>
        <v>Office &amp; Training</v>
      </c>
      <c r="Q601" s="76">
        <f>IFERROR(INDEX(Category_Targets!$B$2:$B$9,MATCH(F601,Category_Targets!$A$2:$A$9,0)),0)</f>
        <v>0.04</v>
      </c>
      <c r="R601" s="125">
        <f t="shared" si="28"/>
        <v>295.34800000000001</v>
      </c>
      <c r="S601" s="78">
        <f t="shared" si="29"/>
        <v>45992</v>
      </c>
      <c r="T601" t="str">
        <f>IFERROR(VLOOKUP(B601,Sites!$A$2:$D$21,4,FALSE()),"Unknown")</f>
        <v>London</v>
      </c>
      <c r="U601" t="str">
        <f>IF(N601="OK","",COUNTIF($N$2:N601,"&lt;&gt;OK"))</f>
        <v/>
      </c>
      <c r="V601">
        <f>IF(OR(NOT(EXACT(E601,TRIM(Procurement_Raw!E601))),NOT(EXACT(F601,TRIM(Procurement_Raw!F601)))),1,0)</f>
        <v>0</v>
      </c>
    </row>
    <row r="602" spans="1:22" ht="15" customHeight="1" x14ac:dyDescent="0.25">
      <c r="A602" s="123">
        <f>Procurement_Raw!A602</f>
        <v>45734</v>
      </c>
      <c r="B602" t="str">
        <f>TRIM(Procurement_Raw!B602)</f>
        <v>S015</v>
      </c>
      <c r="C602" t="str">
        <f>Procurement_Raw!C602</f>
        <v>Brighton Care &amp; Education Centre</v>
      </c>
      <c r="D602" t="str">
        <f>Procurement_Raw!D602</f>
        <v>South</v>
      </c>
      <c r="E602" t="str">
        <f>IF(TRIM(Procurement_Raw!E602)="","",IFERROR(INDEX(Supplier_Lookup!$A$2:$A$25,MATCH(TRIM(Procurement_Raw!E602),Supplier_Lookup!$A$2:$A$25,0)),TRIM(Procurement_Raw!E602)))</f>
        <v>NourishCo</v>
      </c>
      <c r="F602" t="str">
        <f>IFERROR(INDEX(Category_Targets!$A$2:$A$9,MATCH(TRIM(Procurement_Raw!F602),Category_Targets!$A$2:$A$9,0)),"Unmapped")</f>
        <v>Food &amp; Catering</v>
      </c>
      <c r="G602" t="str">
        <f>TRIM(Procurement_Raw!G602)</f>
        <v>INV-2025-00601</v>
      </c>
      <c r="H602" s="77">
        <f>Procurement_Raw!H602</f>
        <v>19</v>
      </c>
      <c r="I602" s="124">
        <f>Procurement_Raw!I602</f>
        <v>98.57</v>
      </c>
      <c r="J602" s="125">
        <f>IF(Procurement_Raw!J602="","",Procurement_Raw!J602)</f>
        <v>1872.76</v>
      </c>
      <c r="K602" s="77">
        <f>Procurement_Raw!K602</f>
        <v>60</v>
      </c>
      <c r="L602" t="str">
        <f>Procurement_Raw!L602</f>
        <v>Legacy Spend File</v>
      </c>
      <c r="M602" t="str">
        <f>Procurement_Raw!O602</f>
        <v>N</v>
      </c>
      <c r="N602" t="str">
        <f>IF(E602="","Missing supplier",IF(B602="","Missing site",IF(J602="","Missing spend",IF(COUNTIFS($G$2:G602,G602,$E$2:E602,E602,$J$2:J602,J602)&gt;1,"Duplicate invoice",IF(COUNTIF($G$2:$G$1801,G602)&gt;1,"Duplicate ID - review",IF(AND(P602&lt;&gt;"Unmapped",P602&lt;&gt;F602),"Category mismatch","OK"))))))</f>
        <v>OK</v>
      </c>
      <c r="O602" s="125">
        <f t="shared" si="27"/>
        <v>1872.76</v>
      </c>
      <c r="P602" t="str">
        <f>IF(E602="","Unmapped",IFERROR(INDEX(Supplier_Lookup!$B$2:$B$25,MATCH(E602,Supplier_Lookup!$A$2:$A$25,0)),"Unmapped"))</f>
        <v>Food &amp; Catering</v>
      </c>
      <c r="Q602" s="76">
        <f>IFERROR(INDEX(Category_Targets!$B$2:$B$9,MATCH(F602,Category_Targets!$A$2:$A$9,0)),0)</f>
        <v>0.04</v>
      </c>
      <c r="R602" s="125">
        <f t="shared" si="28"/>
        <v>74.910399999999996</v>
      </c>
      <c r="S602" s="78">
        <f t="shared" si="29"/>
        <v>45717</v>
      </c>
      <c r="T602" t="str">
        <f>IFERROR(VLOOKUP(B602,Sites!$A$2:$D$21,4,FALSE()),"Unknown")</f>
        <v>Brighton</v>
      </c>
      <c r="U602" t="str">
        <f>IF(N602="OK","",COUNTIF($N$2:N602,"&lt;&gt;OK"))</f>
        <v/>
      </c>
      <c r="V602">
        <f>IF(OR(NOT(EXACT(E602,TRIM(Procurement_Raw!E602))),NOT(EXACT(F602,TRIM(Procurement_Raw!F602)))),1,0)</f>
        <v>0</v>
      </c>
    </row>
    <row r="603" spans="1:22" ht="15" customHeight="1" x14ac:dyDescent="0.25">
      <c r="A603" s="123">
        <f>Procurement_Raw!A603</f>
        <v>45946</v>
      </c>
      <c r="B603" t="str">
        <f>TRIM(Procurement_Raw!B603)</f>
        <v>S014</v>
      </c>
      <c r="C603" t="str">
        <f>Procurement_Raw!C603</f>
        <v>Southampton Care &amp; Education Centre</v>
      </c>
      <c r="D603" t="str">
        <f>Procurement_Raw!D603</f>
        <v>South</v>
      </c>
      <c r="E603" t="str">
        <f>IF(TRIM(Procurement_Raw!E603)="","",IFERROR(INDEX(Supplier_Lookup!$A$2:$A$25,MATCH(TRIM(Procurement_Raw!E603),Supplier_Lookup!$A$2:$A$25,0)),TRIM(Procurement_Raw!E603)))</f>
        <v>FreshServe</v>
      </c>
      <c r="F603" t="str">
        <f>IFERROR(INDEX(Category_Targets!$A$2:$A$9,MATCH(TRIM(Procurement_Raw!F603),Category_Targets!$A$2:$A$9,0)),"Unmapped")</f>
        <v>Food &amp; Catering</v>
      </c>
      <c r="G603" t="str">
        <f>TRIM(Procurement_Raw!G603)</f>
        <v>INV-2025-00602</v>
      </c>
      <c r="H603" s="77">
        <f>Procurement_Raw!H603</f>
        <v>13</v>
      </c>
      <c r="I603" s="124">
        <f>Procurement_Raw!I603</f>
        <v>39.14</v>
      </c>
      <c r="J603" s="125">
        <f>IF(Procurement_Raw!J603="","",Procurement_Raw!J603)</f>
        <v>508.85</v>
      </c>
      <c r="K603" s="77">
        <f>Procurement_Raw!K603</f>
        <v>45</v>
      </c>
      <c r="L603" t="str">
        <f>Procurement_Raw!L603</f>
        <v>Legacy Spend File</v>
      </c>
      <c r="M603" t="str">
        <f>Procurement_Raw!O603</f>
        <v>Y</v>
      </c>
      <c r="N603" t="str">
        <f>IF(E603="","Missing supplier",IF(B603="","Missing site",IF(J603="","Missing spend",IF(COUNTIFS($G$2:G603,G603,$E$2:E603,E603,$J$2:J603,J603)&gt;1,"Duplicate invoice",IF(COUNTIF($G$2:$G$1801,G603)&gt;1,"Duplicate ID - review",IF(AND(P603&lt;&gt;"Unmapped",P603&lt;&gt;F603),"Category mismatch","OK"))))))</f>
        <v>OK</v>
      </c>
      <c r="O603" s="125">
        <f t="shared" si="27"/>
        <v>508.85</v>
      </c>
      <c r="P603" t="str">
        <f>IF(E603="","Unmapped",IFERROR(INDEX(Supplier_Lookup!$B$2:$B$25,MATCH(E603,Supplier_Lookup!$A$2:$A$25,0)),"Unmapped"))</f>
        <v>Food &amp; Catering</v>
      </c>
      <c r="Q603" s="76">
        <f>IFERROR(INDEX(Category_Targets!$B$2:$B$9,MATCH(F603,Category_Targets!$A$2:$A$9,0)),0)</f>
        <v>0.04</v>
      </c>
      <c r="R603" s="125">
        <f t="shared" si="28"/>
        <v>20.354000000000003</v>
      </c>
      <c r="S603" s="78">
        <f t="shared" si="29"/>
        <v>45931</v>
      </c>
      <c r="T603" t="str">
        <f>IFERROR(VLOOKUP(B603,Sites!$A$2:$D$21,4,FALSE()),"Unknown")</f>
        <v>Southampton</v>
      </c>
      <c r="U603" t="str">
        <f>IF(N603="OK","",COUNTIF($N$2:N603,"&lt;&gt;OK"))</f>
        <v/>
      </c>
      <c r="V603">
        <f>IF(OR(NOT(EXACT(E603,TRIM(Procurement_Raw!E603))),NOT(EXACT(F603,TRIM(Procurement_Raw!F603)))),1,0)</f>
        <v>0</v>
      </c>
    </row>
    <row r="604" spans="1:22" ht="15" customHeight="1" x14ac:dyDescent="0.25">
      <c r="A604" s="123">
        <f>Procurement_Raw!A604</f>
        <v>45854</v>
      </c>
      <c r="B604" t="str">
        <f>TRIM(Procurement_Raw!B604)</f>
        <v>S004</v>
      </c>
      <c r="C604" t="str">
        <f>Procurement_Raw!C604</f>
        <v>Newcastle Care &amp; Education Centre</v>
      </c>
      <c r="D604" t="str">
        <f>Procurement_Raw!D604</f>
        <v>North</v>
      </c>
      <c r="E604" t="str">
        <f>IF(TRIM(Procurement_Raw!E604)="","",IFERROR(INDEX(Supplier_Lookup!$A$2:$A$25,MATCH(TRIM(Procurement_Raw!E604),Supplier_Lookup!$A$2:$A$25,0)),TRIM(Procurement_Raw!E604)))</f>
        <v>CareTemps</v>
      </c>
      <c r="F604" t="str">
        <f>IFERROR(INDEX(Category_Targets!$A$2:$A$9,MATCH(TRIM(Procurement_Raw!F604),Category_Targets!$A$2:$A$9,0)),"Unmapped")</f>
        <v>Agency Labour</v>
      </c>
      <c r="G604" t="str">
        <f>TRIM(Procurement_Raw!G604)</f>
        <v>INV-2025-00603</v>
      </c>
      <c r="H604" s="77">
        <f>Procurement_Raw!H604</f>
        <v>63</v>
      </c>
      <c r="I604" s="124">
        <f>Procurement_Raw!I604</f>
        <v>483.99</v>
      </c>
      <c r="J604" s="125">
        <f>IF(Procurement_Raw!J604="","",Procurement_Raw!J604)</f>
        <v>30491.42</v>
      </c>
      <c r="K604" s="77">
        <f>Procurement_Raw!K604</f>
        <v>60</v>
      </c>
      <c r="L604" t="str">
        <f>Procurement_Raw!L604</f>
        <v>Legacy Spend File</v>
      </c>
      <c r="M604" t="str">
        <f>Procurement_Raw!O604</f>
        <v>N</v>
      </c>
      <c r="N604" t="str">
        <f>IF(E604="","Missing supplier",IF(B604="","Missing site",IF(J604="","Missing spend",IF(COUNTIFS($G$2:G604,G604,$E$2:E604,E604,$J$2:J604,J604)&gt;1,"Duplicate invoice",IF(COUNTIF($G$2:$G$1801,G604)&gt;1,"Duplicate ID - review",IF(AND(P604&lt;&gt;"Unmapped",P604&lt;&gt;F604),"Category mismatch","OK"))))))</f>
        <v>OK</v>
      </c>
      <c r="O604" s="125">
        <f t="shared" si="27"/>
        <v>30491.42</v>
      </c>
      <c r="P604" t="str">
        <f>IF(E604="","Unmapped",IFERROR(INDEX(Supplier_Lookup!$B$2:$B$25,MATCH(E604,Supplier_Lookup!$A$2:$A$25,0)),"Unmapped"))</f>
        <v>Agency Labour</v>
      </c>
      <c r="Q604" s="76">
        <f>IFERROR(INDEX(Category_Targets!$B$2:$B$9,MATCH(F604,Category_Targets!$A$2:$A$9,0)),0)</f>
        <v>7.0000000000000007E-2</v>
      </c>
      <c r="R604" s="125">
        <f t="shared" si="28"/>
        <v>2134.3994000000002</v>
      </c>
      <c r="S604" s="78">
        <f t="shared" si="29"/>
        <v>45839</v>
      </c>
      <c r="T604" t="str">
        <f>IFERROR(VLOOKUP(B604,Sites!$A$2:$D$21,4,FALSE()),"Unknown")</f>
        <v>Newcastle</v>
      </c>
      <c r="U604" t="str">
        <f>IF(N604="OK","",COUNTIF($N$2:N604,"&lt;&gt;OK"))</f>
        <v/>
      </c>
      <c r="V604">
        <f>IF(OR(NOT(EXACT(E604,TRIM(Procurement_Raw!E604))),NOT(EXACT(F604,TRIM(Procurement_Raw!F604)))),1,0)</f>
        <v>0</v>
      </c>
    </row>
    <row r="605" spans="1:22" ht="15" customHeight="1" x14ac:dyDescent="0.25">
      <c r="A605" s="123">
        <f>Procurement_Raw!A605</f>
        <v>45799</v>
      </c>
      <c r="B605" t="str">
        <f>TRIM(Procurement_Raw!B605)</f>
        <v>S016</v>
      </c>
      <c r="C605" t="str">
        <f>Procurement_Raw!C605</f>
        <v>Cardiff Care &amp; Education Centre</v>
      </c>
      <c r="D605" t="str">
        <f>Procurement_Raw!D605</f>
        <v>Wales</v>
      </c>
      <c r="E605" t="str">
        <f>IF(TRIM(Procurement_Raw!E605)="","",IFERROR(INDEX(Supplier_Lookup!$A$2:$A$25,MATCH(TRIM(Procurement_Raw!E605),Supplier_Lookup!$A$2:$A$25,0)),TRIM(Procurement_Raw!E605)))</f>
        <v>MediSure</v>
      </c>
      <c r="F605" t="str">
        <f>IFERROR(INDEX(Category_Targets!$A$2:$A$9,MATCH(TRIM(Procurement_Raw!F605),Category_Targets!$A$2:$A$9,0)),"Unmapped")</f>
        <v>Medical Supplies</v>
      </c>
      <c r="G605" t="str">
        <f>TRIM(Procurement_Raw!G605)</f>
        <v>INV-2025-00604</v>
      </c>
      <c r="H605" s="77">
        <f>Procurement_Raw!H605</f>
        <v>52</v>
      </c>
      <c r="I605" s="124">
        <f>Procurement_Raw!I605</f>
        <v>252.92</v>
      </c>
      <c r="J605" s="125">
        <f>IF(Procurement_Raw!J605="","",Procurement_Raw!J605)</f>
        <v>13152.09</v>
      </c>
      <c r="K605" s="77">
        <f>Procurement_Raw!K605</f>
        <v>30</v>
      </c>
      <c r="L605" t="str">
        <f>Procurement_Raw!L605</f>
        <v>Legacy Spend File</v>
      </c>
      <c r="M605" t="str">
        <f>Procurement_Raw!O605</f>
        <v>Y</v>
      </c>
      <c r="N605" t="str">
        <f>IF(E605="","Missing supplier",IF(B605="","Missing site",IF(J605="","Missing spend",IF(COUNTIFS($G$2:G605,G605,$E$2:E605,E605,$J$2:J605,J605)&gt;1,"Duplicate invoice",IF(COUNTIF($G$2:$G$1801,G605)&gt;1,"Duplicate ID - review",IF(AND(P605&lt;&gt;"Unmapped",P605&lt;&gt;F605),"Category mismatch","OK"))))))</f>
        <v>OK</v>
      </c>
      <c r="O605" s="125">
        <f t="shared" si="27"/>
        <v>13152.09</v>
      </c>
      <c r="P605" t="str">
        <f>IF(E605="","Unmapped",IFERROR(INDEX(Supplier_Lookup!$B$2:$B$25,MATCH(E605,Supplier_Lookup!$A$2:$A$25,0)),"Unmapped"))</f>
        <v>Medical Supplies</v>
      </c>
      <c r="Q605" s="76">
        <f>IFERROR(INDEX(Category_Targets!$B$2:$B$9,MATCH(F605,Category_Targets!$A$2:$A$9,0)),0)</f>
        <v>0.06</v>
      </c>
      <c r="R605" s="125">
        <f t="shared" si="28"/>
        <v>789.12540000000001</v>
      </c>
      <c r="S605" s="78">
        <f t="shared" si="29"/>
        <v>45778</v>
      </c>
      <c r="T605" t="str">
        <f>IFERROR(VLOOKUP(B605,Sites!$A$2:$D$21,4,FALSE()),"Unknown")</f>
        <v>Cardiff</v>
      </c>
      <c r="U605" t="str">
        <f>IF(N605="OK","",COUNTIF($N$2:N605,"&lt;&gt;OK"))</f>
        <v/>
      </c>
      <c r="V605">
        <f>IF(OR(NOT(EXACT(E605,TRIM(Procurement_Raw!E605))),NOT(EXACT(F605,TRIM(Procurement_Raw!F605)))),1,0)</f>
        <v>0</v>
      </c>
    </row>
    <row r="606" spans="1:22" ht="15" customHeight="1" x14ac:dyDescent="0.25">
      <c r="A606" s="123">
        <f>Procurement_Raw!A606</f>
        <v>45860</v>
      </c>
      <c r="B606" t="str">
        <f>TRIM(Procurement_Raw!B606)</f>
        <v>S020</v>
      </c>
      <c r="C606" t="str">
        <f>Procurement_Raw!C606</f>
        <v>Bangor Care &amp; Education Centre</v>
      </c>
      <c r="D606" t="str">
        <f>Procurement_Raw!D606</f>
        <v>Wales</v>
      </c>
      <c r="E606" t="str">
        <f>IF(TRIM(Procurement_Raw!E606)="","",IFERROR(INDEX(Supplier_Lookup!$A$2:$A$25,MATCH(TRIM(Procurement_Raw!E606),Supplier_Lookup!$A$2:$A$25,0)),TRIM(Procurement_Raw!E606)))</f>
        <v>HealthStaffing</v>
      </c>
      <c r="F606" t="str">
        <f>IFERROR(INDEX(Category_Targets!$A$2:$A$9,MATCH(TRIM(Procurement_Raw!F606),Category_Targets!$A$2:$A$9,0)),"Unmapped")</f>
        <v>Agency Labour</v>
      </c>
      <c r="G606" t="str">
        <f>TRIM(Procurement_Raw!G606)</f>
        <v>INV-2025-00605</v>
      </c>
      <c r="H606" s="77">
        <f>Procurement_Raw!H606</f>
        <v>43</v>
      </c>
      <c r="I606" s="124">
        <f>Procurement_Raw!I606</f>
        <v>376.6</v>
      </c>
      <c r="J606" s="125">
        <f>IF(Procurement_Raw!J606="","",Procurement_Raw!J606)</f>
        <v>16193.61</v>
      </c>
      <c r="K606" s="77">
        <f>Procurement_Raw!K606</f>
        <v>60</v>
      </c>
      <c r="L606" t="str">
        <f>Procurement_Raw!L606</f>
        <v>ERP</v>
      </c>
      <c r="M606" t="str">
        <f>Procurement_Raw!O606</f>
        <v>N</v>
      </c>
      <c r="N606" t="str">
        <f>IF(E606="","Missing supplier",IF(B606="","Missing site",IF(J606="","Missing spend",IF(COUNTIFS($G$2:G606,G606,$E$2:E606,E606,$J$2:J606,J606)&gt;1,"Duplicate invoice",IF(COUNTIF($G$2:$G$1801,G606)&gt;1,"Duplicate ID - review",IF(AND(P606&lt;&gt;"Unmapped",P606&lt;&gt;F606),"Category mismatch","OK"))))))</f>
        <v>OK</v>
      </c>
      <c r="O606" s="125">
        <f t="shared" si="27"/>
        <v>16193.61</v>
      </c>
      <c r="P606" t="str">
        <f>IF(E606="","Unmapped",IFERROR(INDEX(Supplier_Lookup!$B$2:$B$25,MATCH(E606,Supplier_Lookup!$A$2:$A$25,0)),"Unmapped"))</f>
        <v>Agency Labour</v>
      </c>
      <c r="Q606" s="76">
        <f>IFERROR(INDEX(Category_Targets!$B$2:$B$9,MATCH(F606,Category_Targets!$A$2:$A$9,0)),0)</f>
        <v>7.0000000000000007E-2</v>
      </c>
      <c r="R606" s="125">
        <f t="shared" si="28"/>
        <v>1133.5527000000002</v>
      </c>
      <c r="S606" s="78">
        <f t="shared" si="29"/>
        <v>45839</v>
      </c>
      <c r="T606" t="str">
        <f>IFERROR(VLOOKUP(B606,Sites!$A$2:$D$21,4,FALSE()),"Unknown")</f>
        <v>Bangor</v>
      </c>
      <c r="U606" t="str">
        <f>IF(N606="OK","",COUNTIF($N$2:N606,"&lt;&gt;OK"))</f>
        <v/>
      </c>
      <c r="V606">
        <f>IF(OR(NOT(EXACT(E606,TRIM(Procurement_Raw!E606))),NOT(EXACT(F606,TRIM(Procurement_Raw!F606)))),1,0)</f>
        <v>0</v>
      </c>
    </row>
    <row r="607" spans="1:22" ht="15" customHeight="1" x14ac:dyDescent="0.25">
      <c r="A607" s="123">
        <f>Procurement_Raw!A607</f>
        <v>45848</v>
      </c>
      <c r="B607" t="str">
        <f>TRIM(Procurement_Raw!B607)</f>
        <v>S012</v>
      </c>
      <c r="C607" t="str">
        <f>Procurement_Raw!C607</f>
        <v>Bristol Care &amp; Education Centre</v>
      </c>
      <c r="D607" t="str">
        <f>Procurement_Raw!D607</f>
        <v>South</v>
      </c>
      <c r="E607" t="str">
        <f>IF(TRIM(Procurement_Raw!E607)="","",IFERROR(INDEX(Supplier_Lookup!$A$2:$A$25,MATCH(TRIM(Procurement_Raw!E607),Supplier_Lookup!$A$2:$A$25,0)),TRIM(Procurement_Raw!E607)))</f>
        <v>LearnWell</v>
      </c>
      <c r="F607" t="str">
        <f>IFERROR(INDEX(Category_Targets!$A$2:$A$9,MATCH(TRIM(Procurement_Raw!F607),Category_Targets!$A$2:$A$9,0)),"Unmapped")</f>
        <v>Office &amp; Training</v>
      </c>
      <c r="G607" t="str">
        <f>TRIM(Procurement_Raw!G607)</f>
        <v>INV-2025-00606</v>
      </c>
      <c r="H607" s="77">
        <f>Procurement_Raw!H607</f>
        <v>3</v>
      </c>
      <c r="I607" s="124">
        <f>Procurement_Raw!I607</f>
        <v>210.55</v>
      </c>
      <c r="J607" s="125">
        <f>IF(Procurement_Raw!J607="","",Procurement_Raw!J607)</f>
        <v>631.65</v>
      </c>
      <c r="K607" s="77">
        <f>Procurement_Raw!K607</f>
        <v>45</v>
      </c>
      <c r="L607" t="str">
        <f>Procurement_Raw!L607</f>
        <v>Procurement Portal</v>
      </c>
      <c r="M607" t="str">
        <f>Procurement_Raw!O607</f>
        <v>N</v>
      </c>
      <c r="N607" t="str">
        <f>IF(E607="","Missing supplier",IF(B607="","Missing site",IF(J607="","Missing spend",IF(COUNTIFS($G$2:G607,G607,$E$2:E607,E607,$J$2:J607,J607)&gt;1,"Duplicate invoice",IF(COUNTIF($G$2:$G$1801,G607)&gt;1,"Duplicate ID - review",IF(AND(P607&lt;&gt;"Unmapped",P607&lt;&gt;F607),"Category mismatch","OK"))))))</f>
        <v>OK</v>
      </c>
      <c r="O607" s="125">
        <f t="shared" si="27"/>
        <v>631.65</v>
      </c>
      <c r="P607" t="str">
        <f>IF(E607="","Unmapped",IFERROR(INDEX(Supplier_Lookup!$B$2:$B$25,MATCH(E607,Supplier_Lookup!$A$2:$A$25,0)),"Unmapped"))</f>
        <v>Office &amp; Training</v>
      </c>
      <c r="Q607" s="76">
        <f>IFERROR(INDEX(Category_Targets!$B$2:$B$9,MATCH(F607,Category_Targets!$A$2:$A$9,0)),0)</f>
        <v>0.04</v>
      </c>
      <c r="R607" s="125">
        <f t="shared" si="28"/>
        <v>25.265999999999998</v>
      </c>
      <c r="S607" s="78">
        <f t="shared" si="29"/>
        <v>45839</v>
      </c>
      <c r="T607" t="str">
        <f>IFERROR(VLOOKUP(B607,Sites!$A$2:$D$21,4,FALSE()),"Unknown")</f>
        <v>Bristol</v>
      </c>
      <c r="U607" t="str">
        <f>IF(N607="OK","",COUNTIF($N$2:N607,"&lt;&gt;OK"))</f>
        <v/>
      </c>
      <c r="V607">
        <f>IF(OR(NOT(EXACT(E607,TRIM(Procurement_Raw!E607))),NOT(EXACT(F607,TRIM(Procurement_Raw!F607)))),1,0)</f>
        <v>0</v>
      </c>
    </row>
    <row r="608" spans="1:22" ht="15" customHeight="1" x14ac:dyDescent="0.25">
      <c r="A608" s="123">
        <f>Procurement_Raw!A608</f>
        <v>46014</v>
      </c>
      <c r="B608" t="str">
        <f>TRIM(Procurement_Raw!B608)</f>
        <v>S006</v>
      </c>
      <c r="C608" t="str">
        <f>Procurement_Raw!C608</f>
        <v>Birmingham Care &amp; Education Centre</v>
      </c>
      <c r="D608" t="str">
        <f>Procurement_Raw!D608</f>
        <v>Midlands</v>
      </c>
      <c r="E608" t="str">
        <f>IF(TRIM(Procurement_Raw!E608)="","",IFERROR(INDEX(Supplier_Lookup!$A$2:$A$25,MATCH(TRIM(Procurement_Raw!E608),Supplier_Lookup!$A$2:$A$25,0)),TRIM(Procurement_Raw!E608)))</f>
        <v>TeleCare IT</v>
      </c>
      <c r="F608" t="str">
        <f>IFERROR(INDEX(Category_Targets!$A$2:$A$9,MATCH(TRIM(Procurement_Raw!F608),Category_Targets!$A$2:$A$9,0)),"Unmapped")</f>
        <v>IT &amp; Telecoms</v>
      </c>
      <c r="G608" t="str">
        <f>TRIM(Procurement_Raw!G608)</f>
        <v>INV-2025-00607</v>
      </c>
      <c r="H608" s="77">
        <f>Procurement_Raw!H608</f>
        <v>13</v>
      </c>
      <c r="I608" s="124">
        <f>Procurement_Raw!I608</f>
        <v>143.75</v>
      </c>
      <c r="J608" s="125">
        <f>IF(Procurement_Raw!J608="","",Procurement_Raw!J608)</f>
        <v>1868.69</v>
      </c>
      <c r="K608" s="77">
        <f>Procurement_Raw!K608</f>
        <v>30</v>
      </c>
      <c r="L608" t="str">
        <f>Procurement_Raw!L608</f>
        <v>ERP</v>
      </c>
      <c r="M608" t="str">
        <f>Procurement_Raw!O608</f>
        <v>N</v>
      </c>
      <c r="N608" t="str">
        <f>IF(E608="","Missing supplier",IF(B608="","Missing site",IF(J608="","Missing spend",IF(COUNTIFS($G$2:G608,G608,$E$2:E608,E608,$J$2:J608,J608)&gt;1,"Duplicate invoice",IF(COUNTIF($G$2:$G$1801,G608)&gt;1,"Duplicate ID - review",IF(AND(P608&lt;&gt;"Unmapped",P608&lt;&gt;F608),"Category mismatch","OK"))))))</f>
        <v>OK</v>
      </c>
      <c r="O608" s="125">
        <f t="shared" si="27"/>
        <v>1868.69</v>
      </c>
      <c r="P608" t="str">
        <f>IF(E608="","Unmapped",IFERROR(INDEX(Supplier_Lookup!$B$2:$B$25,MATCH(E608,Supplier_Lookup!$A$2:$A$25,0)),"Unmapped"))</f>
        <v>IT &amp; Telecoms</v>
      </c>
      <c r="Q608" s="76">
        <f>IFERROR(INDEX(Category_Targets!$B$2:$B$9,MATCH(F608,Category_Targets!$A$2:$A$9,0)),0)</f>
        <v>0.08</v>
      </c>
      <c r="R608" s="125">
        <f t="shared" si="28"/>
        <v>149.49520000000001</v>
      </c>
      <c r="S608" s="78">
        <f t="shared" si="29"/>
        <v>45992</v>
      </c>
      <c r="T608" t="str">
        <f>IFERROR(VLOOKUP(B608,Sites!$A$2:$D$21,4,FALSE()),"Unknown")</f>
        <v>Birmingham</v>
      </c>
      <c r="U608" t="str">
        <f>IF(N608="OK","",COUNTIF($N$2:N608,"&lt;&gt;OK"))</f>
        <v/>
      </c>
      <c r="V608">
        <f>IF(OR(NOT(EXACT(E608,TRIM(Procurement_Raw!E608))),NOT(EXACT(F608,TRIM(Procurement_Raw!F608)))),1,0)</f>
        <v>0</v>
      </c>
    </row>
    <row r="609" spans="1:22" ht="15" customHeight="1" x14ac:dyDescent="0.25">
      <c r="A609" s="123">
        <f>Procurement_Raw!A609</f>
        <v>45795</v>
      </c>
      <c r="B609" t="str">
        <f>TRIM(Procurement_Raw!B609)</f>
        <v>S011</v>
      </c>
      <c r="C609" t="str">
        <f>Procurement_Raw!C609</f>
        <v>London Care &amp; Education Centre</v>
      </c>
      <c r="D609" t="str">
        <f>Procurement_Raw!D609</f>
        <v>South</v>
      </c>
      <c r="E609" t="str">
        <f>IF(TRIM(Procurement_Raw!E609)="","",IFERROR(INDEX(Supplier_Lookup!$A$2:$A$25,MATCH(TRIM(Procurement_Raw!E609),Supplier_Lookup!$A$2:$A$25,0)),TRIM(Procurement_Raw!E609)))</f>
        <v>LearnWell</v>
      </c>
      <c r="F609" t="str">
        <f>IFERROR(INDEX(Category_Targets!$A$2:$A$9,MATCH(TRIM(Procurement_Raw!F609),Category_Targets!$A$2:$A$9,0)),"Unmapped")</f>
        <v>Office &amp; Training</v>
      </c>
      <c r="G609" t="str">
        <f>TRIM(Procurement_Raw!G609)</f>
        <v>INV-2025-00608</v>
      </c>
      <c r="H609" s="77">
        <f>Procurement_Raw!H609</f>
        <v>54</v>
      </c>
      <c r="I609" s="124">
        <f>Procurement_Raw!I609</f>
        <v>37.82</v>
      </c>
      <c r="J609" s="125">
        <f>IF(Procurement_Raw!J609="","",Procurement_Raw!J609)</f>
        <v>2042.46</v>
      </c>
      <c r="K609" s="77">
        <f>Procurement_Raw!K609</f>
        <v>60</v>
      </c>
      <c r="L609" t="str">
        <f>Procurement_Raw!L609</f>
        <v>Legacy Spend File</v>
      </c>
      <c r="M609" t="str">
        <f>Procurement_Raw!O609</f>
        <v>N</v>
      </c>
      <c r="N609" t="str">
        <f>IF(E609="","Missing supplier",IF(B609="","Missing site",IF(J609="","Missing spend",IF(COUNTIFS($G$2:G609,G609,$E$2:E609,E609,$J$2:J609,J609)&gt;1,"Duplicate invoice",IF(COUNTIF($G$2:$G$1801,G609)&gt;1,"Duplicate ID - review",IF(AND(P609&lt;&gt;"Unmapped",P609&lt;&gt;F609),"Category mismatch","OK"))))))</f>
        <v>OK</v>
      </c>
      <c r="O609" s="125">
        <f t="shared" si="27"/>
        <v>2042.46</v>
      </c>
      <c r="P609" t="str">
        <f>IF(E609="","Unmapped",IFERROR(INDEX(Supplier_Lookup!$B$2:$B$25,MATCH(E609,Supplier_Lookup!$A$2:$A$25,0)),"Unmapped"))</f>
        <v>Office &amp; Training</v>
      </c>
      <c r="Q609" s="76">
        <f>IFERROR(INDEX(Category_Targets!$B$2:$B$9,MATCH(F609,Category_Targets!$A$2:$A$9,0)),0)</f>
        <v>0.04</v>
      </c>
      <c r="R609" s="125">
        <f t="shared" si="28"/>
        <v>81.698400000000007</v>
      </c>
      <c r="S609" s="78">
        <f t="shared" si="29"/>
        <v>45778</v>
      </c>
      <c r="T609" t="str">
        <f>IFERROR(VLOOKUP(B609,Sites!$A$2:$D$21,4,FALSE()),"Unknown")</f>
        <v>London</v>
      </c>
      <c r="U609" t="str">
        <f>IF(N609="OK","",COUNTIF($N$2:N609,"&lt;&gt;OK"))</f>
        <v/>
      </c>
      <c r="V609">
        <f>IF(OR(NOT(EXACT(E609,TRIM(Procurement_Raw!E609))),NOT(EXACT(F609,TRIM(Procurement_Raw!F609)))),1,0)</f>
        <v>0</v>
      </c>
    </row>
    <row r="610" spans="1:22" ht="15" customHeight="1" x14ac:dyDescent="0.25">
      <c r="A610" s="123">
        <f>Procurement_Raw!A610</f>
        <v>45766</v>
      </c>
      <c r="B610" t="str">
        <f>TRIM(Procurement_Raw!B610)</f>
        <v>S007</v>
      </c>
      <c r="C610" t="str">
        <f>Procurement_Raw!C610</f>
        <v>Nottingham Care &amp; Education Centre</v>
      </c>
      <c r="D610" t="str">
        <f>Procurement_Raw!D610</f>
        <v>Midlands</v>
      </c>
      <c r="E610" t="str">
        <f>IF(TRIM(Procurement_Raw!E610)="","",IFERROR(INDEX(Supplier_Lookup!$A$2:$A$25,MATCH(TRIM(Procurement_Raw!E610),Supplier_Lookup!$A$2:$A$25,0)),TRIM(Procurement_Raw!E610)))</f>
        <v>WaterGrid</v>
      </c>
      <c r="F610" t="str">
        <f>IFERROR(INDEX(Category_Targets!$A$2:$A$9,MATCH(TRIM(Procurement_Raw!F610),Category_Targets!$A$2:$A$9,0)),"Unmapped")</f>
        <v>Utilities</v>
      </c>
      <c r="G610" t="str">
        <f>TRIM(Procurement_Raw!G610)</f>
        <v>INV-2025-00609</v>
      </c>
      <c r="H610" s="77">
        <f>Procurement_Raw!H610</f>
        <v>53</v>
      </c>
      <c r="I610" s="124">
        <f>Procurement_Raw!I610</f>
        <v>93.99</v>
      </c>
      <c r="J610" s="125">
        <f>IF(Procurement_Raw!J610="","",Procurement_Raw!J610)</f>
        <v>4981.3500000000004</v>
      </c>
      <c r="K610" s="77">
        <f>Procurement_Raw!K610</f>
        <v>60</v>
      </c>
      <c r="L610" t="str">
        <f>Procurement_Raw!L610</f>
        <v>Procurement Portal</v>
      </c>
      <c r="M610" t="str">
        <f>Procurement_Raw!O610</f>
        <v>N</v>
      </c>
      <c r="N610" t="str">
        <f>IF(E610="","Missing supplier",IF(B610="","Missing site",IF(J610="","Missing spend",IF(COUNTIFS($G$2:G610,G610,$E$2:E610,E610,$J$2:J610,J610)&gt;1,"Duplicate invoice",IF(COUNTIF($G$2:$G$1801,G610)&gt;1,"Duplicate ID - review",IF(AND(P610&lt;&gt;"Unmapped",P610&lt;&gt;F610),"Category mismatch","OK"))))))</f>
        <v>OK</v>
      </c>
      <c r="O610" s="125">
        <f t="shared" si="27"/>
        <v>4981.3500000000004</v>
      </c>
      <c r="P610" t="str">
        <f>IF(E610="","Unmapped",IFERROR(INDEX(Supplier_Lookup!$B$2:$B$25,MATCH(E610,Supplier_Lookup!$A$2:$A$25,0)),"Unmapped"))</f>
        <v>Utilities</v>
      </c>
      <c r="Q610" s="76">
        <f>IFERROR(INDEX(Category_Targets!$B$2:$B$9,MATCH(F610,Category_Targets!$A$2:$A$9,0)),0)</f>
        <v>0.03</v>
      </c>
      <c r="R610" s="125">
        <f t="shared" si="28"/>
        <v>149.44050000000001</v>
      </c>
      <c r="S610" s="78">
        <f t="shared" si="29"/>
        <v>45748</v>
      </c>
      <c r="T610" t="str">
        <f>IFERROR(VLOOKUP(B610,Sites!$A$2:$D$21,4,FALSE()),"Unknown")</f>
        <v>Nottingham</v>
      </c>
      <c r="U610" t="str">
        <f>IF(N610="OK","",COUNTIF($N$2:N610,"&lt;&gt;OK"))</f>
        <v/>
      </c>
      <c r="V610">
        <f>IF(OR(NOT(EXACT(E610,TRIM(Procurement_Raw!E610))),NOT(EXACT(F610,TRIM(Procurement_Raw!F610)))),1,0)</f>
        <v>0</v>
      </c>
    </row>
    <row r="611" spans="1:22" ht="15" customHeight="1" x14ac:dyDescent="0.25">
      <c r="A611" s="123">
        <f>Procurement_Raw!A611</f>
        <v>45921</v>
      </c>
      <c r="B611" t="str">
        <f>TRIM(Procurement_Raw!B611)</f>
        <v>S019</v>
      </c>
      <c r="C611" t="str">
        <f>Procurement_Raw!C611</f>
        <v>Wrexham Care &amp; Education Centre</v>
      </c>
      <c r="D611" t="str">
        <f>Procurement_Raw!D611</f>
        <v>Wales</v>
      </c>
      <c r="E611" t="str">
        <f>IF(TRIM(Procurement_Raw!E611)="","",IFERROR(INDEX(Supplier_Lookup!$A$2:$A$25,MATCH(TRIM(Procurement_Raw!E611),Supplier_Lookup!$A$2:$A$25,0)),TRIM(Procurement_Raw!E611)))</f>
        <v>FleetFuel</v>
      </c>
      <c r="F611" t="str">
        <f>IFERROR(INDEX(Category_Targets!$A$2:$A$9,MATCH(TRIM(Procurement_Raw!F611),Category_Targets!$A$2:$A$9,0)),"Unmapped")</f>
        <v>Vehicle &amp; Fuel</v>
      </c>
      <c r="G611" t="str">
        <f>TRIM(Procurement_Raw!G611)</f>
        <v>INV-2025-00610</v>
      </c>
      <c r="H611" s="77">
        <f>Procurement_Raw!H611</f>
        <v>21</v>
      </c>
      <c r="I611" s="124">
        <f>Procurement_Raw!I611</f>
        <v>216.31</v>
      </c>
      <c r="J611" s="125">
        <f>IF(Procurement_Raw!J611="","",Procurement_Raw!J611)</f>
        <v>4542.46</v>
      </c>
      <c r="K611" s="77">
        <f>Procurement_Raw!K611</f>
        <v>30</v>
      </c>
      <c r="L611" t="str">
        <f>Procurement_Raw!L611</f>
        <v>Procurement Portal</v>
      </c>
      <c r="M611" t="str">
        <f>Procurement_Raw!O611</f>
        <v>Y</v>
      </c>
      <c r="N611" t="str">
        <f>IF(E611="","Missing supplier",IF(B611="","Missing site",IF(J611="","Missing spend",IF(COUNTIFS($G$2:G611,G611,$E$2:E611,E611,$J$2:J611,J611)&gt;1,"Duplicate invoice",IF(COUNTIF($G$2:$G$1801,G611)&gt;1,"Duplicate ID - review",IF(AND(P611&lt;&gt;"Unmapped",P611&lt;&gt;F611),"Category mismatch","OK"))))))</f>
        <v>OK</v>
      </c>
      <c r="O611" s="125">
        <f t="shared" si="27"/>
        <v>4542.46</v>
      </c>
      <c r="P611" t="str">
        <f>IF(E611="","Unmapped",IFERROR(INDEX(Supplier_Lookup!$B$2:$B$25,MATCH(E611,Supplier_Lookup!$A$2:$A$25,0)),"Unmapped"))</f>
        <v>Vehicle &amp; Fuel</v>
      </c>
      <c r="Q611" s="76">
        <f>IFERROR(INDEX(Category_Targets!$B$2:$B$9,MATCH(F611,Category_Targets!$A$2:$A$9,0)),0)</f>
        <v>0.05</v>
      </c>
      <c r="R611" s="125">
        <f t="shared" si="28"/>
        <v>227.12300000000002</v>
      </c>
      <c r="S611" s="78">
        <f t="shared" si="29"/>
        <v>45901</v>
      </c>
      <c r="T611" t="str">
        <f>IFERROR(VLOOKUP(B611,Sites!$A$2:$D$21,4,FALSE()),"Unknown")</f>
        <v>Wrexham</v>
      </c>
      <c r="U611" t="str">
        <f>IF(N611="OK","",COUNTIF($N$2:N611,"&lt;&gt;OK"))</f>
        <v/>
      </c>
      <c r="V611">
        <f>IF(OR(NOT(EXACT(E611,TRIM(Procurement_Raw!E611))),NOT(EXACT(F611,TRIM(Procurement_Raw!F611)))),1,0)</f>
        <v>0</v>
      </c>
    </row>
    <row r="612" spans="1:22" ht="15" customHeight="1" x14ac:dyDescent="0.25">
      <c r="A612" s="123">
        <f>Procurement_Raw!A612</f>
        <v>45926</v>
      </c>
      <c r="B612" t="str">
        <f>TRIM(Procurement_Raw!B612)</f>
        <v>S020</v>
      </c>
      <c r="C612" t="str">
        <f>Procurement_Raw!C612</f>
        <v>Bangor Care &amp; Education Centre</v>
      </c>
      <c r="D612" t="str">
        <f>Procurement_Raw!D612</f>
        <v>Wales</v>
      </c>
      <c r="E612" t="str">
        <f>IF(TRIM(Procurement_Raw!E612)="","",IFERROR(INDEX(Supplier_Lookup!$A$2:$A$25,MATCH(TRIM(Procurement_Raw!E612),Supplier_Lookup!$A$2:$A$25,0)),TRIM(Procurement_Raw!E612)))</f>
        <v>HealthStaffing</v>
      </c>
      <c r="F612" t="str">
        <f>IFERROR(INDEX(Category_Targets!$A$2:$A$9,MATCH(TRIM(Procurement_Raw!F612),Category_Targets!$A$2:$A$9,0)),"Unmapped")</f>
        <v>Agency Labour</v>
      </c>
      <c r="G612" t="str">
        <f>TRIM(Procurement_Raw!G612)</f>
        <v>INV-2025-00611</v>
      </c>
      <c r="H612" s="77">
        <f>Procurement_Raw!H612</f>
        <v>73</v>
      </c>
      <c r="I612" s="124">
        <f>Procurement_Raw!I612</f>
        <v>429.96</v>
      </c>
      <c r="J612" s="125">
        <f>IF(Procurement_Raw!J612="","",Procurement_Raw!J612)</f>
        <v>31386.81</v>
      </c>
      <c r="K612" s="77">
        <f>Procurement_Raw!K612</f>
        <v>30</v>
      </c>
      <c r="L612" t="str">
        <f>Procurement_Raw!L612</f>
        <v>ERP</v>
      </c>
      <c r="M612" t="str">
        <f>Procurement_Raw!O612</f>
        <v>N</v>
      </c>
      <c r="N612" t="str">
        <f>IF(E612="","Missing supplier",IF(B612="","Missing site",IF(J612="","Missing spend",IF(COUNTIFS($G$2:G612,G612,$E$2:E612,E612,$J$2:J612,J612)&gt;1,"Duplicate invoice",IF(COUNTIF($G$2:$G$1801,G612)&gt;1,"Duplicate ID - review",IF(AND(P612&lt;&gt;"Unmapped",P612&lt;&gt;F612),"Category mismatch","OK"))))))</f>
        <v>OK</v>
      </c>
      <c r="O612" s="125">
        <f t="shared" si="27"/>
        <v>31386.81</v>
      </c>
      <c r="P612" t="str">
        <f>IF(E612="","Unmapped",IFERROR(INDEX(Supplier_Lookup!$B$2:$B$25,MATCH(E612,Supplier_Lookup!$A$2:$A$25,0)),"Unmapped"))</f>
        <v>Agency Labour</v>
      </c>
      <c r="Q612" s="76">
        <f>IFERROR(INDEX(Category_Targets!$B$2:$B$9,MATCH(F612,Category_Targets!$A$2:$A$9,0)),0)</f>
        <v>7.0000000000000007E-2</v>
      </c>
      <c r="R612" s="125">
        <f t="shared" si="28"/>
        <v>2197.0767000000005</v>
      </c>
      <c r="S612" s="78">
        <f t="shared" si="29"/>
        <v>45901</v>
      </c>
      <c r="T612" t="str">
        <f>IFERROR(VLOOKUP(B612,Sites!$A$2:$D$21,4,FALSE()),"Unknown")</f>
        <v>Bangor</v>
      </c>
      <c r="U612" t="str">
        <f>IF(N612="OK","",COUNTIF($N$2:N612,"&lt;&gt;OK"))</f>
        <v/>
      </c>
      <c r="V612">
        <f>IF(OR(NOT(EXACT(E612,TRIM(Procurement_Raw!E612))),NOT(EXACT(F612,TRIM(Procurement_Raw!F612)))),1,0)</f>
        <v>0</v>
      </c>
    </row>
    <row r="613" spans="1:22" ht="15" customHeight="1" x14ac:dyDescent="0.25">
      <c r="A613" s="123">
        <f>Procurement_Raw!A613</f>
        <v>45785</v>
      </c>
      <c r="B613" t="str">
        <f>TRIM(Procurement_Raw!B613)</f>
        <v>S003</v>
      </c>
      <c r="C613" t="str">
        <f>Procurement_Raw!C613</f>
        <v>Leeds Care &amp; Education Centre</v>
      </c>
      <c r="D613" t="str">
        <f>Procurement_Raw!D613</f>
        <v>North</v>
      </c>
      <c r="E613" t="str">
        <f>IF(TRIM(Procurement_Raw!E613)="","",IFERROR(INDEX(Supplier_Lookup!$A$2:$A$25,MATCH(TRIM(Procurement_Raw!E613),Supplier_Lookup!$A$2:$A$25,0)),TRIM(Procurement_Raw!E613)))</f>
        <v>UK Energy Partners</v>
      </c>
      <c r="F613" t="str">
        <f>IFERROR(INDEX(Category_Targets!$A$2:$A$9,MATCH(TRIM(Procurement_Raw!F613),Category_Targets!$A$2:$A$9,0)),"Unmapped")</f>
        <v>Utilities</v>
      </c>
      <c r="G613" t="str">
        <f>TRIM(Procurement_Raw!G613)</f>
        <v>INV-2025-00612</v>
      </c>
      <c r="H613" s="77">
        <f>Procurement_Raw!H613</f>
        <v>5</v>
      </c>
      <c r="I613" s="124">
        <f>Procurement_Raw!I613</f>
        <v>242.47</v>
      </c>
      <c r="J613" s="125">
        <f>IF(Procurement_Raw!J613="","",Procurement_Raw!J613)</f>
        <v>1212.3599999999999</v>
      </c>
      <c r="K613" s="77">
        <f>Procurement_Raw!K613</f>
        <v>45</v>
      </c>
      <c r="L613" t="str">
        <f>Procurement_Raw!L613</f>
        <v>ERP</v>
      </c>
      <c r="M613" t="str">
        <f>Procurement_Raw!O613</f>
        <v>N</v>
      </c>
      <c r="N613" t="str">
        <f>IF(E613="","Missing supplier",IF(B613="","Missing site",IF(J613="","Missing spend",IF(COUNTIFS($G$2:G613,G613,$E$2:E613,E613,$J$2:J613,J613)&gt;1,"Duplicate invoice",IF(COUNTIF($G$2:$G$1801,G613)&gt;1,"Duplicate ID - review",IF(AND(P613&lt;&gt;"Unmapped",P613&lt;&gt;F613),"Category mismatch","OK"))))))</f>
        <v>OK</v>
      </c>
      <c r="O613" s="125">
        <f t="shared" si="27"/>
        <v>1212.3599999999999</v>
      </c>
      <c r="P613" t="str">
        <f>IF(E613="","Unmapped",IFERROR(INDEX(Supplier_Lookup!$B$2:$B$25,MATCH(E613,Supplier_Lookup!$A$2:$A$25,0)),"Unmapped"))</f>
        <v>Utilities</v>
      </c>
      <c r="Q613" s="76">
        <f>IFERROR(INDEX(Category_Targets!$B$2:$B$9,MATCH(F613,Category_Targets!$A$2:$A$9,0)),0)</f>
        <v>0.03</v>
      </c>
      <c r="R613" s="125">
        <f t="shared" si="28"/>
        <v>36.370799999999996</v>
      </c>
      <c r="S613" s="78">
        <f t="shared" si="29"/>
        <v>45778</v>
      </c>
      <c r="T613" t="str">
        <f>IFERROR(VLOOKUP(B613,Sites!$A$2:$D$21,4,FALSE()),"Unknown")</f>
        <v>Leeds</v>
      </c>
      <c r="U613" t="str">
        <f>IF(N613="OK","",COUNTIF($N$2:N613,"&lt;&gt;OK"))</f>
        <v/>
      </c>
      <c r="V613">
        <f>IF(OR(NOT(EXACT(E613,TRIM(Procurement_Raw!E613))),NOT(EXACT(F613,TRIM(Procurement_Raw!F613)))),1,0)</f>
        <v>0</v>
      </c>
    </row>
    <row r="614" spans="1:22" ht="15" customHeight="1" x14ac:dyDescent="0.25">
      <c r="A614" s="123">
        <f>Procurement_Raw!A614</f>
        <v>45846</v>
      </c>
      <c r="B614" t="str">
        <f>TRIM(Procurement_Raw!B614)</f>
        <v>S006</v>
      </c>
      <c r="C614" t="str">
        <f>Procurement_Raw!C614</f>
        <v>Birmingham Care &amp; Education Centre</v>
      </c>
      <c r="D614" t="str">
        <f>Procurement_Raw!D614</f>
        <v>Midlands</v>
      </c>
      <c r="E614" t="str">
        <f>IF(TRIM(Procurement_Raw!E614)="","",IFERROR(INDEX(Supplier_Lookup!$A$2:$A$25,MATCH(TRIM(Procurement_Raw!E614),Supplier_Lookup!$A$2:$A$25,0)),TRIM(Procurement_Raw!E614)))</f>
        <v>WaterGrid</v>
      </c>
      <c r="F614" t="str">
        <f>IFERROR(INDEX(Category_Targets!$A$2:$A$9,MATCH(TRIM(Procurement_Raw!F614),Category_Targets!$A$2:$A$9,0)),"Unmapped")</f>
        <v>Utilities</v>
      </c>
      <c r="G614" t="str">
        <f>TRIM(Procurement_Raw!G614)</f>
        <v>INV-2025-00613</v>
      </c>
      <c r="H614" s="77">
        <f>Procurement_Raw!H614</f>
        <v>60</v>
      </c>
      <c r="I614" s="124">
        <f>Procurement_Raw!I614</f>
        <v>291.62</v>
      </c>
      <c r="J614" s="125">
        <f>IF(Procurement_Raw!J614="","",Procurement_Raw!J614)</f>
        <v>17497.060000000001</v>
      </c>
      <c r="K614" s="77">
        <f>Procurement_Raw!K614</f>
        <v>60</v>
      </c>
      <c r="L614" t="str">
        <f>Procurement_Raw!L614</f>
        <v>Procurement Portal</v>
      </c>
      <c r="M614" t="str">
        <f>Procurement_Raw!O614</f>
        <v>N</v>
      </c>
      <c r="N614" t="str">
        <f>IF(E614="","Missing supplier",IF(B614="","Missing site",IF(J614="","Missing spend",IF(COUNTIFS($G$2:G614,G614,$E$2:E614,E614,$J$2:J614,J614)&gt;1,"Duplicate invoice",IF(COUNTIF($G$2:$G$1801,G614)&gt;1,"Duplicate ID - review",IF(AND(P614&lt;&gt;"Unmapped",P614&lt;&gt;F614),"Category mismatch","OK"))))))</f>
        <v>OK</v>
      </c>
      <c r="O614" s="125">
        <f t="shared" si="27"/>
        <v>17497.060000000001</v>
      </c>
      <c r="P614" t="str">
        <f>IF(E614="","Unmapped",IFERROR(INDEX(Supplier_Lookup!$B$2:$B$25,MATCH(E614,Supplier_Lookup!$A$2:$A$25,0)),"Unmapped"))</f>
        <v>Utilities</v>
      </c>
      <c r="Q614" s="76">
        <f>IFERROR(INDEX(Category_Targets!$B$2:$B$9,MATCH(F614,Category_Targets!$A$2:$A$9,0)),0)</f>
        <v>0.03</v>
      </c>
      <c r="R614" s="125">
        <f t="shared" si="28"/>
        <v>524.91179999999997</v>
      </c>
      <c r="S614" s="78">
        <f t="shared" si="29"/>
        <v>45839</v>
      </c>
      <c r="T614" t="str">
        <f>IFERROR(VLOOKUP(B614,Sites!$A$2:$D$21,4,FALSE()),"Unknown")</f>
        <v>Birmingham</v>
      </c>
      <c r="U614" t="str">
        <f>IF(N614="OK","",COUNTIF($N$2:N614,"&lt;&gt;OK"))</f>
        <v/>
      </c>
      <c r="V614">
        <f>IF(OR(NOT(EXACT(E614,TRIM(Procurement_Raw!E614))),NOT(EXACT(F614,TRIM(Procurement_Raw!F614)))),1,0)</f>
        <v>0</v>
      </c>
    </row>
    <row r="615" spans="1:22" ht="15" customHeight="1" x14ac:dyDescent="0.25">
      <c r="A615" s="123">
        <f>Procurement_Raw!A615</f>
        <v>45673</v>
      </c>
      <c r="B615" t="str">
        <f>TRIM(Procurement_Raw!B615)</f>
        <v>S013</v>
      </c>
      <c r="C615" t="str">
        <f>Procurement_Raw!C615</f>
        <v>Reading Care &amp; Education Centre</v>
      </c>
      <c r="D615" t="str">
        <f>Procurement_Raw!D615</f>
        <v>South</v>
      </c>
      <c r="E615" t="str">
        <f>IF(TRIM(Procurement_Raw!E615)="","",IFERROR(INDEX(Supplier_Lookup!$A$2:$A$25,MATCH(TRIM(Procurement_Raw!E615),Supplier_Lookup!$A$2:$A$25,0)),TRIM(Procurement_Raw!E615)))</f>
        <v>KitchenPro</v>
      </c>
      <c r="F615" t="str">
        <f>IFERROR(INDEX(Category_Targets!$A$2:$A$9,MATCH(TRIM(Procurement_Raw!F615),Category_Targets!$A$2:$A$9,0)),"Unmapped")</f>
        <v>Food &amp; Catering</v>
      </c>
      <c r="G615" t="str">
        <f>TRIM(Procurement_Raw!G615)</f>
        <v>INV-2025-00614</v>
      </c>
      <c r="H615" s="77">
        <f>Procurement_Raw!H615</f>
        <v>31</v>
      </c>
      <c r="I615" s="124">
        <f>Procurement_Raw!I615</f>
        <v>35</v>
      </c>
      <c r="J615" s="125">
        <f>IF(Procurement_Raw!J615="","",Procurement_Raw!J615)</f>
        <v>1085.02</v>
      </c>
      <c r="K615" s="77">
        <f>Procurement_Raw!K615</f>
        <v>45</v>
      </c>
      <c r="L615" t="str">
        <f>Procurement_Raw!L615</f>
        <v>Procurement Portal</v>
      </c>
      <c r="M615" t="str">
        <f>Procurement_Raw!O615</f>
        <v>N</v>
      </c>
      <c r="N615" t="str">
        <f>IF(E615="","Missing supplier",IF(B615="","Missing site",IF(J615="","Missing spend",IF(COUNTIFS($G$2:G615,G615,$E$2:E615,E615,$J$2:J615,J615)&gt;1,"Duplicate invoice",IF(COUNTIF($G$2:$G$1801,G615)&gt;1,"Duplicate ID - review",IF(AND(P615&lt;&gt;"Unmapped",P615&lt;&gt;F615),"Category mismatch","OK"))))))</f>
        <v>OK</v>
      </c>
      <c r="O615" s="125">
        <f t="shared" si="27"/>
        <v>1085.02</v>
      </c>
      <c r="P615" t="str">
        <f>IF(E615="","Unmapped",IFERROR(INDEX(Supplier_Lookup!$B$2:$B$25,MATCH(E615,Supplier_Lookup!$A$2:$A$25,0)),"Unmapped"))</f>
        <v>Food &amp; Catering</v>
      </c>
      <c r="Q615" s="76">
        <f>IFERROR(INDEX(Category_Targets!$B$2:$B$9,MATCH(F615,Category_Targets!$A$2:$A$9,0)),0)</f>
        <v>0.04</v>
      </c>
      <c r="R615" s="125">
        <f t="shared" si="28"/>
        <v>43.400799999999997</v>
      </c>
      <c r="S615" s="78">
        <f t="shared" si="29"/>
        <v>45658</v>
      </c>
      <c r="T615" t="str">
        <f>IFERROR(VLOOKUP(B615,Sites!$A$2:$D$21,4,FALSE()),"Unknown")</f>
        <v>Reading</v>
      </c>
      <c r="U615" t="str">
        <f>IF(N615="OK","",COUNTIF($N$2:N615,"&lt;&gt;OK"))</f>
        <v/>
      </c>
      <c r="V615">
        <f>IF(OR(NOT(EXACT(E615,TRIM(Procurement_Raw!E615))),NOT(EXACT(F615,TRIM(Procurement_Raw!F615)))),1,0)</f>
        <v>0</v>
      </c>
    </row>
    <row r="616" spans="1:22" ht="15" customHeight="1" x14ac:dyDescent="0.25">
      <c r="A616" s="123">
        <f>Procurement_Raw!A616</f>
        <v>45900</v>
      </c>
      <c r="B616" t="str">
        <f>TRIM(Procurement_Raw!B616)</f>
        <v>S004</v>
      </c>
      <c r="C616" t="str">
        <f>Procurement_Raw!C616</f>
        <v>Newcastle Care &amp; Education Centre</v>
      </c>
      <c r="D616" t="str">
        <f>Procurement_Raw!D616</f>
        <v>North</v>
      </c>
      <c r="E616" t="str">
        <f>IF(TRIM(Procurement_Raw!E616)="","",IFERROR(INDEX(Supplier_Lookup!$A$2:$A$25,MATCH(TRIM(Procurement_Raw!E616),Supplier_Lookup!$A$2:$A$25,0)),TRIM(Procurement_Raw!E616)))</f>
        <v>OfficePlus</v>
      </c>
      <c r="F616" t="str">
        <f>IFERROR(INDEX(Category_Targets!$A$2:$A$9,MATCH(TRIM(Procurement_Raw!F616),Category_Targets!$A$2:$A$9,0)),"Unmapped")</f>
        <v>Office &amp; Training</v>
      </c>
      <c r="G616" t="str">
        <f>TRIM(Procurement_Raw!G616)</f>
        <v>INV-2025-00615</v>
      </c>
      <c r="H616" s="77">
        <f>Procurement_Raw!H616</f>
        <v>76</v>
      </c>
      <c r="I616" s="124">
        <f>Procurement_Raw!I616</f>
        <v>287.91000000000003</v>
      </c>
      <c r="J616" s="125">
        <f>IF(Procurement_Raw!J616="","",Procurement_Raw!J616)</f>
        <v>21881.24</v>
      </c>
      <c r="K616" s="77">
        <f>Procurement_Raw!K616</f>
        <v>60</v>
      </c>
      <c r="L616" t="str">
        <f>Procurement_Raw!L616</f>
        <v>Procurement Portal</v>
      </c>
      <c r="M616" t="str">
        <f>Procurement_Raw!O616</f>
        <v>N</v>
      </c>
      <c r="N616" t="str">
        <f>IF(E616="","Missing supplier",IF(B616="","Missing site",IF(J616="","Missing spend",IF(COUNTIFS($G$2:G616,G616,$E$2:E616,E616,$J$2:J616,J616)&gt;1,"Duplicate invoice",IF(COUNTIF($G$2:$G$1801,G616)&gt;1,"Duplicate ID - review",IF(AND(P616&lt;&gt;"Unmapped",P616&lt;&gt;F616),"Category mismatch","OK"))))))</f>
        <v>OK</v>
      </c>
      <c r="O616" s="125">
        <f t="shared" si="27"/>
        <v>21881.24</v>
      </c>
      <c r="P616" t="str">
        <f>IF(E616="","Unmapped",IFERROR(INDEX(Supplier_Lookup!$B$2:$B$25,MATCH(E616,Supplier_Lookup!$A$2:$A$25,0)),"Unmapped"))</f>
        <v>Office &amp; Training</v>
      </c>
      <c r="Q616" s="76">
        <f>IFERROR(INDEX(Category_Targets!$B$2:$B$9,MATCH(F616,Category_Targets!$A$2:$A$9,0)),0)</f>
        <v>0.04</v>
      </c>
      <c r="R616" s="125">
        <f t="shared" si="28"/>
        <v>875.2496000000001</v>
      </c>
      <c r="S616" s="78">
        <f t="shared" si="29"/>
        <v>45870</v>
      </c>
      <c r="T616" t="str">
        <f>IFERROR(VLOOKUP(B616,Sites!$A$2:$D$21,4,FALSE()),"Unknown")</f>
        <v>Newcastle</v>
      </c>
      <c r="U616" t="str">
        <f>IF(N616="OK","",COUNTIF($N$2:N616,"&lt;&gt;OK"))</f>
        <v/>
      </c>
      <c r="V616">
        <f>IF(OR(NOT(EXACT(E616,TRIM(Procurement_Raw!E616))),NOT(EXACT(F616,TRIM(Procurement_Raw!F616)))),1,0)</f>
        <v>0</v>
      </c>
    </row>
    <row r="617" spans="1:22" ht="15" customHeight="1" x14ac:dyDescent="0.25">
      <c r="A617" s="123">
        <f>Procurement_Raw!A617</f>
        <v>46010</v>
      </c>
      <c r="B617" t="str">
        <f>TRIM(Procurement_Raw!B617)</f>
        <v>S007</v>
      </c>
      <c r="C617" t="str">
        <f>Procurement_Raw!C617</f>
        <v>Nottingham Care &amp; Education Centre</v>
      </c>
      <c r="D617" t="str">
        <f>Procurement_Raw!D617</f>
        <v>Midlands</v>
      </c>
      <c r="E617" t="str">
        <f>IF(TRIM(Procurement_Raw!E617)="","",IFERROR(INDEX(Supplier_Lookup!$A$2:$A$25,MATCH(TRIM(Procurement_Raw!E617),Supplier_Lookup!$A$2:$A$25,0)),TRIM(Procurement_Raw!E617)))</f>
        <v>SafeGuard FM</v>
      </c>
      <c r="F617" t="str">
        <f>IFERROR(INDEX(Category_Targets!$A$2:$A$9,MATCH(TRIM(Procurement_Raw!F617),Category_Targets!$A$2:$A$9,0)),"Unmapped")</f>
        <v>Facilities</v>
      </c>
      <c r="G617" t="str">
        <f>TRIM(Procurement_Raw!G617)</f>
        <v>INV-2025-00616</v>
      </c>
      <c r="H617" s="77">
        <f>Procurement_Raw!H617</f>
        <v>12</v>
      </c>
      <c r="I617" s="124">
        <f>Procurement_Raw!I617</f>
        <v>193.26</v>
      </c>
      <c r="J617" s="125">
        <f>IF(Procurement_Raw!J617="","",Procurement_Raw!J617)</f>
        <v>2319.1</v>
      </c>
      <c r="K617" s="77">
        <f>Procurement_Raw!K617</f>
        <v>45</v>
      </c>
      <c r="L617" t="str">
        <f>Procurement_Raw!L617</f>
        <v>ERP</v>
      </c>
      <c r="M617" t="str">
        <f>Procurement_Raw!O617</f>
        <v>N</v>
      </c>
      <c r="N617" t="str">
        <f>IF(E617="","Missing supplier",IF(B617="","Missing site",IF(J617="","Missing spend",IF(COUNTIFS($G$2:G617,G617,$E$2:E617,E617,$J$2:J617,J617)&gt;1,"Duplicate invoice",IF(COUNTIF($G$2:$G$1801,G617)&gt;1,"Duplicate ID - review",IF(AND(P617&lt;&gt;"Unmapped",P617&lt;&gt;F617),"Category mismatch","OK"))))))</f>
        <v>OK</v>
      </c>
      <c r="O617" s="125">
        <f t="shared" si="27"/>
        <v>2319.1</v>
      </c>
      <c r="P617" t="str">
        <f>IF(E617="","Unmapped",IFERROR(INDEX(Supplier_Lookup!$B$2:$B$25,MATCH(E617,Supplier_Lookup!$A$2:$A$25,0)),"Unmapped"))</f>
        <v>Facilities</v>
      </c>
      <c r="Q617" s="76">
        <f>IFERROR(INDEX(Category_Targets!$B$2:$B$9,MATCH(F617,Category_Targets!$A$2:$A$9,0)),0)</f>
        <v>0.05</v>
      </c>
      <c r="R617" s="125">
        <f t="shared" si="28"/>
        <v>115.955</v>
      </c>
      <c r="S617" s="78">
        <f t="shared" si="29"/>
        <v>45992</v>
      </c>
      <c r="T617" t="str">
        <f>IFERROR(VLOOKUP(B617,Sites!$A$2:$D$21,4,FALSE()),"Unknown")</f>
        <v>Nottingham</v>
      </c>
      <c r="U617" t="str">
        <f>IF(N617="OK","",COUNTIF($N$2:N617,"&lt;&gt;OK"))</f>
        <v/>
      </c>
      <c r="V617">
        <f>IF(OR(NOT(EXACT(E617,TRIM(Procurement_Raw!E617))),NOT(EXACT(F617,TRIM(Procurement_Raw!F617)))),1,0)</f>
        <v>0</v>
      </c>
    </row>
    <row r="618" spans="1:22" ht="15" customHeight="1" x14ac:dyDescent="0.25">
      <c r="A618" s="123">
        <f>Procurement_Raw!A618</f>
        <v>45950</v>
      </c>
      <c r="B618" t="str">
        <f>TRIM(Procurement_Raw!B618)</f>
        <v>S002</v>
      </c>
      <c r="C618" t="str">
        <f>Procurement_Raw!C618</f>
        <v>Manchester Care &amp; Education Centre</v>
      </c>
      <c r="D618" t="str">
        <f>Procurement_Raw!D618</f>
        <v>North</v>
      </c>
      <c r="E618" t="str">
        <f>IF(TRIM(Procurement_Raw!E618)="","",IFERROR(INDEX(Supplier_Lookup!$A$2:$A$25,MATCH(TRIM(Procurement_Raw!E618),Supplier_Lookup!$A$2:$A$25,0)),TRIM(Procurement_Raw!E618)))</f>
        <v>MediSure</v>
      </c>
      <c r="F618" t="str">
        <f>IFERROR(INDEX(Category_Targets!$A$2:$A$9,MATCH(TRIM(Procurement_Raw!F618),Category_Targets!$A$2:$A$9,0)),"Unmapped")</f>
        <v>Medical Supplies</v>
      </c>
      <c r="G618" t="str">
        <f>TRIM(Procurement_Raw!G618)</f>
        <v>INV-2025-00617</v>
      </c>
      <c r="H618" s="77">
        <f>Procurement_Raw!H618</f>
        <v>28</v>
      </c>
      <c r="I618" s="124">
        <f>Procurement_Raw!I618</f>
        <v>127.44</v>
      </c>
      <c r="J618" s="125">
        <f>IF(Procurement_Raw!J618="","",Procurement_Raw!J618)</f>
        <v>3568.37</v>
      </c>
      <c r="K618" s="77">
        <f>Procurement_Raw!K618</f>
        <v>30</v>
      </c>
      <c r="L618" t="str">
        <f>Procurement_Raw!L618</f>
        <v>Legacy Spend File</v>
      </c>
      <c r="M618" t="str">
        <f>Procurement_Raw!O618</f>
        <v>Y</v>
      </c>
      <c r="N618" t="str">
        <f>IF(E618="","Missing supplier",IF(B618="","Missing site",IF(J618="","Missing spend",IF(COUNTIFS($G$2:G618,G618,$E$2:E618,E618,$J$2:J618,J618)&gt;1,"Duplicate invoice",IF(COUNTIF($G$2:$G$1801,G618)&gt;1,"Duplicate ID - review",IF(AND(P618&lt;&gt;"Unmapped",P618&lt;&gt;F618),"Category mismatch","OK"))))))</f>
        <v>OK</v>
      </c>
      <c r="O618" s="125">
        <f t="shared" si="27"/>
        <v>3568.37</v>
      </c>
      <c r="P618" t="str">
        <f>IF(E618="","Unmapped",IFERROR(INDEX(Supplier_Lookup!$B$2:$B$25,MATCH(E618,Supplier_Lookup!$A$2:$A$25,0)),"Unmapped"))</f>
        <v>Medical Supplies</v>
      </c>
      <c r="Q618" s="76">
        <f>IFERROR(INDEX(Category_Targets!$B$2:$B$9,MATCH(F618,Category_Targets!$A$2:$A$9,0)),0)</f>
        <v>0.06</v>
      </c>
      <c r="R618" s="125">
        <f t="shared" si="28"/>
        <v>214.10219999999998</v>
      </c>
      <c r="S618" s="78">
        <f t="shared" si="29"/>
        <v>45931</v>
      </c>
      <c r="T618" t="str">
        <f>IFERROR(VLOOKUP(B618,Sites!$A$2:$D$21,4,FALSE()),"Unknown")</f>
        <v>Manchester</v>
      </c>
      <c r="U618" t="str">
        <f>IF(N618="OK","",COUNTIF($N$2:N618,"&lt;&gt;OK"))</f>
        <v/>
      </c>
      <c r="V618">
        <f>IF(OR(NOT(EXACT(E618,TRIM(Procurement_Raw!E618))),NOT(EXACT(F618,TRIM(Procurement_Raw!F618)))),1,0)</f>
        <v>0</v>
      </c>
    </row>
    <row r="619" spans="1:22" ht="15" customHeight="1" x14ac:dyDescent="0.25">
      <c r="A619" s="123">
        <f>Procurement_Raw!A619</f>
        <v>45991</v>
      </c>
      <c r="B619" t="str">
        <f>TRIM(Procurement_Raw!B619)</f>
        <v>S004</v>
      </c>
      <c r="C619" t="str">
        <f>Procurement_Raw!C619</f>
        <v>Newcastle Care &amp; Education Centre</v>
      </c>
      <c r="D619" t="str">
        <f>Procurement_Raw!D619</f>
        <v>North</v>
      </c>
      <c r="E619" t="str">
        <f>IF(TRIM(Procurement_Raw!E619)="","",IFERROR(INDEX(Supplier_Lookup!$A$2:$A$25,MATCH(TRIM(Procurement_Raw!E619),Supplier_Lookup!$A$2:$A$25,0)),TRIM(Procurement_Raw!E619)))</f>
        <v>WaterGrid</v>
      </c>
      <c r="F619" t="str">
        <f>IFERROR(INDEX(Category_Targets!$A$2:$A$9,MATCH(TRIM(Procurement_Raw!F619),Category_Targets!$A$2:$A$9,0)),"Unmapped")</f>
        <v>Utilities</v>
      </c>
      <c r="G619" t="str">
        <f>TRIM(Procurement_Raw!G619)</f>
        <v>INV-2025-00618</v>
      </c>
      <c r="H619" s="77">
        <f>Procurement_Raw!H619</f>
        <v>53</v>
      </c>
      <c r="I619" s="124">
        <f>Procurement_Raw!I619</f>
        <v>372.65</v>
      </c>
      <c r="J619" s="125">
        <f>IF(Procurement_Raw!J619="","",Procurement_Raw!J619)</f>
        <v>19750.310000000001</v>
      </c>
      <c r="K619" s="77">
        <f>Procurement_Raw!K619</f>
        <v>60</v>
      </c>
      <c r="L619" t="str">
        <f>Procurement_Raw!L619</f>
        <v>ERP</v>
      </c>
      <c r="M619" t="str">
        <f>Procurement_Raw!O619</f>
        <v>N</v>
      </c>
      <c r="N619" t="str">
        <f>IF(E619="","Missing supplier",IF(B619="","Missing site",IF(J619="","Missing spend",IF(COUNTIFS($G$2:G619,G619,$E$2:E619,E619,$J$2:J619,J619)&gt;1,"Duplicate invoice",IF(COUNTIF($G$2:$G$1801,G619)&gt;1,"Duplicate ID - review",IF(AND(P619&lt;&gt;"Unmapped",P619&lt;&gt;F619),"Category mismatch","OK"))))))</f>
        <v>OK</v>
      </c>
      <c r="O619" s="125">
        <f t="shared" si="27"/>
        <v>19750.310000000001</v>
      </c>
      <c r="P619" t="str">
        <f>IF(E619="","Unmapped",IFERROR(INDEX(Supplier_Lookup!$B$2:$B$25,MATCH(E619,Supplier_Lookup!$A$2:$A$25,0)),"Unmapped"))</f>
        <v>Utilities</v>
      </c>
      <c r="Q619" s="76">
        <f>IFERROR(INDEX(Category_Targets!$B$2:$B$9,MATCH(F619,Category_Targets!$A$2:$A$9,0)),0)</f>
        <v>0.03</v>
      </c>
      <c r="R619" s="125">
        <f t="shared" si="28"/>
        <v>592.50930000000005</v>
      </c>
      <c r="S619" s="78">
        <f t="shared" si="29"/>
        <v>45962</v>
      </c>
      <c r="T619" t="str">
        <f>IFERROR(VLOOKUP(B619,Sites!$A$2:$D$21,4,FALSE()),"Unknown")</f>
        <v>Newcastle</v>
      </c>
      <c r="U619" t="str">
        <f>IF(N619="OK","",COUNTIF($N$2:N619,"&lt;&gt;OK"))</f>
        <v/>
      </c>
      <c r="V619">
        <f>IF(OR(NOT(EXACT(E619,TRIM(Procurement_Raw!E619))),NOT(EXACT(F619,TRIM(Procurement_Raw!F619)))),1,0)</f>
        <v>0</v>
      </c>
    </row>
    <row r="620" spans="1:22" ht="15" customHeight="1" x14ac:dyDescent="0.25">
      <c r="A620" s="123">
        <f>Procurement_Raw!A620</f>
        <v>45725</v>
      </c>
      <c r="B620" t="str">
        <f>TRIM(Procurement_Raw!B620)</f>
        <v>S005</v>
      </c>
      <c r="C620" t="str">
        <f>Procurement_Raw!C620</f>
        <v>Sheffield Care &amp; Education Centre</v>
      </c>
      <c r="D620" t="str">
        <f>Procurement_Raw!D620</f>
        <v>North</v>
      </c>
      <c r="E620" t="str">
        <f>IF(TRIM(Procurement_Raw!E620)="","",IFERROR(INDEX(Supplier_Lookup!$A$2:$A$25,MATCH(TRIM(Procurement_Raw!E620),Supplier_Lookup!$A$2:$A$25,0)),TRIM(Procurement_Raw!E620)))</f>
        <v>CareMed</v>
      </c>
      <c r="F620" t="str">
        <f>IFERROR(INDEX(Category_Targets!$A$2:$A$9,MATCH(TRIM(Procurement_Raw!F620),Category_Targets!$A$2:$A$9,0)),"Unmapped")</f>
        <v>Medical Supplies</v>
      </c>
      <c r="G620" t="str">
        <f>TRIM(Procurement_Raw!G620)</f>
        <v>INV-2025-00619</v>
      </c>
      <c r="H620" s="77">
        <f>Procurement_Raw!H620</f>
        <v>23</v>
      </c>
      <c r="I620" s="124">
        <f>Procurement_Raw!I620</f>
        <v>156.34</v>
      </c>
      <c r="J620" s="125">
        <f>IF(Procurement_Raw!J620="","",Procurement_Raw!J620)</f>
        <v>3595.87</v>
      </c>
      <c r="K620" s="77">
        <f>Procurement_Raw!K620</f>
        <v>60</v>
      </c>
      <c r="L620" t="str">
        <f>Procurement_Raw!L620</f>
        <v>ERP</v>
      </c>
      <c r="M620" t="str">
        <f>Procurement_Raw!O620</f>
        <v>N</v>
      </c>
      <c r="N620" t="str">
        <f>IF(E620="","Missing supplier",IF(B620="","Missing site",IF(J620="","Missing spend",IF(COUNTIFS($G$2:G620,G620,$E$2:E620,E620,$J$2:J620,J620)&gt;1,"Duplicate invoice",IF(COUNTIF($G$2:$G$1801,G620)&gt;1,"Duplicate ID - review",IF(AND(P620&lt;&gt;"Unmapped",P620&lt;&gt;F620),"Category mismatch","OK"))))))</f>
        <v>OK</v>
      </c>
      <c r="O620" s="125">
        <f t="shared" si="27"/>
        <v>3595.87</v>
      </c>
      <c r="P620" t="str">
        <f>IF(E620="","Unmapped",IFERROR(INDEX(Supplier_Lookup!$B$2:$B$25,MATCH(E620,Supplier_Lookup!$A$2:$A$25,0)),"Unmapped"))</f>
        <v>Medical Supplies</v>
      </c>
      <c r="Q620" s="76">
        <f>IFERROR(INDEX(Category_Targets!$B$2:$B$9,MATCH(F620,Category_Targets!$A$2:$A$9,0)),0)</f>
        <v>0.06</v>
      </c>
      <c r="R620" s="125">
        <f t="shared" si="28"/>
        <v>215.75219999999999</v>
      </c>
      <c r="S620" s="78">
        <f t="shared" si="29"/>
        <v>45717</v>
      </c>
      <c r="T620" t="str">
        <f>IFERROR(VLOOKUP(B620,Sites!$A$2:$D$21,4,FALSE()),"Unknown")</f>
        <v>Sheffield</v>
      </c>
      <c r="U620" t="str">
        <f>IF(N620="OK","",COUNTIF($N$2:N620,"&lt;&gt;OK"))</f>
        <v/>
      </c>
      <c r="V620">
        <f>IF(OR(NOT(EXACT(E620,TRIM(Procurement_Raw!E620))),NOT(EXACT(F620,TRIM(Procurement_Raw!F620)))),1,0)</f>
        <v>0</v>
      </c>
    </row>
    <row r="621" spans="1:22" ht="15" customHeight="1" x14ac:dyDescent="0.25">
      <c r="A621" s="123">
        <f>Procurement_Raw!A621</f>
        <v>45814</v>
      </c>
      <c r="B621" t="str">
        <f>TRIM(Procurement_Raw!B621)</f>
        <v>S013</v>
      </c>
      <c r="C621" t="str">
        <f>Procurement_Raw!C621</f>
        <v>Reading Care &amp; Education Centre</v>
      </c>
      <c r="D621" t="str">
        <f>Procurement_Raw!D621</f>
        <v>South</v>
      </c>
      <c r="E621" t="str">
        <f>IF(TRIM(Procurement_Raw!E621)="","",IFERROR(INDEX(Supplier_Lookup!$A$2:$A$25,MATCH(TRIM(Procurement_Raw!E621),Supplier_Lookup!$A$2:$A$25,0)),TRIM(Procurement_Raw!E621)))</f>
        <v>NetServe</v>
      </c>
      <c r="F621" t="str">
        <f>IFERROR(INDEX(Category_Targets!$A$2:$A$9,MATCH(TRIM(Procurement_Raw!F621),Category_Targets!$A$2:$A$9,0)),"Unmapped")</f>
        <v>IT &amp; Telecoms</v>
      </c>
      <c r="G621" t="str">
        <f>TRIM(Procurement_Raw!G621)</f>
        <v>INV-2025-00620</v>
      </c>
      <c r="H621" s="77">
        <f>Procurement_Raw!H621</f>
        <v>36</v>
      </c>
      <c r="I621" s="124">
        <f>Procurement_Raw!I621</f>
        <v>248.83</v>
      </c>
      <c r="J621" s="125">
        <f>IF(Procurement_Raw!J621="","",Procurement_Raw!J621)</f>
        <v>8957.82</v>
      </c>
      <c r="K621" s="77">
        <f>Procurement_Raw!K621</f>
        <v>45</v>
      </c>
      <c r="L621" t="str">
        <f>Procurement_Raw!L621</f>
        <v>Procurement Portal</v>
      </c>
      <c r="M621" t="str">
        <f>Procurement_Raw!O621</f>
        <v>N</v>
      </c>
      <c r="N621" t="str">
        <f>IF(E621="","Missing supplier",IF(B621="","Missing site",IF(J621="","Missing spend",IF(COUNTIFS($G$2:G621,G621,$E$2:E621,E621,$J$2:J621,J621)&gt;1,"Duplicate invoice",IF(COUNTIF($G$2:$G$1801,G621)&gt;1,"Duplicate ID - review",IF(AND(P621&lt;&gt;"Unmapped",P621&lt;&gt;F621),"Category mismatch","OK"))))))</f>
        <v>OK</v>
      </c>
      <c r="O621" s="125">
        <f t="shared" si="27"/>
        <v>8957.82</v>
      </c>
      <c r="P621" t="str">
        <f>IF(E621="","Unmapped",IFERROR(INDEX(Supplier_Lookup!$B$2:$B$25,MATCH(E621,Supplier_Lookup!$A$2:$A$25,0)),"Unmapped"))</f>
        <v>IT &amp; Telecoms</v>
      </c>
      <c r="Q621" s="76">
        <f>IFERROR(INDEX(Category_Targets!$B$2:$B$9,MATCH(F621,Category_Targets!$A$2:$A$9,0)),0)</f>
        <v>0.08</v>
      </c>
      <c r="R621" s="125">
        <f t="shared" si="28"/>
        <v>716.62559999999996</v>
      </c>
      <c r="S621" s="78">
        <f t="shared" si="29"/>
        <v>45809</v>
      </c>
      <c r="T621" t="str">
        <f>IFERROR(VLOOKUP(B621,Sites!$A$2:$D$21,4,FALSE()),"Unknown")</f>
        <v>Reading</v>
      </c>
      <c r="U621" t="str">
        <f>IF(N621="OK","",COUNTIF($N$2:N621,"&lt;&gt;OK"))</f>
        <v/>
      </c>
      <c r="V621">
        <f>IF(OR(NOT(EXACT(E621,TRIM(Procurement_Raw!E621))),NOT(EXACT(F621,TRIM(Procurement_Raw!F621)))),1,0)</f>
        <v>0</v>
      </c>
    </row>
    <row r="622" spans="1:22" ht="15" customHeight="1" x14ac:dyDescent="0.25">
      <c r="A622" s="123">
        <f>Procurement_Raw!A622</f>
        <v>45769</v>
      </c>
      <c r="B622" t="str">
        <f>TRIM(Procurement_Raw!B622)</f>
        <v>S005</v>
      </c>
      <c r="C622" t="str">
        <f>Procurement_Raw!C622</f>
        <v>Sheffield Care &amp; Education Centre</v>
      </c>
      <c r="D622" t="str">
        <f>Procurement_Raw!D622</f>
        <v>North</v>
      </c>
      <c r="E622" t="str">
        <f>IF(TRIM(Procurement_Raw!E622)="","",IFERROR(INDEX(Supplier_Lookup!$A$2:$A$25,MATCH(TRIM(Procurement_Raw!E622),Supplier_Lookup!$A$2:$A$25,0)),TRIM(Procurement_Raw!E622)))</f>
        <v>LearnWell</v>
      </c>
      <c r="F622" t="str">
        <f>IFERROR(INDEX(Category_Targets!$A$2:$A$9,MATCH(TRIM(Procurement_Raw!F622),Category_Targets!$A$2:$A$9,0)),"Unmapped")</f>
        <v>Office &amp; Training</v>
      </c>
      <c r="G622" t="str">
        <f>TRIM(Procurement_Raw!G622)</f>
        <v>INV-2025-00621</v>
      </c>
      <c r="H622" s="77">
        <f>Procurement_Raw!H622</f>
        <v>60</v>
      </c>
      <c r="I622" s="124">
        <f>Procurement_Raw!I622</f>
        <v>48.56</v>
      </c>
      <c r="J622" s="125">
        <f>IF(Procurement_Raw!J622="","",Procurement_Raw!J622)</f>
        <v>2913.39</v>
      </c>
      <c r="K622" s="77">
        <f>Procurement_Raw!K622</f>
        <v>45</v>
      </c>
      <c r="L622" t="str">
        <f>Procurement_Raw!L622</f>
        <v>Legacy Spend File</v>
      </c>
      <c r="M622" t="str">
        <f>Procurement_Raw!O622</f>
        <v>N</v>
      </c>
      <c r="N622" t="str">
        <f>IF(E622="","Missing supplier",IF(B622="","Missing site",IF(J622="","Missing spend",IF(COUNTIFS($G$2:G622,G622,$E$2:E622,E622,$J$2:J622,J622)&gt;1,"Duplicate invoice",IF(COUNTIF($G$2:$G$1801,G622)&gt;1,"Duplicate ID - review",IF(AND(P622&lt;&gt;"Unmapped",P622&lt;&gt;F622),"Category mismatch","OK"))))))</f>
        <v>OK</v>
      </c>
      <c r="O622" s="125">
        <f t="shared" si="27"/>
        <v>2913.39</v>
      </c>
      <c r="P622" t="str">
        <f>IF(E622="","Unmapped",IFERROR(INDEX(Supplier_Lookup!$B$2:$B$25,MATCH(E622,Supplier_Lookup!$A$2:$A$25,0)),"Unmapped"))</f>
        <v>Office &amp; Training</v>
      </c>
      <c r="Q622" s="76">
        <f>IFERROR(INDEX(Category_Targets!$B$2:$B$9,MATCH(F622,Category_Targets!$A$2:$A$9,0)),0)</f>
        <v>0.04</v>
      </c>
      <c r="R622" s="125">
        <f t="shared" si="28"/>
        <v>116.5356</v>
      </c>
      <c r="S622" s="78">
        <f t="shared" si="29"/>
        <v>45748</v>
      </c>
      <c r="T622" t="str">
        <f>IFERROR(VLOOKUP(B622,Sites!$A$2:$D$21,4,FALSE()),"Unknown")</f>
        <v>Sheffield</v>
      </c>
      <c r="U622" t="str">
        <f>IF(N622="OK","",COUNTIF($N$2:N622,"&lt;&gt;OK"))</f>
        <v/>
      </c>
      <c r="V622">
        <f>IF(OR(NOT(EXACT(E622,TRIM(Procurement_Raw!E622))),NOT(EXACT(F622,TRIM(Procurement_Raw!F622)))),1,0)</f>
        <v>0</v>
      </c>
    </row>
    <row r="623" spans="1:22" ht="15" customHeight="1" x14ac:dyDescent="0.25">
      <c r="A623" s="123">
        <f>Procurement_Raw!A623</f>
        <v>45710</v>
      </c>
      <c r="B623" t="str">
        <f>TRIM(Procurement_Raw!B623)</f>
        <v>S014</v>
      </c>
      <c r="C623" t="str">
        <f>Procurement_Raw!C623</f>
        <v>Southampton Care &amp; Education Centre</v>
      </c>
      <c r="D623" t="str">
        <f>Procurement_Raw!D623</f>
        <v>South</v>
      </c>
      <c r="E623" t="str">
        <f>IF(TRIM(Procurement_Raw!E623)="","",IFERROR(INDEX(Supplier_Lookup!$A$2:$A$25,MATCH(TRIM(Procurement_Raw!E623),Supplier_Lookup!$A$2:$A$25,0)),TRIM(Procurement_Raw!E623)))</f>
        <v>NurseLink</v>
      </c>
      <c r="F623" t="str">
        <f>IFERROR(INDEX(Category_Targets!$A$2:$A$9,MATCH(TRIM(Procurement_Raw!F623),Category_Targets!$A$2:$A$9,0)),"Unmapped")</f>
        <v>Agency Labour</v>
      </c>
      <c r="G623" t="str">
        <f>TRIM(Procurement_Raw!G623)</f>
        <v>INV-2025-00622</v>
      </c>
      <c r="H623" s="77">
        <f>Procurement_Raw!H623</f>
        <v>1</v>
      </c>
      <c r="I623" s="124">
        <f>Procurement_Raw!I623</f>
        <v>388.81</v>
      </c>
      <c r="J623" s="125">
        <f>IF(Procurement_Raw!J623="","",Procurement_Raw!J623)</f>
        <v>388.81</v>
      </c>
      <c r="K623" s="77">
        <f>Procurement_Raw!K623</f>
        <v>60</v>
      </c>
      <c r="L623" t="str">
        <f>Procurement_Raw!L623</f>
        <v>Legacy Spend File</v>
      </c>
      <c r="M623" t="str">
        <f>Procurement_Raw!O623</f>
        <v>N</v>
      </c>
      <c r="N623" t="str">
        <f>IF(E623="","Missing supplier",IF(B623="","Missing site",IF(J623="","Missing spend",IF(COUNTIFS($G$2:G623,G623,$E$2:E623,E623,$J$2:J623,J623)&gt;1,"Duplicate invoice",IF(COUNTIF($G$2:$G$1801,G623)&gt;1,"Duplicate ID - review",IF(AND(P623&lt;&gt;"Unmapped",P623&lt;&gt;F623),"Category mismatch","OK"))))))</f>
        <v>OK</v>
      </c>
      <c r="O623" s="125">
        <f t="shared" si="27"/>
        <v>388.81</v>
      </c>
      <c r="P623" t="str">
        <f>IF(E623="","Unmapped",IFERROR(INDEX(Supplier_Lookup!$B$2:$B$25,MATCH(E623,Supplier_Lookup!$A$2:$A$25,0)),"Unmapped"))</f>
        <v>Agency Labour</v>
      </c>
      <c r="Q623" s="76">
        <f>IFERROR(INDEX(Category_Targets!$B$2:$B$9,MATCH(F623,Category_Targets!$A$2:$A$9,0)),0)</f>
        <v>7.0000000000000007E-2</v>
      </c>
      <c r="R623" s="125">
        <f t="shared" si="28"/>
        <v>27.216700000000003</v>
      </c>
      <c r="S623" s="78">
        <f t="shared" si="29"/>
        <v>45689</v>
      </c>
      <c r="T623" t="str">
        <f>IFERROR(VLOOKUP(B623,Sites!$A$2:$D$21,4,FALSE()),"Unknown")</f>
        <v>Southampton</v>
      </c>
      <c r="U623" t="str">
        <f>IF(N623="OK","",COUNTIF($N$2:N623,"&lt;&gt;OK"))</f>
        <v/>
      </c>
      <c r="V623">
        <f>IF(OR(NOT(EXACT(E623,TRIM(Procurement_Raw!E623))),NOT(EXACT(F623,TRIM(Procurement_Raw!F623)))),1,0)</f>
        <v>0</v>
      </c>
    </row>
    <row r="624" spans="1:22" ht="15" customHeight="1" x14ac:dyDescent="0.25">
      <c r="A624" s="123">
        <f>Procurement_Raw!A624</f>
        <v>46008</v>
      </c>
      <c r="B624" t="str">
        <f>TRIM(Procurement_Raw!B624)</f>
        <v>S015</v>
      </c>
      <c r="C624" t="str">
        <f>Procurement_Raw!C624</f>
        <v>Brighton Care &amp; Education Centre</v>
      </c>
      <c r="D624" t="str">
        <f>Procurement_Raw!D624</f>
        <v>South</v>
      </c>
      <c r="E624" t="str">
        <f>IF(TRIM(Procurement_Raw!E624)="","",IFERROR(INDEX(Supplier_Lookup!$A$2:$A$25,MATCH(TRIM(Procurement_Raw!E624),Supplier_Lookup!$A$2:$A$25,0)),TRIM(Procurement_Raw!E624)))</f>
        <v>TeleCare IT</v>
      </c>
      <c r="F624" t="str">
        <f>IFERROR(INDEX(Category_Targets!$A$2:$A$9,MATCH(TRIM(Procurement_Raw!F624),Category_Targets!$A$2:$A$9,0)),"Unmapped")</f>
        <v>IT &amp; Telecoms</v>
      </c>
      <c r="G624" t="str">
        <f>TRIM(Procurement_Raw!G624)</f>
        <v>INV-2025-00623</v>
      </c>
      <c r="H624" s="77">
        <f>Procurement_Raw!H624</f>
        <v>14</v>
      </c>
      <c r="I624" s="124">
        <f>Procurement_Raw!I624</f>
        <v>619.39</v>
      </c>
      <c r="J624" s="125">
        <f>IF(Procurement_Raw!J624="","",Procurement_Raw!J624)</f>
        <v>8671.51</v>
      </c>
      <c r="K624" s="77">
        <f>Procurement_Raw!K624</f>
        <v>45</v>
      </c>
      <c r="L624" t="str">
        <f>Procurement_Raw!L624</f>
        <v>ERP</v>
      </c>
      <c r="M624" t="str">
        <f>Procurement_Raw!O624</f>
        <v>N</v>
      </c>
      <c r="N624" t="str">
        <f>IF(E624="","Missing supplier",IF(B624="","Missing site",IF(J624="","Missing spend",IF(COUNTIFS($G$2:G624,G624,$E$2:E624,E624,$J$2:J624,J624)&gt;1,"Duplicate invoice",IF(COUNTIF($G$2:$G$1801,G624)&gt;1,"Duplicate ID - review",IF(AND(P624&lt;&gt;"Unmapped",P624&lt;&gt;F624),"Category mismatch","OK"))))))</f>
        <v>OK</v>
      </c>
      <c r="O624" s="125">
        <f t="shared" si="27"/>
        <v>8671.51</v>
      </c>
      <c r="P624" t="str">
        <f>IF(E624="","Unmapped",IFERROR(INDEX(Supplier_Lookup!$B$2:$B$25,MATCH(E624,Supplier_Lookup!$A$2:$A$25,0)),"Unmapped"))</f>
        <v>IT &amp; Telecoms</v>
      </c>
      <c r="Q624" s="76">
        <f>IFERROR(INDEX(Category_Targets!$B$2:$B$9,MATCH(F624,Category_Targets!$A$2:$A$9,0)),0)</f>
        <v>0.08</v>
      </c>
      <c r="R624" s="125">
        <f t="shared" si="28"/>
        <v>693.72080000000005</v>
      </c>
      <c r="S624" s="78">
        <f t="shared" si="29"/>
        <v>45992</v>
      </c>
      <c r="T624" t="str">
        <f>IFERROR(VLOOKUP(B624,Sites!$A$2:$D$21,4,FALSE()),"Unknown")</f>
        <v>Brighton</v>
      </c>
      <c r="U624" t="str">
        <f>IF(N624="OK","",COUNTIF($N$2:N624,"&lt;&gt;OK"))</f>
        <v/>
      </c>
      <c r="V624">
        <f>IF(OR(NOT(EXACT(E624,TRIM(Procurement_Raw!E624))),NOT(EXACT(F624,TRIM(Procurement_Raw!F624)))),1,0)</f>
        <v>0</v>
      </c>
    </row>
    <row r="625" spans="1:22" ht="15" customHeight="1" x14ac:dyDescent="0.25">
      <c r="A625" s="123">
        <f>Procurement_Raw!A625</f>
        <v>45824</v>
      </c>
      <c r="B625" t="str">
        <f>TRIM(Procurement_Raw!B625)</f>
        <v>S016</v>
      </c>
      <c r="C625" t="str">
        <f>Procurement_Raw!C625</f>
        <v>Cardiff Care &amp; Education Centre</v>
      </c>
      <c r="D625" t="str">
        <f>Procurement_Raw!D625</f>
        <v>Wales</v>
      </c>
      <c r="E625" t="str">
        <f>IF(TRIM(Procurement_Raw!E625)="","",IFERROR(INDEX(Supplier_Lookup!$A$2:$A$25,MATCH(TRIM(Procurement_Raw!E625),Supplier_Lookup!$A$2:$A$25,0)),TRIM(Procurement_Raw!E625)))</f>
        <v>NetServe</v>
      </c>
      <c r="F625" t="str">
        <f>IFERROR(INDEX(Category_Targets!$A$2:$A$9,MATCH(TRIM(Procurement_Raw!F625),Category_Targets!$A$2:$A$9,0)),"Unmapped")</f>
        <v>IT &amp; Telecoms</v>
      </c>
      <c r="G625" t="str">
        <f>TRIM(Procurement_Raw!G625)</f>
        <v>INV-2025-00624</v>
      </c>
      <c r="H625" s="77">
        <f>Procurement_Raw!H625</f>
        <v>36</v>
      </c>
      <c r="I625" s="124">
        <f>Procurement_Raw!I625</f>
        <v>461.1</v>
      </c>
      <c r="J625" s="125">
        <f>IF(Procurement_Raw!J625="","",Procurement_Raw!J625)</f>
        <v>16599.490000000002</v>
      </c>
      <c r="K625" s="77">
        <f>Procurement_Raw!K625</f>
        <v>45</v>
      </c>
      <c r="L625" t="str">
        <f>Procurement_Raw!L625</f>
        <v>Legacy Spend File</v>
      </c>
      <c r="M625" t="str">
        <f>Procurement_Raw!O625</f>
        <v>N</v>
      </c>
      <c r="N625" t="str">
        <f>IF(E625="","Missing supplier",IF(B625="","Missing site",IF(J625="","Missing spend",IF(COUNTIFS($G$2:G625,G625,$E$2:E625,E625,$J$2:J625,J625)&gt;1,"Duplicate invoice",IF(COUNTIF($G$2:$G$1801,G625)&gt;1,"Duplicate ID - review",IF(AND(P625&lt;&gt;"Unmapped",P625&lt;&gt;F625),"Category mismatch","OK"))))))</f>
        <v>OK</v>
      </c>
      <c r="O625" s="125">
        <f t="shared" si="27"/>
        <v>16599.490000000002</v>
      </c>
      <c r="P625" t="str">
        <f>IF(E625="","Unmapped",IFERROR(INDEX(Supplier_Lookup!$B$2:$B$25,MATCH(E625,Supplier_Lookup!$A$2:$A$25,0)),"Unmapped"))</f>
        <v>IT &amp; Telecoms</v>
      </c>
      <c r="Q625" s="76">
        <f>IFERROR(INDEX(Category_Targets!$B$2:$B$9,MATCH(F625,Category_Targets!$A$2:$A$9,0)),0)</f>
        <v>0.08</v>
      </c>
      <c r="R625" s="125">
        <f t="shared" si="28"/>
        <v>1327.9592000000002</v>
      </c>
      <c r="S625" s="78">
        <f t="shared" si="29"/>
        <v>45809</v>
      </c>
      <c r="T625" t="str">
        <f>IFERROR(VLOOKUP(B625,Sites!$A$2:$D$21,4,FALSE()),"Unknown")</f>
        <v>Cardiff</v>
      </c>
      <c r="U625" t="str">
        <f>IF(N625="OK","",COUNTIF($N$2:N625,"&lt;&gt;OK"))</f>
        <v/>
      </c>
      <c r="V625">
        <f>IF(OR(NOT(EXACT(E625,TRIM(Procurement_Raw!E625))),NOT(EXACT(F625,TRIM(Procurement_Raw!F625)))),1,0)</f>
        <v>0</v>
      </c>
    </row>
    <row r="626" spans="1:22" ht="15" customHeight="1" x14ac:dyDescent="0.25">
      <c r="A626" s="123">
        <f>Procurement_Raw!A626</f>
        <v>45734</v>
      </c>
      <c r="B626" t="str">
        <f>TRIM(Procurement_Raw!B626)</f>
        <v>S008</v>
      </c>
      <c r="C626" t="str">
        <f>Procurement_Raw!C626</f>
        <v>Leicester Care &amp; Education Centre</v>
      </c>
      <c r="D626" t="str">
        <f>Procurement_Raw!D626</f>
        <v>Midlands</v>
      </c>
      <c r="E626" t="str">
        <f>IF(TRIM(Procurement_Raw!E626)="","",IFERROR(INDEX(Supplier_Lookup!$A$2:$A$25,MATCH(TRIM(Procurement_Raw!E626),Supplier_Lookup!$A$2:$A$25,0)),TRIM(Procurement_Raw!E626)))</f>
        <v>CloudLink</v>
      </c>
      <c r="F626" t="str">
        <f>IFERROR(INDEX(Category_Targets!$A$2:$A$9,MATCH(TRIM(Procurement_Raw!F626),Category_Targets!$A$2:$A$9,0)),"Unmapped")</f>
        <v>IT &amp; Telecoms</v>
      </c>
      <c r="G626" t="str">
        <f>TRIM(Procurement_Raw!G626)</f>
        <v>INV-2025-00625</v>
      </c>
      <c r="H626" s="77">
        <f>Procurement_Raw!H626</f>
        <v>67</v>
      </c>
      <c r="I626" s="124">
        <f>Procurement_Raw!I626</f>
        <v>528.41</v>
      </c>
      <c r="J626" s="125">
        <f>IF(Procurement_Raw!J626="","",Procurement_Raw!J626)</f>
        <v>35403.74</v>
      </c>
      <c r="K626" s="77">
        <f>Procurement_Raw!K626</f>
        <v>30</v>
      </c>
      <c r="L626" t="str">
        <f>Procurement_Raw!L626</f>
        <v>ERP</v>
      </c>
      <c r="M626" t="str">
        <f>Procurement_Raw!O626</f>
        <v>Y</v>
      </c>
      <c r="N626" t="str">
        <f>IF(E626="","Missing supplier",IF(B626="","Missing site",IF(J626="","Missing spend",IF(COUNTIFS($G$2:G626,G626,$E$2:E626,E626,$J$2:J626,J626)&gt;1,"Duplicate invoice",IF(COUNTIF($G$2:$G$1801,G626)&gt;1,"Duplicate ID - review",IF(AND(P626&lt;&gt;"Unmapped",P626&lt;&gt;F626),"Category mismatch","OK"))))))</f>
        <v>OK</v>
      </c>
      <c r="O626" s="125">
        <f t="shared" si="27"/>
        <v>35403.74</v>
      </c>
      <c r="P626" t="str">
        <f>IF(E626="","Unmapped",IFERROR(INDEX(Supplier_Lookup!$B$2:$B$25,MATCH(E626,Supplier_Lookup!$A$2:$A$25,0)),"Unmapped"))</f>
        <v>IT &amp; Telecoms</v>
      </c>
      <c r="Q626" s="76">
        <f>IFERROR(INDEX(Category_Targets!$B$2:$B$9,MATCH(F626,Category_Targets!$A$2:$A$9,0)),0)</f>
        <v>0.08</v>
      </c>
      <c r="R626" s="125">
        <f t="shared" si="28"/>
        <v>2832.2991999999999</v>
      </c>
      <c r="S626" s="78">
        <f t="shared" si="29"/>
        <v>45717</v>
      </c>
      <c r="T626" t="str">
        <f>IFERROR(VLOOKUP(B626,Sites!$A$2:$D$21,4,FALSE()),"Unknown")</f>
        <v>Leicester</v>
      </c>
      <c r="U626" t="str">
        <f>IF(N626="OK","",COUNTIF($N$2:N626,"&lt;&gt;OK"))</f>
        <v/>
      </c>
      <c r="V626">
        <f>IF(OR(NOT(EXACT(E626,TRIM(Procurement_Raw!E626))),NOT(EXACT(F626,TRIM(Procurement_Raw!F626)))),1,0)</f>
        <v>0</v>
      </c>
    </row>
    <row r="627" spans="1:22" ht="15" customHeight="1" x14ac:dyDescent="0.25">
      <c r="A627" s="123">
        <f>Procurement_Raw!A627</f>
        <v>45821</v>
      </c>
      <c r="B627" t="str">
        <f>TRIM(Procurement_Raw!B627)</f>
        <v>S004</v>
      </c>
      <c r="C627" t="str">
        <f>Procurement_Raw!C627</f>
        <v>Newcastle Care &amp; Education Centre</v>
      </c>
      <c r="D627" t="str">
        <f>Procurement_Raw!D627</f>
        <v>North</v>
      </c>
      <c r="E627" t="str">
        <f>IF(TRIM(Procurement_Raw!E627)="","",IFERROR(INDEX(Supplier_Lookup!$A$2:$A$25,MATCH(TRIM(Procurement_Raw!E627),Supplier_Lookup!$A$2:$A$25,0)),TRIM(Procurement_Raw!E627)))</f>
        <v>NurseLink</v>
      </c>
      <c r="F627" t="str">
        <f>IFERROR(INDEX(Category_Targets!$A$2:$A$9,MATCH(TRIM(Procurement_Raw!F627),Category_Targets!$A$2:$A$9,0)),"Unmapped")</f>
        <v>Agency Labour</v>
      </c>
      <c r="G627" t="str">
        <f>TRIM(Procurement_Raw!G627)</f>
        <v>INV-2025-00626</v>
      </c>
      <c r="H627" s="77">
        <f>Procurement_Raw!H627</f>
        <v>18</v>
      </c>
      <c r="I627" s="124">
        <f>Procurement_Raw!I627</f>
        <v>226.47</v>
      </c>
      <c r="J627" s="125">
        <f>IF(Procurement_Raw!J627="","",Procurement_Raw!J627)</f>
        <v>4076.47</v>
      </c>
      <c r="K627" s="77">
        <f>Procurement_Raw!K627</f>
        <v>60</v>
      </c>
      <c r="L627" t="str">
        <f>Procurement_Raw!L627</f>
        <v>ERP</v>
      </c>
      <c r="M627" t="str">
        <f>Procurement_Raw!O627</f>
        <v>N</v>
      </c>
      <c r="N627" t="str">
        <f>IF(E627="","Missing supplier",IF(B627="","Missing site",IF(J627="","Missing spend",IF(COUNTIFS($G$2:G627,G627,$E$2:E627,E627,$J$2:J627,J627)&gt;1,"Duplicate invoice",IF(COUNTIF($G$2:$G$1801,G627)&gt;1,"Duplicate ID - review",IF(AND(P627&lt;&gt;"Unmapped",P627&lt;&gt;F627),"Category mismatch","OK"))))))</f>
        <v>OK</v>
      </c>
      <c r="O627" s="125">
        <f t="shared" si="27"/>
        <v>4076.47</v>
      </c>
      <c r="P627" t="str">
        <f>IF(E627="","Unmapped",IFERROR(INDEX(Supplier_Lookup!$B$2:$B$25,MATCH(E627,Supplier_Lookup!$A$2:$A$25,0)),"Unmapped"))</f>
        <v>Agency Labour</v>
      </c>
      <c r="Q627" s="76">
        <f>IFERROR(INDEX(Category_Targets!$B$2:$B$9,MATCH(F627,Category_Targets!$A$2:$A$9,0)),0)</f>
        <v>7.0000000000000007E-2</v>
      </c>
      <c r="R627" s="125">
        <f t="shared" si="28"/>
        <v>285.35290000000003</v>
      </c>
      <c r="S627" s="78">
        <f t="shared" si="29"/>
        <v>45809</v>
      </c>
      <c r="T627" t="str">
        <f>IFERROR(VLOOKUP(B627,Sites!$A$2:$D$21,4,FALSE()),"Unknown")</f>
        <v>Newcastle</v>
      </c>
      <c r="U627" t="str">
        <f>IF(N627="OK","",COUNTIF($N$2:N627,"&lt;&gt;OK"))</f>
        <v/>
      </c>
      <c r="V627">
        <f>IF(OR(NOT(EXACT(E627,TRIM(Procurement_Raw!E627))),NOT(EXACT(F627,TRIM(Procurement_Raw!F627)))),1,0)</f>
        <v>0</v>
      </c>
    </row>
    <row r="628" spans="1:22" ht="15" customHeight="1" x14ac:dyDescent="0.25">
      <c r="A628" s="123">
        <f>Procurement_Raw!A628</f>
        <v>45790</v>
      </c>
      <c r="B628" t="str">
        <f>TRIM(Procurement_Raw!B628)</f>
        <v>S001</v>
      </c>
      <c r="C628" t="str">
        <f>Procurement_Raw!C628</f>
        <v>Preston Care &amp; Education Centre</v>
      </c>
      <c r="D628" t="str">
        <f>Procurement_Raw!D628</f>
        <v>North</v>
      </c>
      <c r="E628" t="str">
        <f>IF(TRIM(Procurement_Raw!E628)="","",IFERROR(INDEX(Supplier_Lookup!$A$2:$A$25,MATCH(TRIM(Procurement_Raw!E628),Supplier_Lookup!$A$2:$A$25,0)),TRIM(Procurement_Raw!E628)))</f>
        <v>LearnWell</v>
      </c>
      <c r="F628" t="str">
        <f>IFERROR(INDEX(Category_Targets!$A$2:$A$9,MATCH(TRIM(Procurement_Raw!F628),Category_Targets!$A$2:$A$9,0)),"Unmapped")</f>
        <v>Office &amp; Training</v>
      </c>
      <c r="G628" t="str">
        <f>TRIM(Procurement_Raw!G628)</f>
        <v>INV-2025-00627</v>
      </c>
      <c r="H628" s="77">
        <f>Procurement_Raw!H628</f>
        <v>54</v>
      </c>
      <c r="I628" s="124">
        <f>Procurement_Raw!I628</f>
        <v>43.52</v>
      </c>
      <c r="J628" s="125">
        <f>IF(Procurement_Raw!J628="","",Procurement_Raw!J628)</f>
        <v>2350.04</v>
      </c>
      <c r="K628" s="77">
        <f>Procurement_Raw!K628</f>
        <v>45</v>
      </c>
      <c r="L628" t="str">
        <f>Procurement_Raw!L628</f>
        <v>Procurement Portal</v>
      </c>
      <c r="M628" t="str">
        <f>Procurement_Raw!O628</f>
        <v>N</v>
      </c>
      <c r="N628" t="str">
        <f>IF(E628="","Missing supplier",IF(B628="","Missing site",IF(J628="","Missing spend",IF(COUNTIFS($G$2:G628,G628,$E$2:E628,E628,$J$2:J628,J628)&gt;1,"Duplicate invoice",IF(COUNTIF($G$2:$G$1801,G628)&gt;1,"Duplicate ID - review",IF(AND(P628&lt;&gt;"Unmapped",P628&lt;&gt;F628),"Category mismatch","OK"))))))</f>
        <v>OK</v>
      </c>
      <c r="O628" s="125">
        <f t="shared" si="27"/>
        <v>2350.04</v>
      </c>
      <c r="P628" t="str">
        <f>IF(E628="","Unmapped",IFERROR(INDEX(Supplier_Lookup!$B$2:$B$25,MATCH(E628,Supplier_Lookup!$A$2:$A$25,0)),"Unmapped"))</f>
        <v>Office &amp; Training</v>
      </c>
      <c r="Q628" s="76">
        <f>IFERROR(INDEX(Category_Targets!$B$2:$B$9,MATCH(F628,Category_Targets!$A$2:$A$9,0)),0)</f>
        <v>0.04</v>
      </c>
      <c r="R628" s="125">
        <f t="shared" si="28"/>
        <v>94.001599999999996</v>
      </c>
      <c r="S628" s="78">
        <f t="shared" si="29"/>
        <v>45778</v>
      </c>
      <c r="T628" t="str">
        <f>IFERROR(VLOOKUP(B628,Sites!$A$2:$D$21,4,FALSE()),"Unknown")</f>
        <v>Preston</v>
      </c>
      <c r="U628" t="str">
        <f>IF(N628="OK","",COUNTIF($N$2:N628,"&lt;&gt;OK"))</f>
        <v/>
      </c>
      <c r="V628">
        <f>IF(OR(NOT(EXACT(E628,TRIM(Procurement_Raw!E628))),NOT(EXACT(F628,TRIM(Procurement_Raw!F628)))),1,0)</f>
        <v>0</v>
      </c>
    </row>
    <row r="629" spans="1:22" ht="15" customHeight="1" x14ac:dyDescent="0.25">
      <c r="A629" s="123">
        <f>Procurement_Raw!A629</f>
        <v>46020</v>
      </c>
      <c r="B629" t="str">
        <f>TRIM(Procurement_Raw!B629)</f>
        <v>S007</v>
      </c>
      <c r="C629" t="str">
        <f>Procurement_Raw!C629</f>
        <v>Nottingham Care &amp; Education Centre</v>
      </c>
      <c r="D629" t="str">
        <f>Procurement_Raw!D629</f>
        <v>Midlands</v>
      </c>
      <c r="E629" t="str">
        <f>IF(TRIM(Procurement_Raw!E629)="","",IFERROR(INDEX(Supplier_Lookup!$A$2:$A$25,MATCH(TRIM(Procurement_Raw!E629),Supplier_Lookup!$A$2:$A$25,0)),TRIM(Procurement_Raw!E629)))</f>
        <v>ClinEquip</v>
      </c>
      <c r="F629" t="str">
        <f>IFERROR(INDEX(Category_Targets!$A$2:$A$9,MATCH(TRIM(Procurement_Raw!F629),Category_Targets!$A$2:$A$9,0)),"Unmapped")</f>
        <v>Medical Supplies</v>
      </c>
      <c r="G629" t="str">
        <f>TRIM(Procurement_Raw!G629)</f>
        <v>INV-2025-00628</v>
      </c>
      <c r="H629" s="77">
        <f>Procurement_Raw!H629</f>
        <v>74</v>
      </c>
      <c r="I629" s="124">
        <f>Procurement_Raw!I629</f>
        <v>111.98</v>
      </c>
      <c r="J629" s="125">
        <f>IF(Procurement_Raw!J629="","",Procurement_Raw!J629)</f>
        <v>8286.43</v>
      </c>
      <c r="K629" s="77">
        <f>Procurement_Raw!K629</f>
        <v>30</v>
      </c>
      <c r="L629" t="str">
        <f>Procurement_Raw!L629</f>
        <v>Procurement Portal</v>
      </c>
      <c r="M629" t="str">
        <f>Procurement_Raw!O629</f>
        <v>N</v>
      </c>
      <c r="N629" t="str">
        <f>IF(E629="","Missing supplier",IF(B629="","Missing site",IF(J629="","Missing spend",IF(COUNTIFS($G$2:G629,G629,$E$2:E629,E629,$J$2:J629,J629)&gt;1,"Duplicate invoice",IF(COUNTIF($G$2:$G$1801,G629)&gt;1,"Duplicate ID - review",IF(AND(P629&lt;&gt;"Unmapped",P629&lt;&gt;F629),"Category mismatch","OK"))))))</f>
        <v>OK</v>
      </c>
      <c r="O629" s="125">
        <f t="shared" si="27"/>
        <v>8286.43</v>
      </c>
      <c r="P629" t="str">
        <f>IF(E629="","Unmapped",IFERROR(INDEX(Supplier_Lookup!$B$2:$B$25,MATCH(E629,Supplier_Lookup!$A$2:$A$25,0)),"Unmapped"))</f>
        <v>Medical Supplies</v>
      </c>
      <c r="Q629" s="76">
        <f>IFERROR(INDEX(Category_Targets!$B$2:$B$9,MATCH(F629,Category_Targets!$A$2:$A$9,0)),0)</f>
        <v>0.06</v>
      </c>
      <c r="R629" s="125">
        <f t="shared" si="28"/>
        <v>497.18579999999997</v>
      </c>
      <c r="S629" s="78">
        <f t="shared" si="29"/>
        <v>45992</v>
      </c>
      <c r="T629" t="str">
        <f>IFERROR(VLOOKUP(B629,Sites!$A$2:$D$21,4,FALSE()),"Unknown")</f>
        <v>Nottingham</v>
      </c>
      <c r="U629" t="str">
        <f>IF(N629="OK","",COUNTIF($N$2:N629,"&lt;&gt;OK"))</f>
        <v/>
      </c>
      <c r="V629">
        <f>IF(OR(NOT(EXACT(E629,TRIM(Procurement_Raw!E629))),NOT(EXACT(F629,TRIM(Procurement_Raw!F629)))),1,0)</f>
        <v>0</v>
      </c>
    </row>
    <row r="630" spans="1:22" ht="15" customHeight="1" x14ac:dyDescent="0.25">
      <c r="A630" s="123">
        <f>Procurement_Raw!A630</f>
        <v>45931</v>
      </c>
      <c r="B630" t="str">
        <f>TRIM(Procurement_Raw!B630)</f>
        <v>S005</v>
      </c>
      <c r="C630" t="str">
        <f>Procurement_Raw!C630</f>
        <v>Sheffield Care &amp; Education Centre</v>
      </c>
      <c r="D630" t="str">
        <f>Procurement_Raw!D630</f>
        <v>North</v>
      </c>
      <c r="E630" t="str">
        <f>IF(TRIM(Procurement_Raw!E630)="","",IFERROR(INDEX(Supplier_Lookup!$A$2:$A$25,MATCH(TRIM(Procurement_Raw!E630),Supplier_Lookup!$A$2:$A$25,0)),TRIM(Procurement_Raw!E630)))</f>
        <v>PowerDirect</v>
      </c>
      <c r="F630" t="str">
        <f>IFERROR(INDEX(Category_Targets!$A$2:$A$9,MATCH(TRIM(Procurement_Raw!F630),Category_Targets!$A$2:$A$9,0)),"Unmapped")</f>
        <v>Utilities</v>
      </c>
      <c r="G630" t="str">
        <f>TRIM(Procurement_Raw!G630)</f>
        <v>INV-2025-00629</v>
      </c>
      <c r="H630" s="77">
        <f>Procurement_Raw!H630</f>
        <v>61</v>
      </c>
      <c r="I630" s="124">
        <f>Procurement_Raw!I630</f>
        <v>257.77999999999997</v>
      </c>
      <c r="J630" s="125">
        <f>IF(Procurement_Raw!J630="","",Procurement_Raw!J630)</f>
        <v>15724.63</v>
      </c>
      <c r="K630" s="77">
        <f>Procurement_Raw!K630</f>
        <v>60</v>
      </c>
      <c r="L630" t="str">
        <f>Procurement_Raw!L630</f>
        <v>Procurement Portal</v>
      </c>
      <c r="M630" t="str">
        <f>Procurement_Raw!O630</f>
        <v>N</v>
      </c>
      <c r="N630" t="str">
        <f>IF(E630="","Missing supplier",IF(B630="","Missing site",IF(J630="","Missing spend",IF(COUNTIFS($G$2:G630,G630,$E$2:E630,E630,$J$2:J630,J630)&gt;1,"Duplicate invoice",IF(COUNTIF($G$2:$G$1801,G630)&gt;1,"Duplicate ID - review",IF(AND(P630&lt;&gt;"Unmapped",P630&lt;&gt;F630),"Category mismatch","OK"))))))</f>
        <v>OK</v>
      </c>
      <c r="O630" s="125">
        <f t="shared" si="27"/>
        <v>15724.63</v>
      </c>
      <c r="P630" t="str">
        <f>IF(E630="","Unmapped",IFERROR(INDEX(Supplier_Lookup!$B$2:$B$25,MATCH(E630,Supplier_Lookup!$A$2:$A$25,0)),"Unmapped"))</f>
        <v>Utilities</v>
      </c>
      <c r="Q630" s="76">
        <f>IFERROR(INDEX(Category_Targets!$B$2:$B$9,MATCH(F630,Category_Targets!$A$2:$A$9,0)),0)</f>
        <v>0.03</v>
      </c>
      <c r="R630" s="125">
        <f t="shared" si="28"/>
        <v>471.73889999999994</v>
      </c>
      <c r="S630" s="78">
        <f t="shared" si="29"/>
        <v>45931</v>
      </c>
      <c r="T630" t="str">
        <f>IFERROR(VLOOKUP(B630,Sites!$A$2:$D$21,4,FALSE()),"Unknown")</f>
        <v>Sheffield</v>
      </c>
      <c r="U630" t="str">
        <f>IF(N630="OK","",COUNTIF($N$2:N630,"&lt;&gt;OK"))</f>
        <v/>
      </c>
      <c r="V630">
        <f>IF(OR(NOT(EXACT(E630,TRIM(Procurement_Raw!E630))),NOT(EXACT(F630,TRIM(Procurement_Raw!F630)))),1,0)</f>
        <v>0</v>
      </c>
    </row>
    <row r="631" spans="1:22" ht="15" customHeight="1" x14ac:dyDescent="0.25">
      <c r="A631" s="123">
        <f>Procurement_Raw!A631</f>
        <v>45994</v>
      </c>
      <c r="B631" t="str">
        <f>TRIM(Procurement_Raw!B631)</f>
        <v>S002</v>
      </c>
      <c r="C631" t="str">
        <f>Procurement_Raw!C631</f>
        <v>Manchester Care &amp; Education Centre</v>
      </c>
      <c r="D631" t="str">
        <f>Procurement_Raw!D631</f>
        <v>North</v>
      </c>
      <c r="E631" t="str">
        <f>IF(TRIM(Procurement_Raw!E631)="","",IFERROR(INDEX(Supplier_Lookup!$A$2:$A$25,MATCH(TRIM(Procurement_Raw!E631),Supplier_Lookup!$A$2:$A$25,0)),TRIM(Procurement_Raw!E631)))</f>
        <v>CloudLink</v>
      </c>
      <c r="F631" t="str">
        <f>IFERROR(INDEX(Category_Targets!$A$2:$A$9,MATCH(TRIM(Procurement_Raw!F631),Category_Targets!$A$2:$A$9,0)),"Unmapped")</f>
        <v>IT &amp; Telecoms</v>
      </c>
      <c r="G631" t="str">
        <f>TRIM(Procurement_Raw!G631)</f>
        <v>INV-2025-00630</v>
      </c>
      <c r="H631" s="77">
        <f>Procurement_Raw!H631</f>
        <v>72</v>
      </c>
      <c r="I631" s="124">
        <f>Procurement_Raw!I631</f>
        <v>401.59</v>
      </c>
      <c r="J631" s="125">
        <f>IF(Procurement_Raw!J631="","",Procurement_Raw!J631)</f>
        <v>28914.52</v>
      </c>
      <c r="K631" s="77">
        <f>Procurement_Raw!K631</f>
        <v>30</v>
      </c>
      <c r="L631" t="str">
        <f>Procurement_Raw!L631</f>
        <v>Procurement Portal</v>
      </c>
      <c r="M631" t="str">
        <f>Procurement_Raw!O631</f>
        <v>Y</v>
      </c>
      <c r="N631" t="str">
        <f>IF(E631="","Missing supplier",IF(B631="","Missing site",IF(J631="","Missing spend",IF(COUNTIFS($G$2:G631,G631,$E$2:E631,E631,$J$2:J631,J631)&gt;1,"Duplicate invoice",IF(COUNTIF($G$2:$G$1801,G631)&gt;1,"Duplicate ID - review",IF(AND(P631&lt;&gt;"Unmapped",P631&lt;&gt;F631),"Category mismatch","OK"))))))</f>
        <v>OK</v>
      </c>
      <c r="O631" s="125">
        <f t="shared" si="27"/>
        <v>28914.52</v>
      </c>
      <c r="P631" t="str">
        <f>IF(E631="","Unmapped",IFERROR(INDEX(Supplier_Lookup!$B$2:$B$25,MATCH(E631,Supplier_Lookup!$A$2:$A$25,0)),"Unmapped"))</f>
        <v>IT &amp; Telecoms</v>
      </c>
      <c r="Q631" s="76">
        <f>IFERROR(INDEX(Category_Targets!$B$2:$B$9,MATCH(F631,Category_Targets!$A$2:$A$9,0)),0)</f>
        <v>0.08</v>
      </c>
      <c r="R631" s="125">
        <f t="shared" si="28"/>
        <v>2313.1615999999999</v>
      </c>
      <c r="S631" s="78">
        <f t="shared" si="29"/>
        <v>45992</v>
      </c>
      <c r="T631" t="str">
        <f>IFERROR(VLOOKUP(B631,Sites!$A$2:$D$21,4,FALSE()),"Unknown")</f>
        <v>Manchester</v>
      </c>
      <c r="U631" t="str">
        <f>IF(N631="OK","",COUNTIF($N$2:N631,"&lt;&gt;OK"))</f>
        <v/>
      </c>
      <c r="V631">
        <f>IF(OR(NOT(EXACT(E631,TRIM(Procurement_Raw!E631))),NOT(EXACT(F631,TRIM(Procurement_Raw!F631)))),1,0)</f>
        <v>0</v>
      </c>
    </row>
    <row r="632" spans="1:22" ht="15" customHeight="1" x14ac:dyDescent="0.25">
      <c r="A632" s="123">
        <f>Procurement_Raw!A632</f>
        <v>45790</v>
      </c>
      <c r="B632" t="str">
        <f>TRIM(Procurement_Raw!B632)</f>
        <v>S008</v>
      </c>
      <c r="C632" t="str">
        <f>Procurement_Raw!C632</f>
        <v>Leicester Care &amp; Education Centre</v>
      </c>
      <c r="D632" t="str">
        <f>Procurement_Raw!D632</f>
        <v>Midlands</v>
      </c>
      <c r="E632" t="str">
        <f>IF(TRIM(Procurement_Raw!E632)="","",IFERROR(INDEX(Supplier_Lookup!$A$2:$A$25,MATCH(TRIM(Procurement_Raw!E632),Supplier_Lookup!$A$2:$A$25,0)),TRIM(Procurement_Raw!E632)))</f>
        <v>OfficePlus</v>
      </c>
      <c r="F632" t="str">
        <f>IFERROR(INDEX(Category_Targets!$A$2:$A$9,MATCH(TRIM(Procurement_Raw!F632),Category_Targets!$A$2:$A$9,0)),"Unmapped")</f>
        <v>Office &amp; Training</v>
      </c>
      <c r="G632" t="str">
        <f>TRIM(Procurement_Raw!G632)</f>
        <v>INV-2025-00631</v>
      </c>
      <c r="H632" s="77">
        <f>Procurement_Raw!H632</f>
        <v>72</v>
      </c>
      <c r="I632" s="124">
        <f>Procurement_Raw!I632</f>
        <v>29.57</v>
      </c>
      <c r="J632" s="125">
        <f>IF(Procurement_Raw!J632="","",Procurement_Raw!J632)</f>
        <v>2128.77</v>
      </c>
      <c r="K632" s="77">
        <f>Procurement_Raw!K632</f>
        <v>30</v>
      </c>
      <c r="L632" t="str">
        <f>Procurement_Raw!L632</f>
        <v>Legacy Spend File</v>
      </c>
      <c r="M632" t="str">
        <f>Procurement_Raw!O632</f>
        <v>N</v>
      </c>
      <c r="N632" t="str">
        <f>IF(E632="","Missing supplier",IF(B632="","Missing site",IF(J632="","Missing spend",IF(COUNTIFS($G$2:G632,G632,$E$2:E632,E632,$J$2:J632,J632)&gt;1,"Duplicate invoice",IF(COUNTIF($G$2:$G$1801,G632)&gt;1,"Duplicate ID - review",IF(AND(P632&lt;&gt;"Unmapped",P632&lt;&gt;F632),"Category mismatch","OK"))))))</f>
        <v>OK</v>
      </c>
      <c r="O632" s="125">
        <f t="shared" si="27"/>
        <v>2128.77</v>
      </c>
      <c r="P632" t="str">
        <f>IF(E632="","Unmapped",IFERROR(INDEX(Supplier_Lookup!$B$2:$B$25,MATCH(E632,Supplier_Lookup!$A$2:$A$25,0)),"Unmapped"))</f>
        <v>Office &amp; Training</v>
      </c>
      <c r="Q632" s="76">
        <f>IFERROR(INDEX(Category_Targets!$B$2:$B$9,MATCH(F632,Category_Targets!$A$2:$A$9,0)),0)</f>
        <v>0.04</v>
      </c>
      <c r="R632" s="125">
        <f t="shared" si="28"/>
        <v>85.150800000000004</v>
      </c>
      <c r="S632" s="78">
        <f t="shared" si="29"/>
        <v>45778</v>
      </c>
      <c r="T632" t="str">
        <f>IFERROR(VLOOKUP(B632,Sites!$A$2:$D$21,4,FALSE()),"Unknown")</f>
        <v>Leicester</v>
      </c>
      <c r="U632" t="str">
        <f>IF(N632="OK","",COUNTIF($N$2:N632,"&lt;&gt;OK"))</f>
        <v/>
      </c>
      <c r="V632">
        <f>IF(OR(NOT(EXACT(E632,TRIM(Procurement_Raw!E632))),NOT(EXACT(F632,TRIM(Procurement_Raw!F632)))),1,0)</f>
        <v>0</v>
      </c>
    </row>
    <row r="633" spans="1:22" ht="15" customHeight="1" x14ac:dyDescent="0.25">
      <c r="A633" s="123">
        <f>Procurement_Raw!A633</f>
        <v>45839</v>
      </c>
      <c r="B633" t="str">
        <f>TRIM(Procurement_Raw!B633)</f>
        <v>S005</v>
      </c>
      <c r="C633" t="str">
        <f>Procurement_Raw!C633</f>
        <v>Sheffield Care &amp; Education Centre</v>
      </c>
      <c r="D633" t="str">
        <f>Procurement_Raw!D633</f>
        <v>North</v>
      </c>
      <c r="E633" t="str">
        <f>IF(TRIM(Procurement_Raw!E633)="","",IFERROR(INDEX(Supplier_Lookup!$A$2:$A$25,MATCH(TRIM(Procurement_Raw!E633),Supplier_Lookup!$A$2:$A$25,0)),TRIM(Procurement_Raw!E633)))</f>
        <v>FreshServe</v>
      </c>
      <c r="F633" t="str">
        <f>IFERROR(INDEX(Category_Targets!$A$2:$A$9,MATCH(TRIM(Procurement_Raw!F633),Category_Targets!$A$2:$A$9,0)),"Unmapped")</f>
        <v>Food &amp; Catering</v>
      </c>
      <c r="G633" t="str">
        <f>TRIM(Procurement_Raw!G633)</f>
        <v>INV-2025-00632</v>
      </c>
      <c r="H633" s="77">
        <f>Procurement_Raw!H633</f>
        <v>29</v>
      </c>
      <c r="I633" s="124">
        <f>Procurement_Raw!I633</f>
        <v>150.75</v>
      </c>
      <c r="J633" s="125">
        <f>IF(Procurement_Raw!J633="","",Procurement_Raw!J633)</f>
        <v>4371.82</v>
      </c>
      <c r="K633" s="77">
        <f>Procurement_Raw!K633</f>
        <v>60</v>
      </c>
      <c r="L633" t="str">
        <f>Procurement_Raw!L633</f>
        <v>Procurement Portal</v>
      </c>
      <c r="M633" t="str">
        <f>Procurement_Raw!O633</f>
        <v>Y</v>
      </c>
      <c r="N633" t="str">
        <f>IF(E633="","Missing supplier",IF(B633="","Missing site",IF(J633="","Missing spend",IF(COUNTIFS($G$2:G633,G633,$E$2:E633,E633,$J$2:J633,J633)&gt;1,"Duplicate invoice",IF(COUNTIF($G$2:$G$1801,G633)&gt;1,"Duplicate ID - review",IF(AND(P633&lt;&gt;"Unmapped",P633&lt;&gt;F633),"Category mismatch","OK"))))))</f>
        <v>OK</v>
      </c>
      <c r="O633" s="125">
        <f t="shared" si="27"/>
        <v>4371.82</v>
      </c>
      <c r="P633" t="str">
        <f>IF(E633="","Unmapped",IFERROR(INDEX(Supplier_Lookup!$B$2:$B$25,MATCH(E633,Supplier_Lookup!$A$2:$A$25,0)),"Unmapped"))</f>
        <v>Food &amp; Catering</v>
      </c>
      <c r="Q633" s="76">
        <f>IFERROR(INDEX(Category_Targets!$B$2:$B$9,MATCH(F633,Category_Targets!$A$2:$A$9,0)),0)</f>
        <v>0.04</v>
      </c>
      <c r="R633" s="125">
        <f t="shared" si="28"/>
        <v>174.87279999999998</v>
      </c>
      <c r="S633" s="78">
        <f t="shared" si="29"/>
        <v>45839</v>
      </c>
      <c r="T633" t="str">
        <f>IFERROR(VLOOKUP(B633,Sites!$A$2:$D$21,4,FALSE()),"Unknown")</f>
        <v>Sheffield</v>
      </c>
      <c r="U633" t="str">
        <f>IF(N633="OK","",COUNTIF($N$2:N633,"&lt;&gt;OK"))</f>
        <v/>
      </c>
      <c r="V633">
        <f>IF(OR(NOT(EXACT(E633,TRIM(Procurement_Raw!E633))),NOT(EXACT(F633,TRIM(Procurement_Raw!F633)))),1,0)</f>
        <v>0</v>
      </c>
    </row>
    <row r="634" spans="1:22" ht="15" customHeight="1" x14ac:dyDescent="0.25">
      <c r="A634" s="123">
        <f>Procurement_Raw!A634</f>
        <v>45791</v>
      </c>
      <c r="B634" t="str">
        <f>TRIM(Procurement_Raw!B634)</f>
        <v>S009</v>
      </c>
      <c r="C634" t="str">
        <f>Procurement_Raw!C634</f>
        <v>Derby Care &amp; Education Centre</v>
      </c>
      <c r="D634" t="str">
        <f>Procurement_Raw!D634</f>
        <v>Midlands</v>
      </c>
      <c r="E634" t="str">
        <f>IF(TRIM(Procurement_Raw!E634)="","",IFERROR(INDEX(Supplier_Lookup!$A$2:$A$25,MATCH(TRIM(Procurement_Raw!E634),Supplier_Lookup!$A$2:$A$25,0)),TRIM(Procurement_Raw!E634)))</f>
        <v>RoadReady</v>
      </c>
      <c r="F634" t="str">
        <f>IFERROR(INDEX(Category_Targets!$A$2:$A$9,MATCH(TRIM(Procurement_Raw!F634),Category_Targets!$A$2:$A$9,0)),"Unmapped")</f>
        <v>Vehicle &amp; Fuel</v>
      </c>
      <c r="G634" t="str">
        <f>TRIM(Procurement_Raw!G634)</f>
        <v>INV-2025-00633</v>
      </c>
      <c r="H634" s="77">
        <f>Procurement_Raw!H634</f>
        <v>75</v>
      </c>
      <c r="I634" s="124">
        <f>Procurement_Raw!I634</f>
        <v>87.09</v>
      </c>
      <c r="J634" s="125">
        <f>IF(Procurement_Raw!J634="","",Procurement_Raw!J634)</f>
        <v>6531.95</v>
      </c>
      <c r="K634" s="77">
        <f>Procurement_Raw!K634</f>
        <v>45</v>
      </c>
      <c r="L634" t="str">
        <f>Procurement_Raw!L634</f>
        <v>Procurement Portal</v>
      </c>
      <c r="M634" t="str">
        <f>Procurement_Raw!O634</f>
        <v>N</v>
      </c>
      <c r="N634" t="str">
        <f>IF(E634="","Missing supplier",IF(B634="","Missing site",IF(J634="","Missing spend",IF(COUNTIFS($G$2:G634,G634,$E$2:E634,E634,$J$2:J634,J634)&gt;1,"Duplicate invoice",IF(COUNTIF($G$2:$G$1801,G634)&gt;1,"Duplicate ID - review",IF(AND(P634&lt;&gt;"Unmapped",P634&lt;&gt;F634),"Category mismatch","OK"))))))</f>
        <v>OK</v>
      </c>
      <c r="O634" s="125">
        <f t="shared" si="27"/>
        <v>6531.95</v>
      </c>
      <c r="P634" t="str">
        <f>IF(E634="","Unmapped",IFERROR(INDEX(Supplier_Lookup!$B$2:$B$25,MATCH(E634,Supplier_Lookup!$A$2:$A$25,0)),"Unmapped"))</f>
        <v>Vehicle &amp; Fuel</v>
      </c>
      <c r="Q634" s="76">
        <f>IFERROR(INDEX(Category_Targets!$B$2:$B$9,MATCH(F634,Category_Targets!$A$2:$A$9,0)),0)</f>
        <v>0.05</v>
      </c>
      <c r="R634" s="125">
        <f t="shared" si="28"/>
        <v>326.59750000000003</v>
      </c>
      <c r="S634" s="78">
        <f t="shared" si="29"/>
        <v>45778</v>
      </c>
      <c r="T634" t="str">
        <f>IFERROR(VLOOKUP(B634,Sites!$A$2:$D$21,4,FALSE()),"Unknown")</f>
        <v>Derby</v>
      </c>
      <c r="U634" t="str">
        <f>IF(N634="OK","",COUNTIF($N$2:N634,"&lt;&gt;OK"))</f>
        <v/>
      </c>
      <c r="V634">
        <f>IF(OR(NOT(EXACT(E634,TRIM(Procurement_Raw!E634))),NOT(EXACT(F634,TRIM(Procurement_Raw!F634)))),1,0)</f>
        <v>0</v>
      </c>
    </row>
    <row r="635" spans="1:22" ht="15" customHeight="1" x14ac:dyDescent="0.25">
      <c r="A635" s="123">
        <f>Procurement_Raw!A635</f>
        <v>45982</v>
      </c>
      <c r="B635" t="str">
        <f>TRIM(Procurement_Raw!B635)</f>
        <v>S001</v>
      </c>
      <c r="C635" t="str">
        <f>Procurement_Raw!C635</f>
        <v>Preston Care &amp; Education Centre</v>
      </c>
      <c r="D635" t="str">
        <f>Procurement_Raw!D635</f>
        <v>North</v>
      </c>
      <c r="E635" t="str">
        <f>IF(TRIM(Procurement_Raw!E635)="","",IFERROR(INDEX(Supplier_Lookup!$A$2:$A$25,MATCH(TRIM(Procurement_Raw!E635),Supplier_Lookup!$A$2:$A$25,0)),TRIM(Procurement_Raw!E635)))</f>
        <v>OfficePlus</v>
      </c>
      <c r="F635" t="str">
        <f>IFERROR(INDEX(Category_Targets!$A$2:$A$9,MATCH(TRIM(Procurement_Raw!F635),Category_Targets!$A$2:$A$9,0)),"Unmapped")</f>
        <v>Office &amp; Training</v>
      </c>
      <c r="G635" t="str">
        <f>TRIM(Procurement_Raw!G635)</f>
        <v>INV-2025-00634</v>
      </c>
      <c r="H635" s="77">
        <f>Procurement_Raw!H635</f>
        <v>75</v>
      </c>
      <c r="I635" s="124">
        <f>Procurement_Raw!I635</f>
        <v>59.31</v>
      </c>
      <c r="J635" s="125">
        <f>IF(Procurement_Raw!J635="","",Procurement_Raw!J635)</f>
        <v>4447.92</v>
      </c>
      <c r="K635" s="77">
        <f>Procurement_Raw!K635</f>
        <v>60</v>
      </c>
      <c r="L635" t="str">
        <f>Procurement_Raw!L635</f>
        <v>Legacy Spend File</v>
      </c>
      <c r="M635" t="str">
        <f>Procurement_Raw!O635</f>
        <v>N</v>
      </c>
      <c r="N635" t="str">
        <f>IF(E635="","Missing supplier",IF(B635="","Missing site",IF(J635="","Missing spend",IF(COUNTIFS($G$2:G635,G635,$E$2:E635,E635,$J$2:J635,J635)&gt;1,"Duplicate invoice",IF(COUNTIF($G$2:$G$1801,G635)&gt;1,"Duplicate ID - review",IF(AND(P635&lt;&gt;"Unmapped",P635&lt;&gt;F635),"Category mismatch","OK"))))))</f>
        <v>OK</v>
      </c>
      <c r="O635" s="125">
        <f t="shared" si="27"/>
        <v>4447.92</v>
      </c>
      <c r="P635" t="str">
        <f>IF(E635="","Unmapped",IFERROR(INDEX(Supplier_Lookup!$B$2:$B$25,MATCH(E635,Supplier_Lookup!$A$2:$A$25,0)),"Unmapped"))</f>
        <v>Office &amp; Training</v>
      </c>
      <c r="Q635" s="76">
        <f>IFERROR(INDEX(Category_Targets!$B$2:$B$9,MATCH(F635,Category_Targets!$A$2:$A$9,0)),0)</f>
        <v>0.04</v>
      </c>
      <c r="R635" s="125">
        <f t="shared" si="28"/>
        <v>177.91679999999999</v>
      </c>
      <c r="S635" s="78">
        <f t="shared" si="29"/>
        <v>45962</v>
      </c>
      <c r="T635" t="str">
        <f>IFERROR(VLOOKUP(B635,Sites!$A$2:$D$21,4,FALSE()),"Unknown")</f>
        <v>Preston</v>
      </c>
      <c r="U635" t="str">
        <f>IF(N635="OK","",COUNTIF($N$2:N635,"&lt;&gt;OK"))</f>
        <v/>
      </c>
      <c r="V635">
        <f>IF(OR(NOT(EXACT(E635,TRIM(Procurement_Raw!E635))),NOT(EXACT(F635,TRIM(Procurement_Raw!F635)))),1,0)</f>
        <v>0</v>
      </c>
    </row>
    <row r="636" spans="1:22" ht="15" customHeight="1" x14ac:dyDescent="0.25">
      <c r="A636" s="123">
        <f>Procurement_Raw!A636</f>
        <v>45914</v>
      </c>
      <c r="B636" t="str">
        <f>TRIM(Procurement_Raw!B636)</f>
        <v>S011</v>
      </c>
      <c r="C636" t="str">
        <f>Procurement_Raw!C636</f>
        <v>London Care &amp; Education Centre</v>
      </c>
      <c r="D636" t="str">
        <f>Procurement_Raw!D636</f>
        <v>South</v>
      </c>
      <c r="E636" t="str">
        <f>IF(TRIM(Procurement_Raw!E636)="","",IFERROR(INDEX(Supplier_Lookup!$A$2:$A$25,MATCH(TRIM(Procurement_Raw!E636),Supplier_Lookup!$A$2:$A$25,0)),TRIM(Procurement_Raw!E636)))</f>
        <v>OfficePlus</v>
      </c>
      <c r="F636" t="str">
        <f>IFERROR(INDEX(Category_Targets!$A$2:$A$9,MATCH(TRIM(Procurement_Raw!F636),Category_Targets!$A$2:$A$9,0)),"Unmapped")</f>
        <v>Office &amp; Training</v>
      </c>
      <c r="G636" t="str">
        <f>TRIM(Procurement_Raw!G636)</f>
        <v>INV-2025-00635</v>
      </c>
      <c r="H636" s="77">
        <f>Procurement_Raw!H636</f>
        <v>16</v>
      </c>
      <c r="I636" s="124">
        <f>Procurement_Raw!I636</f>
        <v>42.98</v>
      </c>
      <c r="J636" s="125">
        <f>IF(Procurement_Raw!J636="","",Procurement_Raw!J636)</f>
        <v>687.75</v>
      </c>
      <c r="K636" s="77">
        <f>Procurement_Raw!K636</f>
        <v>60</v>
      </c>
      <c r="L636" t="str">
        <f>Procurement_Raw!L636</f>
        <v>Procurement Portal</v>
      </c>
      <c r="M636" t="str">
        <f>Procurement_Raw!O636</f>
        <v>N</v>
      </c>
      <c r="N636" t="str">
        <f>IF(E636="","Missing supplier",IF(B636="","Missing site",IF(J636="","Missing spend",IF(COUNTIFS($G$2:G636,G636,$E$2:E636,E636,$J$2:J636,J636)&gt;1,"Duplicate invoice",IF(COUNTIF($G$2:$G$1801,G636)&gt;1,"Duplicate ID - review",IF(AND(P636&lt;&gt;"Unmapped",P636&lt;&gt;F636),"Category mismatch","OK"))))))</f>
        <v>OK</v>
      </c>
      <c r="O636" s="125">
        <f t="shared" si="27"/>
        <v>687.75</v>
      </c>
      <c r="P636" t="str">
        <f>IF(E636="","Unmapped",IFERROR(INDEX(Supplier_Lookup!$B$2:$B$25,MATCH(E636,Supplier_Lookup!$A$2:$A$25,0)),"Unmapped"))</f>
        <v>Office &amp; Training</v>
      </c>
      <c r="Q636" s="76">
        <f>IFERROR(INDEX(Category_Targets!$B$2:$B$9,MATCH(F636,Category_Targets!$A$2:$A$9,0)),0)</f>
        <v>0.04</v>
      </c>
      <c r="R636" s="125">
        <f t="shared" si="28"/>
        <v>27.51</v>
      </c>
      <c r="S636" s="78">
        <f t="shared" si="29"/>
        <v>45901</v>
      </c>
      <c r="T636" t="str">
        <f>IFERROR(VLOOKUP(B636,Sites!$A$2:$D$21,4,FALSE()),"Unknown")</f>
        <v>London</v>
      </c>
      <c r="U636" t="str">
        <f>IF(N636="OK","",COUNTIF($N$2:N636,"&lt;&gt;OK"))</f>
        <v/>
      </c>
      <c r="V636">
        <f>IF(OR(NOT(EXACT(E636,TRIM(Procurement_Raw!E636))),NOT(EXACT(F636,TRIM(Procurement_Raw!F636)))),1,0)</f>
        <v>0</v>
      </c>
    </row>
    <row r="637" spans="1:22" ht="15" customHeight="1" x14ac:dyDescent="0.25">
      <c r="A637" s="123">
        <f>Procurement_Raw!A637</f>
        <v>45685</v>
      </c>
      <c r="B637" t="str">
        <f>TRIM(Procurement_Raw!B637)</f>
        <v>S008</v>
      </c>
      <c r="C637" t="str">
        <f>Procurement_Raw!C637</f>
        <v>Leicester Care &amp; Education Centre</v>
      </c>
      <c r="D637" t="str">
        <f>Procurement_Raw!D637</f>
        <v>Midlands</v>
      </c>
      <c r="E637" t="str">
        <f>IF(TRIM(Procurement_Raw!E637)="","",IFERROR(INDEX(Supplier_Lookup!$A$2:$A$25,MATCH(TRIM(Procurement_Raw!E637),Supplier_Lookup!$A$2:$A$25,0)),TRIM(Procurement_Raw!E637)))</f>
        <v>TeleCare IT</v>
      </c>
      <c r="F637" t="str">
        <f>IFERROR(INDEX(Category_Targets!$A$2:$A$9,MATCH(TRIM(Procurement_Raw!F637),Category_Targets!$A$2:$A$9,0)),"Unmapped")</f>
        <v>IT &amp; Telecoms</v>
      </c>
      <c r="G637" t="str">
        <f>TRIM(Procurement_Raw!G637)</f>
        <v>INV-2025-00636</v>
      </c>
      <c r="H637" s="77">
        <f>Procurement_Raw!H637</f>
        <v>20</v>
      </c>
      <c r="I637" s="124">
        <f>Procurement_Raw!I637</f>
        <v>88.54</v>
      </c>
      <c r="J637" s="125">
        <f>IF(Procurement_Raw!J637="","",Procurement_Raw!J637)</f>
        <v>1770.8</v>
      </c>
      <c r="K637" s="77">
        <f>Procurement_Raw!K637</f>
        <v>30</v>
      </c>
      <c r="L637" t="str">
        <f>Procurement_Raw!L637</f>
        <v>ERP</v>
      </c>
      <c r="M637" t="str">
        <f>Procurement_Raw!O637</f>
        <v>N</v>
      </c>
      <c r="N637" t="str">
        <f>IF(E637="","Missing supplier",IF(B637="","Missing site",IF(J637="","Missing spend",IF(COUNTIFS($G$2:G637,G637,$E$2:E637,E637,$J$2:J637,J637)&gt;1,"Duplicate invoice",IF(COUNTIF($G$2:$G$1801,G637)&gt;1,"Duplicate ID - review",IF(AND(P637&lt;&gt;"Unmapped",P637&lt;&gt;F637),"Category mismatch","OK"))))))</f>
        <v>OK</v>
      </c>
      <c r="O637" s="125">
        <f t="shared" si="27"/>
        <v>1770.8</v>
      </c>
      <c r="P637" t="str">
        <f>IF(E637="","Unmapped",IFERROR(INDEX(Supplier_Lookup!$B$2:$B$25,MATCH(E637,Supplier_Lookup!$A$2:$A$25,0)),"Unmapped"))</f>
        <v>IT &amp; Telecoms</v>
      </c>
      <c r="Q637" s="76">
        <f>IFERROR(INDEX(Category_Targets!$B$2:$B$9,MATCH(F637,Category_Targets!$A$2:$A$9,0)),0)</f>
        <v>0.08</v>
      </c>
      <c r="R637" s="125">
        <f t="shared" si="28"/>
        <v>141.66399999999999</v>
      </c>
      <c r="S637" s="78">
        <f t="shared" si="29"/>
        <v>45658</v>
      </c>
      <c r="T637" t="str">
        <f>IFERROR(VLOOKUP(B637,Sites!$A$2:$D$21,4,FALSE()),"Unknown")</f>
        <v>Leicester</v>
      </c>
      <c r="U637" t="str">
        <f>IF(N637="OK","",COUNTIF($N$2:N637,"&lt;&gt;OK"))</f>
        <v/>
      </c>
      <c r="V637">
        <f>IF(OR(NOT(EXACT(E637,TRIM(Procurement_Raw!E637))),NOT(EXACT(F637,TRIM(Procurement_Raw!F637)))),1,0)</f>
        <v>0</v>
      </c>
    </row>
    <row r="638" spans="1:22" ht="15" customHeight="1" x14ac:dyDescent="0.25">
      <c r="A638" s="123">
        <f>Procurement_Raw!A638</f>
        <v>45892</v>
      </c>
      <c r="B638" t="str">
        <f>TRIM(Procurement_Raw!B638)</f>
        <v>S005</v>
      </c>
      <c r="C638" t="str">
        <f>Procurement_Raw!C638</f>
        <v>Sheffield Care &amp; Education Centre</v>
      </c>
      <c r="D638" t="str">
        <f>Procurement_Raw!D638</f>
        <v>North</v>
      </c>
      <c r="E638" t="str">
        <f>IF(TRIM(Procurement_Raw!E638)="","",IFERROR(INDEX(Supplier_Lookup!$A$2:$A$25,MATCH(TRIM(Procurement_Raw!E638),Supplier_Lookup!$A$2:$A$25,0)),TRIM(Procurement_Raw!E638)))</f>
        <v>NurseLink</v>
      </c>
      <c r="F638" t="str">
        <f>IFERROR(INDEX(Category_Targets!$A$2:$A$9,MATCH(TRIM(Procurement_Raw!F638),Category_Targets!$A$2:$A$9,0)),"Unmapped")</f>
        <v>Agency Labour</v>
      </c>
      <c r="G638" t="str">
        <f>TRIM(Procurement_Raw!G638)</f>
        <v>INV-2025-00637</v>
      </c>
      <c r="H638" s="77">
        <f>Procurement_Raw!H638</f>
        <v>19</v>
      </c>
      <c r="I638" s="124">
        <f>Procurement_Raw!I638</f>
        <v>471.79</v>
      </c>
      <c r="J638" s="125">
        <f>IF(Procurement_Raw!J638="","",Procurement_Raw!J638)</f>
        <v>8963.94</v>
      </c>
      <c r="K638" s="77">
        <f>Procurement_Raw!K638</f>
        <v>45</v>
      </c>
      <c r="L638" t="str">
        <f>Procurement_Raw!L638</f>
        <v>Legacy Spend File</v>
      </c>
      <c r="M638" t="str">
        <f>Procurement_Raw!O638</f>
        <v>N</v>
      </c>
      <c r="N638" t="str">
        <f>IF(E638="","Missing supplier",IF(B638="","Missing site",IF(J638="","Missing spend",IF(COUNTIFS($G$2:G638,G638,$E$2:E638,E638,$J$2:J638,J638)&gt;1,"Duplicate invoice",IF(COUNTIF($G$2:$G$1801,G638)&gt;1,"Duplicate ID - review",IF(AND(P638&lt;&gt;"Unmapped",P638&lt;&gt;F638),"Category mismatch","OK"))))))</f>
        <v>OK</v>
      </c>
      <c r="O638" s="125">
        <f t="shared" si="27"/>
        <v>8963.94</v>
      </c>
      <c r="P638" t="str">
        <f>IF(E638="","Unmapped",IFERROR(INDEX(Supplier_Lookup!$B$2:$B$25,MATCH(E638,Supplier_Lookup!$A$2:$A$25,0)),"Unmapped"))</f>
        <v>Agency Labour</v>
      </c>
      <c r="Q638" s="76">
        <f>IFERROR(INDEX(Category_Targets!$B$2:$B$9,MATCH(F638,Category_Targets!$A$2:$A$9,0)),0)</f>
        <v>7.0000000000000007E-2</v>
      </c>
      <c r="R638" s="125">
        <f t="shared" si="28"/>
        <v>627.47580000000005</v>
      </c>
      <c r="S638" s="78">
        <f t="shared" si="29"/>
        <v>45870</v>
      </c>
      <c r="T638" t="str">
        <f>IFERROR(VLOOKUP(B638,Sites!$A$2:$D$21,4,FALSE()),"Unknown")</f>
        <v>Sheffield</v>
      </c>
      <c r="U638" t="str">
        <f>IF(N638="OK","",COUNTIF($N$2:N638,"&lt;&gt;OK"))</f>
        <v/>
      </c>
      <c r="V638">
        <f>IF(OR(NOT(EXACT(E638,TRIM(Procurement_Raw!E638))),NOT(EXACT(F638,TRIM(Procurement_Raw!F638)))),1,0)</f>
        <v>0</v>
      </c>
    </row>
    <row r="639" spans="1:22" ht="15" customHeight="1" x14ac:dyDescent="0.25">
      <c r="A639" s="123">
        <f>Procurement_Raw!A639</f>
        <v>45828</v>
      </c>
      <c r="B639" t="str">
        <f>TRIM(Procurement_Raw!B639)</f>
        <v>S005</v>
      </c>
      <c r="C639" t="str">
        <f>Procurement_Raw!C639</f>
        <v>Sheffield Care &amp; Education Centre</v>
      </c>
      <c r="D639" t="str">
        <f>Procurement_Raw!D639</f>
        <v>North</v>
      </c>
      <c r="E639" t="str">
        <f>IF(TRIM(Procurement_Raw!E639)="","",IFERROR(INDEX(Supplier_Lookup!$A$2:$A$25,MATCH(TRIM(Procurement_Raw!E639),Supplier_Lookup!$A$2:$A$25,0)),TRIM(Procurement_Raw!E639)))</f>
        <v>NourishCo</v>
      </c>
      <c r="F639" t="str">
        <f>IFERROR(INDEX(Category_Targets!$A$2:$A$9,MATCH(TRIM(Procurement_Raw!F639),Category_Targets!$A$2:$A$9,0)),"Unmapped")</f>
        <v>Food &amp; Catering</v>
      </c>
      <c r="G639" t="str">
        <f>TRIM(Procurement_Raw!G639)</f>
        <v>INV-2025-00638</v>
      </c>
      <c r="H639" s="77">
        <f>Procurement_Raw!H639</f>
        <v>23</v>
      </c>
      <c r="I639" s="124">
        <f>Procurement_Raw!I639</f>
        <v>67.67</v>
      </c>
      <c r="J639" s="125">
        <f>IF(Procurement_Raw!J639="","",Procurement_Raw!J639)</f>
        <v>1556.52</v>
      </c>
      <c r="K639" s="77">
        <f>Procurement_Raw!K639</f>
        <v>45</v>
      </c>
      <c r="L639" t="str">
        <f>Procurement_Raw!L639</f>
        <v>Legacy Spend File</v>
      </c>
      <c r="M639" t="str">
        <f>Procurement_Raw!O639</f>
        <v>N</v>
      </c>
      <c r="N639" t="str">
        <f>IF(E639="","Missing supplier",IF(B639="","Missing site",IF(J639="","Missing spend",IF(COUNTIFS($G$2:G639,G639,$E$2:E639,E639,$J$2:J639,J639)&gt;1,"Duplicate invoice",IF(COUNTIF($G$2:$G$1801,G639)&gt;1,"Duplicate ID - review",IF(AND(P639&lt;&gt;"Unmapped",P639&lt;&gt;F639),"Category mismatch","OK"))))))</f>
        <v>OK</v>
      </c>
      <c r="O639" s="125">
        <f t="shared" si="27"/>
        <v>1556.52</v>
      </c>
      <c r="P639" t="str">
        <f>IF(E639="","Unmapped",IFERROR(INDEX(Supplier_Lookup!$B$2:$B$25,MATCH(E639,Supplier_Lookup!$A$2:$A$25,0)),"Unmapped"))</f>
        <v>Food &amp; Catering</v>
      </c>
      <c r="Q639" s="76">
        <f>IFERROR(INDEX(Category_Targets!$B$2:$B$9,MATCH(F639,Category_Targets!$A$2:$A$9,0)),0)</f>
        <v>0.04</v>
      </c>
      <c r="R639" s="125">
        <f t="shared" si="28"/>
        <v>62.260800000000003</v>
      </c>
      <c r="S639" s="78">
        <f t="shared" si="29"/>
        <v>45809</v>
      </c>
      <c r="T639" t="str">
        <f>IFERROR(VLOOKUP(B639,Sites!$A$2:$D$21,4,FALSE()),"Unknown")</f>
        <v>Sheffield</v>
      </c>
      <c r="U639" t="str">
        <f>IF(N639="OK","",COUNTIF($N$2:N639,"&lt;&gt;OK"))</f>
        <v/>
      </c>
      <c r="V639">
        <f>IF(OR(NOT(EXACT(E639,TRIM(Procurement_Raw!E639))),NOT(EXACT(F639,TRIM(Procurement_Raw!F639)))),1,0)</f>
        <v>0</v>
      </c>
    </row>
    <row r="640" spans="1:22" ht="15" customHeight="1" x14ac:dyDescent="0.25">
      <c r="A640" s="123">
        <f>Procurement_Raw!A640</f>
        <v>45798</v>
      </c>
      <c r="B640" t="str">
        <f>TRIM(Procurement_Raw!B640)</f>
        <v>S003</v>
      </c>
      <c r="C640" t="str">
        <f>Procurement_Raw!C640</f>
        <v>Leeds Care &amp; Education Centre</v>
      </c>
      <c r="D640" t="str">
        <f>Procurement_Raw!D640</f>
        <v>North</v>
      </c>
      <c r="E640" t="str">
        <f>IF(TRIM(Procurement_Raw!E640)="","",IFERROR(INDEX(Supplier_Lookup!$A$2:$A$25,MATCH(TRIM(Procurement_Raw!E640),Supplier_Lookup!$A$2:$A$25,0)),TRIM(Procurement_Raw!E640)))</f>
        <v>CareMed</v>
      </c>
      <c r="F640" t="str">
        <f>IFERROR(INDEX(Category_Targets!$A$2:$A$9,MATCH(TRIM(Procurement_Raw!F640),Category_Targets!$A$2:$A$9,0)),"Unmapped")</f>
        <v>Medical Supplies</v>
      </c>
      <c r="G640" t="str">
        <f>TRIM(Procurement_Raw!G640)</f>
        <v>INV-2025-00639</v>
      </c>
      <c r="H640" s="77">
        <f>Procurement_Raw!H640</f>
        <v>27</v>
      </c>
      <c r="I640" s="124">
        <f>Procurement_Raw!I640</f>
        <v>59.03</v>
      </c>
      <c r="J640" s="125">
        <f>IF(Procurement_Raw!J640="","",Procurement_Raw!J640)</f>
        <v>1593.76</v>
      </c>
      <c r="K640" s="77">
        <f>Procurement_Raw!K640</f>
        <v>30</v>
      </c>
      <c r="L640" t="str">
        <f>Procurement_Raw!L640</f>
        <v>Legacy Spend File</v>
      </c>
      <c r="M640" t="str">
        <f>Procurement_Raw!O640</f>
        <v>N</v>
      </c>
      <c r="N640" t="str">
        <f>IF(E640="","Missing supplier",IF(B640="","Missing site",IF(J640="","Missing spend",IF(COUNTIFS($G$2:G640,G640,$E$2:E640,E640,$J$2:J640,J640)&gt;1,"Duplicate invoice",IF(COUNTIF($G$2:$G$1801,G640)&gt;1,"Duplicate ID - review",IF(AND(P640&lt;&gt;"Unmapped",P640&lt;&gt;F640),"Category mismatch","OK"))))))</f>
        <v>OK</v>
      </c>
      <c r="O640" s="125">
        <f t="shared" si="27"/>
        <v>1593.76</v>
      </c>
      <c r="P640" t="str">
        <f>IF(E640="","Unmapped",IFERROR(INDEX(Supplier_Lookup!$B$2:$B$25,MATCH(E640,Supplier_Lookup!$A$2:$A$25,0)),"Unmapped"))</f>
        <v>Medical Supplies</v>
      </c>
      <c r="Q640" s="76">
        <f>IFERROR(INDEX(Category_Targets!$B$2:$B$9,MATCH(F640,Category_Targets!$A$2:$A$9,0)),0)</f>
        <v>0.06</v>
      </c>
      <c r="R640" s="125">
        <f t="shared" si="28"/>
        <v>95.625599999999991</v>
      </c>
      <c r="S640" s="78">
        <f t="shared" si="29"/>
        <v>45778</v>
      </c>
      <c r="T640" t="str">
        <f>IFERROR(VLOOKUP(B640,Sites!$A$2:$D$21,4,FALSE()),"Unknown")</f>
        <v>Leeds</v>
      </c>
      <c r="U640" t="str">
        <f>IF(N640="OK","",COUNTIF($N$2:N640,"&lt;&gt;OK"))</f>
        <v/>
      </c>
      <c r="V640">
        <f>IF(OR(NOT(EXACT(E640,TRIM(Procurement_Raw!E640))),NOT(EXACT(F640,TRIM(Procurement_Raw!F640)))),1,0)</f>
        <v>0</v>
      </c>
    </row>
    <row r="641" spans="1:22" ht="15" customHeight="1" x14ac:dyDescent="0.25">
      <c r="A641" s="123">
        <f>Procurement_Raw!A641</f>
        <v>45724</v>
      </c>
      <c r="B641" t="str">
        <f>TRIM(Procurement_Raw!B641)</f>
        <v>S014</v>
      </c>
      <c r="C641" t="str">
        <f>Procurement_Raw!C641</f>
        <v>Southampton Care &amp; Education Centre</v>
      </c>
      <c r="D641" t="str">
        <f>Procurement_Raw!D641</f>
        <v>South</v>
      </c>
      <c r="E641" t="str">
        <f>IF(TRIM(Procurement_Raw!E641)="","",IFERROR(INDEX(Supplier_Lookup!$A$2:$A$25,MATCH(TRIM(Procurement_Raw!E641),Supplier_Lookup!$A$2:$A$25,0)),TRIM(Procurement_Raw!E641)))</f>
        <v>OfficePlus</v>
      </c>
      <c r="F641" t="str">
        <f>IFERROR(INDEX(Category_Targets!$A$2:$A$9,MATCH(TRIM(Procurement_Raw!F641),Category_Targets!$A$2:$A$9,0)),"Unmapped")</f>
        <v>Office &amp; Training</v>
      </c>
      <c r="G641" t="str">
        <f>TRIM(Procurement_Raw!G641)</f>
        <v>INV-2025-00640</v>
      </c>
      <c r="H641" s="77">
        <f>Procurement_Raw!H641</f>
        <v>79</v>
      </c>
      <c r="I641" s="124">
        <f>Procurement_Raw!I641</f>
        <v>36.79</v>
      </c>
      <c r="J641" s="125">
        <f>IF(Procurement_Raw!J641="","",Procurement_Raw!J641)</f>
        <v>2906.32</v>
      </c>
      <c r="K641" s="77">
        <f>Procurement_Raw!K641</f>
        <v>45</v>
      </c>
      <c r="L641" t="str">
        <f>Procurement_Raw!L641</f>
        <v>Legacy Spend File</v>
      </c>
      <c r="M641" t="str">
        <f>Procurement_Raw!O641</f>
        <v>N</v>
      </c>
      <c r="N641" t="str">
        <f>IF(E641="","Missing supplier",IF(B641="","Missing site",IF(J641="","Missing spend",IF(COUNTIFS($G$2:G641,G641,$E$2:E641,E641,$J$2:J641,J641)&gt;1,"Duplicate invoice",IF(COUNTIF($G$2:$G$1801,G641)&gt;1,"Duplicate ID - review",IF(AND(P641&lt;&gt;"Unmapped",P641&lt;&gt;F641),"Category mismatch","OK"))))))</f>
        <v>OK</v>
      </c>
      <c r="O641" s="125">
        <f t="shared" si="27"/>
        <v>2906.32</v>
      </c>
      <c r="P641" t="str">
        <f>IF(E641="","Unmapped",IFERROR(INDEX(Supplier_Lookup!$B$2:$B$25,MATCH(E641,Supplier_Lookup!$A$2:$A$25,0)),"Unmapped"))</f>
        <v>Office &amp; Training</v>
      </c>
      <c r="Q641" s="76">
        <f>IFERROR(INDEX(Category_Targets!$B$2:$B$9,MATCH(F641,Category_Targets!$A$2:$A$9,0)),0)</f>
        <v>0.04</v>
      </c>
      <c r="R641" s="125">
        <f t="shared" si="28"/>
        <v>116.25280000000001</v>
      </c>
      <c r="S641" s="78">
        <f t="shared" si="29"/>
        <v>45717</v>
      </c>
      <c r="T641" t="str">
        <f>IFERROR(VLOOKUP(B641,Sites!$A$2:$D$21,4,FALSE()),"Unknown")</f>
        <v>Southampton</v>
      </c>
      <c r="U641" t="str">
        <f>IF(N641="OK","",COUNTIF($N$2:N641,"&lt;&gt;OK"))</f>
        <v/>
      </c>
      <c r="V641">
        <f>IF(OR(NOT(EXACT(E641,TRIM(Procurement_Raw!E641))),NOT(EXACT(F641,TRIM(Procurement_Raw!F641)))),1,0)</f>
        <v>0</v>
      </c>
    </row>
    <row r="642" spans="1:22" ht="15" customHeight="1" x14ac:dyDescent="0.25">
      <c r="A642" s="123">
        <f>Procurement_Raw!A642</f>
        <v>45902</v>
      </c>
      <c r="B642" t="str">
        <f>TRIM(Procurement_Raw!B642)</f>
        <v>S014</v>
      </c>
      <c r="C642" t="str">
        <f>Procurement_Raw!C642</f>
        <v>Southampton Care &amp; Education Centre</v>
      </c>
      <c r="D642" t="str">
        <f>Procurement_Raw!D642</f>
        <v>South</v>
      </c>
      <c r="E642" t="str">
        <f>IF(TRIM(Procurement_Raw!E642)="","",IFERROR(INDEX(Supplier_Lookup!$A$2:$A$25,MATCH(TRIM(Procurement_Raw!E642),Supplier_Lookup!$A$2:$A$25,0)),TRIM(Procurement_Raw!E642)))</f>
        <v>CareTemps</v>
      </c>
      <c r="F642" t="str">
        <f>IFERROR(INDEX(Category_Targets!$A$2:$A$9,MATCH(TRIM(Procurement_Raw!F642),Category_Targets!$A$2:$A$9,0)),"Unmapped")</f>
        <v>Agency Labour</v>
      </c>
      <c r="G642" t="str">
        <f>TRIM(Procurement_Raw!G642)</f>
        <v>INV-2025-00641</v>
      </c>
      <c r="H642" s="77">
        <f>Procurement_Raw!H642</f>
        <v>50</v>
      </c>
      <c r="I642" s="124">
        <f>Procurement_Raw!I642</f>
        <v>249.41</v>
      </c>
      <c r="J642" s="125">
        <f>IF(Procurement_Raw!J642="","",Procurement_Raw!J642)</f>
        <v>12470.53</v>
      </c>
      <c r="K642" s="77">
        <f>Procurement_Raw!K642</f>
        <v>30</v>
      </c>
      <c r="L642" t="str">
        <f>Procurement_Raw!L642</f>
        <v>ERP</v>
      </c>
      <c r="M642" t="str">
        <f>Procurement_Raw!O642</f>
        <v>N</v>
      </c>
      <c r="N642" t="str">
        <f>IF(E642="","Missing supplier",IF(B642="","Missing site",IF(J642="","Missing spend",IF(COUNTIFS($G$2:G642,G642,$E$2:E642,E642,$J$2:J642,J642)&gt;1,"Duplicate invoice",IF(COUNTIF($G$2:$G$1801,G642)&gt;1,"Duplicate ID - review",IF(AND(P642&lt;&gt;"Unmapped",P642&lt;&gt;F642),"Category mismatch","OK"))))))</f>
        <v>OK</v>
      </c>
      <c r="O642" s="125">
        <f t="shared" ref="O642:O705" si="30">IF(OR(N642="Missing spend",N642="Duplicate invoice"),0,J642)</f>
        <v>12470.53</v>
      </c>
      <c r="P642" t="str">
        <f>IF(E642="","Unmapped",IFERROR(INDEX(Supplier_Lookup!$B$2:$B$25,MATCH(E642,Supplier_Lookup!$A$2:$A$25,0)),"Unmapped"))</f>
        <v>Agency Labour</v>
      </c>
      <c r="Q642" s="76">
        <f>IFERROR(INDEX(Category_Targets!$B$2:$B$9,MATCH(F642,Category_Targets!$A$2:$A$9,0)),0)</f>
        <v>7.0000000000000007E-2</v>
      </c>
      <c r="R642" s="125">
        <f t="shared" ref="R642:R705" si="31">O642*Q642</f>
        <v>872.9371000000001</v>
      </c>
      <c r="S642" s="78">
        <f t="shared" ref="S642:S705" si="32">DATE(YEAR(A642),MONTH(A642),1)</f>
        <v>45901</v>
      </c>
      <c r="T642" t="str">
        <f>IFERROR(VLOOKUP(B642,Sites!$A$2:$D$21,4,FALSE()),"Unknown")</f>
        <v>Southampton</v>
      </c>
      <c r="U642" t="str">
        <f>IF(N642="OK","",COUNTIF($N$2:N642,"&lt;&gt;OK"))</f>
        <v/>
      </c>
      <c r="V642">
        <f>IF(OR(NOT(EXACT(E642,TRIM(Procurement_Raw!E642))),NOT(EXACT(F642,TRIM(Procurement_Raw!F642)))),1,0)</f>
        <v>0</v>
      </c>
    </row>
    <row r="643" spans="1:22" ht="15" customHeight="1" x14ac:dyDescent="0.25">
      <c r="A643" s="123">
        <f>Procurement_Raw!A643</f>
        <v>45849</v>
      </c>
      <c r="B643" t="str">
        <f>TRIM(Procurement_Raw!B643)</f>
        <v>S012</v>
      </c>
      <c r="C643" t="str">
        <f>Procurement_Raw!C643</f>
        <v>Bristol Care &amp; Education Centre</v>
      </c>
      <c r="D643" t="str">
        <f>Procurement_Raw!D643</f>
        <v>South</v>
      </c>
      <c r="E643" t="str">
        <f>IF(TRIM(Procurement_Raw!E643)="","",IFERROR(INDEX(Supplier_Lookup!$A$2:$A$25,MATCH(TRIM(Procurement_Raw!E643),Supplier_Lookup!$A$2:$A$25,0)),TRIM(Procurement_Raw!E643)))</f>
        <v>PowerDirect</v>
      </c>
      <c r="F643" t="str">
        <f>IFERROR(INDEX(Category_Targets!$A$2:$A$9,MATCH(TRIM(Procurement_Raw!F643),Category_Targets!$A$2:$A$9,0)),"Unmapped")</f>
        <v>Utilities</v>
      </c>
      <c r="G643" t="str">
        <f>TRIM(Procurement_Raw!G643)</f>
        <v>INV-2025-00642</v>
      </c>
      <c r="H643" s="77">
        <f>Procurement_Raw!H643</f>
        <v>2</v>
      </c>
      <c r="I643" s="124">
        <f>Procurement_Raw!I643</f>
        <v>626.04999999999995</v>
      </c>
      <c r="J643" s="125">
        <f>IF(Procurement_Raw!J643="","",Procurement_Raw!J643)</f>
        <v>1252.0899999999999</v>
      </c>
      <c r="K643" s="77">
        <f>Procurement_Raw!K643</f>
        <v>45</v>
      </c>
      <c r="L643" t="str">
        <f>Procurement_Raw!L643</f>
        <v>Legacy Spend File</v>
      </c>
      <c r="M643" t="str">
        <f>Procurement_Raw!O643</f>
        <v>N</v>
      </c>
      <c r="N643" t="str">
        <f>IF(E643="","Missing supplier",IF(B643="","Missing site",IF(J643="","Missing spend",IF(COUNTIFS($G$2:G643,G643,$E$2:E643,E643,$J$2:J643,J643)&gt;1,"Duplicate invoice",IF(COUNTIF($G$2:$G$1801,G643)&gt;1,"Duplicate ID - review",IF(AND(P643&lt;&gt;"Unmapped",P643&lt;&gt;F643),"Category mismatch","OK"))))))</f>
        <v>OK</v>
      </c>
      <c r="O643" s="125">
        <f t="shared" si="30"/>
        <v>1252.0899999999999</v>
      </c>
      <c r="P643" t="str">
        <f>IF(E643="","Unmapped",IFERROR(INDEX(Supplier_Lookup!$B$2:$B$25,MATCH(E643,Supplier_Lookup!$A$2:$A$25,0)),"Unmapped"))</f>
        <v>Utilities</v>
      </c>
      <c r="Q643" s="76">
        <f>IFERROR(INDEX(Category_Targets!$B$2:$B$9,MATCH(F643,Category_Targets!$A$2:$A$9,0)),0)</f>
        <v>0.03</v>
      </c>
      <c r="R643" s="125">
        <f t="shared" si="31"/>
        <v>37.5627</v>
      </c>
      <c r="S643" s="78">
        <f t="shared" si="32"/>
        <v>45839</v>
      </c>
      <c r="T643" t="str">
        <f>IFERROR(VLOOKUP(B643,Sites!$A$2:$D$21,4,FALSE()),"Unknown")</f>
        <v>Bristol</v>
      </c>
      <c r="U643" t="str">
        <f>IF(N643="OK","",COUNTIF($N$2:N643,"&lt;&gt;OK"))</f>
        <v/>
      </c>
      <c r="V643">
        <f>IF(OR(NOT(EXACT(E643,TRIM(Procurement_Raw!E643))),NOT(EXACT(F643,TRIM(Procurement_Raw!F643)))),1,0)</f>
        <v>0</v>
      </c>
    </row>
    <row r="644" spans="1:22" ht="15" customHeight="1" x14ac:dyDescent="0.25">
      <c r="A644" s="123">
        <f>Procurement_Raw!A644</f>
        <v>45660</v>
      </c>
      <c r="B644" t="str">
        <f>TRIM(Procurement_Raw!B644)</f>
        <v>S017</v>
      </c>
      <c r="C644" t="str">
        <f>Procurement_Raw!C644</f>
        <v>Swansea Care &amp; Education Centre</v>
      </c>
      <c r="D644" t="str">
        <f>Procurement_Raw!D644</f>
        <v>Wales</v>
      </c>
      <c r="E644" t="str">
        <f>IF(TRIM(Procurement_Raw!E644)="","",IFERROR(INDEX(Supplier_Lookup!$A$2:$A$25,MATCH(TRIM(Procurement_Raw!E644),Supplier_Lookup!$A$2:$A$25,0)),TRIM(Procurement_Raw!E644)))</f>
        <v>ClinEquip</v>
      </c>
      <c r="F644" t="str">
        <f>IFERROR(INDEX(Category_Targets!$A$2:$A$9,MATCH(TRIM(Procurement_Raw!F644),Category_Targets!$A$2:$A$9,0)),"Unmapped")</f>
        <v>Medical Supplies</v>
      </c>
      <c r="G644" t="str">
        <f>TRIM(Procurement_Raw!G644)</f>
        <v>INV-2025-00643</v>
      </c>
      <c r="H644" s="77">
        <f>Procurement_Raw!H644</f>
        <v>32</v>
      </c>
      <c r="I644" s="124">
        <f>Procurement_Raw!I644</f>
        <v>104.03</v>
      </c>
      <c r="J644" s="125">
        <f>IF(Procurement_Raw!J644="","",Procurement_Raw!J644)</f>
        <v>3329.08</v>
      </c>
      <c r="K644" s="77">
        <f>Procurement_Raw!K644</f>
        <v>30</v>
      </c>
      <c r="L644" t="str">
        <f>Procurement_Raw!L644</f>
        <v>Legacy Spend File</v>
      </c>
      <c r="M644" t="str">
        <f>Procurement_Raw!O644</f>
        <v>N</v>
      </c>
      <c r="N644" t="str">
        <f>IF(E644="","Missing supplier",IF(B644="","Missing site",IF(J644="","Missing spend",IF(COUNTIFS($G$2:G644,G644,$E$2:E644,E644,$J$2:J644,J644)&gt;1,"Duplicate invoice",IF(COUNTIF($G$2:$G$1801,G644)&gt;1,"Duplicate ID - review",IF(AND(P644&lt;&gt;"Unmapped",P644&lt;&gt;F644),"Category mismatch","OK"))))))</f>
        <v>OK</v>
      </c>
      <c r="O644" s="125">
        <f t="shared" si="30"/>
        <v>3329.08</v>
      </c>
      <c r="P644" t="str">
        <f>IF(E644="","Unmapped",IFERROR(INDEX(Supplier_Lookup!$B$2:$B$25,MATCH(E644,Supplier_Lookup!$A$2:$A$25,0)),"Unmapped"))</f>
        <v>Medical Supplies</v>
      </c>
      <c r="Q644" s="76">
        <f>IFERROR(INDEX(Category_Targets!$B$2:$B$9,MATCH(F644,Category_Targets!$A$2:$A$9,0)),0)</f>
        <v>0.06</v>
      </c>
      <c r="R644" s="125">
        <f t="shared" si="31"/>
        <v>199.7448</v>
      </c>
      <c r="S644" s="78">
        <f t="shared" si="32"/>
        <v>45658</v>
      </c>
      <c r="T644" t="str">
        <f>IFERROR(VLOOKUP(B644,Sites!$A$2:$D$21,4,FALSE()),"Unknown")</f>
        <v>Swansea</v>
      </c>
      <c r="U644" t="str">
        <f>IF(N644="OK","",COUNTIF($N$2:N644,"&lt;&gt;OK"))</f>
        <v/>
      </c>
      <c r="V644">
        <f>IF(OR(NOT(EXACT(E644,TRIM(Procurement_Raw!E644))),NOT(EXACT(F644,TRIM(Procurement_Raw!F644)))),1,0)</f>
        <v>0</v>
      </c>
    </row>
    <row r="645" spans="1:22" ht="15" customHeight="1" x14ac:dyDescent="0.25">
      <c r="A645" s="123">
        <f>Procurement_Raw!A645</f>
        <v>45710</v>
      </c>
      <c r="B645" t="str">
        <f>TRIM(Procurement_Raw!B645)</f>
        <v>S009</v>
      </c>
      <c r="C645" t="str">
        <f>Procurement_Raw!C645</f>
        <v>Derby Care &amp; Education Centre</v>
      </c>
      <c r="D645" t="str">
        <f>Procurement_Raw!D645</f>
        <v>Midlands</v>
      </c>
      <c r="E645" t="str">
        <f>IF(TRIM(Procurement_Raw!E645)="","",IFERROR(INDEX(Supplier_Lookup!$A$2:$A$25,MATCH(TRIM(Procurement_Raw!E645),Supplier_Lookup!$A$2:$A$25,0)),TRIM(Procurement_Raw!E645)))</f>
        <v>CloudLink</v>
      </c>
      <c r="F645" t="str">
        <f>IFERROR(INDEX(Category_Targets!$A$2:$A$9,MATCH(TRIM(Procurement_Raw!F645),Category_Targets!$A$2:$A$9,0)),"Unmapped")</f>
        <v>IT &amp; Telecoms</v>
      </c>
      <c r="G645" t="str">
        <f>TRIM(Procurement_Raw!G645)</f>
        <v>INV-2025-00644</v>
      </c>
      <c r="H645" s="77">
        <f>Procurement_Raw!H645</f>
        <v>50</v>
      </c>
      <c r="I645" s="124">
        <f>Procurement_Raw!I645</f>
        <v>96.25</v>
      </c>
      <c r="J645" s="125">
        <f>IF(Procurement_Raw!J645="","",Procurement_Raw!J645)</f>
        <v>4812.26</v>
      </c>
      <c r="K645" s="77">
        <f>Procurement_Raw!K645</f>
        <v>60</v>
      </c>
      <c r="L645" t="str">
        <f>Procurement_Raw!L645</f>
        <v>Legacy Spend File</v>
      </c>
      <c r="M645" t="str">
        <f>Procurement_Raw!O645</f>
        <v>Y</v>
      </c>
      <c r="N645" t="str">
        <f>IF(E645="","Missing supplier",IF(B645="","Missing site",IF(J645="","Missing spend",IF(COUNTIFS($G$2:G645,G645,$E$2:E645,E645,$J$2:J645,J645)&gt;1,"Duplicate invoice",IF(COUNTIF($G$2:$G$1801,G645)&gt;1,"Duplicate ID - review",IF(AND(P645&lt;&gt;"Unmapped",P645&lt;&gt;F645),"Category mismatch","OK"))))))</f>
        <v>OK</v>
      </c>
      <c r="O645" s="125">
        <f t="shared" si="30"/>
        <v>4812.26</v>
      </c>
      <c r="P645" t="str">
        <f>IF(E645="","Unmapped",IFERROR(INDEX(Supplier_Lookup!$B$2:$B$25,MATCH(E645,Supplier_Lookup!$A$2:$A$25,0)),"Unmapped"))</f>
        <v>IT &amp; Telecoms</v>
      </c>
      <c r="Q645" s="76">
        <f>IFERROR(INDEX(Category_Targets!$B$2:$B$9,MATCH(F645,Category_Targets!$A$2:$A$9,0)),0)</f>
        <v>0.08</v>
      </c>
      <c r="R645" s="125">
        <f t="shared" si="31"/>
        <v>384.98080000000004</v>
      </c>
      <c r="S645" s="78">
        <f t="shared" si="32"/>
        <v>45689</v>
      </c>
      <c r="T645" t="str">
        <f>IFERROR(VLOOKUP(B645,Sites!$A$2:$D$21,4,FALSE()),"Unknown")</f>
        <v>Derby</v>
      </c>
      <c r="U645" t="str">
        <f>IF(N645="OK","",COUNTIF($N$2:N645,"&lt;&gt;OK"))</f>
        <v/>
      </c>
      <c r="V645">
        <f>IF(OR(NOT(EXACT(E645,TRIM(Procurement_Raw!E645))),NOT(EXACT(F645,TRIM(Procurement_Raw!F645)))),1,0)</f>
        <v>0</v>
      </c>
    </row>
    <row r="646" spans="1:22" ht="15" customHeight="1" x14ac:dyDescent="0.25">
      <c r="A646" s="123">
        <f>Procurement_Raw!A646</f>
        <v>45681</v>
      </c>
      <c r="B646" t="str">
        <f>TRIM(Procurement_Raw!B646)</f>
        <v>S006</v>
      </c>
      <c r="C646" t="str">
        <f>Procurement_Raw!C646</f>
        <v>Birmingham Care &amp; Education Centre</v>
      </c>
      <c r="D646" t="str">
        <f>Procurement_Raw!D646</f>
        <v>Midlands</v>
      </c>
      <c r="E646" t="str">
        <f>IF(TRIM(Procurement_Raw!E646)="","",IFERROR(INDEX(Supplier_Lookup!$A$2:$A$25,MATCH(TRIM(Procurement_Raw!E646),Supplier_Lookup!$A$2:$A$25,0)),TRIM(Procurement_Raw!E646)))</f>
        <v>CleanWorks</v>
      </c>
      <c r="F646" t="str">
        <f>IFERROR(INDEX(Category_Targets!$A$2:$A$9,MATCH(TRIM(Procurement_Raw!F646),Category_Targets!$A$2:$A$9,0)),"Unmapped")</f>
        <v>Facilities</v>
      </c>
      <c r="G646" t="str">
        <f>TRIM(Procurement_Raw!G646)</f>
        <v>INV-2025-00645</v>
      </c>
      <c r="H646" s="77">
        <f>Procurement_Raw!H646</f>
        <v>39</v>
      </c>
      <c r="I646" s="124">
        <f>Procurement_Raw!I646</f>
        <v>157.24</v>
      </c>
      <c r="J646" s="125">
        <f>IF(Procurement_Raw!J646="","",Procurement_Raw!J646)</f>
        <v>6132.51</v>
      </c>
      <c r="K646" s="77">
        <f>Procurement_Raw!K646</f>
        <v>45</v>
      </c>
      <c r="L646" t="str">
        <f>Procurement_Raw!L646</f>
        <v>Procurement Portal</v>
      </c>
      <c r="M646" t="str">
        <f>Procurement_Raw!O646</f>
        <v>Y</v>
      </c>
      <c r="N646" t="str">
        <f>IF(E646="","Missing supplier",IF(B646="","Missing site",IF(J646="","Missing spend",IF(COUNTIFS($G$2:G646,G646,$E$2:E646,E646,$J$2:J646,J646)&gt;1,"Duplicate invoice",IF(COUNTIF($G$2:$G$1801,G646)&gt;1,"Duplicate ID - review",IF(AND(P646&lt;&gt;"Unmapped",P646&lt;&gt;F646),"Category mismatch","OK"))))))</f>
        <v>OK</v>
      </c>
      <c r="O646" s="125">
        <f t="shared" si="30"/>
        <v>6132.51</v>
      </c>
      <c r="P646" t="str">
        <f>IF(E646="","Unmapped",IFERROR(INDEX(Supplier_Lookup!$B$2:$B$25,MATCH(E646,Supplier_Lookup!$A$2:$A$25,0)),"Unmapped"))</f>
        <v>Facilities</v>
      </c>
      <c r="Q646" s="76">
        <f>IFERROR(INDEX(Category_Targets!$B$2:$B$9,MATCH(F646,Category_Targets!$A$2:$A$9,0)),0)</f>
        <v>0.05</v>
      </c>
      <c r="R646" s="125">
        <f t="shared" si="31"/>
        <v>306.62550000000005</v>
      </c>
      <c r="S646" s="78">
        <f t="shared" si="32"/>
        <v>45658</v>
      </c>
      <c r="T646" t="str">
        <f>IFERROR(VLOOKUP(B646,Sites!$A$2:$D$21,4,FALSE()),"Unknown")</f>
        <v>Birmingham</v>
      </c>
      <c r="U646" t="str">
        <f>IF(N646="OK","",COUNTIF($N$2:N646,"&lt;&gt;OK"))</f>
        <v/>
      </c>
      <c r="V646">
        <f>IF(OR(NOT(EXACT(E646,TRIM(Procurement_Raw!E646))),NOT(EXACT(F646,TRIM(Procurement_Raw!F646)))),1,0)</f>
        <v>0</v>
      </c>
    </row>
    <row r="647" spans="1:22" ht="15" customHeight="1" x14ac:dyDescent="0.25">
      <c r="A647" s="123">
        <f>Procurement_Raw!A647</f>
        <v>46009</v>
      </c>
      <c r="B647" t="str">
        <f>TRIM(Procurement_Raw!B647)</f>
        <v>S007</v>
      </c>
      <c r="C647" t="str">
        <f>Procurement_Raw!C647</f>
        <v>Nottingham Care &amp; Education Centre</v>
      </c>
      <c r="D647" t="str">
        <f>Procurement_Raw!D647</f>
        <v>Midlands</v>
      </c>
      <c r="E647" t="str">
        <f>IF(TRIM(Procurement_Raw!E647)="","",IFERROR(INDEX(Supplier_Lookup!$A$2:$A$25,MATCH(TRIM(Procurement_Raw!E647),Supplier_Lookup!$A$2:$A$25,0)),TRIM(Procurement_Raw!E647)))</f>
        <v>RoadReady</v>
      </c>
      <c r="F647" t="str">
        <f>IFERROR(INDEX(Category_Targets!$A$2:$A$9,MATCH(TRIM(Procurement_Raw!F647),Category_Targets!$A$2:$A$9,0)),"Unmapped")</f>
        <v>Vehicle &amp; Fuel</v>
      </c>
      <c r="G647" t="str">
        <f>TRIM(Procurement_Raw!G647)</f>
        <v>INV-2025-00646</v>
      </c>
      <c r="H647" s="77">
        <f>Procurement_Raw!H647</f>
        <v>18</v>
      </c>
      <c r="I647" s="124">
        <f>Procurement_Raw!I647</f>
        <v>81.77</v>
      </c>
      <c r="J647" s="125">
        <f>IF(Procurement_Raw!J647="","",Procurement_Raw!J647)</f>
        <v>1471.81</v>
      </c>
      <c r="K647" s="77">
        <f>Procurement_Raw!K647</f>
        <v>45</v>
      </c>
      <c r="L647" t="str">
        <f>Procurement_Raw!L647</f>
        <v>Procurement Portal</v>
      </c>
      <c r="M647" t="str">
        <f>Procurement_Raw!O647</f>
        <v>N</v>
      </c>
      <c r="N647" t="str">
        <f>IF(E647="","Missing supplier",IF(B647="","Missing site",IF(J647="","Missing spend",IF(COUNTIFS($G$2:G647,G647,$E$2:E647,E647,$J$2:J647,J647)&gt;1,"Duplicate invoice",IF(COUNTIF($G$2:$G$1801,G647)&gt;1,"Duplicate ID - review",IF(AND(P647&lt;&gt;"Unmapped",P647&lt;&gt;F647),"Category mismatch","OK"))))))</f>
        <v>OK</v>
      </c>
      <c r="O647" s="125">
        <f t="shared" si="30"/>
        <v>1471.81</v>
      </c>
      <c r="P647" t="str">
        <f>IF(E647="","Unmapped",IFERROR(INDEX(Supplier_Lookup!$B$2:$B$25,MATCH(E647,Supplier_Lookup!$A$2:$A$25,0)),"Unmapped"))</f>
        <v>Vehicle &amp; Fuel</v>
      </c>
      <c r="Q647" s="76">
        <f>IFERROR(INDEX(Category_Targets!$B$2:$B$9,MATCH(F647,Category_Targets!$A$2:$A$9,0)),0)</f>
        <v>0.05</v>
      </c>
      <c r="R647" s="125">
        <f t="shared" si="31"/>
        <v>73.590500000000006</v>
      </c>
      <c r="S647" s="78">
        <f t="shared" si="32"/>
        <v>45992</v>
      </c>
      <c r="T647" t="str">
        <f>IFERROR(VLOOKUP(B647,Sites!$A$2:$D$21,4,FALSE()),"Unknown")</f>
        <v>Nottingham</v>
      </c>
      <c r="U647" t="str">
        <f>IF(N647="OK","",COUNTIF($N$2:N647,"&lt;&gt;OK"))</f>
        <v/>
      </c>
      <c r="V647">
        <f>IF(OR(NOT(EXACT(E647,TRIM(Procurement_Raw!E647))),NOT(EXACT(F647,TRIM(Procurement_Raw!F647)))),1,0)</f>
        <v>0</v>
      </c>
    </row>
    <row r="648" spans="1:22" ht="15" customHeight="1" x14ac:dyDescent="0.25">
      <c r="A648" s="123">
        <f>Procurement_Raw!A648</f>
        <v>45864</v>
      </c>
      <c r="B648" t="str">
        <f>TRIM(Procurement_Raw!B648)</f>
        <v>S006</v>
      </c>
      <c r="C648" t="str">
        <f>Procurement_Raw!C648</f>
        <v>Birmingham Care &amp; Education Centre</v>
      </c>
      <c r="D648" t="str">
        <f>Procurement_Raw!D648</f>
        <v>Midlands</v>
      </c>
      <c r="E648" t="str">
        <f>IF(TRIM(Procurement_Raw!E648)="","",IFERROR(INDEX(Supplier_Lookup!$A$2:$A$25,MATCH(TRIM(Procurement_Raw!E648),Supplier_Lookup!$A$2:$A$25,0)),TRIM(Procurement_Raw!E648)))</f>
        <v>UK Energy Partners</v>
      </c>
      <c r="F648" t="str">
        <f>IFERROR(INDEX(Category_Targets!$A$2:$A$9,MATCH(TRIM(Procurement_Raw!F648),Category_Targets!$A$2:$A$9,0)),"Unmapped")</f>
        <v>Utilities</v>
      </c>
      <c r="G648" t="str">
        <f>TRIM(Procurement_Raw!G648)</f>
        <v>INV-2025-00647</v>
      </c>
      <c r="H648" s="77">
        <f>Procurement_Raw!H648</f>
        <v>3</v>
      </c>
      <c r="I648" s="124">
        <f>Procurement_Raw!I648</f>
        <v>56.72</v>
      </c>
      <c r="J648" s="125">
        <f>IF(Procurement_Raw!J648="","",Procurement_Raw!J648)</f>
        <v>170.17</v>
      </c>
      <c r="K648" s="77">
        <f>Procurement_Raw!K648</f>
        <v>30</v>
      </c>
      <c r="L648" t="str">
        <f>Procurement_Raw!L648</f>
        <v>ERP</v>
      </c>
      <c r="M648" t="str">
        <f>Procurement_Raw!O648</f>
        <v>N</v>
      </c>
      <c r="N648" t="str">
        <f>IF(E648="","Missing supplier",IF(B648="","Missing site",IF(J648="","Missing spend",IF(COUNTIFS($G$2:G648,G648,$E$2:E648,E648,$J$2:J648,J648)&gt;1,"Duplicate invoice",IF(COUNTIF($G$2:$G$1801,G648)&gt;1,"Duplicate ID - review",IF(AND(P648&lt;&gt;"Unmapped",P648&lt;&gt;F648),"Category mismatch","OK"))))))</f>
        <v>OK</v>
      </c>
      <c r="O648" s="125">
        <f t="shared" si="30"/>
        <v>170.17</v>
      </c>
      <c r="P648" t="str">
        <f>IF(E648="","Unmapped",IFERROR(INDEX(Supplier_Lookup!$B$2:$B$25,MATCH(E648,Supplier_Lookup!$A$2:$A$25,0)),"Unmapped"))</f>
        <v>Utilities</v>
      </c>
      <c r="Q648" s="76">
        <f>IFERROR(INDEX(Category_Targets!$B$2:$B$9,MATCH(F648,Category_Targets!$A$2:$A$9,0)),0)</f>
        <v>0.03</v>
      </c>
      <c r="R648" s="125">
        <f t="shared" si="31"/>
        <v>5.1050999999999993</v>
      </c>
      <c r="S648" s="78">
        <f t="shared" si="32"/>
        <v>45839</v>
      </c>
      <c r="T648" t="str">
        <f>IFERROR(VLOOKUP(B648,Sites!$A$2:$D$21,4,FALSE()),"Unknown")</f>
        <v>Birmingham</v>
      </c>
      <c r="U648" t="str">
        <f>IF(N648="OK","",COUNTIF($N$2:N648,"&lt;&gt;OK"))</f>
        <v/>
      </c>
      <c r="V648">
        <f>IF(OR(NOT(EXACT(E648,TRIM(Procurement_Raw!E648))),NOT(EXACT(F648,TRIM(Procurement_Raw!F648)))),1,0)</f>
        <v>0</v>
      </c>
    </row>
    <row r="649" spans="1:22" ht="15" customHeight="1" x14ac:dyDescent="0.25">
      <c r="A649" s="123">
        <f>Procurement_Raw!A649</f>
        <v>45669</v>
      </c>
      <c r="B649" t="str">
        <f>TRIM(Procurement_Raw!B649)</f>
        <v>S019</v>
      </c>
      <c r="C649" t="str">
        <f>Procurement_Raw!C649</f>
        <v>Wrexham Care &amp; Education Centre</v>
      </c>
      <c r="D649" t="str">
        <f>Procurement_Raw!D649</f>
        <v>Wales</v>
      </c>
      <c r="E649" t="str">
        <f>IF(TRIM(Procurement_Raw!E649)="","",IFERROR(INDEX(Supplier_Lookup!$A$2:$A$25,MATCH(TRIM(Procurement_Raw!E649),Supplier_Lookup!$A$2:$A$25,0)),TRIM(Procurement_Raw!E649)))</f>
        <v>CleanWorks</v>
      </c>
      <c r="F649" t="str">
        <f>IFERROR(INDEX(Category_Targets!$A$2:$A$9,MATCH(TRIM(Procurement_Raw!F649),Category_Targets!$A$2:$A$9,0)),"Unmapped")</f>
        <v>Facilities</v>
      </c>
      <c r="G649" t="str">
        <f>TRIM(Procurement_Raw!G649)</f>
        <v>INV-2025-00648</v>
      </c>
      <c r="H649" s="77">
        <f>Procurement_Raw!H649</f>
        <v>76</v>
      </c>
      <c r="I649" s="124">
        <f>Procurement_Raw!I649</f>
        <v>174.7</v>
      </c>
      <c r="J649" s="125">
        <f>IF(Procurement_Raw!J649="","",Procurement_Raw!J649)</f>
        <v>13277.52</v>
      </c>
      <c r="K649" s="77">
        <f>Procurement_Raw!K649</f>
        <v>60</v>
      </c>
      <c r="L649" t="str">
        <f>Procurement_Raw!L649</f>
        <v>ERP</v>
      </c>
      <c r="M649" t="str">
        <f>Procurement_Raw!O649</f>
        <v>Y</v>
      </c>
      <c r="N649" t="str">
        <f>IF(E649="","Missing supplier",IF(B649="","Missing site",IF(J649="","Missing spend",IF(COUNTIFS($G$2:G649,G649,$E$2:E649,E649,$J$2:J649,J649)&gt;1,"Duplicate invoice",IF(COUNTIF($G$2:$G$1801,G649)&gt;1,"Duplicate ID - review",IF(AND(P649&lt;&gt;"Unmapped",P649&lt;&gt;F649),"Category mismatch","OK"))))))</f>
        <v>OK</v>
      </c>
      <c r="O649" s="125">
        <f t="shared" si="30"/>
        <v>13277.52</v>
      </c>
      <c r="P649" t="str">
        <f>IF(E649="","Unmapped",IFERROR(INDEX(Supplier_Lookup!$B$2:$B$25,MATCH(E649,Supplier_Lookup!$A$2:$A$25,0)),"Unmapped"))</f>
        <v>Facilities</v>
      </c>
      <c r="Q649" s="76">
        <f>IFERROR(INDEX(Category_Targets!$B$2:$B$9,MATCH(F649,Category_Targets!$A$2:$A$9,0)),0)</f>
        <v>0.05</v>
      </c>
      <c r="R649" s="125">
        <f t="shared" si="31"/>
        <v>663.87600000000009</v>
      </c>
      <c r="S649" s="78">
        <f t="shared" si="32"/>
        <v>45658</v>
      </c>
      <c r="T649" t="str">
        <f>IFERROR(VLOOKUP(B649,Sites!$A$2:$D$21,4,FALSE()),"Unknown")</f>
        <v>Wrexham</v>
      </c>
      <c r="U649" t="str">
        <f>IF(N649="OK","",COUNTIF($N$2:N649,"&lt;&gt;OK"))</f>
        <v/>
      </c>
      <c r="V649">
        <f>IF(OR(NOT(EXACT(E649,TRIM(Procurement_Raw!E649))),NOT(EXACT(F649,TRIM(Procurement_Raw!F649)))),1,0)</f>
        <v>0</v>
      </c>
    </row>
    <row r="650" spans="1:22" ht="15" customHeight="1" x14ac:dyDescent="0.25">
      <c r="A650" s="123">
        <f>Procurement_Raw!A650</f>
        <v>45991</v>
      </c>
      <c r="B650" t="str">
        <f>TRIM(Procurement_Raw!B650)</f>
        <v>S006</v>
      </c>
      <c r="C650" t="str">
        <f>Procurement_Raw!C650</f>
        <v>Birmingham Care &amp; Education Centre</v>
      </c>
      <c r="D650" t="str">
        <f>Procurement_Raw!D650</f>
        <v>Midlands</v>
      </c>
      <c r="E650" t="str">
        <f>IF(TRIM(Procurement_Raw!E650)="","",IFERROR(INDEX(Supplier_Lookup!$A$2:$A$25,MATCH(TRIM(Procurement_Raw!E650),Supplier_Lookup!$A$2:$A$25,0)),TRIM(Procurement_Raw!E650)))</f>
        <v>AutoCare</v>
      </c>
      <c r="F650" t="str">
        <f>IFERROR(INDEX(Category_Targets!$A$2:$A$9,MATCH(TRIM(Procurement_Raw!F650),Category_Targets!$A$2:$A$9,0)),"Unmapped")</f>
        <v>Vehicle &amp; Fuel</v>
      </c>
      <c r="G650" t="str">
        <f>TRIM(Procurement_Raw!G650)</f>
        <v>INV-2025-00649</v>
      </c>
      <c r="H650" s="77">
        <f>Procurement_Raw!H650</f>
        <v>5</v>
      </c>
      <c r="I650" s="124">
        <f>Procurement_Raw!I650</f>
        <v>83.67</v>
      </c>
      <c r="J650" s="125">
        <f>IF(Procurement_Raw!J650="","",Procurement_Raw!J650)</f>
        <v>418.34</v>
      </c>
      <c r="K650" s="77">
        <f>Procurement_Raw!K650</f>
        <v>45</v>
      </c>
      <c r="L650" t="str">
        <f>Procurement_Raw!L650</f>
        <v>Legacy Spend File</v>
      </c>
      <c r="M650" t="str">
        <f>Procurement_Raw!O650</f>
        <v>N</v>
      </c>
      <c r="N650" t="str">
        <f>IF(E650="","Missing supplier",IF(B650="","Missing site",IF(J650="","Missing spend",IF(COUNTIFS($G$2:G650,G650,$E$2:E650,E650,$J$2:J650,J650)&gt;1,"Duplicate invoice",IF(COUNTIF($G$2:$G$1801,G650)&gt;1,"Duplicate ID - review",IF(AND(P650&lt;&gt;"Unmapped",P650&lt;&gt;F650),"Category mismatch","OK"))))))</f>
        <v>OK</v>
      </c>
      <c r="O650" s="125">
        <f t="shared" si="30"/>
        <v>418.34</v>
      </c>
      <c r="P650" t="str">
        <f>IF(E650="","Unmapped",IFERROR(INDEX(Supplier_Lookup!$B$2:$B$25,MATCH(E650,Supplier_Lookup!$A$2:$A$25,0)),"Unmapped"))</f>
        <v>Vehicle &amp; Fuel</v>
      </c>
      <c r="Q650" s="76">
        <f>IFERROR(INDEX(Category_Targets!$B$2:$B$9,MATCH(F650,Category_Targets!$A$2:$A$9,0)),0)</f>
        <v>0.05</v>
      </c>
      <c r="R650" s="125">
        <f t="shared" si="31"/>
        <v>20.917000000000002</v>
      </c>
      <c r="S650" s="78">
        <f t="shared" si="32"/>
        <v>45962</v>
      </c>
      <c r="T650" t="str">
        <f>IFERROR(VLOOKUP(B650,Sites!$A$2:$D$21,4,FALSE()),"Unknown")</f>
        <v>Birmingham</v>
      </c>
      <c r="U650" t="str">
        <f>IF(N650="OK","",COUNTIF($N$2:N650,"&lt;&gt;OK"))</f>
        <v/>
      </c>
      <c r="V650">
        <f>IF(OR(NOT(EXACT(E650,TRIM(Procurement_Raw!E650))),NOT(EXACT(F650,TRIM(Procurement_Raw!F650)))),1,0)</f>
        <v>0</v>
      </c>
    </row>
    <row r="651" spans="1:22" ht="15" customHeight="1" x14ac:dyDescent="0.25">
      <c r="A651" s="123">
        <f>Procurement_Raw!A651</f>
        <v>45682</v>
      </c>
      <c r="B651" t="str">
        <f>TRIM(Procurement_Raw!B651)</f>
        <v>S006</v>
      </c>
      <c r="C651" t="str">
        <f>Procurement_Raw!C651</f>
        <v>Birmingham Care &amp; Education Centre</v>
      </c>
      <c r="D651" t="str">
        <f>Procurement_Raw!D651</f>
        <v>Midlands</v>
      </c>
      <c r="E651" t="str">
        <f>IF(TRIM(Procurement_Raw!E651)="","",IFERROR(INDEX(Supplier_Lookup!$A$2:$A$25,MATCH(TRIM(Procurement_Raw!E651),Supplier_Lookup!$A$2:$A$25,0)),TRIM(Procurement_Raw!E651)))</f>
        <v>ClinEquip</v>
      </c>
      <c r="F651" t="str">
        <f>IFERROR(INDEX(Category_Targets!$A$2:$A$9,MATCH(TRIM(Procurement_Raw!F651),Category_Targets!$A$2:$A$9,0)),"Unmapped")</f>
        <v>Medical Supplies</v>
      </c>
      <c r="G651" t="str">
        <f>TRIM(Procurement_Raw!G651)</f>
        <v>INV-2025-00650</v>
      </c>
      <c r="H651" s="77">
        <f>Procurement_Raw!H651</f>
        <v>14</v>
      </c>
      <c r="I651" s="124">
        <f>Procurement_Raw!I651</f>
        <v>175.99</v>
      </c>
      <c r="J651" s="125">
        <f>IF(Procurement_Raw!J651="","",Procurement_Raw!J651)</f>
        <v>2463.81</v>
      </c>
      <c r="K651" s="77">
        <f>Procurement_Raw!K651</f>
        <v>60</v>
      </c>
      <c r="L651" t="str">
        <f>Procurement_Raw!L651</f>
        <v>ERP</v>
      </c>
      <c r="M651" t="str">
        <f>Procurement_Raw!O651</f>
        <v>N</v>
      </c>
      <c r="N651" t="str">
        <f>IF(E651="","Missing supplier",IF(B651="","Missing site",IF(J651="","Missing spend",IF(COUNTIFS($G$2:G651,G651,$E$2:E651,E651,$J$2:J651,J651)&gt;1,"Duplicate invoice",IF(COUNTIF($G$2:$G$1801,G651)&gt;1,"Duplicate ID - review",IF(AND(P651&lt;&gt;"Unmapped",P651&lt;&gt;F651),"Category mismatch","OK"))))))</f>
        <v>OK</v>
      </c>
      <c r="O651" s="125">
        <f t="shared" si="30"/>
        <v>2463.81</v>
      </c>
      <c r="P651" t="str">
        <f>IF(E651="","Unmapped",IFERROR(INDEX(Supplier_Lookup!$B$2:$B$25,MATCH(E651,Supplier_Lookup!$A$2:$A$25,0)),"Unmapped"))</f>
        <v>Medical Supplies</v>
      </c>
      <c r="Q651" s="76">
        <f>IFERROR(INDEX(Category_Targets!$B$2:$B$9,MATCH(F651,Category_Targets!$A$2:$A$9,0)),0)</f>
        <v>0.06</v>
      </c>
      <c r="R651" s="125">
        <f t="shared" si="31"/>
        <v>147.82859999999999</v>
      </c>
      <c r="S651" s="78">
        <f t="shared" si="32"/>
        <v>45658</v>
      </c>
      <c r="T651" t="str">
        <f>IFERROR(VLOOKUP(B651,Sites!$A$2:$D$21,4,FALSE()),"Unknown")</f>
        <v>Birmingham</v>
      </c>
      <c r="U651" t="str">
        <f>IF(N651="OK","",COUNTIF($N$2:N651,"&lt;&gt;OK"))</f>
        <v/>
      </c>
      <c r="V651">
        <f>IF(OR(NOT(EXACT(E651,TRIM(Procurement_Raw!E651))),NOT(EXACT(F651,TRIM(Procurement_Raw!F651)))),1,0)</f>
        <v>0</v>
      </c>
    </row>
    <row r="652" spans="1:22" ht="15" customHeight="1" x14ac:dyDescent="0.25">
      <c r="A652" s="123">
        <f>Procurement_Raw!A652</f>
        <v>45885</v>
      </c>
      <c r="B652" t="str">
        <f>TRIM(Procurement_Raw!B652)</f>
        <v>S007</v>
      </c>
      <c r="C652" t="str">
        <f>Procurement_Raw!C652</f>
        <v>Nottingham Care &amp; Education Centre</v>
      </c>
      <c r="D652" t="str">
        <f>Procurement_Raw!D652</f>
        <v>Midlands</v>
      </c>
      <c r="E652" t="str">
        <f>IF(TRIM(Procurement_Raw!E652)="","",IFERROR(INDEX(Supplier_Lookup!$A$2:$A$25,MATCH(TRIM(Procurement_Raw!E652),Supplier_Lookup!$A$2:$A$25,0)),TRIM(Procurement_Raw!E652)))</f>
        <v>NourishCo</v>
      </c>
      <c r="F652" t="str">
        <f>IFERROR(INDEX(Category_Targets!$A$2:$A$9,MATCH(TRIM(Procurement_Raw!F652),Category_Targets!$A$2:$A$9,0)),"Unmapped")</f>
        <v>Food &amp; Catering</v>
      </c>
      <c r="G652" t="str">
        <f>TRIM(Procurement_Raw!G652)</f>
        <v>INV-2025-00651</v>
      </c>
      <c r="H652" s="77">
        <f>Procurement_Raw!H652</f>
        <v>49</v>
      </c>
      <c r="I652" s="124">
        <f>Procurement_Raw!I652</f>
        <v>179.7</v>
      </c>
      <c r="J652" s="125">
        <f>IF(Procurement_Raw!J652="","",Procurement_Raw!J652)</f>
        <v>8805.51</v>
      </c>
      <c r="K652" s="77">
        <f>Procurement_Raw!K652</f>
        <v>30</v>
      </c>
      <c r="L652" t="str">
        <f>Procurement_Raw!L652</f>
        <v>Legacy Spend File</v>
      </c>
      <c r="M652" t="str">
        <f>Procurement_Raw!O652</f>
        <v>N</v>
      </c>
      <c r="N652" t="str">
        <f>IF(E652="","Missing supplier",IF(B652="","Missing site",IF(J652="","Missing spend",IF(COUNTIFS($G$2:G652,G652,$E$2:E652,E652,$J$2:J652,J652)&gt;1,"Duplicate invoice",IF(COUNTIF($G$2:$G$1801,G652)&gt;1,"Duplicate ID - review",IF(AND(P652&lt;&gt;"Unmapped",P652&lt;&gt;F652),"Category mismatch","OK"))))))</f>
        <v>OK</v>
      </c>
      <c r="O652" s="125">
        <f t="shared" si="30"/>
        <v>8805.51</v>
      </c>
      <c r="P652" t="str">
        <f>IF(E652="","Unmapped",IFERROR(INDEX(Supplier_Lookup!$B$2:$B$25,MATCH(E652,Supplier_Lookup!$A$2:$A$25,0)),"Unmapped"))</f>
        <v>Food &amp; Catering</v>
      </c>
      <c r="Q652" s="76">
        <f>IFERROR(INDEX(Category_Targets!$B$2:$B$9,MATCH(F652,Category_Targets!$A$2:$A$9,0)),0)</f>
        <v>0.04</v>
      </c>
      <c r="R652" s="125">
        <f t="shared" si="31"/>
        <v>352.22040000000004</v>
      </c>
      <c r="S652" s="78">
        <f t="shared" si="32"/>
        <v>45870</v>
      </c>
      <c r="T652" t="str">
        <f>IFERROR(VLOOKUP(B652,Sites!$A$2:$D$21,4,FALSE()),"Unknown")</f>
        <v>Nottingham</v>
      </c>
      <c r="U652" t="str">
        <f>IF(N652="OK","",COUNTIF($N$2:N652,"&lt;&gt;OK"))</f>
        <v/>
      </c>
      <c r="V652">
        <f>IF(OR(NOT(EXACT(E652,TRIM(Procurement_Raw!E652))),NOT(EXACT(F652,TRIM(Procurement_Raw!F652)))),1,0)</f>
        <v>0</v>
      </c>
    </row>
    <row r="653" spans="1:22" ht="15" customHeight="1" x14ac:dyDescent="0.25">
      <c r="A653" s="123">
        <f>Procurement_Raw!A653</f>
        <v>45736</v>
      </c>
      <c r="B653" t="str">
        <f>TRIM(Procurement_Raw!B653)</f>
        <v>S014</v>
      </c>
      <c r="C653" t="str">
        <f>Procurement_Raw!C653</f>
        <v>Southampton Care &amp; Education Centre</v>
      </c>
      <c r="D653" t="str">
        <f>Procurement_Raw!D653</f>
        <v>South</v>
      </c>
      <c r="E653" t="str">
        <f>IF(TRIM(Procurement_Raw!E653)="","",IFERROR(INDEX(Supplier_Lookup!$A$2:$A$25,MATCH(TRIM(Procurement_Raw!E653),Supplier_Lookup!$A$2:$A$25,0)),TRIM(Procurement_Raw!E653)))</f>
        <v>PrintCo</v>
      </c>
      <c r="F653" t="str">
        <f>IFERROR(INDEX(Category_Targets!$A$2:$A$9,MATCH(TRIM(Procurement_Raw!F653),Category_Targets!$A$2:$A$9,0)),"Unmapped")</f>
        <v>Office &amp; Training</v>
      </c>
      <c r="G653" t="str">
        <f>TRIM(Procurement_Raw!G653)</f>
        <v>INV-2025-00652</v>
      </c>
      <c r="H653" s="77">
        <f>Procurement_Raw!H653</f>
        <v>27</v>
      </c>
      <c r="I653" s="124">
        <f>Procurement_Raw!I653</f>
        <v>139.37</v>
      </c>
      <c r="J653" s="125">
        <f>IF(Procurement_Raw!J653="","",Procurement_Raw!J653)</f>
        <v>3762.86</v>
      </c>
      <c r="K653" s="77">
        <f>Procurement_Raw!K653</f>
        <v>60</v>
      </c>
      <c r="L653" t="str">
        <f>Procurement_Raw!L653</f>
        <v>Legacy Spend File</v>
      </c>
      <c r="M653" t="str">
        <f>Procurement_Raw!O653</f>
        <v>N</v>
      </c>
      <c r="N653" t="str">
        <f>IF(E653="","Missing supplier",IF(B653="","Missing site",IF(J653="","Missing spend",IF(COUNTIFS($G$2:G653,G653,$E$2:E653,E653,$J$2:J653,J653)&gt;1,"Duplicate invoice",IF(COUNTIF($G$2:$G$1801,G653)&gt;1,"Duplicate ID - review",IF(AND(P653&lt;&gt;"Unmapped",P653&lt;&gt;F653),"Category mismatch","OK"))))))</f>
        <v>OK</v>
      </c>
      <c r="O653" s="125">
        <f t="shared" si="30"/>
        <v>3762.86</v>
      </c>
      <c r="P653" t="str">
        <f>IF(E653="","Unmapped",IFERROR(INDEX(Supplier_Lookup!$B$2:$B$25,MATCH(E653,Supplier_Lookup!$A$2:$A$25,0)),"Unmapped"))</f>
        <v>Office &amp; Training</v>
      </c>
      <c r="Q653" s="76">
        <f>IFERROR(INDEX(Category_Targets!$B$2:$B$9,MATCH(F653,Category_Targets!$A$2:$A$9,0)),0)</f>
        <v>0.04</v>
      </c>
      <c r="R653" s="125">
        <f t="shared" si="31"/>
        <v>150.51439999999999</v>
      </c>
      <c r="S653" s="78">
        <f t="shared" si="32"/>
        <v>45717</v>
      </c>
      <c r="T653" t="str">
        <f>IFERROR(VLOOKUP(B653,Sites!$A$2:$D$21,4,FALSE()),"Unknown")</f>
        <v>Southampton</v>
      </c>
      <c r="U653" t="str">
        <f>IF(N653="OK","",COUNTIF($N$2:N653,"&lt;&gt;OK"))</f>
        <v/>
      </c>
      <c r="V653">
        <f>IF(OR(NOT(EXACT(E653,TRIM(Procurement_Raw!E653))),NOT(EXACT(F653,TRIM(Procurement_Raw!F653)))),1,0)</f>
        <v>0</v>
      </c>
    </row>
    <row r="654" spans="1:22" ht="15" customHeight="1" x14ac:dyDescent="0.25">
      <c r="A654" s="123">
        <f>Procurement_Raw!A654</f>
        <v>45873</v>
      </c>
      <c r="B654" t="str">
        <f>TRIM(Procurement_Raw!B654)</f>
        <v>S010</v>
      </c>
      <c r="C654" t="str">
        <f>Procurement_Raw!C654</f>
        <v>Coventry Care &amp; Education Centre</v>
      </c>
      <c r="D654" t="str">
        <f>Procurement_Raw!D654</f>
        <v>Midlands</v>
      </c>
      <c r="E654" t="str">
        <f>IF(TRIM(Procurement_Raw!E654)="","",IFERROR(INDEX(Supplier_Lookup!$A$2:$A$25,MATCH(TRIM(Procurement_Raw!E654),Supplier_Lookup!$A$2:$A$25,0)),TRIM(Procurement_Raw!E654)))</f>
        <v>CareMed</v>
      </c>
      <c r="F654" t="str">
        <f>IFERROR(INDEX(Category_Targets!$A$2:$A$9,MATCH(TRIM(Procurement_Raw!F654),Category_Targets!$A$2:$A$9,0)),"Unmapped")</f>
        <v>Medical Supplies</v>
      </c>
      <c r="G654" t="str">
        <f>TRIM(Procurement_Raw!G654)</f>
        <v>INV-2025-00653</v>
      </c>
      <c r="H654" s="77">
        <f>Procurement_Raw!H654</f>
        <v>13</v>
      </c>
      <c r="I654" s="124">
        <f>Procurement_Raw!I654</f>
        <v>103.5</v>
      </c>
      <c r="J654" s="125">
        <f>IF(Procurement_Raw!J654="","",Procurement_Raw!J654)</f>
        <v>1345.54</v>
      </c>
      <c r="K654" s="77">
        <f>Procurement_Raw!K654</f>
        <v>60</v>
      </c>
      <c r="L654" t="str">
        <f>Procurement_Raw!L654</f>
        <v>Legacy Spend File</v>
      </c>
      <c r="M654" t="str">
        <f>Procurement_Raw!O654</f>
        <v>N</v>
      </c>
      <c r="N654" t="str">
        <f>IF(E654="","Missing supplier",IF(B654="","Missing site",IF(J654="","Missing spend",IF(COUNTIFS($G$2:G654,G654,$E$2:E654,E654,$J$2:J654,J654)&gt;1,"Duplicate invoice",IF(COUNTIF($G$2:$G$1801,G654)&gt;1,"Duplicate ID - review",IF(AND(P654&lt;&gt;"Unmapped",P654&lt;&gt;F654),"Category mismatch","OK"))))))</f>
        <v>OK</v>
      </c>
      <c r="O654" s="125">
        <f t="shared" si="30"/>
        <v>1345.54</v>
      </c>
      <c r="P654" t="str">
        <f>IF(E654="","Unmapped",IFERROR(INDEX(Supplier_Lookup!$B$2:$B$25,MATCH(E654,Supplier_Lookup!$A$2:$A$25,0)),"Unmapped"))</f>
        <v>Medical Supplies</v>
      </c>
      <c r="Q654" s="76">
        <f>IFERROR(INDEX(Category_Targets!$B$2:$B$9,MATCH(F654,Category_Targets!$A$2:$A$9,0)),0)</f>
        <v>0.06</v>
      </c>
      <c r="R654" s="125">
        <f t="shared" si="31"/>
        <v>80.732399999999998</v>
      </c>
      <c r="S654" s="78">
        <f t="shared" si="32"/>
        <v>45870</v>
      </c>
      <c r="T654" t="str">
        <f>IFERROR(VLOOKUP(B654,Sites!$A$2:$D$21,4,FALSE()),"Unknown")</f>
        <v>Coventry</v>
      </c>
      <c r="U654" t="str">
        <f>IF(N654="OK","",COUNTIF($N$2:N654,"&lt;&gt;OK"))</f>
        <v/>
      </c>
      <c r="V654">
        <f>IF(OR(NOT(EXACT(E654,TRIM(Procurement_Raw!E654))),NOT(EXACT(F654,TRIM(Procurement_Raw!F654)))),1,0)</f>
        <v>0</v>
      </c>
    </row>
    <row r="655" spans="1:22" ht="15" customHeight="1" x14ac:dyDescent="0.25">
      <c r="A655" s="123">
        <f>Procurement_Raw!A655</f>
        <v>45711</v>
      </c>
      <c r="B655" t="str">
        <f>TRIM(Procurement_Raw!B655)</f>
        <v>S017</v>
      </c>
      <c r="C655" t="str">
        <f>Procurement_Raw!C655</f>
        <v>Swansea Care &amp; Education Centre</v>
      </c>
      <c r="D655" t="str">
        <f>Procurement_Raw!D655</f>
        <v>Wales</v>
      </c>
      <c r="E655" t="str">
        <f>IF(TRIM(Procurement_Raw!E655)="","",IFERROR(INDEX(Supplier_Lookup!$A$2:$A$25,MATCH(TRIM(Procurement_Raw!E655),Supplier_Lookup!$A$2:$A$25,0)),TRIM(Procurement_Raw!E655)))</f>
        <v>SafeGuard FM</v>
      </c>
      <c r="F655" t="str">
        <f>IFERROR(INDEX(Category_Targets!$A$2:$A$9,MATCH(TRIM(Procurement_Raw!F655),Category_Targets!$A$2:$A$9,0)),"Unmapped")</f>
        <v>Facilities</v>
      </c>
      <c r="G655" t="str">
        <f>TRIM(Procurement_Raw!G655)</f>
        <v>INV-2025-00654</v>
      </c>
      <c r="H655" s="77">
        <f>Procurement_Raw!H655</f>
        <v>66</v>
      </c>
      <c r="I655" s="124">
        <f>Procurement_Raw!I655</f>
        <v>97.94</v>
      </c>
      <c r="J655" s="125">
        <f>IF(Procurement_Raw!J655="","",Procurement_Raw!J655)</f>
        <v>6464.12</v>
      </c>
      <c r="K655" s="77">
        <f>Procurement_Raw!K655</f>
        <v>60</v>
      </c>
      <c r="L655" t="str">
        <f>Procurement_Raw!L655</f>
        <v>Legacy Spend File</v>
      </c>
      <c r="M655" t="str">
        <f>Procurement_Raw!O655</f>
        <v>N</v>
      </c>
      <c r="N655" t="str">
        <f>IF(E655="","Missing supplier",IF(B655="","Missing site",IF(J655="","Missing spend",IF(COUNTIFS($G$2:G655,G655,$E$2:E655,E655,$J$2:J655,J655)&gt;1,"Duplicate invoice",IF(COUNTIF($G$2:$G$1801,G655)&gt;1,"Duplicate ID - review",IF(AND(P655&lt;&gt;"Unmapped",P655&lt;&gt;F655),"Category mismatch","OK"))))))</f>
        <v>OK</v>
      </c>
      <c r="O655" s="125">
        <f t="shared" si="30"/>
        <v>6464.12</v>
      </c>
      <c r="P655" t="str">
        <f>IF(E655="","Unmapped",IFERROR(INDEX(Supplier_Lookup!$B$2:$B$25,MATCH(E655,Supplier_Lookup!$A$2:$A$25,0)),"Unmapped"))</f>
        <v>Facilities</v>
      </c>
      <c r="Q655" s="76">
        <f>IFERROR(INDEX(Category_Targets!$B$2:$B$9,MATCH(F655,Category_Targets!$A$2:$A$9,0)),0)</f>
        <v>0.05</v>
      </c>
      <c r="R655" s="125">
        <f t="shared" si="31"/>
        <v>323.20600000000002</v>
      </c>
      <c r="S655" s="78">
        <f t="shared" si="32"/>
        <v>45689</v>
      </c>
      <c r="T655" t="str">
        <f>IFERROR(VLOOKUP(B655,Sites!$A$2:$D$21,4,FALSE()),"Unknown")</f>
        <v>Swansea</v>
      </c>
      <c r="U655" t="str">
        <f>IF(N655="OK","",COUNTIF($N$2:N655,"&lt;&gt;OK"))</f>
        <v/>
      </c>
      <c r="V655">
        <f>IF(OR(NOT(EXACT(E655,TRIM(Procurement_Raw!E655))),NOT(EXACT(F655,TRIM(Procurement_Raw!F655)))),1,0)</f>
        <v>0</v>
      </c>
    </row>
    <row r="656" spans="1:22" ht="15" customHeight="1" x14ac:dyDescent="0.25">
      <c r="A656" s="123">
        <f>Procurement_Raw!A656</f>
        <v>45712</v>
      </c>
      <c r="B656" t="str">
        <f>TRIM(Procurement_Raw!B656)</f>
        <v>S012</v>
      </c>
      <c r="C656" t="str">
        <f>Procurement_Raw!C656</f>
        <v>Bristol Care &amp; Education Centre</v>
      </c>
      <c r="D656" t="str">
        <f>Procurement_Raw!D656</f>
        <v>South</v>
      </c>
      <c r="E656" t="str">
        <f>IF(TRIM(Procurement_Raw!E656)="","",IFERROR(INDEX(Supplier_Lookup!$A$2:$A$25,MATCH(TRIM(Procurement_Raw!E656),Supplier_Lookup!$A$2:$A$25,0)),TRIM(Procurement_Raw!E656)))</f>
        <v>CloudLink</v>
      </c>
      <c r="F656" t="str">
        <f>IFERROR(INDEX(Category_Targets!$A$2:$A$9,MATCH(TRIM(Procurement_Raw!F656),Category_Targets!$A$2:$A$9,0)),"Unmapped")</f>
        <v>IT &amp; Telecoms</v>
      </c>
      <c r="G656" t="str">
        <f>TRIM(Procurement_Raw!G656)</f>
        <v>INV-2025-00655</v>
      </c>
      <c r="H656" s="77">
        <f>Procurement_Raw!H656</f>
        <v>64</v>
      </c>
      <c r="I656" s="124">
        <f>Procurement_Raw!I656</f>
        <v>905.94</v>
      </c>
      <c r="J656" s="125">
        <f>IF(Procurement_Raw!J656="","",Procurement_Raw!J656)</f>
        <v>57980.3</v>
      </c>
      <c r="K656" s="77">
        <f>Procurement_Raw!K656</f>
        <v>30</v>
      </c>
      <c r="L656" t="str">
        <f>Procurement_Raw!L656</f>
        <v>Legacy Spend File</v>
      </c>
      <c r="M656" t="str">
        <f>Procurement_Raw!O656</f>
        <v>Y</v>
      </c>
      <c r="N656" t="str">
        <f>IF(E656="","Missing supplier",IF(B656="","Missing site",IF(J656="","Missing spend",IF(COUNTIFS($G$2:G656,G656,$E$2:E656,E656,$J$2:J656,J656)&gt;1,"Duplicate invoice",IF(COUNTIF($G$2:$G$1801,G656)&gt;1,"Duplicate ID - review",IF(AND(P656&lt;&gt;"Unmapped",P656&lt;&gt;F656),"Category mismatch","OK"))))))</f>
        <v>OK</v>
      </c>
      <c r="O656" s="125">
        <f t="shared" si="30"/>
        <v>57980.3</v>
      </c>
      <c r="P656" t="str">
        <f>IF(E656="","Unmapped",IFERROR(INDEX(Supplier_Lookup!$B$2:$B$25,MATCH(E656,Supplier_Lookup!$A$2:$A$25,0)),"Unmapped"))</f>
        <v>IT &amp; Telecoms</v>
      </c>
      <c r="Q656" s="76">
        <f>IFERROR(INDEX(Category_Targets!$B$2:$B$9,MATCH(F656,Category_Targets!$A$2:$A$9,0)),0)</f>
        <v>0.08</v>
      </c>
      <c r="R656" s="125">
        <f t="shared" si="31"/>
        <v>4638.424</v>
      </c>
      <c r="S656" s="78">
        <f t="shared" si="32"/>
        <v>45689</v>
      </c>
      <c r="T656" t="str">
        <f>IFERROR(VLOOKUP(B656,Sites!$A$2:$D$21,4,FALSE()),"Unknown")</f>
        <v>Bristol</v>
      </c>
      <c r="U656" t="str">
        <f>IF(N656="OK","",COUNTIF($N$2:N656,"&lt;&gt;OK"))</f>
        <v/>
      </c>
      <c r="V656">
        <f>IF(OR(NOT(EXACT(E656,TRIM(Procurement_Raw!E656))),NOT(EXACT(F656,TRIM(Procurement_Raw!F656)))),1,0)</f>
        <v>0</v>
      </c>
    </row>
    <row r="657" spans="1:22" ht="15" customHeight="1" x14ac:dyDescent="0.25">
      <c r="A657" s="123">
        <f>Procurement_Raw!A657</f>
        <v>45761</v>
      </c>
      <c r="B657" t="str">
        <f>TRIM(Procurement_Raw!B657)</f>
        <v>S016</v>
      </c>
      <c r="C657" t="str">
        <f>Procurement_Raw!C657</f>
        <v>Cardiff Care &amp; Education Centre</v>
      </c>
      <c r="D657" t="str">
        <f>Procurement_Raw!D657</f>
        <v>Wales</v>
      </c>
      <c r="E657" t="str">
        <f>IF(TRIM(Procurement_Raw!E657)="","",IFERROR(INDEX(Supplier_Lookup!$A$2:$A$25,MATCH(TRIM(Procurement_Raw!E657),Supplier_Lookup!$A$2:$A$25,0)),TRIM(Procurement_Raw!E657)))</f>
        <v>NetServe</v>
      </c>
      <c r="F657" t="str">
        <f>IFERROR(INDEX(Category_Targets!$A$2:$A$9,MATCH(TRIM(Procurement_Raw!F657),Category_Targets!$A$2:$A$9,0)),"Unmapped")</f>
        <v>IT &amp; Telecoms</v>
      </c>
      <c r="G657" t="str">
        <f>TRIM(Procurement_Raw!G657)</f>
        <v>INV-2025-00656</v>
      </c>
      <c r="H657" s="77">
        <f>Procurement_Raw!H657</f>
        <v>46</v>
      </c>
      <c r="I657" s="124">
        <f>Procurement_Raw!I657</f>
        <v>227.28</v>
      </c>
      <c r="J657" s="125">
        <f>IF(Procurement_Raw!J657="","",Procurement_Raw!J657)</f>
        <v>10455.040000000001</v>
      </c>
      <c r="K657" s="77">
        <f>Procurement_Raw!K657</f>
        <v>60</v>
      </c>
      <c r="L657" t="str">
        <f>Procurement_Raw!L657</f>
        <v>Procurement Portal</v>
      </c>
      <c r="M657" t="str">
        <f>Procurement_Raw!O657</f>
        <v>N</v>
      </c>
      <c r="N657" t="str">
        <f>IF(E657="","Missing supplier",IF(B657="","Missing site",IF(J657="","Missing spend",IF(COUNTIFS($G$2:G657,G657,$E$2:E657,E657,$J$2:J657,J657)&gt;1,"Duplicate invoice",IF(COUNTIF($G$2:$G$1801,G657)&gt;1,"Duplicate ID - review",IF(AND(P657&lt;&gt;"Unmapped",P657&lt;&gt;F657),"Category mismatch","OK"))))))</f>
        <v>OK</v>
      </c>
      <c r="O657" s="125">
        <f t="shared" si="30"/>
        <v>10455.040000000001</v>
      </c>
      <c r="P657" t="str">
        <f>IF(E657="","Unmapped",IFERROR(INDEX(Supplier_Lookup!$B$2:$B$25,MATCH(E657,Supplier_Lookup!$A$2:$A$25,0)),"Unmapped"))</f>
        <v>IT &amp; Telecoms</v>
      </c>
      <c r="Q657" s="76">
        <f>IFERROR(INDEX(Category_Targets!$B$2:$B$9,MATCH(F657,Category_Targets!$A$2:$A$9,0)),0)</f>
        <v>0.08</v>
      </c>
      <c r="R657" s="125">
        <f t="shared" si="31"/>
        <v>836.40320000000008</v>
      </c>
      <c r="S657" s="78">
        <f t="shared" si="32"/>
        <v>45748</v>
      </c>
      <c r="T657" t="str">
        <f>IFERROR(VLOOKUP(B657,Sites!$A$2:$D$21,4,FALSE()),"Unknown")</f>
        <v>Cardiff</v>
      </c>
      <c r="U657" t="str">
        <f>IF(N657="OK","",COUNTIF($N$2:N657,"&lt;&gt;OK"))</f>
        <v/>
      </c>
      <c r="V657">
        <f>IF(OR(NOT(EXACT(E657,TRIM(Procurement_Raw!E657))),NOT(EXACT(F657,TRIM(Procurement_Raw!F657)))),1,0)</f>
        <v>0</v>
      </c>
    </row>
    <row r="658" spans="1:22" ht="15" customHeight="1" x14ac:dyDescent="0.25">
      <c r="A658" s="123">
        <f>Procurement_Raw!A658</f>
        <v>45938</v>
      </c>
      <c r="B658" t="str">
        <f>TRIM(Procurement_Raw!B658)</f>
        <v>S004</v>
      </c>
      <c r="C658" t="str">
        <f>Procurement_Raw!C658</f>
        <v>Newcastle Care &amp; Education Centre</v>
      </c>
      <c r="D658" t="str">
        <f>Procurement_Raw!D658</f>
        <v>North</v>
      </c>
      <c r="E658" t="str">
        <f>IF(TRIM(Procurement_Raw!E658)="","",IFERROR(INDEX(Supplier_Lookup!$A$2:$A$25,MATCH(TRIM(Procurement_Raw!E658),Supplier_Lookup!$A$2:$A$25,0)),TRIM(Procurement_Raw!E658)))</f>
        <v>CleanWorks</v>
      </c>
      <c r="F658" t="str">
        <f>IFERROR(INDEX(Category_Targets!$A$2:$A$9,MATCH(TRIM(Procurement_Raw!F658),Category_Targets!$A$2:$A$9,0)),"Unmapped")</f>
        <v>Facilities</v>
      </c>
      <c r="G658" t="str">
        <f>TRIM(Procurement_Raw!G658)</f>
        <v>INV-2025-00657</v>
      </c>
      <c r="H658" s="77">
        <f>Procurement_Raw!H658</f>
        <v>64</v>
      </c>
      <c r="I658" s="124">
        <f>Procurement_Raw!I658</f>
        <v>181.38</v>
      </c>
      <c r="J658" s="125">
        <f>IF(Procurement_Raw!J658="","",Procurement_Raw!J658)</f>
        <v>11608.59</v>
      </c>
      <c r="K658" s="77">
        <f>Procurement_Raw!K658</f>
        <v>30</v>
      </c>
      <c r="L658" t="str">
        <f>Procurement_Raw!L658</f>
        <v>Legacy Spend File</v>
      </c>
      <c r="M658" t="str">
        <f>Procurement_Raw!O658</f>
        <v>Y</v>
      </c>
      <c r="N658" t="str">
        <f>IF(E658="","Missing supplier",IF(B658="","Missing site",IF(J658="","Missing spend",IF(COUNTIFS($G$2:G658,G658,$E$2:E658,E658,$J$2:J658,J658)&gt;1,"Duplicate invoice",IF(COUNTIF($G$2:$G$1801,G658)&gt;1,"Duplicate ID - review",IF(AND(P658&lt;&gt;"Unmapped",P658&lt;&gt;F658),"Category mismatch","OK"))))))</f>
        <v>OK</v>
      </c>
      <c r="O658" s="125">
        <f t="shared" si="30"/>
        <v>11608.59</v>
      </c>
      <c r="P658" t="str">
        <f>IF(E658="","Unmapped",IFERROR(INDEX(Supplier_Lookup!$B$2:$B$25,MATCH(E658,Supplier_Lookup!$A$2:$A$25,0)),"Unmapped"))</f>
        <v>Facilities</v>
      </c>
      <c r="Q658" s="76">
        <f>IFERROR(INDEX(Category_Targets!$B$2:$B$9,MATCH(F658,Category_Targets!$A$2:$A$9,0)),0)</f>
        <v>0.05</v>
      </c>
      <c r="R658" s="125">
        <f t="shared" si="31"/>
        <v>580.42950000000008</v>
      </c>
      <c r="S658" s="78">
        <f t="shared" si="32"/>
        <v>45931</v>
      </c>
      <c r="T658" t="str">
        <f>IFERROR(VLOOKUP(B658,Sites!$A$2:$D$21,4,FALSE()),"Unknown")</f>
        <v>Newcastle</v>
      </c>
      <c r="U658" t="str">
        <f>IF(N658="OK","",COUNTIF($N$2:N658,"&lt;&gt;OK"))</f>
        <v/>
      </c>
      <c r="V658">
        <f>IF(OR(NOT(EXACT(E658,TRIM(Procurement_Raw!E658))),NOT(EXACT(F658,TRIM(Procurement_Raw!F658)))),1,0)</f>
        <v>0</v>
      </c>
    </row>
    <row r="659" spans="1:22" ht="15" customHeight="1" x14ac:dyDescent="0.25">
      <c r="A659" s="123">
        <f>Procurement_Raw!A659</f>
        <v>45659</v>
      </c>
      <c r="B659" t="str">
        <f>TRIM(Procurement_Raw!B659)</f>
        <v>S006</v>
      </c>
      <c r="C659" t="str">
        <f>Procurement_Raw!C659</f>
        <v>Birmingham Care &amp; Education Centre</v>
      </c>
      <c r="D659" t="str">
        <f>Procurement_Raw!D659</f>
        <v>Midlands</v>
      </c>
      <c r="E659" t="str">
        <f>IF(TRIM(Procurement_Raw!E659)="","",IFERROR(INDEX(Supplier_Lookup!$A$2:$A$25,MATCH(TRIM(Procurement_Raw!E659),Supplier_Lookup!$A$2:$A$25,0)),TRIM(Procurement_Raw!E659)))</f>
        <v>FleetFuel</v>
      </c>
      <c r="F659" t="str">
        <f>IFERROR(INDEX(Category_Targets!$A$2:$A$9,MATCH(TRIM(Procurement_Raw!F659),Category_Targets!$A$2:$A$9,0)),"Unmapped")</f>
        <v>Vehicle &amp; Fuel</v>
      </c>
      <c r="G659" t="str">
        <f>TRIM(Procurement_Raw!G659)</f>
        <v>INV-2025-00658</v>
      </c>
      <c r="H659" s="77">
        <f>Procurement_Raw!H659</f>
        <v>2</v>
      </c>
      <c r="I659" s="124">
        <f>Procurement_Raw!I659</f>
        <v>93.75</v>
      </c>
      <c r="J659" s="125">
        <f>IF(Procurement_Raw!J659="","",Procurement_Raw!J659)</f>
        <v>187.5</v>
      </c>
      <c r="K659" s="77">
        <f>Procurement_Raw!K659</f>
        <v>60</v>
      </c>
      <c r="L659" t="str">
        <f>Procurement_Raw!L659</f>
        <v>ERP</v>
      </c>
      <c r="M659" t="str">
        <f>Procurement_Raw!O659</f>
        <v>Y</v>
      </c>
      <c r="N659" t="str">
        <f>IF(E659="","Missing supplier",IF(B659="","Missing site",IF(J659="","Missing spend",IF(COUNTIFS($G$2:G659,G659,$E$2:E659,E659,$J$2:J659,J659)&gt;1,"Duplicate invoice",IF(COUNTIF($G$2:$G$1801,G659)&gt;1,"Duplicate ID - review",IF(AND(P659&lt;&gt;"Unmapped",P659&lt;&gt;F659),"Category mismatch","OK"))))))</f>
        <v>OK</v>
      </c>
      <c r="O659" s="125">
        <f t="shared" si="30"/>
        <v>187.5</v>
      </c>
      <c r="P659" t="str">
        <f>IF(E659="","Unmapped",IFERROR(INDEX(Supplier_Lookup!$B$2:$B$25,MATCH(E659,Supplier_Lookup!$A$2:$A$25,0)),"Unmapped"))</f>
        <v>Vehicle &amp; Fuel</v>
      </c>
      <c r="Q659" s="76">
        <f>IFERROR(INDEX(Category_Targets!$B$2:$B$9,MATCH(F659,Category_Targets!$A$2:$A$9,0)),0)</f>
        <v>0.05</v>
      </c>
      <c r="R659" s="125">
        <f t="shared" si="31"/>
        <v>9.375</v>
      </c>
      <c r="S659" s="78">
        <f t="shared" si="32"/>
        <v>45658</v>
      </c>
      <c r="T659" t="str">
        <f>IFERROR(VLOOKUP(B659,Sites!$A$2:$D$21,4,FALSE()),"Unknown")</f>
        <v>Birmingham</v>
      </c>
      <c r="U659" t="str">
        <f>IF(N659="OK","",COUNTIF($N$2:N659,"&lt;&gt;OK"))</f>
        <v/>
      </c>
      <c r="V659">
        <f>IF(OR(NOT(EXACT(E659,TRIM(Procurement_Raw!E659))),NOT(EXACT(F659,TRIM(Procurement_Raw!F659)))),1,0)</f>
        <v>0</v>
      </c>
    </row>
    <row r="660" spans="1:22" ht="15" customHeight="1" x14ac:dyDescent="0.25">
      <c r="A660" s="123">
        <f>Procurement_Raw!A660</f>
        <v>45704</v>
      </c>
      <c r="B660" t="str">
        <f>TRIM(Procurement_Raw!B660)</f>
        <v>S007</v>
      </c>
      <c r="C660" t="str">
        <f>Procurement_Raw!C660</f>
        <v>Nottingham Care &amp; Education Centre</v>
      </c>
      <c r="D660" t="str">
        <f>Procurement_Raw!D660</f>
        <v>Midlands</v>
      </c>
      <c r="E660" t="str">
        <f>IF(TRIM(Procurement_Raw!E660)="","",IFERROR(INDEX(Supplier_Lookup!$A$2:$A$25,MATCH(TRIM(Procurement_Raw!E660),Supplier_Lookup!$A$2:$A$25,0)),TRIM(Procurement_Raw!E660)))</f>
        <v>OfficePlus</v>
      </c>
      <c r="F660" t="str">
        <f>IFERROR(INDEX(Category_Targets!$A$2:$A$9,MATCH(TRIM(Procurement_Raw!F660),Category_Targets!$A$2:$A$9,0)),"Unmapped")</f>
        <v>Office &amp; Training</v>
      </c>
      <c r="G660" t="str">
        <f>TRIM(Procurement_Raw!G660)</f>
        <v>INV-2025-00659</v>
      </c>
      <c r="H660" s="77">
        <f>Procurement_Raw!H660</f>
        <v>66</v>
      </c>
      <c r="I660" s="124">
        <f>Procurement_Raw!I660</f>
        <v>83.63</v>
      </c>
      <c r="J660" s="125">
        <f>IF(Procurement_Raw!J660="","",Procurement_Raw!J660)</f>
        <v>5519.76</v>
      </c>
      <c r="K660" s="77">
        <f>Procurement_Raw!K660</f>
        <v>30</v>
      </c>
      <c r="L660" t="str">
        <f>Procurement_Raw!L660</f>
        <v>Legacy Spend File</v>
      </c>
      <c r="M660" t="str">
        <f>Procurement_Raw!O660</f>
        <v>N</v>
      </c>
      <c r="N660" t="str">
        <f>IF(E660="","Missing supplier",IF(B660="","Missing site",IF(J660="","Missing spend",IF(COUNTIFS($G$2:G660,G660,$E$2:E660,E660,$J$2:J660,J660)&gt;1,"Duplicate invoice",IF(COUNTIF($G$2:$G$1801,G660)&gt;1,"Duplicate ID - review",IF(AND(P660&lt;&gt;"Unmapped",P660&lt;&gt;F660),"Category mismatch","OK"))))))</f>
        <v>OK</v>
      </c>
      <c r="O660" s="125">
        <f t="shared" si="30"/>
        <v>5519.76</v>
      </c>
      <c r="P660" t="str">
        <f>IF(E660="","Unmapped",IFERROR(INDEX(Supplier_Lookup!$B$2:$B$25,MATCH(E660,Supplier_Lookup!$A$2:$A$25,0)),"Unmapped"))</f>
        <v>Office &amp; Training</v>
      </c>
      <c r="Q660" s="76">
        <f>IFERROR(INDEX(Category_Targets!$B$2:$B$9,MATCH(F660,Category_Targets!$A$2:$A$9,0)),0)</f>
        <v>0.04</v>
      </c>
      <c r="R660" s="125">
        <f t="shared" si="31"/>
        <v>220.79040000000001</v>
      </c>
      <c r="S660" s="78">
        <f t="shared" si="32"/>
        <v>45689</v>
      </c>
      <c r="T660" t="str">
        <f>IFERROR(VLOOKUP(B660,Sites!$A$2:$D$21,4,FALSE()),"Unknown")</f>
        <v>Nottingham</v>
      </c>
      <c r="U660" t="str">
        <f>IF(N660="OK","",COUNTIF($N$2:N660,"&lt;&gt;OK"))</f>
        <v/>
      </c>
      <c r="V660">
        <f>IF(OR(NOT(EXACT(E660,TRIM(Procurement_Raw!E660))),NOT(EXACT(F660,TRIM(Procurement_Raw!F660)))),1,0)</f>
        <v>0</v>
      </c>
    </row>
    <row r="661" spans="1:22" ht="15" customHeight="1" x14ac:dyDescent="0.25">
      <c r="A661" s="123">
        <f>Procurement_Raw!A661</f>
        <v>45987</v>
      </c>
      <c r="B661" t="str">
        <f>TRIM(Procurement_Raw!B661)</f>
        <v>S001</v>
      </c>
      <c r="C661" t="str">
        <f>Procurement_Raw!C661</f>
        <v>Preston Care &amp; Education Centre</v>
      </c>
      <c r="D661" t="str">
        <f>Procurement_Raw!D661</f>
        <v>North</v>
      </c>
      <c r="E661" t="str">
        <f>IF(TRIM(Procurement_Raw!E661)="","",IFERROR(INDEX(Supplier_Lookup!$A$2:$A$25,MATCH(TRIM(Procurement_Raw!E661),Supplier_Lookup!$A$2:$A$25,0)),TRIM(Procurement_Raw!E661)))</f>
        <v>NourishCo</v>
      </c>
      <c r="F661" t="str">
        <f>IFERROR(INDEX(Category_Targets!$A$2:$A$9,MATCH(TRIM(Procurement_Raw!F661),Category_Targets!$A$2:$A$9,0)),"Unmapped")</f>
        <v>Food &amp; Catering</v>
      </c>
      <c r="G661" t="str">
        <f>TRIM(Procurement_Raw!G661)</f>
        <v>INV-2025-00660</v>
      </c>
      <c r="H661" s="77">
        <f>Procurement_Raw!H661</f>
        <v>30</v>
      </c>
      <c r="I661" s="124">
        <f>Procurement_Raw!I661</f>
        <v>60.04</v>
      </c>
      <c r="J661" s="125">
        <f>IF(Procurement_Raw!J661="","",Procurement_Raw!J661)</f>
        <v>1801.16</v>
      </c>
      <c r="K661" s="77">
        <f>Procurement_Raw!K661</f>
        <v>45</v>
      </c>
      <c r="L661" t="str">
        <f>Procurement_Raw!L661</f>
        <v>Procurement Portal</v>
      </c>
      <c r="M661" t="str">
        <f>Procurement_Raw!O661</f>
        <v>N</v>
      </c>
      <c r="N661" t="str">
        <f>IF(E661="","Missing supplier",IF(B661="","Missing site",IF(J661="","Missing spend",IF(COUNTIFS($G$2:G661,G661,$E$2:E661,E661,$J$2:J661,J661)&gt;1,"Duplicate invoice",IF(COUNTIF($G$2:$G$1801,G661)&gt;1,"Duplicate ID - review",IF(AND(P661&lt;&gt;"Unmapped",P661&lt;&gt;F661),"Category mismatch","OK"))))))</f>
        <v>OK</v>
      </c>
      <c r="O661" s="125">
        <f t="shared" si="30"/>
        <v>1801.16</v>
      </c>
      <c r="P661" t="str">
        <f>IF(E661="","Unmapped",IFERROR(INDEX(Supplier_Lookup!$B$2:$B$25,MATCH(E661,Supplier_Lookup!$A$2:$A$25,0)),"Unmapped"))</f>
        <v>Food &amp; Catering</v>
      </c>
      <c r="Q661" s="76">
        <f>IFERROR(INDEX(Category_Targets!$B$2:$B$9,MATCH(F661,Category_Targets!$A$2:$A$9,0)),0)</f>
        <v>0.04</v>
      </c>
      <c r="R661" s="125">
        <f t="shared" si="31"/>
        <v>72.046400000000006</v>
      </c>
      <c r="S661" s="78">
        <f t="shared" si="32"/>
        <v>45962</v>
      </c>
      <c r="T661" t="str">
        <f>IFERROR(VLOOKUP(B661,Sites!$A$2:$D$21,4,FALSE()),"Unknown")</f>
        <v>Preston</v>
      </c>
      <c r="U661" t="str">
        <f>IF(N661="OK","",COUNTIF($N$2:N661,"&lt;&gt;OK"))</f>
        <v/>
      </c>
      <c r="V661">
        <f>IF(OR(NOT(EXACT(E661,TRIM(Procurement_Raw!E661))),NOT(EXACT(F661,TRIM(Procurement_Raw!F661)))),1,0)</f>
        <v>0</v>
      </c>
    </row>
    <row r="662" spans="1:22" ht="15" customHeight="1" x14ac:dyDescent="0.25">
      <c r="A662" s="123">
        <f>Procurement_Raw!A662</f>
        <v>45709</v>
      </c>
      <c r="B662" t="str">
        <f>TRIM(Procurement_Raw!B662)</f>
        <v>S013</v>
      </c>
      <c r="C662" t="str">
        <f>Procurement_Raw!C662</f>
        <v>Reading Care &amp; Education Centre</v>
      </c>
      <c r="D662" t="str">
        <f>Procurement_Raw!D662</f>
        <v>South</v>
      </c>
      <c r="E662" t="str">
        <f>IF(TRIM(Procurement_Raw!E662)="","",IFERROR(INDEX(Supplier_Lookup!$A$2:$A$25,MATCH(TRIM(Procurement_Raw!E662),Supplier_Lookup!$A$2:$A$25,0)),TRIM(Procurement_Raw!E662)))</f>
        <v>OfficePlus</v>
      </c>
      <c r="F662" t="str">
        <f>IFERROR(INDEX(Category_Targets!$A$2:$A$9,MATCH(TRIM(Procurement_Raw!F662),Category_Targets!$A$2:$A$9,0)),"Unmapped")</f>
        <v>Office &amp; Training</v>
      </c>
      <c r="G662" t="str">
        <f>TRIM(Procurement_Raw!G662)</f>
        <v>INV-2025-00661</v>
      </c>
      <c r="H662" s="77">
        <f>Procurement_Raw!H662</f>
        <v>23</v>
      </c>
      <c r="I662" s="124">
        <f>Procurement_Raw!I662</f>
        <v>54.71</v>
      </c>
      <c r="J662" s="125">
        <f>IF(Procurement_Raw!J662="","",Procurement_Raw!J662)</f>
        <v>1258.24</v>
      </c>
      <c r="K662" s="77">
        <f>Procurement_Raw!K662</f>
        <v>30</v>
      </c>
      <c r="L662" t="str">
        <f>Procurement_Raw!L662</f>
        <v>Procurement Portal</v>
      </c>
      <c r="M662" t="str">
        <f>Procurement_Raw!O662</f>
        <v>N</v>
      </c>
      <c r="N662" t="str">
        <f>IF(E662="","Missing supplier",IF(B662="","Missing site",IF(J662="","Missing spend",IF(COUNTIFS($G$2:G662,G662,$E$2:E662,E662,$J$2:J662,J662)&gt;1,"Duplicate invoice",IF(COUNTIF($G$2:$G$1801,G662)&gt;1,"Duplicate ID - review",IF(AND(P662&lt;&gt;"Unmapped",P662&lt;&gt;F662),"Category mismatch","OK"))))))</f>
        <v>OK</v>
      </c>
      <c r="O662" s="125">
        <f t="shared" si="30"/>
        <v>1258.24</v>
      </c>
      <c r="P662" t="str">
        <f>IF(E662="","Unmapped",IFERROR(INDEX(Supplier_Lookup!$B$2:$B$25,MATCH(E662,Supplier_Lookup!$A$2:$A$25,0)),"Unmapped"))</f>
        <v>Office &amp; Training</v>
      </c>
      <c r="Q662" s="76">
        <f>IFERROR(INDEX(Category_Targets!$B$2:$B$9,MATCH(F662,Category_Targets!$A$2:$A$9,0)),0)</f>
        <v>0.04</v>
      </c>
      <c r="R662" s="125">
        <f t="shared" si="31"/>
        <v>50.329599999999999</v>
      </c>
      <c r="S662" s="78">
        <f t="shared" si="32"/>
        <v>45689</v>
      </c>
      <c r="T662" t="str">
        <f>IFERROR(VLOOKUP(B662,Sites!$A$2:$D$21,4,FALSE()),"Unknown")</f>
        <v>Reading</v>
      </c>
      <c r="U662" t="str">
        <f>IF(N662="OK","",COUNTIF($N$2:N662,"&lt;&gt;OK"))</f>
        <v/>
      </c>
      <c r="V662">
        <f>IF(OR(NOT(EXACT(E662,TRIM(Procurement_Raw!E662))),NOT(EXACT(F662,TRIM(Procurement_Raw!F662)))),1,0)</f>
        <v>0</v>
      </c>
    </row>
    <row r="663" spans="1:22" ht="15" customHeight="1" x14ac:dyDescent="0.25">
      <c r="A663" s="123">
        <f>Procurement_Raw!A663</f>
        <v>45717</v>
      </c>
      <c r="B663" t="str">
        <f>TRIM(Procurement_Raw!B663)</f>
        <v>S012</v>
      </c>
      <c r="C663" t="str">
        <f>Procurement_Raw!C663</f>
        <v>Bristol Care &amp; Education Centre</v>
      </c>
      <c r="D663" t="str">
        <f>Procurement_Raw!D663</f>
        <v>South</v>
      </c>
      <c r="E663" t="str">
        <f>IF(TRIM(Procurement_Raw!E663)="","",IFERROR(INDEX(Supplier_Lookup!$A$2:$A$25,MATCH(TRIM(Procurement_Raw!E663),Supplier_Lookup!$A$2:$A$25,0)),TRIM(Procurement_Raw!E663)))</f>
        <v>RoadReady</v>
      </c>
      <c r="F663" t="str">
        <f>IFERROR(INDEX(Category_Targets!$A$2:$A$9,MATCH(TRIM(Procurement_Raw!F663),Category_Targets!$A$2:$A$9,0)),"Unmapped")</f>
        <v>Vehicle &amp; Fuel</v>
      </c>
      <c r="G663" t="str">
        <f>TRIM(Procurement_Raw!G663)</f>
        <v>INV-2025-00662</v>
      </c>
      <c r="H663" s="77">
        <f>Procurement_Raw!H663</f>
        <v>13</v>
      </c>
      <c r="I663" s="124">
        <f>Procurement_Raw!I663</f>
        <v>70.319999999999993</v>
      </c>
      <c r="J663" s="125">
        <f>IF(Procurement_Raw!J663="","",Procurement_Raw!J663)</f>
        <v>914.2</v>
      </c>
      <c r="K663" s="77">
        <f>Procurement_Raw!K663</f>
        <v>30</v>
      </c>
      <c r="L663" t="str">
        <f>Procurement_Raw!L663</f>
        <v>ERP</v>
      </c>
      <c r="M663" t="str">
        <f>Procurement_Raw!O663</f>
        <v>N</v>
      </c>
      <c r="N663" t="str">
        <f>IF(E663="","Missing supplier",IF(B663="","Missing site",IF(J663="","Missing spend",IF(COUNTIFS($G$2:G663,G663,$E$2:E663,E663,$J$2:J663,J663)&gt;1,"Duplicate invoice",IF(COUNTIF($G$2:$G$1801,G663)&gt;1,"Duplicate ID - review",IF(AND(P663&lt;&gt;"Unmapped",P663&lt;&gt;F663),"Category mismatch","OK"))))))</f>
        <v>OK</v>
      </c>
      <c r="O663" s="125">
        <f t="shared" si="30"/>
        <v>914.2</v>
      </c>
      <c r="P663" t="str">
        <f>IF(E663="","Unmapped",IFERROR(INDEX(Supplier_Lookup!$B$2:$B$25,MATCH(E663,Supplier_Lookup!$A$2:$A$25,0)),"Unmapped"))</f>
        <v>Vehicle &amp; Fuel</v>
      </c>
      <c r="Q663" s="76">
        <f>IFERROR(INDEX(Category_Targets!$B$2:$B$9,MATCH(F663,Category_Targets!$A$2:$A$9,0)),0)</f>
        <v>0.05</v>
      </c>
      <c r="R663" s="125">
        <f t="shared" si="31"/>
        <v>45.710000000000008</v>
      </c>
      <c r="S663" s="78">
        <f t="shared" si="32"/>
        <v>45717</v>
      </c>
      <c r="T663" t="str">
        <f>IFERROR(VLOOKUP(B663,Sites!$A$2:$D$21,4,FALSE()),"Unknown")</f>
        <v>Bristol</v>
      </c>
      <c r="U663" t="str">
        <f>IF(N663="OK","",COUNTIF($N$2:N663,"&lt;&gt;OK"))</f>
        <v/>
      </c>
      <c r="V663">
        <f>IF(OR(NOT(EXACT(E663,TRIM(Procurement_Raw!E663))),NOT(EXACT(F663,TRIM(Procurement_Raw!F663)))),1,0)</f>
        <v>0</v>
      </c>
    </row>
    <row r="664" spans="1:22" ht="15" customHeight="1" x14ac:dyDescent="0.25">
      <c r="A664" s="123">
        <f>Procurement_Raw!A664</f>
        <v>45841</v>
      </c>
      <c r="B664" t="str">
        <f>TRIM(Procurement_Raw!B664)</f>
        <v>S018</v>
      </c>
      <c r="C664" t="str">
        <f>Procurement_Raw!C664</f>
        <v>Newport Care &amp; Education Centre</v>
      </c>
      <c r="D664" t="str">
        <f>Procurement_Raw!D664</f>
        <v>Wales</v>
      </c>
      <c r="E664" t="str">
        <f>IF(TRIM(Procurement_Raw!E664)="","",IFERROR(INDEX(Supplier_Lookup!$A$2:$A$25,MATCH(TRIM(Procurement_Raw!E664),Supplier_Lookup!$A$2:$A$25,0)),TRIM(Procurement_Raw!E664)))</f>
        <v>SafeGuard FM</v>
      </c>
      <c r="F664" t="str">
        <f>IFERROR(INDEX(Category_Targets!$A$2:$A$9,MATCH(TRIM(Procurement_Raw!F664),Category_Targets!$A$2:$A$9,0)),"Unmapped")</f>
        <v>Facilities</v>
      </c>
      <c r="G664" t="str">
        <f>TRIM(Procurement_Raw!G664)</f>
        <v>INV-2025-00663</v>
      </c>
      <c r="H664" s="77">
        <f>Procurement_Raw!H664</f>
        <v>57</v>
      </c>
      <c r="I664" s="124">
        <f>Procurement_Raw!I664</f>
        <v>176.79</v>
      </c>
      <c r="J664" s="125">
        <f>IF(Procurement_Raw!J664="","",Procurement_Raw!J664)</f>
        <v>10076.83</v>
      </c>
      <c r="K664" s="77">
        <f>Procurement_Raw!K664</f>
        <v>60</v>
      </c>
      <c r="L664" t="str">
        <f>Procurement_Raw!L664</f>
        <v>Procurement Portal</v>
      </c>
      <c r="M664" t="str">
        <f>Procurement_Raw!O664</f>
        <v>N</v>
      </c>
      <c r="N664" t="str">
        <f>IF(E664="","Missing supplier",IF(B664="","Missing site",IF(J664="","Missing spend",IF(COUNTIFS($G$2:G664,G664,$E$2:E664,E664,$J$2:J664,J664)&gt;1,"Duplicate invoice",IF(COUNTIF($G$2:$G$1801,G664)&gt;1,"Duplicate ID - review",IF(AND(P664&lt;&gt;"Unmapped",P664&lt;&gt;F664),"Category mismatch","OK"))))))</f>
        <v>OK</v>
      </c>
      <c r="O664" s="125">
        <f t="shared" si="30"/>
        <v>10076.83</v>
      </c>
      <c r="P664" t="str">
        <f>IF(E664="","Unmapped",IFERROR(INDEX(Supplier_Lookup!$B$2:$B$25,MATCH(E664,Supplier_Lookup!$A$2:$A$25,0)),"Unmapped"))</f>
        <v>Facilities</v>
      </c>
      <c r="Q664" s="76">
        <f>IFERROR(INDEX(Category_Targets!$B$2:$B$9,MATCH(F664,Category_Targets!$A$2:$A$9,0)),0)</f>
        <v>0.05</v>
      </c>
      <c r="R664" s="125">
        <f t="shared" si="31"/>
        <v>503.8415</v>
      </c>
      <c r="S664" s="78">
        <f t="shared" si="32"/>
        <v>45839</v>
      </c>
      <c r="T664" t="str">
        <f>IFERROR(VLOOKUP(B664,Sites!$A$2:$D$21,4,FALSE()),"Unknown")</f>
        <v>Newport</v>
      </c>
      <c r="U664" t="str">
        <f>IF(N664="OK","",COUNTIF($N$2:N664,"&lt;&gt;OK"))</f>
        <v/>
      </c>
      <c r="V664">
        <f>IF(OR(NOT(EXACT(E664,TRIM(Procurement_Raw!E664))),NOT(EXACT(F664,TRIM(Procurement_Raw!F664)))),1,0)</f>
        <v>0</v>
      </c>
    </row>
    <row r="665" spans="1:22" ht="15" customHeight="1" x14ac:dyDescent="0.25">
      <c r="A665" s="123">
        <f>Procurement_Raw!A665</f>
        <v>45833</v>
      </c>
      <c r="B665" t="str">
        <f>TRIM(Procurement_Raw!B665)</f>
        <v>S012</v>
      </c>
      <c r="C665" t="str">
        <f>Procurement_Raw!C665</f>
        <v>Bristol Care &amp; Education Centre</v>
      </c>
      <c r="D665" t="str">
        <f>Procurement_Raw!D665</f>
        <v>South</v>
      </c>
      <c r="E665" t="str">
        <f>IF(TRIM(Procurement_Raw!E665)="","",IFERROR(INDEX(Supplier_Lookup!$A$2:$A$25,MATCH(TRIM(Procurement_Raw!E665),Supplier_Lookup!$A$2:$A$25,0)),TRIM(Procurement_Raw!E665)))</f>
        <v>NourishCo</v>
      </c>
      <c r="F665" t="str">
        <f>IFERROR(INDEX(Category_Targets!$A$2:$A$9,MATCH(TRIM(Procurement_Raw!F665),Category_Targets!$A$2:$A$9,0)),"Unmapped")</f>
        <v>Food &amp; Catering</v>
      </c>
      <c r="G665" t="str">
        <f>TRIM(Procurement_Raw!G665)</f>
        <v>INV-2025-00664</v>
      </c>
      <c r="H665" s="77">
        <f>Procurement_Raw!H665</f>
        <v>24</v>
      </c>
      <c r="I665" s="124">
        <f>Procurement_Raw!I665</f>
        <v>48.21</v>
      </c>
      <c r="J665" s="125">
        <f>IF(Procurement_Raw!J665="","",Procurement_Raw!J665)</f>
        <v>1156.97</v>
      </c>
      <c r="K665" s="77">
        <f>Procurement_Raw!K665</f>
        <v>30</v>
      </c>
      <c r="L665" t="str">
        <f>Procurement_Raw!L665</f>
        <v>Procurement Portal</v>
      </c>
      <c r="M665" t="str">
        <f>Procurement_Raw!O665</f>
        <v>N</v>
      </c>
      <c r="N665" t="str">
        <f>IF(E665="","Missing supplier",IF(B665="","Missing site",IF(J665="","Missing spend",IF(COUNTIFS($G$2:G665,G665,$E$2:E665,E665,$J$2:J665,J665)&gt;1,"Duplicate invoice",IF(COUNTIF($G$2:$G$1801,G665)&gt;1,"Duplicate ID - review",IF(AND(P665&lt;&gt;"Unmapped",P665&lt;&gt;F665),"Category mismatch","OK"))))))</f>
        <v>OK</v>
      </c>
      <c r="O665" s="125">
        <f t="shared" si="30"/>
        <v>1156.97</v>
      </c>
      <c r="P665" t="str">
        <f>IF(E665="","Unmapped",IFERROR(INDEX(Supplier_Lookup!$B$2:$B$25,MATCH(E665,Supplier_Lookup!$A$2:$A$25,0)),"Unmapped"))</f>
        <v>Food &amp; Catering</v>
      </c>
      <c r="Q665" s="76">
        <f>IFERROR(INDEX(Category_Targets!$B$2:$B$9,MATCH(F665,Category_Targets!$A$2:$A$9,0)),0)</f>
        <v>0.04</v>
      </c>
      <c r="R665" s="125">
        <f t="shared" si="31"/>
        <v>46.278800000000004</v>
      </c>
      <c r="S665" s="78">
        <f t="shared" si="32"/>
        <v>45809</v>
      </c>
      <c r="T665" t="str">
        <f>IFERROR(VLOOKUP(B665,Sites!$A$2:$D$21,4,FALSE()),"Unknown")</f>
        <v>Bristol</v>
      </c>
      <c r="U665" t="str">
        <f>IF(N665="OK","",COUNTIF($N$2:N665,"&lt;&gt;OK"))</f>
        <v/>
      </c>
      <c r="V665">
        <f>IF(OR(NOT(EXACT(E665,TRIM(Procurement_Raw!E665))),NOT(EXACT(F665,TRIM(Procurement_Raw!F665)))),1,0)</f>
        <v>0</v>
      </c>
    </row>
    <row r="666" spans="1:22" ht="15" customHeight="1" x14ac:dyDescent="0.25">
      <c r="A666" s="123">
        <f>Procurement_Raw!A666</f>
        <v>45855</v>
      </c>
      <c r="B666" t="str">
        <f>TRIM(Procurement_Raw!B666)</f>
        <v>S012</v>
      </c>
      <c r="C666" t="str">
        <f>Procurement_Raw!C666</f>
        <v>Bristol Care &amp; Education Centre</v>
      </c>
      <c r="D666" t="str">
        <f>Procurement_Raw!D666</f>
        <v>South</v>
      </c>
      <c r="E666" t="str">
        <f>IF(TRIM(Procurement_Raw!E666)="","",IFERROR(INDEX(Supplier_Lookup!$A$2:$A$25,MATCH(TRIM(Procurement_Raw!E666),Supplier_Lookup!$A$2:$A$25,0)),TRIM(Procurement_Raw!E666)))</f>
        <v>LearnWell</v>
      </c>
      <c r="F666" t="str">
        <f>IFERROR(INDEX(Category_Targets!$A$2:$A$9,MATCH(TRIM(Procurement_Raw!F666),Category_Targets!$A$2:$A$9,0)),"Unmapped")</f>
        <v>Office &amp; Training</v>
      </c>
      <c r="G666" t="str">
        <f>TRIM(Procurement_Raw!G666)</f>
        <v>INV-2025-00665</v>
      </c>
      <c r="H666" s="77">
        <f>Procurement_Raw!H666</f>
        <v>62</v>
      </c>
      <c r="I666" s="124">
        <f>Procurement_Raw!I666</f>
        <v>50.67</v>
      </c>
      <c r="J666" s="125">
        <f>IF(Procurement_Raw!J666="","",Procurement_Raw!J666)</f>
        <v>3141.82</v>
      </c>
      <c r="K666" s="77">
        <f>Procurement_Raw!K666</f>
        <v>45</v>
      </c>
      <c r="L666" t="str">
        <f>Procurement_Raw!L666</f>
        <v>Legacy Spend File</v>
      </c>
      <c r="M666" t="str">
        <f>Procurement_Raw!O666</f>
        <v>N</v>
      </c>
      <c r="N666" t="str">
        <f>IF(E666="","Missing supplier",IF(B666="","Missing site",IF(J666="","Missing spend",IF(COUNTIFS($G$2:G666,G666,$E$2:E666,E666,$J$2:J666,J666)&gt;1,"Duplicate invoice",IF(COUNTIF($G$2:$G$1801,G666)&gt;1,"Duplicate ID - review",IF(AND(P666&lt;&gt;"Unmapped",P666&lt;&gt;F666),"Category mismatch","OK"))))))</f>
        <v>OK</v>
      </c>
      <c r="O666" s="125">
        <f t="shared" si="30"/>
        <v>3141.82</v>
      </c>
      <c r="P666" t="str">
        <f>IF(E666="","Unmapped",IFERROR(INDEX(Supplier_Lookup!$B$2:$B$25,MATCH(E666,Supplier_Lookup!$A$2:$A$25,0)),"Unmapped"))</f>
        <v>Office &amp; Training</v>
      </c>
      <c r="Q666" s="76">
        <f>IFERROR(INDEX(Category_Targets!$B$2:$B$9,MATCH(F666,Category_Targets!$A$2:$A$9,0)),0)</f>
        <v>0.04</v>
      </c>
      <c r="R666" s="125">
        <f t="shared" si="31"/>
        <v>125.67280000000001</v>
      </c>
      <c r="S666" s="78">
        <f t="shared" si="32"/>
        <v>45839</v>
      </c>
      <c r="T666" t="str">
        <f>IFERROR(VLOOKUP(B666,Sites!$A$2:$D$21,4,FALSE()),"Unknown")</f>
        <v>Bristol</v>
      </c>
      <c r="U666" t="str">
        <f>IF(N666="OK","",COUNTIF($N$2:N666,"&lt;&gt;OK"))</f>
        <v/>
      </c>
      <c r="V666">
        <f>IF(OR(NOT(EXACT(E666,TRIM(Procurement_Raw!E666))),NOT(EXACT(F666,TRIM(Procurement_Raw!F666)))),1,0)</f>
        <v>0</v>
      </c>
    </row>
    <row r="667" spans="1:22" ht="15" customHeight="1" x14ac:dyDescent="0.25">
      <c r="A667" s="123">
        <f>Procurement_Raw!A667</f>
        <v>46014</v>
      </c>
      <c r="B667" t="str">
        <f>TRIM(Procurement_Raw!B667)</f>
        <v>S009</v>
      </c>
      <c r="C667" t="str">
        <f>Procurement_Raw!C667</f>
        <v>Derby Care &amp; Education Centre</v>
      </c>
      <c r="D667" t="str">
        <f>Procurement_Raw!D667</f>
        <v>Midlands</v>
      </c>
      <c r="E667" t="str">
        <f>IF(TRIM(Procurement_Raw!E667)="","",IFERROR(INDEX(Supplier_Lookup!$A$2:$A$25,MATCH(TRIM(Procurement_Raw!E667),Supplier_Lookup!$A$2:$A$25,0)),TRIM(Procurement_Raw!E667)))</f>
        <v>FreshServe</v>
      </c>
      <c r="F667" t="str">
        <f>IFERROR(INDEX(Category_Targets!$A$2:$A$9,MATCH(TRIM(Procurement_Raw!F667),Category_Targets!$A$2:$A$9,0)),"Unmapped")</f>
        <v>Food &amp; Catering</v>
      </c>
      <c r="G667" t="str">
        <f>TRIM(Procurement_Raw!G667)</f>
        <v>INV-2025-00666</v>
      </c>
      <c r="H667" s="77">
        <f>Procurement_Raw!H667</f>
        <v>8</v>
      </c>
      <c r="I667" s="124">
        <f>Procurement_Raw!I667</f>
        <v>68.92</v>
      </c>
      <c r="J667" s="125">
        <f>IF(Procurement_Raw!J667="","",Procurement_Raw!J667)</f>
        <v>551.35</v>
      </c>
      <c r="K667" s="77">
        <f>Procurement_Raw!K667</f>
        <v>30</v>
      </c>
      <c r="L667" t="str">
        <f>Procurement_Raw!L667</f>
        <v>ERP</v>
      </c>
      <c r="M667" t="str">
        <f>Procurement_Raw!O667</f>
        <v>Y</v>
      </c>
      <c r="N667" t="str">
        <f>IF(E667="","Missing supplier",IF(B667="","Missing site",IF(J667="","Missing spend",IF(COUNTIFS($G$2:G667,G667,$E$2:E667,E667,$J$2:J667,J667)&gt;1,"Duplicate invoice",IF(COUNTIF($G$2:$G$1801,G667)&gt;1,"Duplicate ID - review",IF(AND(P667&lt;&gt;"Unmapped",P667&lt;&gt;F667),"Category mismatch","OK"))))))</f>
        <v>OK</v>
      </c>
      <c r="O667" s="125">
        <f t="shared" si="30"/>
        <v>551.35</v>
      </c>
      <c r="P667" t="str">
        <f>IF(E667="","Unmapped",IFERROR(INDEX(Supplier_Lookup!$B$2:$B$25,MATCH(E667,Supplier_Lookup!$A$2:$A$25,0)),"Unmapped"))</f>
        <v>Food &amp; Catering</v>
      </c>
      <c r="Q667" s="76">
        <f>IFERROR(INDEX(Category_Targets!$B$2:$B$9,MATCH(F667,Category_Targets!$A$2:$A$9,0)),0)</f>
        <v>0.04</v>
      </c>
      <c r="R667" s="125">
        <f t="shared" si="31"/>
        <v>22.054000000000002</v>
      </c>
      <c r="S667" s="78">
        <f t="shared" si="32"/>
        <v>45992</v>
      </c>
      <c r="T667" t="str">
        <f>IFERROR(VLOOKUP(B667,Sites!$A$2:$D$21,4,FALSE()),"Unknown")</f>
        <v>Derby</v>
      </c>
      <c r="U667" t="str">
        <f>IF(N667="OK","",COUNTIF($N$2:N667,"&lt;&gt;OK"))</f>
        <v/>
      </c>
      <c r="V667">
        <f>IF(OR(NOT(EXACT(E667,TRIM(Procurement_Raw!E667))),NOT(EXACT(F667,TRIM(Procurement_Raw!F667)))),1,0)</f>
        <v>0</v>
      </c>
    </row>
    <row r="668" spans="1:22" ht="15" customHeight="1" x14ac:dyDescent="0.25">
      <c r="A668" s="123">
        <f>Procurement_Raw!A668</f>
        <v>46005</v>
      </c>
      <c r="B668" t="str">
        <f>TRIM(Procurement_Raw!B668)</f>
        <v>S009</v>
      </c>
      <c r="C668" t="str">
        <f>Procurement_Raw!C668</f>
        <v>Derby Care &amp; Education Centre</v>
      </c>
      <c r="D668" t="str">
        <f>Procurement_Raw!D668</f>
        <v>Midlands</v>
      </c>
      <c r="E668" t="str">
        <f>IF(TRIM(Procurement_Raw!E668)="","",IFERROR(INDEX(Supplier_Lookup!$A$2:$A$25,MATCH(TRIM(Procurement_Raw!E668),Supplier_Lookup!$A$2:$A$25,0)),TRIM(Procurement_Raw!E668)))</f>
        <v>PrintCo</v>
      </c>
      <c r="F668" t="str">
        <f>IFERROR(INDEX(Category_Targets!$A$2:$A$9,MATCH(TRIM(Procurement_Raw!F668),Category_Targets!$A$2:$A$9,0)),"Unmapped")</f>
        <v>Office &amp; Training</v>
      </c>
      <c r="G668" t="str">
        <f>TRIM(Procurement_Raw!G668)</f>
        <v>INV-2025-00667</v>
      </c>
      <c r="H668" s="77">
        <f>Procurement_Raw!H668</f>
        <v>57</v>
      </c>
      <c r="I668" s="124">
        <f>Procurement_Raw!I668</f>
        <v>65.19</v>
      </c>
      <c r="J668" s="125">
        <f>IF(Procurement_Raw!J668="","",Procurement_Raw!J668)</f>
        <v>3715.62</v>
      </c>
      <c r="K668" s="77">
        <f>Procurement_Raw!K668</f>
        <v>30</v>
      </c>
      <c r="L668" t="str">
        <f>Procurement_Raw!L668</f>
        <v>Legacy Spend File</v>
      </c>
      <c r="M668" t="str">
        <f>Procurement_Raw!O668</f>
        <v>N</v>
      </c>
      <c r="N668" t="str">
        <f>IF(E668="","Missing supplier",IF(B668="","Missing site",IF(J668="","Missing spend",IF(COUNTIFS($G$2:G668,G668,$E$2:E668,E668,$J$2:J668,J668)&gt;1,"Duplicate invoice",IF(COUNTIF($G$2:$G$1801,G668)&gt;1,"Duplicate ID - review",IF(AND(P668&lt;&gt;"Unmapped",P668&lt;&gt;F668),"Category mismatch","OK"))))))</f>
        <v>OK</v>
      </c>
      <c r="O668" s="125">
        <f t="shared" si="30"/>
        <v>3715.62</v>
      </c>
      <c r="P668" t="str">
        <f>IF(E668="","Unmapped",IFERROR(INDEX(Supplier_Lookup!$B$2:$B$25,MATCH(E668,Supplier_Lookup!$A$2:$A$25,0)),"Unmapped"))</f>
        <v>Office &amp; Training</v>
      </c>
      <c r="Q668" s="76">
        <f>IFERROR(INDEX(Category_Targets!$B$2:$B$9,MATCH(F668,Category_Targets!$A$2:$A$9,0)),0)</f>
        <v>0.04</v>
      </c>
      <c r="R668" s="125">
        <f t="shared" si="31"/>
        <v>148.62479999999999</v>
      </c>
      <c r="S668" s="78">
        <f t="shared" si="32"/>
        <v>45992</v>
      </c>
      <c r="T668" t="str">
        <f>IFERROR(VLOOKUP(B668,Sites!$A$2:$D$21,4,FALSE()),"Unknown")</f>
        <v>Derby</v>
      </c>
      <c r="U668" t="str">
        <f>IF(N668="OK","",COUNTIF($N$2:N668,"&lt;&gt;OK"))</f>
        <v/>
      </c>
      <c r="V668">
        <f>IF(OR(NOT(EXACT(E668,TRIM(Procurement_Raw!E668))),NOT(EXACT(F668,TRIM(Procurement_Raw!F668)))),1,0)</f>
        <v>0</v>
      </c>
    </row>
    <row r="669" spans="1:22" ht="15" customHeight="1" x14ac:dyDescent="0.25">
      <c r="A669" s="123">
        <f>Procurement_Raw!A669</f>
        <v>45672</v>
      </c>
      <c r="B669" t="str">
        <f>TRIM(Procurement_Raw!B669)</f>
        <v>S013</v>
      </c>
      <c r="C669" t="str">
        <f>Procurement_Raw!C669</f>
        <v>Reading Care &amp; Education Centre</v>
      </c>
      <c r="D669" t="str">
        <f>Procurement_Raw!D669</f>
        <v>South</v>
      </c>
      <c r="E669" t="str">
        <f>IF(TRIM(Procurement_Raw!E669)="","",IFERROR(INDEX(Supplier_Lookup!$A$2:$A$25,MATCH(TRIM(Procurement_Raw!E669),Supplier_Lookup!$A$2:$A$25,0)),TRIM(Procurement_Raw!E669)))</f>
        <v>AutoCare</v>
      </c>
      <c r="F669" t="str">
        <f>IFERROR(INDEX(Category_Targets!$A$2:$A$9,MATCH(TRIM(Procurement_Raw!F669),Category_Targets!$A$2:$A$9,0)),"Unmapped")</f>
        <v>Vehicle &amp; Fuel</v>
      </c>
      <c r="G669" t="str">
        <f>TRIM(Procurement_Raw!G669)</f>
        <v>INV-2025-00668</v>
      </c>
      <c r="H669" s="77">
        <f>Procurement_Raw!H669</f>
        <v>17</v>
      </c>
      <c r="I669" s="124">
        <f>Procurement_Raw!I669</f>
        <v>217.26</v>
      </c>
      <c r="J669" s="125">
        <f>IF(Procurement_Raw!J669="","",Procurement_Raw!J669)</f>
        <v>3693.34</v>
      </c>
      <c r="K669" s="77">
        <f>Procurement_Raw!K669</f>
        <v>45</v>
      </c>
      <c r="L669" t="str">
        <f>Procurement_Raw!L669</f>
        <v>Procurement Portal</v>
      </c>
      <c r="M669" t="str">
        <f>Procurement_Raw!O669</f>
        <v>N</v>
      </c>
      <c r="N669" t="str">
        <f>IF(E669="","Missing supplier",IF(B669="","Missing site",IF(J669="","Missing spend",IF(COUNTIFS($G$2:G669,G669,$E$2:E669,E669,$J$2:J669,J669)&gt;1,"Duplicate invoice",IF(COUNTIF($G$2:$G$1801,G669)&gt;1,"Duplicate ID - review",IF(AND(P669&lt;&gt;"Unmapped",P669&lt;&gt;F669),"Category mismatch","OK"))))))</f>
        <v>OK</v>
      </c>
      <c r="O669" s="125">
        <f t="shared" si="30"/>
        <v>3693.34</v>
      </c>
      <c r="P669" t="str">
        <f>IF(E669="","Unmapped",IFERROR(INDEX(Supplier_Lookup!$B$2:$B$25,MATCH(E669,Supplier_Lookup!$A$2:$A$25,0)),"Unmapped"))</f>
        <v>Vehicle &amp; Fuel</v>
      </c>
      <c r="Q669" s="76">
        <f>IFERROR(INDEX(Category_Targets!$B$2:$B$9,MATCH(F669,Category_Targets!$A$2:$A$9,0)),0)</f>
        <v>0.05</v>
      </c>
      <c r="R669" s="125">
        <f t="shared" si="31"/>
        <v>184.66700000000003</v>
      </c>
      <c r="S669" s="78">
        <f t="shared" si="32"/>
        <v>45658</v>
      </c>
      <c r="T669" t="str">
        <f>IFERROR(VLOOKUP(B669,Sites!$A$2:$D$21,4,FALSE()),"Unknown")</f>
        <v>Reading</v>
      </c>
      <c r="U669" t="str">
        <f>IF(N669="OK","",COUNTIF($N$2:N669,"&lt;&gt;OK"))</f>
        <v/>
      </c>
      <c r="V669">
        <f>IF(OR(NOT(EXACT(E669,TRIM(Procurement_Raw!E669))),NOT(EXACT(F669,TRIM(Procurement_Raw!F669)))),1,0)</f>
        <v>0</v>
      </c>
    </row>
    <row r="670" spans="1:22" ht="15" customHeight="1" x14ac:dyDescent="0.25">
      <c r="A670" s="123">
        <f>Procurement_Raw!A670</f>
        <v>45681</v>
      </c>
      <c r="B670" t="str">
        <f>TRIM(Procurement_Raw!B670)</f>
        <v>S003</v>
      </c>
      <c r="C670" t="str">
        <f>Procurement_Raw!C670</f>
        <v>Leeds Care &amp; Education Centre</v>
      </c>
      <c r="D670" t="str">
        <f>Procurement_Raw!D670</f>
        <v>North</v>
      </c>
      <c r="E670" t="str">
        <f>IF(TRIM(Procurement_Raw!E670)="","",IFERROR(INDEX(Supplier_Lookup!$A$2:$A$25,MATCH(TRIM(Procurement_Raw!E670),Supplier_Lookup!$A$2:$A$25,0)),TRIM(Procurement_Raw!E670)))</f>
        <v>CareTemps</v>
      </c>
      <c r="F670" t="str">
        <f>IFERROR(INDEX(Category_Targets!$A$2:$A$9,MATCH(TRIM(Procurement_Raw!F670),Category_Targets!$A$2:$A$9,0)),"Unmapped")</f>
        <v>Agency Labour</v>
      </c>
      <c r="G670" t="str">
        <f>TRIM(Procurement_Raw!G670)</f>
        <v>INV-2025-00669</v>
      </c>
      <c r="H670" s="77">
        <f>Procurement_Raw!H670</f>
        <v>9</v>
      </c>
      <c r="I670" s="124">
        <f>Procurement_Raw!I670</f>
        <v>69.81</v>
      </c>
      <c r="J670" s="125">
        <f>IF(Procurement_Raw!J670="","",Procurement_Raw!J670)</f>
        <v>628.27</v>
      </c>
      <c r="K670" s="77">
        <f>Procurement_Raw!K670</f>
        <v>45</v>
      </c>
      <c r="L670" t="str">
        <f>Procurement_Raw!L670</f>
        <v>Legacy Spend File</v>
      </c>
      <c r="M670" t="str">
        <f>Procurement_Raw!O670</f>
        <v>N</v>
      </c>
      <c r="N670" t="str">
        <f>IF(E670="","Missing supplier",IF(B670="","Missing site",IF(J670="","Missing spend",IF(COUNTIFS($G$2:G670,G670,$E$2:E670,E670,$J$2:J670,J670)&gt;1,"Duplicate invoice",IF(COUNTIF($G$2:$G$1801,G670)&gt;1,"Duplicate ID - review",IF(AND(P670&lt;&gt;"Unmapped",P670&lt;&gt;F670),"Category mismatch","OK"))))))</f>
        <v>OK</v>
      </c>
      <c r="O670" s="125">
        <f t="shared" si="30"/>
        <v>628.27</v>
      </c>
      <c r="P670" t="str">
        <f>IF(E670="","Unmapped",IFERROR(INDEX(Supplier_Lookup!$B$2:$B$25,MATCH(E670,Supplier_Lookup!$A$2:$A$25,0)),"Unmapped"))</f>
        <v>Agency Labour</v>
      </c>
      <c r="Q670" s="76">
        <f>IFERROR(INDEX(Category_Targets!$B$2:$B$9,MATCH(F670,Category_Targets!$A$2:$A$9,0)),0)</f>
        <v>7.0000000000000007E-2</v>
      </c>
      <c r="R670" s="125">
        <f t="shared" si="31"/>
        <v>43.978900000000003</v>
      </c>
      <c r="S670" s="78">
        <f t="shared" si="32"/>
        <v>45658</v>
      </c>
      <c r="T670" t="str">
        <f>IFERROR(VLOOKUP(B670,Sites!$A$2:$D$21,4,FALSE()),"Unknown")</f>
        <v>Leeds</v>
      </c>
      <c r="U670" t="str">
        <f>IF(N670="OK","",COUNTIF($N$2:N670,"&lt;&gt;OK"))</f>
        <v/>
      </c>
      <c r="V670">
        <f>IF(OR(NOT(EXACT(E670,TRIM(Procurement_Raw!E670))),NOT(EXACT(F670,TRIM(Procurement_Raw!F670)))),1,0)</f>
        <v>0</v>
      </c>
    </row>
    <row r="671" spans="1:22" ht="15" customHeight="1" x14ac:dyDescent="0.25">
      <c r="A671" s="123">
        <f>Procurement_Raw!A671</f>
        <v>46005</v>
      </c>
      <c r="B671" t="str">
        <f>TRIM(Procurement_Raw!B671)</f>
        <v>S020</v>
      </c>
      <c r="C671" t="str">
        <f>Procurement_Raw!C671</f>
        <v>Bangor Care &amp; Education Centre</v>
      </c>
      <c r="D671" t="str">
        <f>Procurement_Raw!D671</f>
        <v>Wales</v>
      </c>
      <c r="E671" t="str">
        <f>IF(TRIM(Procurement_Raw!E671)="","",IFERROR(INDEX(Supplier_Lookup!$A$2:$A$25,MATCH(TRIM(Procurement_Raw!E671),Supplier_Lookup!$A$2:$A$25,0)),TRIM(Procurement_Raw!E671)))</f>
        <v>ClinEquip</v>
      </c>
      <c r="F671" t="str">
        <f>IFERROR(INDEX(Category_Targets!$A$2:$A$9,MATCH(TRIM(Procurement_Raw!F671),Category_Targets!$A$2:$A$9,0)),"Unmapped")</f>
        <v>Medical Supplies</v>
      </c>
      <c r="G671" t="str">
        <f>TRIM(Procurement_Raw!G671)</f>
        <v>INV-2025-00670</v>
      </c>
      <c r="H671" s="77">
        <f>Procurement_Raw!H671</f>
        <v>68</v>
      </c>
      <c r="I671" s="124">
        <f>Procurement_Raw!I671</f>
        <v>218.73</v>
      </c>
      <c r="J671" s="125">
        <f>IF(Procurement_Raw!J671="","",Procurement_Raw!J671)</f>
        <v>14873.38</v>
      </c>
      <c r="K671" s="77">
        <f>Procurement_Raw!K671</f>
        <v>60</v>
      </c>
      <c r="L671" t="str">
        <f>Procurement_Raw!L671</f>
        <v>Legacy Spend File</v>
      </c>
      <c r="M671" t="str">
        <f>Procurement_Raw!O671</f>
        <v>N</v>
      </c>
      <c r="N671" t="str">
        <f>IF(E671="","Missing supplier",IF(B671="","Missing site",IF(J671="","Missing spend",IF(COUNTIFS($G$2:G671,G671,$E$2:E671,E671,$J$2:J671,J671)&gt;1,"Duplicate invoice",IF(COUNTIF($G$2:$G$1801,G671)&gt;1,"Duplicate ID - review",IF(AND(P671&lt;&gt;"Unmapped",P671&lt;&gt;F671),"Category mismatch","OK"))))))</f>
        <v>OK</v>
      </c>
      <c r="O671" s="125">
        <f t="shared" si="30"/>
        <v>14873.38</v>
      </c>
      <c r="P671" t="str">
        <f>IF(E671="","Unmapped",IFERROR(INDEX(Supplier_Lookup!$B$2:$B$25,MATCH(E671,Supplier_Lookup!$A$2:$A$25,0)),"Unmapped"))</f>
        <v>Medical Supplies</v>
      </c>
      <c r="Q671" s="76">
        <f>IFERROR(INDEX(Category_Targets!$B$2:$B$9,MATCH(F671,Category_Targets!$A$2:$A$9,0)),0)</f>
        <v>0.06</v>
      </c>
      <c r="R671" s="125">
        <f t="shared" si="31"/>
        <v>892.40279999999996</v>
      </c>
      <c r="S671" s="78">
        <f t="shared" si="32"/>
        <v>45992</v>
      </c>
      <c r="T671" t="str">
        <f>IFERROR(VLOOKUP(B671,Sites!$A$2:$D$21,4,FALSE()),"Unknown")</f>
        <v>Bangor</v>
      </c>
      <c r="U671" t="str">
        <f>IF(N671="OK","",COUNTIF($N$2:N671,"&lt;&gt;OK"))</f>
        <v/>
      </c>
      <c r="V671">
        <f>IF(OR(NOT(EXACT(E671,TRIM(Procurement_Raw!E671))),NOT(EXACT(F671,TRIM(Procurement_Raw!F671)))),1,0)</f>
        <v>0</v>
      </c>
    </row>
    <row r="672" spans="1:22" ht="15" customHeight="1" x14ac:dyDescent="0.25">
      <c r="A672" s="123">
        <f>Procurement_Raw!A672</f>
        <v>45831</v>
      </c>
      <c r="B672" t="str">
        <f>TRIM(Procurement_Raw!B672)</f>
        <v>S018</v>
      </c>
      <c r="C672" t="str">
        <f>Procurement_Raw!C672</f>
        <v>Newport Care &amp; Education Centre</v>
      </c>
      <c r="D672" t="str">
        <f>Procurement_Raw!D672</f>
        <v>Wales</v>
      </c>
      <c r="E672" t="str">
        <f>IF(TRIM(Procurement_Raw!E672)="","",IFERROR(INDEX(Supplier_Lookup!$A$2:$A$25,MATCH(TRIM(Procurement_Raw!E672),Supplier_Lookup!$A$2:$A$25,0)),TRIM(Procurement_Raw!E672)))</f>
        <v>PowerDirect</v>
      </c>
      <c r="F672" t="str">
        <f>IFERROR(INDEX(Category_Targets!$A$2:$A$9,MATCH(TRIM(Procurement_Raw!F672),Category_Targets!$A$2:$A$9,0)),"Unmapped")</f>
        <v>Utilities</v>
      </c>
      <c r="G672" t="str">
        <f>TRIM(Procurement_Raw!G672)</f>
        <v>INV-2025-00671</v>
      </c>
      <c r="H672" s="77">
        <f>Procurement_Raw!H672</f>
        <v>67</v>
      </c>
      <c r="I672" s="124">
        <f>Procurement_Raw!I672</f>
        <v>496.12</v>
      </c>
      <c r="J672" s="125">
        <f>IF(Procurement_Raw!J672="","",Procurement_Raw!J672)</f>
        <v>33239.71</v>
      </c>
      <c r="K672" s="77">
        <f>Procurement_Raw!K672</f>
        <v>60</v>
      </c>
      <c r="L672" t="str">
        <f>Procurement_Raw!L672</f>
        <v>Legacy Spend File</v>
      </c>
      <c r="M672" t="str">
        <f>Procurement_Raw!O672</f>
        <v>N</v>
      </c>
      <c r="N672" t="str">
        <f>IF(E672="","Missing supplier",IF(B672="","Missing site",IF(J672="","Missing spend",IF(COUNTIFS($G$2:G672,G672,$E$2:E672,E672,$J$2:J672,J672)&gt;1,"Duplicate invoice",IF(COUNTIF($G$2:$G$1801,G672)&gt;1,"Duplicate ID - review",IF(AND(P672&lt;&gt;"Unmapped",P672&lt;&gt;F672),"Category mismatch","OK"))))))</f>
        <v>OK</v>
      </c>
      <c r="O672" s="125">
        <f t="shared" si="30"/>
        <v>33239.71</v>
      </c>
      <c r="P672" t="str">
        <f>IF(E672="","Unmapped",IFERROR(INDEX(Supplier_Lookup!$B$2:$B$25,MATCH(E672,Supplier_Lookup!$A$2:$A$25,0)),"Unmapped"))</f>
        <v>Utilities</v>
      </c>
      <c r="Q672" s="76">
        <f>IFERROR(INDEX(Category_Targets!$B$2:$B$9,MATCH(F672,Category_Targets!$A$2:$A$9,0)),0)</f>
        <v>0.03</v>
      </c>
      <c r="R672" s="125">
        <f t="shared" si="31"/>
        <v>997.19129999999996</v>
      </c>
      <c r="S672" s="78">
        <f t="shared" si="32"/>
        <v>45809</v>
      </c>
      <c r="T672" t="str">
        <f>IFERROR(VLOOKUP(B672,Sites!$A$2:$D$21,4,FALSE()),"Unknown")</f>
        <v>Newport</v>
      </c>
      <c r="U672" t="str">
        <f>IF(N672="OK","",COUNTIF($N$2:N672,"&lt;&gt;OK"))</f>
        <v/>
      </c>
      <c r="V672">
        <f>IF(OR(NOT(EXACT(E672,TRIM(Procurement_Raw!E672))),NOT(EXACT(F672,TRIM(Procurement_Raw!F672)))),1,0)</f>
        <v>0</v>
      </c>
    </row>
    <row r="673" spans="1:22" ht="15" customHeight="1" x14ac:dyDescent="0.25">
      <c r="A673" s="123">
        <f>Procurement_Raw!A673</f>
        <v>45996</v>
      </c>
      <c r="B673" t="str">
        <f>TRIM(Procurement_Raw!B673)</f>
        <v>S020</v>
      </c>
      <c r="C673" t="str">
        <f>Procurement_Raw!C673</f>
        <v>Bangor Care &amp; Education Centre</v>
      </c>
      <c r="D673" t="str">
        <f>Procurement_Raw!D673</f>
        <v>Wales</v>
      </c>
      <c r="E673" t="str">
        <f>IF(TRIM(Procurement_Raw!E673)="","",IFERROR(INDEX(Supplier_Lookup!$A$2:$A$25,MATCH(TRIM(Procurement_Raw!E673),Supplier_Lookup!$A$2:$A$25,0)),TRIM(Procurement_Raw!E673)))</f>
        <v>NourishCo</v>
      </c>
      <c r="F673" t="str">
        <f>IFERROR(INDEX(Category_Targets!$A$2:$A$9,MATCH(TRIM(Procurement_Raw!F673),Category_Targets!$A$2:$A$9,0)),"Unmapped")</f>
        <v>Food &amp; Catering</v>
      </c>
      <c r="G673" t="str">
        <f>TRIM(Procurement_Raw!G673)</f>
        <v>INV-2025-00672</v>
      </c>
      <c r="H673" s="77">
        <f>Procurement_Raw!H673</f>
        <v>32</v>
      </c>
      <c r="I673" s="124">
        <f>Procurement_Raw!I673</f>
        <v>20.78</v>
      </c>
      <c r="J673" s="125">
        <f>IF(Procurement_Raw!J673="","",Procurement_Raw!J673)</f>
        <v>664.98</v>
      </c>
      <c r="K673" s="77">
        <f>Procurement_Raw!K673</f>
        <v>45</v>
      </c>
      <c r="L673" t="str">
        <f>Procurement_Raw!L673</f>
        <v>Procurement Portal</v>
      </c>
      <c r="M673" t="str">
        <f>Procurement_Raw!O673</f>
        <v>N</v>
      </c>
      <c r="N673" t="str">
        <f>IF(E673="","Missing supplier",IF(B673="","Missing site",IF(J673="","Missing spend",IF(COUNTIFS($G$2:G673,G673,$E$2:E673,E673,$J$2:J673,J673)&gt;1,"Duplicate invoice",IF(COUNTIF($G$2:$G$1801,G673)&gt;1,"Duplicate ID - review",IF(AND(P673&lt;&gt;"Unmapped",P673&lt;&gt;F673),"Category mismatch","OK"))))))</f>
        <v>OK</v>
      </c>
      <c r="O673" s="125">
        <f t="shared" si="30"/>
        <v>664.98</v>
      </c>
      <c r="P673" t="str">
        <f>IF(E673="","Unmapped",IFERROR(INDEX(Supplier_Lookup!$B$2:$B$25,MATCH(E673,Supplier_Lookup!$A$2:$A$25,0)),"Unmapped"))</f>
        <v>Food &amp; Catering</v>
      </c>
      <c r="Q673" s="76">
        <f>IFERROR(INDEX(Category_Targets!$B$2:$B$9,MATCH(F673,Category_Targets!$A$2:$A$9,0)),0)</f>
        <v>0.04</v>
      </c>
      <c r="R673" s="125">
        <f t="shared" si="31"/>
        <v>26.5992</v>
      </c>
      <c r="S673" s="78">
        <f t="shared" si="32"/>
        <v>45992</v>
      </c>
      <c r="T673" t="str">
        <f>IFERROR(VLOOKUP(B673,Sites!$A$2:$D$21,4,FALSE()),"Unknown")</f>
        <v>Bangor</v>
      </c>
      <c r="U673" t="str">
        <f>IF(N673="OK","",COUNTIF($N$2:N673,"&lt;&gt;OK"))</f>
        <v/>
      </c>
      <c r="V673">
        <f>IF(OR(NOT(EXACT(E673,TRIM(Procurement_Raw!E673))),NOT(EXACT(F673,TRIM(Procurement_Raw!F673)))),1,0)</f>
        <v>0</v>
      </c>
    </row>
    <row r="674" spans="1:22" ht="15" customHeight="1" x14ac:dyDescent="0.25">
      <c r="A674" s="123">
        <f>Procurement_Raw!A674</f>
        <v>45943</v>
      </c>
      <c r="B674" t="str">
        <f>TRIM(Procurement_Raw!B674)</f>
        <v>S020</v>
      </c>
      <c r="C674" t="str">
        <f>Procurement_Raw!C674</f>
        <v>Bangor Care &amp; Education Centre</v>
      </c>
      <c r="D674" t="str">
        <f>Procurement_Raw!D674</f>
        <v>Wales</v>
      </c>
      <c r="E674" t="str">
        <f>IF(TRIM(Procurement_Raw!E674)="","",IFERROR(INDEX(Supplier_Lookup!$A$2:$A$25,MATCH(TRIM(Procurement_Raw!E674),Supplier_Lookup!$A$2:$A$25,0)),TRIM(Procurement_Raw!E674)))</f>
        <v>HealthStaffing</v>
      </c>
      <c r="F674" t="str">
        <f>IFERROR(INDEX(Category_Targets!$A$2:$A$9,MATCH(TRIM(Procurement_Raw!F674),Category_Targets!$A$2:$A$9,0)),"Unmapped")</f>
        <v>Agency Labour</v>
      </c>
      <c r="G674" t="str">
        <f>TRIM(Procurement_Raw!G674)</f>
        <v>INV-2025-00673</v>
      </c>
      <c r="H674" s="77">
        <f>Procurement_Raw!H674</f>
        <v>79</v>
      </c>
      <c r="I674" s="124">
        <f>Procurement_Raw!I674</f>
        <v>248.47</v>
      </c>
      <c r="J674" s="125">
        <f>IF(Procurement_Raw!J674="","",Procurement_Raw!J674)</f>
        <v>19628.78</v>
      </c>
      <c r="K674" s="77">
        <f>Procurement_Raw!K674</f>
        <v>30</v>
      </c>
      <c r="L674" t="str">
        <f>Procurement_Raw!L674</f>
        <v>ERP</v>
      </c>
      <c r="M674" t="str">
        <f>Procurement_Raw!O674</f>
        <v>N</v>
      </c>
      <c r="N674" t="str">
        <f>IF(E674="","Missing supplier",IF(B674="","Missing site",IF(J674="","Missing spend",IF(COUNTIFS($G$2:G674,G674,$E$2:E674,E674,$J$2:J674,J674)&gt;1,"Duplicate invoice",IF(COUNTIF($G$2:$G$1801,G674)&gt;1,"Duplicate ID - review",IF(AND(P674&lt;&gt;"Unmapped",P674&lt;&gt;F674),"Category mismatch","OK"))))))</f>
        <v>OK</v>
      </c>
      <c r="O674" s="125">
        <f t="shared" si="30"/>
        <v>19628.78</v>
      </c>
      <c r="P674" t="str">
        <f>IF(E674="","Unmapped",IFERROR(INDEX(Supplier_Lookup!$B$2:$B$25,MATCH(E674,Supplier_Lookup!$A$2:$A$25,0)),"Unmapped"))</f>
        <v>Agency Labour</v>
      </c>
      <c r="Q674" s="76">
        <f>IFERROR(INDEX(Category_Targets!$B$2:$B$9,MATCH(F674,Category_Targets!$A$2:$A$9,0)),0)</f>
        <v>7.0000000000000007E-2</v>
      </c>
      <c r="R674" s="125">
        <f t="shared" si="31"/>
        <v>1374.0146</v>
      </c>
      <c r="S674" s="78">
        <f t="shared" si="32"/>
        <v>45931</v>
      </c>
      <c r="T674" t="str">
        <f>IFERROR(VLOOKUP(B674,Sites!$A$2:$D$21,4,FALSE()),"Unknown")</f>
        <v>Bangor</v>
      </c>
      <c r="U674" t="str">
        <f>IF(N674="OK","",COUNTIF($N$2:N674,"&lt;&gt;OK"))</f>
        <v/>
      </c>
      <c r="V674">
        <f>IF(OR(NOT(EXACT(E674,TRIM(Procurement_Raw!E674))),NOT(EXACT(F674,TRIM(Procurement_Raw!F674)))),1,0)</f>
        <v>0</v>
      </c>
    </row>
    <row r="675" spans="1:22" ht="15" customHeight="1" x14ac:dyDescent="0.25">
      <c r="A675" s="123">
        <f>Procurement_Raw!A675</f>
        <v>45898</v>
      </c>
      <c r="B675" t="str">
        <f>TRIM(Procurement_Raw!B675)</f>
        <v>S009</v>
      </c>
      <c r="C675" t="str">
        <f>Procurement_Raw!C675</f>
        <v>Derby Care &amp; Education Centre</v>
      </c>
      <c r="D675" t="str">
        <f>Procurement_Raw!D675</f>
        <v>Midlands</v>
      </c>
      <c r="E675" t="str">
        <f>IF(TRIM(Procurement_Raw!E675)="","",IFERROR(INDEX(Supplier_Lookup!$A$2:$A$25,MATCH(TRIM(Procurement_Raw!E675),Supplier_Lookup!$A$2:$A$25,0)),TRIM(Procurement_Raw!E675)))</f>
        <v>BuildCare</v>
      </c>
      <c r="F675" t="str">
        <f>IFERROR(INDEX(Category_Targets!$A$2:$A$9,MATCH(TRIM(Procurement_Raw!F675),Category_Targets!$A$2:$A$9,0)),"Unmapped")</f>
        <v>Facilities</v>
      </c>
      <c r="G675" t="str">
        <f>TRIM(Procurement_Raw!G675)</f>
        <v>INV-2025-00674</v>
      </c>
      <c r="H675" s="77">
        <f>Procurement_Raw!H675</f>
        <v>64</v>
      </c>
      <c r="I675" s="124">
        <f>Procurement_Raw!I675</f>
        <v>146.74</v>
      </c>
      <c r="J675" s="125">
        <f>IF(Procurement_Raw!J675="","",Procurement_Raw!J675)</f>
        <v>9391.3799999999992</v>
      </c>
      <c r="K675" s="77">
        <f>Procurement_Raw!K675</f>
        <v>30</v>
      </c>
      <c r="L675" t="str">
        <f>Procurement_Raw!L675</f>
        <v>ERP</v>
      </c>
      <c r="M675" t="str">
        <f>Procurement_Raw!O675</f>
        <v>N</v>
      </c>
      <c r="N675" t="str">
        <f>IF(E675="","Missing supplier",IF(B675="","Missing site",IF(J675="","Missing spend",IF(COUNTIFS($G$2:G675,G675,$E$2:E675,E675,$J$2:J675,J675)&gt;1,"Duplicate invoice",IF(COUNTIF($G$2:$G$1801,G675)&gt;1,"Duplicate ID - review",IF(AND(P675&lt;&gt;"Unmapped",P675&lt;&gt;F675),"Category mismatch","OK"))))))</f>
        <v>OK</v>
      </c>
      <c r="O675" s="125">
        <f t="shared" si="30"/>
        <v>9391.3799999999992</v>
      </c>
      <c r="P675" t="str">
        <f>IF(E675="","Unmapped",IFERROR(INDEX(Supplier_Lookup!$B$2:$B$25,MATCH(E675,Supplier_Lookup!$A$2:$A$25,0)),"Unmapped"))</f>
        <v>Facilities</v>
      </c>
      <c r="Q675" s="76">
        <f>IFERROR(INDEX(Category_Targets!$B$2:$B$9,MATCH(F675,Category_Targets!$A$2:$A$9,0)),0)</f>
        <v>0.05</v>
      </c>
      <c r="R675" s="125">
        <f t="shared" si="31"/>
        <v>469.56899999999996</v>
      </c>
      <c r="S675" s="78">
        <f t="shared" si="32"/>
        <v>45870</v>
      </c>
      <c r="T675" t="str">
        <f>IFERROR(VLOOKUP(B675,Sites!$A$2:$D$21,4,FALSE()),"Unknown")</f>
        <v>Derby</v>
      </c>
      <c r="U675" t="str">
        <f>IF(N675="OK","",COUNTIF($N$2:N675,"&lt;&gt;OK"))</f>
        <v/>
      </c>
      <c r="V675">
        <f>IF(OR(NOT(EXACT(E675,TRIM(Procurement_Raw!E675))),NOT(EXACT(F675,TRIM(Procurement_Raw!F675)))),1,0)</f>
        <v>0</v>
      </c>
    </row>
    <row r="676" spans="1:22" ht="15" customHeight="1" x14ac:dyDescent="0.25">
      <c r="A676" s="123">
        <f>Procurement_Raw!A676</f>
        <v>45781</v>
      </c>
      <c r="B676" t="str">
        <f>TRIM(Procurement_Raw!B676)</f>
        <v>S020</v>
      </c>
      <c r="C676" t="str">
        <f>Procurement_Raw!C676</f>
        <v>Bangor Care &amp; Education Centre</v>
      </c>
      <c r="D676" t="str">
        <f>Procurement_Raw!D676</f>
        <v>Wales</v>
      </c>
      <c r="E676" t="str">
        <f>IF(TRIM(Procurement_Raw!E676)="","",IFERROR(INDEX(Supplier_Lookup!$A$2:$A$25,MATCH(TRIM(Procurement_Raw!E676),Supplier_Lookup!$A$2:$A$25,0)),TRIM(Procurement_Raw!E676)))</f>
        <v>LearnWell</v>
      </c>
      <c r="F676" t="str">
        <f>IFERROR(INDEX(Category_Targets!$A$2:$A$9,MATCH(TRIM(Procurement_Raw!F676),Category_Targets!$A$2:$A$9,0)),"Unmapped")</f>
        <v>Office &amp; Training</v>
      </c>
      <c r="G676" t="str">
        <f>TRIM(Procurement_Raw!G676)</f>
        <v>INV-2025-00675</v>
      </c>
      <c r="H676" s="77">
        <f>Procurement_Raw!H676</f>
        <v>43</v>
      </c>
      <c r="I676" s="124">
        <f>Procurement_Raw!I676</f>
        <v>34.58</v>
      </c>
      <c r="J676" s="125">
        <f>IF(Procurement_Raw!J676="","",Procurement_Raw!J676)</f>
        <v>1487.06</v>
      </c>
      <c r="K676" s="77">
        <f>Procurement_Raw!K676</f>
        <v>45</v>
      </c>
      <c r="L676" t="str">
        <f>Procurement_Raw!L676</f>
        <v>ERP</v>
      </c>
      <c r="M676" t="str">
        <f>Procurement_Raw!O676</f>
        <v>N</v>
      </c>
      <c r="N676" t="str">
        <f>IF(E676="","Missing supplier",IF(B676="","Missing site",IF(J676="","Missing spend",IF(COUNTIFS($G$2:G676,G676,$E$2:E676,E676,$J$2:J676,J676)&gt;1,"Duplicate invoice",IF(COUNTIF($G$2:$G$1801,G676)&gt;1,"Duplicate ID - review",IF(AND(P676&lt;&gt;"Unmapped",P676&lt;&gt;F676),"Category mismatch","OK"))))))</f>
        <v>OK</v>
      </c>
      <c r="O676" s="125">
        <f t="shared" si="30"/>
        <v>1487.06</v>
      </c>
      <c r="P676" t="str">
        <f>IF(E676="","Unmapped",IFERROR(INDEX(Supplier_Lookup!$B$2:$B$25,MATCH(E676,Supplier_Lookup!$A$2:$A$25,0)),"Unmapped"))</f>
        <v>Office &amp; Training</v>
      </c>
      <c r="Q676" s="76">
        <f>IFERROR(INDEX(Category_Targets!$B$2:$B$9,MATCH(F676,Category_Targets!$A$2:$A$9,0)),0)</f>
        <v>0.04</v>
      </c>
      <c r="R676" s="125">
        <f t="shared" si="31"/>
        <v>59.482399999999998</v>
      </c>
      <c r="S676" s="78">
        <f t="shared" si="32"/>
        <v>45778</v>
      </c>
      <c r="T676" t="str">
        <f>IFERROR(VLOOKUP(B676,Sites!$A$2:$D$21,4,FALSE()),"Unknown")</f>
        <v>Bangor</v>
      </c>
      <c r="U676" t="str">
        <f>IF(N676="OK","",COUNTIF($N$2:N676,"&lt;&gt;OK"))</f>
        <v/>
      </c>
      <c r="V676">
        <f>IF(OR(NOT(EXACT(E676,TRIM(Procurement_Raw!E676))),NOT(EXACT(F676,TRIM(Procurement_Raw!F676)))),1,0)</f>
        <v>0</v>
      </c>
    </row>
    <row r="677" spans="1:22" ht="15" customHeight="1" x14ac:dyDescent="0.25">
      <c r="A677" s="123">
        <f>Procurement_Raw!A677</f>
        <v>45987</v>
      </c>
      <c r="B677" t="str">
        <f>TRIM(Procurement_Raw!B677)</f>
        <v>S005</v>
      </c>
      <c r="C677" t="str">
        <f>Procurement_Raw!C677</f>
        <v>Sheffield Care &amp; Education Centre</v>
      </c>
      <c r="D677" t="str">
        <f>Procurement_Raw!D677</f>
        <v>North</v>
      </c>
      <c r="E677" t="str">
        <f>IF(TRIM(Procurement_Raw!E677)="","",IFERROR(INDEX(Supplier_Lookup!$A$2:$A$25,MATCH(TRIM(Procurement_Raw!E677),Supplier_Lookup!$A$2:$A$25,0)),TRIM(Procurement_Raw!E677)))</f>
        <v>PowerDirect</v>
      </c>
      <c r="F677" t="str">
        <f>IFERROR(INDEX(Category_Targets!$A$2:$A$9,MATCH(TRIM(Procurement_Raw!F677),Category_Targets!$A$2:$A$9,0)),"Unmapped")</f>
        <v>Utilities</v>
      </c>
      <c r="G677" t="str">
        <f>TRIM(Procurement_Raw!G677)</f>
        <v>INV-2025-00676</v>
      </c>
      <c r="H677" s="77">
        <f>Procurement_Raw!H677</f>
        <v>49</v>
      </c>
      <c r="I677" s="124">
        <f>Procurement_Raw!I677</f>
        <v>162.99</v>
      </c>
      <c r="J677" s="125">
        <f>IF(Procurement_Raw!J677="","",Procurement_Raw!J677)</f>
        <v>7986.29</v>
      </c>
      <c r="K677" s="77">
        <f>Procurement_Raw!K677</f>
        <v>45</v>
      </c>
      <c r="L677" t="str">
        <f>Procurement_Raw!L677</f>
        <v>ERP</v>
      </c>
      <c r="M677" t="str">
        <f>Procurement_Raw!O677</f>
        <v>N</v>
      </c>
      <c r="N677" t="str">
        <f>IF(E677="","Missing supplier",IF(B677="","Missing site",IF(J677="","Missing spend",IF(COUNTIFS($G$2:G677,G677,$E$2:E677,E677,$J$2:J677,J677)&gt;1,"Duplicate invoice",IF(COUNTIF($G$2:$G$1801,G677)&gt;1,"Duplicate ID - review",IF(AND(P677&lt;&gt;"Unmapped",P677&lt;&gt;F677),"Category mismatch","OK"))))))</f>
        <v>OK</v>
      </c>
      <c r="O677" s="125">
        <f t="shared" si="30"/>
        <v>7986.29</v>
      </c>
      <c r="P677" t="str">
        <f>IF(E677="","Unmapped",IFERROR(INDEX(Supplier_Lookup!$B$2:$B$25,MATCH(E677,Supplier_Lookup!$A$2:$A$25,0)),"Unmapped"))</f>
        <v>Utilities</v>
      </c>
      <c r="Q677" s="76">
        <f>IFERROR(INDEX(Category_Targets!$B$2:$B$9,MATCH(F677,Category_Targets!$A$2:$A$9,0)),0)</f>
        <v>0.03</v>
      </c>
      <c r="R677" s="125">
        <f t="shared" si="31"/>
        <v>239.58869999999999</v>
      </c>
      <c r="S677" s="78">
        <f t="shared" si="32"/>
        <v>45962</v>
      </c>
      <c r="T677" t="str">
        <f>IFERROR(VLOOKUP(B677,Sites!$A$2:$D$21,4,FALSE()),"Unknown")</f>
        <v>Sheffield</v>
      </c>
      <c r="U677" t="str">
        <f>IF(N677="OK","",COUNTIF($N$2:N677,"&lt;&gt;OK"))</f>
        <v/>
      </c>
      <c r="V677">
        <f>IF(OR(NOT(EXACT(E677,TRIM(Procurement_Raw!E677))),NOT(EXACT(F677,TRIM(Procurement_Raw!F677)))),1,0)</f>
        <v>0</v>
      </c>
    </row>
    <row r="678" spans="1:22" ht="15" customHeight="1" x14ac:dyDescent="0.25">
      <c r="A678" s="123">
        <f>Procurement_Raw!A678</f>
        <v>45951</v>
      </c>
      <c r="B678" t="str">
        <f>TRIM(Procurement_Raw!B678)</f>
        <v>S003</v>
      </c>
      <c r="C678" t="str">
        <f>Procurement_Raw!C678</f>
        <v>Leeds Care &amp; Education Centre</v>
      </c>
      <c r="D678" t="str">
        <f>Procurement_Raw!D678</f>
        <v>North</v>
      </c>
      <c r="E678" t="str">
        <f>IF(TRIM(Procurement_Raw!E678)="","",IFERROR(INDEX(Supplier_Lookup!$A$2:$A$25,MATCH(TRIM(Procurement_Raw!E678),Supplier_Lookup!$A$2:$A$25,0)),TRIM(Procurement_Raw!E678)))</f>
        <v>LearnWell</v>
      </c>
      <c r="F678" t="str">
        <f>IFERROR(INDEX(Category_Targets!$A$2:$A$9,MATCH(TRIM(Procurement_Raw!F678),Category_Targets!$A$2:$A$9,0)),"Unmapped")</f>
        <v>Office &amp; Training</v>
      </c>
      <c r="G678" t="str">
        <f>TRIM(Procurement_Raw!G678)</f>
        <v>INV-2025-00677</v>
      </c>
      <c r="H678" s="77">
        <f>Procurement_Raw!H678</f>
        <v>58</v>
      </c>
      <c r="I678" s="124">
        <f>Procurement_Raw!I678</f>
        <v>40.72</v>
      </c>
      <c r="J678" s="125">
        <f>IF(Procurement_Raw!J678="","",Procurement_Raw!J678)</f>
        <v>2361.65</v>
      </c>
      <c r="K678" s="77">
        <f>Procurement_Raw!K678</f>
        <v>30</v>
      </c>
      <c r="L678" t="str">
        <f>Procurement_Raw!L678</f>
        <v>Procurement Portal</v>
      </c>
      <c r="M678" t="str">
        <f>Procurement_Raw!O678</f>
        <v>N</v>
      </c>
      <c r="N678" t="str">
        <f>IF(E678="","Missing supplier",IF(B678="","Missing site",IF(J678="","Missing spend",IF(COUNTIFS($G$2:G678,G678,$E$2:E678,E678,$J$2:J678,J678)&gt;1,"Duplicate invoice",IF(COUNTIF($G$2:$G$1801,G678)&gt;1,"Duplicate ID - review",IF(AND(P678&lt;&gt;"Unmapped",P678&lt;&gt;F678),"Category mismatch","OK"))))))</f>
        <v>OK</v>
      </c>
      <c r="O678" s="125">
        <f t="shared" si="30"/>
        <v>2361.65</v>
      </c>
      <c r="P678" t="str">
        <f>IF(E678="","Unmapped",IFERROR(INDEX(Supplier_Lookup!$B$2:$B$25,MATCH(E678,Supplier_Lookup!$A$2:$A$25,0)),"Unmapped"))</f>
        <v>Office &amp; Training</v>
      </c>
      <c r="Q678" s="76">
        <f>IFERROR(INDEX(Category_Targets!$B$2:$B$9,MATCH(F678,Category_Targets!$A$2:$A$9,0)),0)</f>
        <v>0.04</v>
      </c>
      <c r="R678" s="125">
        <f t="shared" si="31"/>
        <v>94.466000000000008</v>
      </c>
      <c r="S678" s="78">
        <f t="shared" si="32"/>
        <v>45931</v>
      </c>
      <c r="T678" t="str">
        <f>IFERROR(VLOOKUP(B678,Sites!$A$2:$D$21,4,FALSE()),"Unknown")</f>
        <v>Leeds</v>
      </c>
      <c r="U678" t="str">
        <f>IF(N678="OK","",COUNTIF($N$2:N678,"&lt;&gt;OK"))</f>
        <v/>
      </c>
      <c r="V678">
        <f>IF(OR(NOT(EXACT(E678,TRIM(Procurement_Raw!E678))),NOT(EXACT(F678,TRIM(Procurement_Raw!F678)))),1,0)</f>
        <v>0</v>
      </c>
    </row>
    <row r="679" spans="1:22" ht="15" customHeight="1" x14ac:dyDescent="0.25">
      <c r="A679" s="123">
        <f>Procurement_Raw!A679</f>
        <v>45912</v>
      </c>
      <c r="B679" t="str">
        <f>TRIM(Procurement_Raw!B679)</f>
        <v>S015</v>
      </c>
      <c r="C679" t="str">
        <f>Procurement_Raw!C679</f>
        <v>Brighton Care &amp; Education Centre</v>
      </c>
      <c r="D679" t="str">
        <f>Procurement_Raw!D679</f>
        <v>South</v>
      </c>
      <c r="E679" t="str">
        <f>IF(TRIM(Procurement_Raw!E679)="","",IFERROR(INDEX(Supplier_Lookup!$A$2:$A$25,MATCH(TRIM(Procurement_Raw!E679),Supplier_Lookup!$A$2:$A$25,0)),TRIM(Procurement_Raw!E679)))</f>
        <v>FleetFuel</v>
      </c>
      <c r="F679" t="str">
        <f>IFERROR(INDEX(Category_Targets!$A$2:$A$9,MATCH(TRIM(Procurement_Raw!F679),Category_Targets!$A$2:$A$9,0)),"Unmapped")</f>
        <v>Vehicle &amp; Fuel</v>
      </c>
      <c r="G679" t="str">
        <f>TRIM(Procurement_Raw!G679)</f>
        <v>INV-2025-00678</v>
      </c>
      <c r="H679" s="77">
        <f>Procurement_Raw!H679</f>
        <v>3</v>
      </c>
      <c r="I679" s="124">
        <f>Procurement_Raw!I679</f>
        <v>249.04</v>
      </c>
      <c r="J679" s="125">
        <f>IF(Procurement_Raw!J679="","",Procurement_Raw!J679)</f>
        <v>747.13</v>
      </c>
      <c r="K679" s="77">
        <f>Procurement_Raw!K679</f>
        <v>30</v>
      </c>
      <c r="L679" t="str">
        <f>Procurement_Raw!L679</f>
        <v>Procurement Portal</v>
      </c>
      <c r="M679" t="str">
        <f>Procurement_Raw!O679</f>
        <v>Y</v>
      </c>
      <c r="N679" t="str">
        <f>IF(E679="","Missing supplier",IF(B679="","Missing site",IF(J679="","Missing spend",IF(COUNTIFS($G$2:G679,G679,$E$2:E679,E679,$J$2:J679,J679)&gt;1,"Duplicate invoice",IF(COUNTIF($G$2:$G$1801,G679)&gt;1,"Duplicate ID - review",IF(AND(P679&lt;&gt;"Unmapped",P679&lt;&gt;F679),"Category mismatch","OK"))))))</f>
        <v>OK</v>
      </c>
      <c r="O679" s="125">
        <f t="shared" si="30"/>
        <v>747.13</v>
      </c>
      <c r="P679" t="str">
        <f>IF(E679="","Unmapped",IFERROR(INDEX(Supplier_Lookup!$B$2:$B$25,MATCH(E679,Supplier_Lookup!$A$2:$A$25,0)),"Unmapped"))</f>
        <v>Vehicle &amp; Fuel</v>
      </c>
      <c r="Q679" s="76">
        <f>IFERROR(INDEX(Category_Targets!$B$2:$B$9,MATCH(F679,Category_Targets!$A$2:$A$9,0)),0)</f>
        <v>0.05</v>
      </c>
      <c r="R679" s="125">
        <f t="shared" si="31"/>
        <v>37.356500000000004</v>
      </c>
      <c r="S679" s="78">
        <f t="shared" si="32"/>
        <v>45901</v>
      </c>
      <c r="T679" t="str">
        <f>IFERROR(VLOOKUP(B679,Sites!$A$2:$D$21,4,FALSE()),"Unknown")</f>
        <v>Brighton</v>
      </c>
      <c r="U679" t="str">
        <f>IF(N679="OK","",COUNTIF($N$2:N679,"&lt;&gt;OK"))</f>
        <v/>
      </c>
      <c r="V679">
        <f>IF(OR(NOT(EXACT(E679,TRIM(Procurement_Raw!E679))),NOT(EXACT(F679,TRIM(Procurement_Raw!F679)))),1,0)</f>
        <v>0</v>
      </c>
    </row>
    <row r="680" spans="1:22" ht="15" customHeight="1" x14ac:dyDescent="0.25">
      <c r="A680" s="123">
        <f>Procurement_Raw!A680</f>
        <v>45939</v>
      </c>
      <c r="B680" t="str">
        <f>TRIM(Procurement_Raw!B680)</f>
        <v>S006</v>
      </c>
      <c r="C680" t="str">
        <f>Procurement_Raw!C680</f>
        <v>Birmingham Care &amp; Education Centre</v>
      </c>
      <c r="D680" t="str">
        <f>Procurement_Raw!D680</f>
        <v>Midlands</v>
      </c>
      <c r="E680" t="str">
        <f>IF(TRIM(Procurement_Raw!E680)="","",IFERROR(INDEX(Supplier_Lookup!$A$2:$A$25,MATCH(TRIM(Procurement_Raw!E680),Supplier_Lookup!$A$2:$A$25,0)),TRIM(Procurement_Raw!E680)))</f>
        <v>ClinEquip</v>
      </c>
      <c r="F680" t="str">
        <f>IFERROR(INDEX(Category_Targets!$A$2:$A$9,MATCH(TRIM(Procurement_Raw!F680),Category_Targets!$A$2:$A$9,0)),"Unmapped")</f>
        <v>Medical Supplies</v>
      </c>
      <c r="G680" t="str">
        <f>TRIM(Procurement_Raw!G680)</f>
        <v>INV-2025-00679</v>
      </c>
      <c r="H680" s="77">
        <f>Procurement_Raw!H680</f>
        <v>1</v>
      </c>
      <c r="I680" s="124">
        <f>Procurement_Raw!I680</f>
        <v>200.76</v>
      </c>
      <c r="J680" s="125">
        <f>IF(Procurement_Raw!J680="","",Procurement_Raw!J680)</f>
        <v>200.76</v>
      </c>
      <c r="K680" s="77">
        <f>Procurement_Raw!K680</f>
        <v>30</v>
      </c>
      <c r="L680" t="str">
        <f>Procurement_Raw!L680</f>
        <v>Legacy Spend File</v>
      </c>
      <c r="M680" t="str">
        <f>Procurement_Raw!O680</f>
        <v>N</v>
      </c>
      <c r="N680" t="str">
        <f>IF(E680="","Missing supplier",IF(B680="","Missing site",IF(J680="","Missing spend",IF(COUNTIFS($G$2:G680,G680,$E$2:E680,E680,$J$2:J680,J680)&gt;1,"Duplicate invoice",IF(COUNTIF($G$2:$G$1801,G680)&gt;1,"Duplicate ID - review",IF(AND(P680&lt;&gt;"Unmapped",P680&lt;&gt;F680),"Category mismatch","OK"))))))</f>
        <v>OK</v>
      </c>
      <c r="O680" s="125">
        <f t="shared" si="30"/>
        <v>200.76</v>
      </c>
      <c r="P680" t="str">
        <f>IF(E680="","Unmapped",IFERROR(INDEX(Supplier_Lookup!$B$2:$B$25,MATCH(E680,Supplier_Lookup!$A$2:$A$25,0)),"Unmapped"))</f>
        <v>Medical Supplies</v>
      </c>
      <c r="Q680" s="76">
        <f>IFERROR(INDEX(Category_Targets!$B$2:$B$9,MATCH(F680,Category_Targets!$A$2:$A$9,0)),0)</f>
        <v>0.06</v>
      </c>
      <c r="R680" s="125">
        <f t="shared" si="31"/>
        <v>12.045599999999999</v>
      </c>
      <c r="S680" s="78">
        <f t="shared" si="32"/>
        <v>45931</v>
      </c>
      <c r="T680" t="str">
        <f>IFERROR(VLOOKUP(B680,Sites!$A$2:$D$21,4,FALSE()),"Unknown")</f>
        <v>Birmingham</v>
      </c>
      <c r="U680" t="str">
        <f>IF(N680="OK","",COUNTIF($N$2:N680,"&lt;&gt;OK"))</f>
        <v/>
      </c>
      <c r="V680">
        <f>IF(OR(NOT(EXACT(E680,TRIM(Procurement_Raw!E680))),NOT(EXACT(F680,TRIM(Procurement_Raw!F680)))),1,0)</f>
        <v>0</v>
      </c>
    </row>
    <row r="681" spans="1:22" ht="15" customHeight="1" x14ac:dyDescent="0.25">
      <c r="A681" s="123">
        <f>Procurement_Raw!A681</f>
        <v>45945</v>
      </c>
      <c r="B681" t="str">
        <f>TRIM(Procurement_Raw!B681)</f>
        <v>S010</v>
      </c>
      <c r="C681" t="str">
        <f>Procurement_Raw!C681</f>
        <v>Coventry Care &amp; Education Centre</v>
      </c>
      <c r="D681" t="str">
        <f>Procurement_Raw!D681</f>
        <v>Midlands</v>
      </c>
      <c r="E681" t="str">
        <f>IF(TRIM(Procurement_Raw!E681)="","",IFERROR(INDEX(Supplier_Lookup!$A$2:$A$25,MATCH(TRIM(Procurement_Raw!E681),Supplier_Lookup!$A$2:$A$25,0)),TRIM(Procurement_Raw!E681)))</f>
        <v>NetServe</v>
      </c>
      <c r="F681" t="str">
        <f>IFERROR(INDEX(Category_Targets!$A$2:$A$9,MATCH(TRIM(Procurement_Raw!F681),Category_Targets!$A$2:$A$9,0)),"Unmapped")</f>
        <v>IT &amp; Telecoms</v>
      </c>
      <c r="G681" t="str">
        <f>TRIM(Procurement_Raw!G681)</f>
        <v>INV-2025-00680</v>
      </c>
      <c r="H681" s="77">
        <f>Procurement_Raw!H681</f>
        <v>27</v>
      </c>
      <c r="I681" s="124">
        <f>Procurement_Raw!I681</f>
        <v>442.74</v>
      </c>
      <c r="J681" s="125">
        <f>IF(Procurement_Raw!J681="","",Procurement_Raw!J681)</f>
        <v>11953.98</v>
      </c>
      <c r="K681" s="77">
        <f>Procurement_Raw!K681</f>
        <v>60</v>
      </c>
      <c r="L681" t="str">
        <f>Procurement_Raw!L681</f>
        <v>Legacy Spend File</v>
      </c>
      <c r="M681" t="str">
        <f>Procurement_Raw!O681</f>
        <v>N</v>
      </c>
      <c r="N681" t="str">
        <f>IF(E681="","Missing supplier",IF(B681="","Missing site",IF(J681="","Missing spend",IF(COUNTIFS($G$2:G681,G681,$E$2:E681,E681,$J$2:J681,J681)&gt;1,"Duplicate invoice",IF(COUNTIF($G$2:$G$1801,G681)&gt;1,"Duplicate ID - review",IF(AND(P681&lt;&gt;"Unmapped",P681&lt;&gt;F681),"Category mismatch","OK"))))))</f>
        <v>OK</v>
      </c>
      <c r="O681" s="125">
        <f t="shared" si="30"/>
        <v>11953.98</v>
      </c>
      <c r="P681" t="str">
        <f>IF(E681="","Unmapped",IFERROR(INDEX(Supplier_Lookup!$B$2:$B$25,MATCH(E681,Supplier_Lookup!$A$2:$A$25,0)),"Unmapped"))</f>
        <v>IT &amp; Telecoms</v>
      </c>
      <c r="Q681" s="76">
        <f>IFERROR(INDEX(Category_Targets!$B$2:$B$9,MATCH(F681,Category_Targets!$A$2:$A$9,0)),0)</f>
        <v>0.08</v>
      </c>
      <c r="R681" s="125">
        <f t="shared" si="31"/>
        <v>956.3184</v>
      </c>
      <c r="S681" s="78">
        <f t="shared" si="32"/>
        <v>45931</v>
      </c>
      <c r="T681" t="str">
        <f>IFERROR(VLOOKUP(B681,Sites!$A$2:$D$21,4,FALSE()),"Unknown")</f>
        <v>Coventry</v>
      </c>
      <c r="U681" t="str">
        <f>IF(N681="OK","",COUNTIF($N$2:N681,"&lt;&gt;OK"))</f>
        <v/>
      </c>
      <c r="V681">
        <f>IF(OR(NOT(EXACT(E681,TRIM(Procurement_Raw!E681))),NOT(EXACT(F681,TRIM(Procurement_Raw!F681)))),1,0)</f>
        <v>0</v>
      </c>
    </row>
    <row r="682" spans="1:22" ht="15" customHeight="1" x14ac:dyDescent="0.25">
      <c r="A682" s="123">
        <f>Procurement_Raw!A682</f>
        <v>45685</v>
      </c>
      <c r="B682" t="str">
        <f>TRIM(Procurement_Raw!B682)</f>
        <v>S013</v>
      </c>
      <c r="C682" t="str">
        <f>Procurement_Raw!C682</f>
        <v>Reading Care &amp; Education Centre</v>
      </c>
      <c r="D682" t="str">
        <f>Procurement_Raw!D682</f>
        <v>South</v>
      </c>
      <c r="E682" t="str">
        <f>IF(TRIM(Procurement_Raw!E682)="","",IFERROR(INDEX(Supplier_Lookup!$A$2:$A$25,MATCH(TRIM(Procurement_Raw!E682),Supplier_Lookup!$A$2:$A$25,0)),TRIM(Procurement_Raw!E682)))</f>
        <v>RoadReady</v>
      </c>
      <c r="F682" t="str">
        <f>IFERROR(INDEX(Category_Targets!$A$2:$A$9,MATCH(TRIM(Procurement_Raw!F682),Category_Targets!$A$2:$A$9,0)),"Unmapped")</f>
        <v>Vehicle &amp; Fuel</v>
      </c>
      <c r="G682" t="str">
        <f>TRIM(Procurement_Raw!G682)</f>
        <v>INV-2025-00681</v>
      </c>
      <c r="H682" s="77">
        <f>Procurement_Raw!H682</f>
        <v>29</v>
      </c>
      <c r="I682" s="124">
        <f>Procurement_Raw!I682</f>
        <v>141.29</v>
      </c>
      <c r="J682" s="125">
        <f>IF(Procurement_Raw!J682="","",Procurement_Raw!J682)</f>
        <v>4097.34</v>
      </c>
      <c r="K682" s="77">
        <f>Procurement_Raw!K682</f>
        <v>45</v>
      </c>
      <c r="L682" t="str">
        <f>Procurement_Raw!L682</f>
        <v>Procurement Portal</v>
      </c>
      <c r="M682" t="str">
        <f>Procurement_Raw!O682</f>
        <v>N</v>
      </c>
      <c r="N682" t="str">
        <f>IF(E682="","Missing supplier",IF(B682="","Missing site",IF(J682="","Missing spend",IF(COUNTIFS($G$2:G682,G682,$E$2:E682,E682,$J$2:J682,J682)&gt;1,"Duplicate invoice",IF(COUNTIF($G$2:$G$1801,G682)&gt;1,"Duplicate ID - review",IF(AND(P682&lt;&gt;"Unmapped",P682&lt;&gt;F682),"Category mismatch","OK"))))))</f>
        <v>OK</v>
      </c>
      <c r="O682" s="125">
        <f t="shared" si="30"/>
        <v>4097.34</v>
      </c>
      <c r="P682" t="str">
        <f>IF(E682="","Unmapped",IFERROR(INDEX(Supplier_Lookup!$B$2:$B$25,MATCH(E682,Supplier_Lookup!$A$2:$A$25,0)),"Unmapped"))</f>
        <v>Vehicle &amp; Fuel</v>
      </c>
      <c r="Q682" s="76">
        <f>IFERROR(INDEX(Category_Targets!$B$2:$B$9,MATCH(F682,Category_Targets!$A$2:$A$9,0)),0)</f>
        <v>0.05</v>
      </c>
      <c r="R682" s="125">
        <f t="shared" si="31"/>
        <v>204.86700000000002</v>
      </c>
      <c r="S682" s="78">
        <f t="shared" si="32"/>
        <v>45658</v>
      </c>
      <c r="T682" t="str">
        <f>IFERROR(VLOOKUP(B682,Sites!$A$2:$D$21,4,FALSE()),"Unknown")</f>
        <v>Reading</v>
      </c>
      <c r="U682" t="str">
        <f>IF(N682="OK","",COUNTIF($N$2:N682,"&lt;&gt;OK"))</f>
        <v/>
      </c>
      <c r="V682">
        <f>IF(OR(NOT(EXACT(E682,TRIM(Procurement_Raw!E682))),NOT(EXACT(F682,TRIM(Procurement_Raw!F682)))),1,0)</f>
        <v>0</v>
      </c>
    </row>
    <row r="683" spans="1:22" ht="15" customHeight="1" x14ac:dyDescent="0.25">
      <c r="A683" s="123">
        <f>Procurement_Raw!A683</f>
        <v>45994</v>
      </c>
      <c r="B683" t="str">
        <f>TRIM(Procurement_Raw!B683)</f>
        <v>S014</v>
      </c>
      <c r="C683" t="str">
        <f>Procurement_Raw!C683</f>
        <v>Southampton Care &amp; Education Centre</v>
      </c>
      <c r="D683" t="str">
        <f>Procurement_Raw!D683</f>
        <v>South</v>
      </c>
      <c r="E683" t="str">
        <f>IF(TRIM(Procurement_Raw!E683)="","",IFERROR(INDEX(Supplier_Lookup!$A$2:$A$25,MATCH(TRIM(Procurement_Raw!E683),Supplier_Lookup!$A$2:$A$25,0)),TRIM(Procurement_Raw!E683)))</f>
        <v>PrintCo</v>
      </c>
      <c r="F683" t="str">
        <f>IFERROR(INDEX(Category_Targets!$A$2:$A$9,MATCH(TRIM(Procurement_Raw!F683),Category_Targets!$A$2:$A$9,0)),"Unmapped")</f>
        <v>Office &amp; Training</v>
      </c>
      <c r="G683" t="str">
        <f>TRIM(Procurement_Raw!G683)</f>
        <v>INV-2025-00682</v>
      </c>
      <c r="H683" s="77">
        <f>Procurement_Raw!H683</f>
        <v>47</v>
      </c>
      <c r="I683" s="124">
        <f>Procurement_Raw!I683</f>
        <v>40.31</v>
      </c>
      <c r="J683" s="125">
        <f>IF(Procurement_Raw!J683="","",Procurement_Raw!J683)</f>
        <v>1894.4</v>
      </c>
      <c r="K683" s="77">
        <f>Procurement_Raw!K683</f>
        <v>60</v>
      </c>
      <c r="L683" t="str">
        <f>Procurement_Raw!L683</f>
        <v>Procurement Portal</v>
      </c>
      <c r="M683" t="str">
        <f>Procurement_Raw!O683</f>
        <v>N</v>
      </c>
      <c r="N683" t="str">
        <f>IF(E683="","Missing supplier",IF(B683="","Missing site",IF(J683="","Missing spend",IF(COUNTIFS($G$2:G683,G683,$E$2:E683,E683,$J$2:J683,J683)&gt;1,"Duplicate invoice",IF(COUNTIF($G$2:$G$1801,G683)&gt;1,"Duplicate ID - review",IF(AND(P683&lt;&gt;"Unmapped",P683&lt;&gt;F683),"Category mismatch","OK"))))))</f>
        <v>OK</v>
      </c>
      <c r="O683" s="125">
        <f t="shared" si="30"/>
        <v>1894.4</v>
      </c>
      <c r="P683" t="str">
        <f>IF(E683="","Unmapped",IFERROR(INDEX(Supplier_Lookup!$B$2:$B$25,MATCH(E683,Supplier_Lookup!$A$2:$A$25,0)),"Unmapped"))</f>
        <v>Office &amp; Training</v>
      </c>
      <c r="Q683" s="76">
        <f>IFERROR(INDEX(Category_Targets!$B$2:$B$9,MATCH(F683,Category_Targets!$A$2:$A$9,0)),0)</f>
        <v>0.04</v>
      </c>
      <c r="R683" s="125">
        <f t="shared" si="31"/>
        <v>75.77600000000001</v>
      </c>
      <c r="S683" s="78">
        <f t="shared" si="32"/>
        <v>45992</v>
      </c>
      <c r="T683" t="str">
        <f>IFERROR(VLOOKUP(B683,Sites!$A$2:$D$21,4,FALSE()),"Unknown")</f>
        <v>Southampton</v>
      </c>
      <c r="U683" t="str">
        <f>IF(N683="OK","",COUNTIF($N$2:N683,"&lt;&gt;OK"))</f>
        <v/>
      </c>
      <c r="V683">
        <f>IF(OR(NOT(EXACT(E683,TRIM(Procurement_Raw!E683))),NOT(EXACT(F683,TRIM(Procurement_Raw!F683)))),1,0)</f>
        <v>0</v>
      </c>
    </row>
    <row r="684" spans="1:22" ht="15" customHeight="1" x14ac:dyDescent="0.25">
      <c r="A684" s="123">
        <f>Procurement_Raw!A684</f>
        <v>45771</v>
      </c>
      <c r="B684" t="str">
        <f>TRIM(Procurement_Raw!B684)</f>
        <v>S008</v>
      </c>
      <c r="C684" t="str">
        <f>Procurement_Raw!C684</f>
        <v>Leicester Care &amp; Education Centre</v>
      </c>
      <c r="D684" t="str">
        <f>Procurement_Raw!D684</f>
        <v>Midlands</v>
      </c>
      <c r="E684" t="str">
        <f>IF(TRIM(Procurement_Raw!E684)="","",IFERROR(INDEX(Supplier_Lookup!$A$2:$A$25,MATCH(TRIM(Procurement_Raw!E684),Supplier_Lookup!$A$2:$A$25,0)),TRIM(Procurement_Raw!E684)))</f>
        <v>KitchenPro</v>
      </c>
      <c r="F684" t="str">
        <f>IFERROR(INDEX(Category_Targets!$A$2:$A$9,MATCH(TRIM(Procurement_Raw!F684),Category_Targets!$A$2:$A$9,0)),"Unmapped")</f>
        <v>Food &amp; Catering</v>
      </c>
      <c r="G684" t="str">
        <f>TRIM(Procurement_Raw!G684)</f>
        <v>INV-2025-00683</v>
      </c>
      <c r="H684" s="77">
        <f>Procurement_Raw!H684</f>
        <v>1</v>
      </c>
      <c r="I684" s="124">
        <f>Procurement_Raw!I684</f>
        <v>48.71</v>
      </c>
      <c r="J684" s="125">
        <f>IF(Procurement_Raw!J684="","",Procurement_Raw!J684)</f>
        <v>48.71</v>
      </c>
      <c r="K684" s="77">
        <f>Procurement_Raw!K684</f>
        <v>45</v>
      </c>
      <c r="L684" t="str">
        <f>Procurement_Raw!L684</f>
        <v>Procurement Portal</v>
      </c>
      <c r="M684" t="str">
        <f>Procurement_Raw!O684</f>
        <v>N</v>
      </c>
      <c r="N684" t="str">
        <f>IF(E684="","Missing supplier",IF(B684="","Missing site",IF(J684="","Missing spend",IF(COUNTIFS($G$2:G684,G684,$E$2:E684,E684,$J$2:J684,J684)&gt;1,"Duplicate invoice",IF(COUNTIF($G$2:$G$1801,G684)&gt;1,"Duplicate ID - review",IF(AND(P684&lt;&gt;"Unmapped",P684&lt;&gt;F684),"Category mismatch","OK"))))))</f>
        <v>OK</v>
      </c>
      <c r="O684" s="125">
        <f t="shared" si="30"/>
        <v>48.71</v>
      </c>
      <c r="P684" t="str">
        <f>IF(E684="","Unmapped",IFERROR(INDEX(Supplier_Lookup!$B$2:$B$25,MATCH(E684,Supplier_Lookup!$A$2:$A$25,0)),"Unmapped"))</f>
        <v>Food &amp; Catering</v>
      </c>
      <c r="Q684" s="76">
        <f>IFERROR(INDEX(Category_Targets!$B$2:$B$9,MATCH(F684,Category_Targets!$A$2:$A$9,0)),0)</f>
        <v>0.04</v>
      </c>
      <c r="R684" s="125">
        <f t="shared" si="31"/>
        <v>1.9484000000000001</v>
      </c>
      <c r="S684" s="78">
        <f t="shared" si="32"/>
        <v>45748</v>
      </c>
      <c r="T684" t="str">
        <f>IFERROR(VLOOKUP(B684,Sites!$A$2:$D$21,4,FALSE()),"Unknown")</f>
        <v>Leicester</v>
      </c>
      <c r="U684" t="str">
        <f>IF(N684="OK","",COUNTIF($N$2:N684,"&lt;&gt;OK"))</f>
        <v/>
      </c>
      <c r="V684">
        <f>IF(OR(NOT(EXACT(E684,TRIM(Procurement_Raw!E684))),NOT(EXACT(F684,TRIM(Procurement_Raw!F684)))),1,0)</f>
        <v>0</v>
      </c>
    </row>
    <row r="685" spans="1:22" ht="15" customHeight="1" x14ac:dyDescent="0.25">
      <c r="A685" s="123">
        <f>Procurement_Raw!A685</f>
        <v>45925</v>
      </c>
      <c r="B685" t="str">
        <f>TRIM(Procurement_Raw!B685)</f>
        <v>S009</v>
      </c>
      <c r="C685" t="str">
        <f>Procurement_Raw!C685</f>
        <v>Derby Care &amp; Education Centre</v>
      </c>
      <c r="D685" t="str">
        <f>Procurement_Raw!D685</f>
        <v>Midlands</v>
      </c>
      <c r="E685" t="str">
        <f>IF(TRIM(Procurement_Raw!E685)="","",IFERROR(INDEX(Supplier_Lookup!$A$2:$A$25,MATCH(TRIM(Procurement_Raw!E685),Supplier_Lookup!$A$2:$A$25,0)),TRIM(Procurement_Raw!E685)))</f>
        <v>NetServe</v>
      </c>
      <c r="F685" t="str">
        <f>IFERROR(INDEX(Category_Targets!$A$2:$A$9,MATCH(TRIM(Procurement_Raw!F685),Category_Targets!$A$2:$A$9,0)),"Unmapped")</f>
        <v>IT &amp; Telecoms</v>
      </c>
      <c r="G685" t="str">
        <f>TRIM(Procurement_Raw!G685)</f>
        <v>INV-2025-00684</v>
      </c>
      <c r="H685" s="77">
        <f>Procurement_Raw!H685</f>
        <v>48</v>
      </c>
      <c r="I685" s="124">
        <f>Procurement_Raw!I685</f>
        <v>287.95</v>
      </c>
      <c r="J685" s="125">
        <f>IF(Procurement_Raw!J685="","",Procurement_Raw!J685)</f>
        <v>13821.55</v>
      </c>
      <c r="K685" s="77">
        <f>Procurement_Raw!K685</f>
        <v>60</v>
      </c>
      <c r="L685" t="str">
        <f>Procurement_Raw!L685</f>
        <v>ERP</v>
      </c>
      <c r="M685" t="str">
        <f>Procurement_Raw!O685</f>
        <v>N</v>
      </c>
      <c r="N685" t="str">
        <f>IF(E685="","Missing supplier",IF(B685="","Missing site",IF(J685="","Missing spend",IF(COUNTIFS($G$2:G685,G685,$E$2:E685,E685,$J$2:J685,J685)&gt;1,"Duplicate invoice",IF(COUNTIF($G$2:$G$1801,G685)&gt;1,"Duplicate ID - review",IF(AND(P685&lt;&gt;"Unmapped",P685&lt;&gt;F685),"Category mismatch","OK"))))))</f>
        <v>OK</v>
      </c>
      <c r="O685" s="125">
        <f t="shared" si="30"/>
        <v>13821.55</v>
      </c>
      <c r="P685" t="str">
        <f>IF(E685="","Unmapped",IFERROR(INDEX(Supplier_Lookup!$B$2:$B$25,MATCH(E685,Supplier_Lookup!$A$2:$A$25,0)),"Unmapped"))</f>
        <v>IT &amp; Telecoms</v>
      </c>
      <c r="Q685" s="76">
        <f>IFERROR(INDEX(Category_Targets!$B$2:$B$9,MATCH(F685,Category_Targets!$A$2:$A$9,0)),0)</f>
        <v>0.08</v>
      </c>
      <c r="R685" s="125">
        <f t="shared" si="31"/>
        <v>1105.7239999999999</v>
      </c>
      <c r="S685" s="78">
        <f t="shared" si="32"/>
        <v>45901</v>
      </c>
      <c r="T685" t="str">
        <f>IFERROR(VLOOKUP(B685,Sites!$A$2:$D$21,4,FALSE()),"Unknown")</f>
        <v>Derby</v>
      </c>
      <c r="U685" t="str">
        <f>IF(N685="OK","",COUNTIF($N$2:N685,"&lt;&gt;OK"))</f>
        <v/>
      </c>
      <c r="V685">
        <f>IF(OR(NOT(EXACT(E685,TRIM(Procurement_Raw!E685))),NOT(EXACT(F685,TRIM(Procurement_Raw!F685)))),1,0)</f>
        <v>0</v>
      </c>
    </row>
    <row r="686" spans="1:22" ht="15" customHeight="1" x14ac:dyDescent="0.25">
      <c r="A686" s="123">
        <f>Procurement_Raw!A686</f>
        <v>45729</v>
      </c>
      <c r="B686" t="str">
        <f>TRIM(Procurement_Raw!B686)</f>
        <v>S019</v>
      </c>
      <c r="C686" t="str">
        <f>Procurement_Raw!C686</f>
        <v>Wrexham Care &amp; Education Centre</v>
      </c>
      <c r="D686" t="str">
        <f>Procurement_Raw!D686</f>
        <v>Wales</v>
      </c>
      <c r="E686" t="str">
        <f>IF(TRIM(Procurement_Raw!E686)="","",IFERROR(INDEX(Supplier_Lookup!$A$2:$A$25,MATCH(TRIM(Procurement_Raw!E686),Supplier_Lookup!$A$2:$A$25,0)),TRIM(Procurement_Raw!E686)))</f>
        <v>SafeGuard FM</v>
      </c>
      <c r="F686" t="str">
        <f>IFERROR(INDEX(Category_Targets!$A$2:$A$9,MATCH(TRIM(Procurement_Raw!F686),Category_Targets!$A$2:$A$9,0)),"Unmapped")</f>
        <v>Facilities</v>
      </c>
      <c r="G686" t="str">
        <f>TRIM(Procurement_Raw!G686)</f>
        <v>INV-2025-00685</v>
      </c>
      <c r="H686" s="77">
        <f>Procurement_Raw!H686</f>
        <v>53</v>
      </c>
      <c r="I686" s="124">
        <f>Procurement_Raw!I686</f>
        <v>91.91</v>
      </c>
      <c r="J686" s="125">
        <f>IF(Procurement_Raw!J686="","",Procurement_Raw!J686)</f>
        <v>4871.12</v>
      </c>
      <c r="K686" s="77">
        <f>Procurement_Raw!K686</f>
        <v>30</v>
      </c>
      <c r="L686" t="str">
        <f>Procurement_Raw!L686</f>
        <v>Procurement Portal</v>
      </c>
      <c r="M686" t="str">
        <f>Procurement_Raw!O686</f>
        <v>N</v>
      </c>
      <c r="N686" t="str">
        <f>IF(E686="","Missing supplier",IF(B686="","Missing site",IF(J686="","Missing spend",IF(COUNTIFS($G$2:G686,G686,$E$2:E686,E686,$J$2:J686,J686)&gt;1,"Duplicate invoice",IF(COUNTIF($G$2:$G$1801,G686)&gt;1,"Duplicate ID - review",IF(AND(P686&lt;&gt;"Unmapped",P686&lt;&gt;F686),"Category mismatch","OK"))))))</f>
        <v>OK</v>
      </c>
      <c r="O686" s="125">
        <f t="shared" si="30"/>
        <v>4871.12</v>
      </c>
      <c r="P686" t="str">
        <f>IF(E686="","Unmapped",IFERROR(INDEX(Supplier_Lookup!$B$2:$B$25,MATCH(E686,Supplier_Lookup!$A$2:$A$25,0)),"Unmapped"))</f>
        <v>Facilities</v>
      </c>
      <c r="Q686" s="76">
        <f>IFERROR(INDEX(Category_Targets!$B$2:$B$9,MATCH(F686,Category_Targets!$A$2:$A$9,0)),0)</f>
        <v>0.05</v>
      </c>
      <c r="R686" s="125">
        <f t="shared" si="31"/>
        <v>243.55600000000001</v>
      </c>
      <c r="S686" s="78">
        <f t="shared" si="32"/>
        <v>45717</v>
      </c>
      <c r="T686" t="str">
        <f>IFERROR(VLOOKUP(B686,Sites!$A$2:$D$21,4,FALSE()),"Unknown")</f>
        <v>Wrexham</v>
      </c>
      <c r="U686" t="str">
        <f>IF(N686="OK","",COUNTIF($N$2:N686,"&lt;&gt;OK"))</f>
        <v/>
      </c>
      <c r="V686">
        <f>IF(OR(NOT(EXACT(E686,TRIM(Procurement_Raw!E686))),NOT(EXACT(F686,TRIM(Procurement_Raw!F686)))),1,0)</f>
        <v>0</v>
      </c>
    </row>
    <row r="687" spans="1:22" ht="15" customHeight="1" x14ac:dyDescent="0.25">
      <c r="A687" s="123">
        <f>Procurement_Raw!A687</f>
        <v>45719</v>
      </c>
      <c r="B687" t="str">
        <f>TRIM(Procurement_Raw!B687)</f>
        <v>S010</v>
      </c>
      <c r="C687" t="str">
        <f>Procurement_Raw!C687</f>
        <v>Coventry Care &amp; Education Centre</v>
      </c>
      <c r="D687" t="str">
        <f>Procurement_Raw!D687</f>
        <v>Midlands</v>
      </c>
      <c r="E687" t="str">
        <f>IF(TRIM(Procurement_Raw!E687)="","",IFERROR(INDEX(Supplier_Lookup!$A$2:$A$25,MATCH(TRIM(Procurement_Raw!E687),Supplier_Lookup!$A$2:$A$25,0)),TRIM(Procurement_Raw!E687)))</f>
        <v>UK Energy Partners</v>
      </c>
      <c r="F687" t="str">
        <f>IFERROR(INDEX(Category_Targets!$A$2:$A$9,MATCH(TRIM(Procurement_Raw!F687),Category_Targets!$A$2:$A$9,0)),"Unmapped")</f>
        <v>Utilities</v>
      </c>
      <c r="G687" t="str">
        <f>TRIM(Procurement_Raw!G687)</f>
        <v>INV-2025-00686</v>
      </c>
      <c r="H687" s="77">
        <f>Procurement_Raw!H687</f>
        <v>51</v>
      </c>
      <c r="I687" s="124">
        <f>Procurement_Raw!I687</f>
        <v>370.04</v>
      </c>
      <c r="J687" s="125">
        <f>IF(Procurement_Raw!J687="","",Procurement_Raw!J687)</f>
        <v>18872.02</v>
      </c>
      <c r="K687" s="77">
        <f>Procurement_Raw!K687</f>
        <v>30</v>
      </c>
      <c r="L687" t="str">
        <f>Procurement_Raw!L687</f>
        <v>Procurement Portal</v>
      </c>
      <c r="M687" t="str">
        <f>Procurement_Raw!O687</f>
        <v>N</v>
      </c>
      <c r="N687" t="str">
        <f>IF(E687="","Missing supplier",IF(B687="","Missing site",IF(J687="","Missing spend",IF(COUNTIFS($G$2:G687,G687,$E$2:E687,E687,$J$2:J687,J687)&gt;1,"Duplicate invoice",IF(COUNTIF($G$2:$G$1801,G687)&gt;1,"Duplicate ID - review",IF(AND(P687&lt;&gt;"Unmapped",P687&lt;&gt;F687),"Category mismatch","OK"))))))</f>
        <v>OK</v>
      </c>
      <c r="O687" s="125">
        <f t="shared" si="30"/>
        <v>18872.02</v>
      </c>
      <c r="P687" t="str">
        <f>IF(E687="","Unmapped",IFERROR(INDEX(Supplier_Lookup!$B$2:$B$25,MATCH(E687,Supplier_Lookup!$A$2:$A$25,0)),"Unmapped"))</f>
        <v>Utilities</v>
      </c>
      <c r="Q687" s="76">
        <f>IFERROR(INDEX(Category_Targets!$B$2:$B$9,MATCH(F687,Category_Targets!$A$2:$A$9,0)),0)</f>
        <v>0.03</v>
      </c>
      <c r="R687" s="125">
        <f t="shared" si="31"/>
        <v>566.16060000000004</v>
      </c>
      <c r="S687" s="78">
        <f t="shared" si="32"/>
        <v>45717</v>
      </c>
      <c r="T687" t="str">
        <f>IFERROR(VLOOKUP(B687,Sites!$A$2:$D$21,4,FALSE()),"Unknown")</f>
        <v>Coventry</v>
      </c>
      <c r="U687" t="str">
        <f>IF(N687="OK","",COUNTIF($N$2:N687,"&lt;&gt;OK"))</f>
        <v/>
      </c>
      <c r="V687">
        <f>IF(OR(NOT(EXACT(E687,TRIM(Procurement_Raw!E687))),NOT(EXACT(F687,TRIM(Procurement_Raw!F687)))),1,0)</f>
        <v>1</v>
      </c>
    </row>
    <row r="688" spans="1:22" ht="15" customHeight="1" x14ac:dyDescent="0.25">
      <c r="A688" s="123">
        <f>Procurement_Raw!A688</f>
        <v>45870</v>
      </c>
      <c r="B688" t="str">
        <f>TRIM(Procurement_Raw!B688)</f>
        <v>S017</v>
      </c>
      <c r="C688" t="str">
        <f>Procurement_Raw!C688</f>
        <v>Swansea Care &amp; Education Centre</v>
      </c>
      <c r="D688" t="str">
        <f>Procurement_Raw!D688</f>
        <v>Wales</v>
      </c>
      <c r="E688" t="str">
        <f>IF(TRIM(Procurement_Raw!E688)="","",IFERROR(INDEX(Supplier_Lookup!$A$2:$A$25,MATCH(TRIM(Procurement_Raw!E688),Supplier_Lookup!$A$2:$A$25,0)),TRIM(Procurement_Raw!E688)))</f>
        <v>FleetFuel</v>
      </c>
      <c r="F688" t="str">
        <f>IFERROR(INDEX(Category_Targets!$A$2:$A$9,MATCH(TRIM(Procurement_Raw!F688),Category_Targets!$A$2:$A$9,0)),"Unmapped")</f>
        <v>Vehicle &amp; Fuel</v>
      </c>
      <c r="G688" t="str">
        <f>TRIM(Procurement_Raw!G688)</f>
        <v>INV-2025-00687</v>
      </c>
      <c r="H688" s="77">
        <f>Procurement_Raw!H688</f>
        <v>6</v>
      </c>
      <c r="I688" s="124">
        <f>Procurement_Raw!I688</f>
        <v>83.24</v>
      </c>
      <c r="J688" s="125">
        <f>IF(Procurement_Raw!J688="","",Procurement_Raw!J688)</f>
        <v>499.42</v>
      </c>
      <c r="K688" s="77">
        <f>Procurement_Raw!K688</f>
        <v>60</v>
      </c>
      <c r="L688" t="str">
        <f>Procurement_Raw!L688</f>
        <v>Legacy Spend File</v>
      </c>
      <c r="M688" t="str">
        <f>Procurement_Raw!O688</f>
        <v>Y</v>
      </c>
      <c r="N688" t="str">
        <f>IF(E688="","Missing supplier",IF(B688="","Missing site",IF(J688="","Missing spend",IF(COUNTIFS($G$2:G688,G688,$E$2:E688,E688,$J$2:J688,J688)&gt;1,"Duplicate invoice",IF(COUNTIF($G$2:$G$1801,G688)&gt;1,"Duplicate ID - review",IF(AND(P688&lt;&gt;"Unmapped",P688&lt;&gt;F688),"Category mismatch","OK"))))))</f>
        <v>OK</v>
      </c>
      <c r="O688" s="125">
        <f t="shared" si="30"/>
        <v>499.42</v>
      </c>
      <c r="P688" t="str">
        <f>IF(E688="","Unmapped",IFERROR(INDEX(Supplier_Lookup!$B$2:$B$25,MATCH(E688,Supplier_Lookup!$A$2:$A$25,0)),"Unmapped"))</f>
        <v>Vehicle &amp; Fuel</v>
      </c>
      <c r="Q688" s="76">
        <f>IFERROR(INDEX(Category_Targets!$B$2:$B$9,MATCH(F688,Category_Targets!$A$2:$A$9,0)),0)</f>
        <v>0.05</v>
      </c>
      <c r="R688" s="125">
        <f t="shared" si="31"/>
        <v>24.971000000000004</v>
      </c>
      <c r="S688" s="78">
        <f t="shared" si="32"/>
        <v>45870</v>
      </c>
      <c r="T688" t="str">
        <f>IFERROR(VLOOKUP(B688,Sites!$A$2:$D$21,4,FALSE()),"Unknown")</f>
        <v>Swansea</v>
      </c>
      <c r="U688" t="str">
        <f>IF(N688="OK","",COUNTIF($N$2:N688,"&lt;&gt;OK"))</f>
        <v/>
      </c>
      <c r="V688">
        <f>IF(OR(NOT(EXACT(E688,TRIM(Procurement_Raw!E688))),NOT(EXACT(F688,TRIM(Procurement_Raw!F688)))),1,0)</f>
        <v>0</v>
      </c>
    </row>
    <row r="689" spans="1:22" ht="15" customHeight="1" x14ac:dyDescent="0.25">
      <c r="A689" s="123">
        <f>Procurement_Raw!A689</f>
        <v>45892</v>
      </c>
      <c r="B689" t="str">
        <f>TRIM(Procurement_Raw!B689)</f>
        <v>S008</v>
      </c>
      <c r="C689" t="str">
        <f>Procurement_Raw!C689</f>
        <v>Leicester Care &amp; Education Centre</v>
      </c>
      <c r="D689" t="str">
        <f>Procurement_Raw!D689</f>
        <v>Midlands</v>
      </c>
      <c r="E689" t="str">
        <f>IF(TRIM(Procurement_Raw!E689)="","",IFERROR(INDEX(Supplier_Lookup!$A$2:$A$25,MATCH(TRIM(Procurement_Raw!E689),Supplier_Lookup!$A$2:$A$25,0)),TRIM(Procurement_Raw!E689)))</f>
        <v>NourishCo</v>
      </c>
      <c r="F689" t="str">
        <f>IFERROR(INDEX(Category_Targets!$A$2:$A$9,MATCH(TRIM(Procurement_Raw!F689),Category_Targets!$A$2:$A$9,0)),"Unmapped")</f>
        <v>Food &amp; Catering</v>
      </c>
      <c r="G689" t="str">
        <f>TRIM(Procurement_Raw!G689)</f>
        <v>INV-2025-00688</v>
      </c>
      <c r="H689" s="77">
        <f>Procurement_Raw!H689</f>
        <v>76</v>
      </c>
      <c r="I689" s="124">
        <f>Procurement_Raw!I689</f>
        <v>52.89</v>
      </c>
      <c r="J689" s="125">
        <f>IF(Procurement_Raw!J689="","",Procurement_Raw!J689)</f>
        <v>4019.73</v>
      </c>
      <c r="K689" s="77">
        <f>Procurement_Raw!K689</f>
        <v>60</v>
      </c>
      <c r="L689" t="str">
        <f>Procurement_Raw!L689</f>
        <v>ERP</v>
      </c>
      <c r="M689" t="str">
        <f>Procurement_Raw!O689</f>
        <v>N</v>
      </c>
      <c r="N689" t="str">
        <f>IF(E689="","Missing supplier",IF(B689="","Missing site",IF(J689="","Missing spend",IF(COUNTIFS($G$2:G689,G689,$E$2:E689,E689,$J$2:J689,J689)&gt;1,"Duplicate invoice",IF(COUNTIF($G$2:$G$1801,G689)&gt;1,"Duplicate ID - review",IF(AND(P689&lt;&gt;"Unmapped",P689&lt;&gt;F689),"Category mismatch","OK"))))))</f>
        <v>OK</v>
      </c>
      <c r="O689" s="125">
        <f t="shared" si="30"/>
        <v>4019.73</v>
      </c>
      <c r="P689" t="str">
        <f>IF(E689="","Unmapped",IFERROR(INDEX(Supplier_Lookup!$B$2:$B$25,MATCH(E689,Supplier_Lookup!$A$2:$A$25,0)),"Unmapped"))</f>
        <v>Food &amp; Catering</v>
      </c>
      <c r="Q689" s="76">
        <f>IFERROR(INDEX(Category_Targets!$B$2:$B$9,MATCH(F689,Category_Targets!$A$2:$A$9,0)),0)</f>
        <v>0.04</v>
      </c>
      <c r="R689" s="125">
        <f t="shared" si="31"/>
        <v>160.78919999999999</v>
      </c>
      <c r="S689" s="78">
        <f t="shared" si="32"/>
        <v>45870</v>
      </c>
      <c r="T689" t="str">
        <f>IFERROR(VLOOKUP(B689,Sites!$A$2:$D$21,4,FALSE()),"Unknown")</f>
        <v>Leicester</v>
      </c>
      <c r="U689" t="str">
        <f>IF(N689="OK","",COUNTIF($N$2:N689,"&lt;&gt;OK"))</f>
        <v/>
      </c>
      <c r="V689">
        <f>IF(OR(NOT(EXACT(E689,TRIM(Procurement_Raw!E689))),NOT(EXACT(F689,TRIM(Procurement_Raw!F689)))),1,0)</f>
        <v>0</v>
      </c>
    </row>
    <row r="690" spans="1:22" ht="15" customHeight="1" x14ac:dyDescent="0.25">
      <c r="A690" s="123">
        <f>Procurement_Raw!A690</f>
        <v>45682</v>
      </c>
      <c r="B690" t="str">
        <f>TRIM(Procurement_Raw!B690)</f>
        <v>S014</v>
      </c>
      <c r="C690" t="str">
        <f>Procurement_Raw!C690</f>
        <v>Southampton Care &amp; Education Centre</v>
      </c>
      <c r="D690" t="str">
        <f>Procurement_Raw!D690</f>
        <v>South</v>
      </c>
      <c r="E690" t="str">
        <f>IF(TRIM(Procurement_Raw!E690)="","",IFERROR(INDEX(Supplier_Lookup!$A$2:$A$25,MATCH(TRIM(Procurement_Raw!E690),Supplier_Lookup!$A$2:$A$25,0)),TRIM(Procurement_Raw!E690)))</f>
        <v>ClinEquip</v>
      </c>
      <c r="F690" t="str">
        <f>IFERROR(INDEX(Category_Targets!$A$2:$A$9,MATCH(TRIM(Procurement_Raw!F690),Category_Targets!$A$2:$A$9,0)),"Unmapped")</f>
        <v>Medical Supplies</v>
      </c>
      <c r="G690" t="str">
        <f>TRIM(Procurement_Raw!G690)</f>
        <v>INV-2025-00689</v>
      </c>
      <c r="H690" s="77">
        <f>Procurement_Raw!H690</f>
        <v>71</v>
      </c>
      <c r="I690" s="124">
        <f>Procurement_Raw!I690</f>
        <v>177.42</v>
      </c>
      <c r="J690" s="125">
        <f>IF(Procurement_Raw!J690="","",Procurement_Raw!J690)</f>
        <v>12596.82</v>
      </c>
      <c r="K690" s="77">
        <f>Procurement_Raw!K690</f>
        <v>45</v>
      </c>
      <c r="L690" t="str">
        <f>Procurement_Raw!L690</f>
        <v>Legacy Spend File</v>
      </c>
      <c r="M690" t="str">
        <f>Procurement_Raw!O690</f>
        <v>N</v>
      </c>
      <c r="N690" t="str">
        <f>IF(E690="","Missing supplier",IF(B690="","Missing site",IF(J690="","Missing spend",IF(COUNTIFS($G$2:G690,G690,$E$2:E690,E690,$J$2:J690,J690)&gt;1,"Duplicate invoice",IF(COUNTIF($G$2:$G$1801,G690)&gt;1,"Duplicate ID - review",IF(AND(P690&lt;&gt;"Unmapped",P690&lt;&gt;F690),"Category mismatch","OK"))))))</f>
        <v>OK</v>
      </c>
      <c r="O690" s="125">
        <f t="shared" si="30"/>
        <v>12596.82</v>
      </c>
      <c r="P690" t="str">
        <f>IF(E690="","Unmapped",IFERROR(INDEX(Supplier_Lookup!$B$2:$B$25,MATCH(E690,Supplier_Lookup!$A$2:$A$25,0)),"Unmapped"))</f>
        <v>Medical Supplies</v>
      </c>
      <c r="Q690" s="76">
        <f>IFERROR(INDEX(Category_Targets!$B$2:$B$9,MATCH(F690,Category_Targets!$A$2:$A$9,0)),0)</f>
        <v>0.06</v>
      </c>
      <c r="R690" s="125">
        <f t="shared" si="31"/>
        <v>755.80919999999992</v>
      </c>
      <c r="S690" s="78">
        <f t="shared" si="32"/>
        <v>45658</v>
      </c>
      <c r="T690" t="str">
        <f>IFERROR(VLOOKUP(B690,Sites!$A$2:$D$21,4,FALSE()),"Unknown")</f>
        <v>Southampton</v>
      </c>
      <c r="U690" t="str">
        <f>IF(N690="OK","",COUNTIF($N$2:N690,"&lt;&gt;OK"))</f>
        <v/>
      </c>
      <c r="V690">
        <f>IF(OR(NOT(EXACT(E690,TRIM(Procurement_Raw!E690))),NOT(EXACT(F690,TRIM(Procurement_Raw!F690)))),1,0)</f>
        <v>0</v>
      </c>
    </row>
    <row r="691" spans="1:22" ht="15" customHeight="1" x14ac:dyDescent="0.25">
      <c r="A691" s="123">
        <f>Procurement_Raw!A691</f>
        <v>45954</v>
      </c>
      <c r="B691" t="str">
        <f>TRIM(Procurement_Raw!B691)</f>
        <v>S007</v>
      </c>
      <c r="C691" t="str">
        <f>Procurement_Raw!C691</f>
        <v>Nottingham Care &amp; Education Centre</v>
      </c>
      <c r="D691" t="str">
        <f>Procurement_Raw!D691</f>
        <v>Midlands</v>
      </c>
      <c r="E691" t="str">
        <f>IF(TRIM(Procurement_Raw!E691)="","",IFERROR(INDEX(Supplier_Lookup!$A$2:$A$25,MATCH(TRIM(Procurement_Raw!E691),Supplier_Lookup!$A$2:$A$25,0)),TRIM(Procurement_Raw!E691)))</f>
        <v>BuildCare</v>
      </c>
      <c r="F691" t="str">
        <f>IFERROR(INDEX(Category_Targets!$A$2:$A$9,MATCH(TRIM(Procurement_Raw!F691),Category_Targets!$A$2:$A$9,0)),"Unmapped")</f>
        <v>Facilities</v>
      </c>
      <c r="G691" t="str">
        <f>TRIM(Procurement_Raw!G691)</f>
        <v>INV-2025-00690</v>
      </c>
      <c r="H691" s="77">
        <f>Procurement_Raw!H691</f>
        <v>23</v>
      </c>
      <c r="I691" s="124">
        <f>Procurement_Raw!I691</f>
        <v>229.82</v>
      </c>
      <c r="J691" s="125">
        <f>IF(Procurement_Raw!J691="","",Procurement_Raw!J691)</f>
        <v>5285.89</v>
      </c>
      <c r="K691" s="77">
        <f>Procurement_Raw!K691</f>
        <v>60</v>
      </c>
      <c r="L691" t="str">
        <f>Procurement_Raw!L691</f>
        <v>ERP</v>
      </c>
      <c r="M691" t="str">
        <f>Procurement_Raw!O691</f>
        <v>N</v>
      </c>
      <c r="N691" t="str">
        <f>IF(E691="","Missing supplier",IF(B691="","Missing site",IF(J691="","Missing spend",IF(COUNTIFS($G$2:G691,G691,$E$2:E691,E691,$J$2:J691,J691)&gt;1,"Duplicate invoice",IF(COUNTIF($G$2:$G$1801,G691)&gt;1,"Duplicate ID - review",IF(AND(P691&lt;&gt;"Unmapped",P691&lt;&gt;F691),"Category mismatch","OK"))))))</f>
        <v>OK</v>
      </c>
      <c r="O691" s="125">
        <f t="shared" si="30"/>
        <v>5285.89</v>
      </c>
      <c r="P691" t="str">
        <f>IF(E691="","Unmapped",IFERROR(INDEX(Supplier_Lookup!$B$2:$B$25,MATCH(E691,Supplier_Lookup!$A$2:$A$25,0)),"Unmapped"))</f>
        <v>Facilities</v>
      </c>
      <c r="Q691" s="76">
        <f>IFERROR(INDEX(Category_Targets!$B$2:$B$9,MATCH(F691,Category_Targets!$A$2:$A$9,0)),0)</f>
        <v>0.05</v>
      </c>
      <c r="R691" s="125">
        <f t="shared" si="31"/>
        <v>264.29450000000003</v>
      </c>
      <c r="S691" s="78">
        <f t="shared" si="32"/>
        <v>45931</v>
      </c>
      <c r="T691" t="str">
        <f>IFERROR(VLOOKUP(B691,Sites!$A$2:$D$21,4,FALSE()),"Unknown")</f>
        <v>Nottingham</v>
      </c>
      <c r="U691" t="str">
        <f>IF(N691="OK","",COUNTIF($N$2:N691,"&lt;&gt;OK"))</f>
        <v/>
      </c>
      <c r="V691">
        <f>IF(OR(NOT(EXACT(E691,TRIM(Procurement_Raw!E691))),NOT(EXACT(F691,TRIM(Procurement_Raw!F691)))),1,0)</f>
        <v>0</v>
      </c>
    </row>
    <row r="692" spans="1:22" ht="15" customHeight="1" x14ac:dyDescent="0.25">
      <c r="A692" s="123">
        <f>Procurement_Raw!A692</f>
        <v>45965</v>
      </c>
      <c r="B692" t="str">
        <f>TRIM(Procurement_Raw!B692)</f>
        <v>S007</v>
      </c>
      <c r="C692" t="str">
        <f>Procurement_Raw!C692</f>
        <v>Nottingham Care &amp; Education Centre</v>
      </c>
      <c r="D692" t="str">
        <f>Procurement_Raw!D692</f>
        <v>Midlands</v>
      </c>
      <c r="E692" t="str">
        <f>IF(TRIM(Procurement_Raw!E692)="","",IFERROR(INDEX(Supplier_Lookup!$A$2:$A$25,MATCH(TRIM(Procurement_Raw!E692),Supplier_Lookup!$A$2:$A$25,0)),TRIM(Procurement_Raw!E692)))</f>
        <v>NurseLink</v>
      </c>
      <c r="F692" t="str">
        <f>IFERROR(INDEX(Category_Targets!$A$2:$A$9,MATCH(TRIM(Procurement_Raw!F692),Category_Targets!$A$2:$A$9,0)),"Unmapped")</f>
        <v>Agency Labour</v>
      </c>
      <c r="G692" t="str">
        <f>TRIM(Procurement_Raw!G692)</f>
        <v>INV-2025-00691</v>
      </c>
      <c r="H692" s="77">
        <f>Procurement_Raw!H692</f>
        <v>78</v>
      </c>
      <c r="I692" s="124">
        <f>Procurement_Raw!I692</f>
        <v>245.98</v>
      </c>
      <c r="J692" s="125">
        <f>IF(Procurement_Raw!J692="","",Procurement_Raw!J692)</f>
        <v>19186.46</v>
      </c>
      <c r="K692" s="77">
        <f>Procurement_Raw!K692</f>
        <v>45</v>
      </c>
      <c r="L692" t="str">
        <f>Procurement_Raw!L692</f>
        <v>Legacy Spend File</v>
      </c>
      <c r="M692" t="str">
        <f>Procurement_Raw!O692</f>
        <v>N</v>
      </c>
      <c r="N692" t="str">
        <f>IF(E692="","Missing supplier",IF(B692="","Missing site",IF(J692="","Missing spend",IF(COUNTIFS($G$2:G692,G692,$E$2:E692,E692,$J$2:J692,J692)&gt;1,"Duplicate invoice",IF(COUNTIF($G$2:$G$1801,G692)&gt;1,"Duplicate ID - review",IF(AND(P692&lt;&gt;"Unmapped",P692&lt;&gt;F692),"Category mismatch","OK"))))))</f>
        <v>OK</v>
      </c>
      <c r="O692" s="125">
        <f t="shared" si="30"/>
        <v>19186.46</v>
      </c>
      <c r="P692" t="str">
        <f>IF(E692="","Unmapped",IFERROR(INDEX(Supplier_Lookup!$B$2:$B$25,MATCH(E692,Supplier_Lookup!$A$2:$A$25,0)),"Unmapped"))</f>
        <v>Agency Labour</v>
      </c>
      <c r="Q692" s="76">
        <f>IFERROR(INDEX(Category_Targets!$B$2:$B$9,MATCH(F692,Category_Targets!$A$2:$A$9,0)),0)</f>
        <v>7.0000000000000007E-2</v>
      </c>
      <c r="R692" s="125">
        <f t="shared" si="31"/>
        <v>1343.0522000000001</v>
      </c>
      <c r="S692" s="78">
        <f t="shared" si="32"/>
        <v>45962</v>
      </c>
      <c r="T692" t="str">
        <f>IFERROR(VLOOKUP(B692,Sites!$A$2:$D$21,4,FALSE()),"Unknown")</f>
        <v>Nottingham</v>
      </c>
      <c r="U692" t="str">
        <f>IF(N692="OK","",COUNTIF($N$2:N692,"&lt;&gt;OK"))</f>
        <v/>
      </c>
      <c r="V692">
        <f>IF(OR(NOT(EXACT(E692,TRIM(Procurement_Raw!E692))),NOT(EXACT(F692,TRIM(Procurement_Raw!F692)))),1,0)</f>
        <v>0</v>
      </c>
    </row>
    <row r="693" spans="1:22" ht="15" customHeight="1" x14ac:dyDescent="0.25">
      <c r="A693" s="123">
        <f>Procurement_Raw!A693</f>
        <v>46012</v>
      </c>
      <c r="B693" t="str">
        <f>TRIM(Procurement_Raw!B693)</f>
        <v>S011</v>
      </c>
      <c r="C693" t="str">
        <f>Procurement_Raw!C693</f>
        <v>London Care &amp; Education Centre</v>
      </c>
      <c r="D693" t="str">
        <f>Procurement_Raw!D693</f>
        <v>South</v>
      </c>
      <c r="E693" t="str">
        <f>IF(TRIM(Procurement_Raw!E693)="","",IFERROR(INDEX(Supplier_Lookup!$A$2:$A$25,MATCH(TRIM(Procurement_Raw!E693),Supplier_Lookup!$A$2:$A$25,0)),TRIM(Procurement_Raw!E693)))</f>
        <v>NurseLink</v>
      </c>
      <c r="F693" t="str">
        <f>IFERROR(INDEX(Category_Targets!$A$2:$A$9,MATCH(TRIM(Procurement_Raw!F693),Category_Targets!$A$2:$A$9,0)),"Unmapped")</f>
        <v>Agency Labour</v>
      </c>
      <c r="G693" t="str">
        <f>TRIM(Procurement_Raw!G693)</f>
        <v>INV-2025-00692</v>
      </c>
      <c r="H693" s="77">
        <f>Procurement_Raw!H693</f>
        <v>32</v>
      </c>
      <c r="I693" s="124">
        <f>Procurement_Raw!I693</f>
        <v>567.6</v>
      </c>
      <c r="J693" s="125">
        <f>IF(Procurement_Raw!J693="","",Procurement_Raw!J693)</f>
        <v>18163.14</v>
      </c>
      <c r="K693" s="77">
        <f>Procurement_Raw!K693</f>
        <v>45</v>
      </c>
      <c r="L693" t="str">
        <f>Procurement_Raw!L693</f>
        <v>Procurement Portal</v>
      </c>
      <c r="M693" t="str">
        <f>Procurement_Raw!O693</f>
        <v>N</v>
      </c>
      <c r="N693" t="str">
        <f>IF(E693="","Missing supplier",IF(B693="","Missing site",IF(J693="","Missing spend",IF(COUNTIFS($G$2:G693,G693,$E$2:E693,E693,$J$2:J693,J693)&gt;1,"Duplicate invoice",IF(COUNTIF($G$2:$G$1801,G693)&gt;1,"Duplicate ID - review",IF(AND(P693&lt;&gt;"Unmapped",P693&lt;&gt;F693),"Category mismatch","OK"))))))</f>
        <v>OK</v>
      </c>
      <c r="O693" s="125">
        <f t="shared" si="30"/>
        <v>18163.14</v>
      </c>
      <c r="P693" t="str">
        <f>IF(E693="","Unmapped",IFERROR(INDEX(Supplier_Lookup!$B$2:$B$25,MATCH(E693,Supplier_Lookup!$A$2:$A$25,0)),"Unmapped"))</f>
        <v>Agency Labour</v>
      </c>
      <c r="Q693" s="76">
        <f>IFERROR(INDEX(Category_Targets!$B$2:$B$9,MATCH(F693,Category_Targets!$A$2:$A$9,0)),0)</f>
        <v>7.0000000000000007E-2</v>
      </c>
      <c r="R693" s="125">
        <f t="shared" si="31"/>
        <v>1271.4198000000001</v>
      </c>
      <c r="S693" s="78">
        <f t="shared" si="32"/>
        <v>45992</v>
      </c>
      <c r="T693" t="str">
        <f>IFERROR(VLOOKUP(B693,Sites!$A$2:$D$21,4,FALSE()),"Unknown")</f>
        <v>London</v>
      </c>
      <c r="U693" t="str">
        <f>IF(N693="OK","",COUNTIF($N$2:N693,"&lt;&gt;OK"))</f>
        <v/>
      </c>
      <c r="V693">
        <f>IF(OR(NOT(EXACT(E693,TRIM(Procurement_Raw!E693))),NOT(EXACT(F693,TRIM(Procurement_Raw!F693)))),1,0)</f>
        <v>0</v>
      </c>
    </row>
    <row r="694" spans="1:22" ht="15" customHeight="1" x14ac:dyDescent="0.25">
      <c r="A694" s="123">
        <f>Procurement_Raw!A694</f>
        <v>45726</v>
      </c>
      <c r="B694" t="str">
        <f>TRIM(Procurement_Raw!B694)</f>
        <v>S001</v>
      </c>
      <c r="C694" t="str">
        <f>Procurement_Raw!C694</f>
        <v>Preston Care &amp; Education Centre</v>
      </c>
      <c r="D694" t="str">
        <f>Procurement_Raw!D694</f>
        <v>North</v>
      </c>
      <c r="E694" t="str">
        <f>IF(TRIM(Procurement_Raw!E694)="","",IFERROR(INDEX(Supplier_Lookup!$A$2:$A$25,MATCH(TRIM(Procurement_Raw!E694),Supplier_Lookup!$A$2:$A$25,0)),TRIM(Procurement_Raw!E694)))</f>
        <v>TeleCare IT</v>
      </c>
      <c r="F694" t="str">
        <f>IFERROR(INDEX(Category_Targets!$A$2:$A$9,MATCH(TRIM(Procurement_Raw!F694),Category_Targets!$A$2:$A$9,0)),"Unmapped")</f>
        <v>IT &amp; Telecoms</v>
      </c>
      <c r="G694" t="str">
        <f>TRIM(Procurement_Raw!G694)</f>
        <v>INV-2025-00693</v>
      </c>
      <c r="H694" s="77">
        <f>Procurement_Raw!H694</f>
        <v>18</v>
      </c>
      <c r="I694" s="124">
        <f>Procurement_Raw!I694</f>
        <v>121.39</v>
      </c>
      <c r="J694" s="125">
        <f>IF(Procurement_Raw!J694="","",Procurement_Raw!J694)</f>
        <v>2185.09</v>
      </c>
      <c r="K694" s="77">
        <f>Procurement_Raw!K694</f>
        <v>45</v>
      </c>
      <c r="L694" t="str">
        <f>Procurement_Raw!L694</f>
        <v>Legacy Spend File</v>
      </c>
      <c r="M694" t="str">
        <f>Procurement_Raw!O694</f>
        <v>N</v>
      </c>
      <c r="N694" t="str">
        <f>IF(E694="","Missing supplier",IF(B694="","Missing site",IF(J694="","Missing spend",IF(COUNTIFS($G$2:G694,G694,$E$2:E694,E694,$J$2:J694,J694)&gt;1,"Duplicate invoice",IF(COUNTIF($G$2:$G$1801,G694)&gt;1,"Duplicate ID - review",IF(AND(P694&lt;&gt;"Unmapped",P694&lt;&gt;F694),"Category mismatch","OK"))))))</f>
        <v>OK</v>
      </c>
      <c r="O694" s="125">
        <f t="shared" si="30"/>
        <v>2185.09</v>
      </c>
      <c r="P694" t="str">
        <f>IF(E694="","Unmapped",IFERROR(INDEX(Supplier_Lookup!$B$2:$B$25,MATCH(E694,Supplier_Lookup!$A$2:$A$25,0)),"Unmapped"))</f>
        <v>IT &amp; Telecoms</v>
      </c>
      <c r="Q694" s="76">
        <f>IFERROR(INDEX(Category_Targets!$B$2:$B$9,MATCH(F694,Category_Targets!$A$2:$A$9,0)),0)</f>
        <v>0.08</v>
      </c>
      <c r="R694" s="125">
        <f t="shared" si="31"/>
        <v>174.80720000000002</v>
      </c>
      <c r="S694" s="78">
        <f t="shared" si="32"/>
        <v>45717</v>
      </c>
      <c r="T694" t="str">
        <f>IFERROR(VLOOKUP(B694,Sites!$A$2:$D$21,4,FALSE()),"Unknown")</f>
        <v>Preston</v>
      </c>
      <c r="U694" t="str">
        <f>IF(N694="OK","",COUNTIF($N$2:N694,"&lt;&gt;OK"))</f>
        <v/>
      </c>
      <c r="V694">
        <f>IF(OR(NOT(EXACT(E694,TRIM(Procurement_Raw!E694))),NOT(EXACT(F694,TRIM(Procurement_Raw!F694)))),1,0)</f>
        <v>0</v>
      </c>
    </row>
    <row r="695" spans="1:22" ht="15" customHeight="1" x14ac:dyDescent="0.25">
      <c r="A695" s="123">
        <f>Procurement_Raw!A695</f>
        <v>45938</v>
      </c>
      <c r="B695" t="str">
        <f>TRIM(Procurement_Raw!B695)</f>
        <v>S012</v>
      </c>
      <c r="C695" t="str">
        <f>Procurement_Raw!C695</f>
        <v>Bristol Care &amp; Education Centre</v>
      </c>
      <c r="D695" t="str">
        <f>Procurement_Raw!D695</f>
        <v>South</v>
      </c>
      <c r="E695" t="str">
        <f>IF(TRIM(Procurement_Raw!E695)="","",IFERROR(INDEX(Supplier_Lookup!$A$2:$A$25,MATCH(TRIM(Procurement_Raw!E695),Supplier_Lookup!$A$2:$A$25,0)),TRIM(Procurement_Raw!E695)))</f>
        <v>NetServe</v>
      </c>
      <c r="F695" t="str">
        <f>IFERROR(INDEX(Category_Targets!$A$2:$A$9,MATCH(TRIM(Procurement_Raw!F695),Category_Targets!$A$2:$A$9,0)),"Unmapped")</f>
        <v>IT &amp; Telecoms</v>
      </c>
      <c r="G695" t="str">
        <f>TRIM(Procurement_Raw!G695)</f>
        <v>INV-2025-00694</v>
      </c>
      <c r="H695" s="77">
        <f>Procurement_Raw!H695</f>
        <v>41</v>
      </c>
      <c r="I695" s="124">
        <f>Procurement_Raw!I695</f>
        <v>308.70999999999998</v>
      </c>
      <c r="J695" s="125">
        <f>IF(Procurement_Raw!J695="","",Procurement_Raw!J695)</f>
        <v>12656.98</v>
      </c>
      <c r="K695" s="77">
        <f>Procurement_Raw!K695</f>
        <v>60</v>
      </c>
      <c r="L695" t="str">
        <f>Procurement_Raw!L695</f>
        <v>Legacy Spend File</v>
      </c>
      <c r="M695" t="str">
        <f>Procurement_Raw!O695</f>
        <v>N</v>
      </c>
      <c r="N695" t="str">
        <f>IF(E695="","Missing supplier",IF(B695="","Missing site",IF(J695="","Missing spend",IF(COUNTIFS($G$2:G695,G695,$E$2:E695,E695,$J$2:J695,J695)&gt;1,"Duplicate invoice",IF(COUNTIF($G$2:$G$1801,G695)&gt;1,"Duplicate ID - review",IF(AND(P695&lt;&gt;"Unmapped",P695&lt;&gt;F695),"Category mismatch","OK"))))))</f>
        <v>OK</v>
      </c>
      <c r="O695" s="125">
        <f t="shared" si="30"/>
        <v>12656.98</v>
      </c>
      <c r="P695" t="str">
        <f>IF(E695="","Unmapped",IFERROR(INDEX(Supplier_Lookup!$B$2:$B$25,MATCH(E695,Supplier_Lookup!$A$2:$A$25,0)),"Unmapped"))</f>
        <v>IT &amp; Telecoms</v>
      </c>
      <c r="Q695" s="76">
        <f>IFERROR(INDEX(Category_Targets!$B$2:$B$9,MATCH(F695,Category_Targets!$A$2:$A$9,0)),0)</f>
        <v>0.08</v>
      </c>
      <c r="R695" s="125">
        <f t="shared" si="31"/>
        <v>1012.5584</v>
      </c>
      <c r="S695" s="78">
        <f t="shared" si="32"/>
        <v>45931</v>
      </c>
      <c r="T695" t="str">
        <f>IFERROR(VLOOKUP(B695,Sites!$A$2:$D$21,4,FALSE()),"Unknown")</f>
        <v>Bristol</v>
      </c>
      <c r="U695" t="str">
        <f>IF(N695="OK","",COUNTIF($N$2:N695,"&lt;&gt;OK"))</f>
        <v/>
      </c>
      <c r="V695">
        <f>IF(OR(NOT(EXACT(E695,TRIM(Procurement_Raw!E695))),NOT(EXACT(F695,TRIM(Procurement_Raw!F695)))),1,0)</f>
        <v>0</v>
      </c>
    </row>
    <row r="696" spans="1:22" ht="15" customHeight="1" x14ac:dyDescent="0.25">
      <c r="A696" s="123">
        <f>Procurement_Raw!A696</f>
        <v>45765</v>
      </c>
      <c r="B696" t="str">
        <f>TRIM(Procurement_Raw!B696)</f>
        <v>S020</v>
      </c>
      <c r="C696" t="str">
        <f>Procurement_Raw!C696</f>
        <v>Bangor Care &amp; Education Centre</v>
      </c>
      <c r="D696" t="str">
        <f>Procurement_Raw!D696</f>
        <v>Wales</v>
      </c>
      <c r="E696" t="str">
        <f>IF(TRIM(Procurement_Raw!E696)="","",IFERROR(INDEX(Supplier_Lookup!$A$2:$A$25,MATCH(TRIM(Procurement_Raw!E696),Supplier_Lookup!$A$2:$A$25,0)),TRIM(Procurement_Raw!E696)))</f>
        <v>UK Energy Partners</v>
      </c>
      <c r="F696" t="str">
        <f>IFERROR(INDEX(Category_Targets!$A$2:$A$9,MATCH(TRIM(Procurement_Raw!F696),Category_Targets!$A$2:$A$9,0)),"Unmapped")</f>
        <v>Utilities</v>
      </c>
      <c r="G696" t="str">
        <f>TRIM(Procurement_Raw!G696)</f>
        <v>INV-2025-00695</v>
      </c>
      <c r="H696" s="77">
        <f>Procurement_Raw!H696</f>
        <v>80</v>
      </c>
      <c r="I696" s="124">
        <f>Procurement_Raw!I696</f>
        <v>346.43</v>
      </c>
      <c r="J696" s="125">
        <f>IF(Procurement_Raw!J696="","",Procurement_Raw!J696)</f>
        <v>27714.01</v>
      </c>
      <c r="K696" s="77">
        <f>Procurement_Raw!K696</f>
        <v>60</v>
      </c>
      <c r="L696" t="str">
        <f>Procurement_Raw!L696</f>
        <v>Procurement Portal</v>
      </c>
      <c r="M696" t="str">
        <f>Procurement_Raw!O696</f>
        <v>N</v>
      </c>
      <c r="N696" t="str">
        <f>IF(E696="","Missing supplier",IF(B696="","Missing site",IF(J696="","Missing spend",IF(COUNTIFS($G$2:G696,G696,$E$2:E696,E696,$J$2:J696,J696)&gt;1,"Duplicate invoice",IF(COUNTIF($G$2:$G$1801,G696)&gt;1,"Duplicate ID - review",IF(AND(P696&lt;&gt;"Unmapped",P696&lt;&gt;F696),"Category mismatch","OK"))))))</f>
        <v>OK</v>
      </c>
      <c r="O696" s="125">
        <f t="shared" si="30"/>
        <v>27714.01</v>
      </c>
      <c r="P696" t="str">
        <f>IF(E696="","Unmapped",IFERROR(INDEX(Supplier_Lookup!$B$2:$B$25,MATCH(E696,Supplier_Lookup!$A$2:$A$25,0)),"Unmapped"))</f>
        <v>Utilities</v>
      </c>
      <c r="Q696" s="76">
        <f>IFERROR(INDEX(Category_Targets!$B$2:$B$9,MATCH(F696,Category_Targets!$A$2:$A$9,0)),0)</f>
        <v>0.03</v>
      </c>
      <c r="R696" s="125">
        <f t="shared" si="31"/>
        <v>831.42029999999988</v>
      </c>
      <c r="S696" s="78">
        <f t="shared" si="32"/>
        <v>45748</v>
      </c>
      <c r="T696" t="str">
        <f>IFERROR(VLOOKUP(B696,Sites!$A$2:$D$21,4,FALSE()),"Unknown")</f>
        <v>Bangor</v>
      </c>
      <c r="U696" t="str">
        <f>IF(N696="OK","",COUNTIF($N$2:N696,"&lt;&gt;OK"))</f>
        <v/>
      </c>
      <c r="V696">
        <f>IF(OR(NOT(EXACT(E696,TRIM(Procurement_Raw!E696))),NOT(EXACT(F696,TRIM(Procurement_Raw!F696)))),1,0)</f>
        <v>0</v>
      </c>
    </row>
    <row r="697" spans="1:22" ht="15" customHeight="1" x14ac:dyDescent="0.25">
      <c r="A697" s="123">
        <f>Procurement_Raw!A697</f>
        <v>45725</v>
      </c>
      <c r="B697" t="str">
        <f>TRIM(Procurement_Raw!B697)</f>
        <v>S019</v>
      </c>
      <c r="C697" t="str">
        <f>Procurement_Raw!C697</f>
        <v>Wrexham Care &amp; Education Centre</v>
      </c>
      <c r="D697" t="str">
        <f>Procurement_Raw!D697</f>
        <v>Wales</v>
      </c>
      <c r="E697" t="str">
        <f>IF(TRIM(Procurement_Raw!E697)="","",IFERROR(INDEX(Supplier_Lookup!$A$2:$A$25,MATCH(TRIM(Procurement_Raw!E697),Supplier_Lookup!$A$2:$A$25,0)),TRIM(Procurement_Raw!E697)))</f>
        <v>AutoCare</v>
      </c>
      <c r="F697" t="str">
        <f>IFERROR(INDEX(Category_Targets!$A$2:$A$9,MATCH(TRIM(Procurement_Raw!F697),Category_Targets!$A$2:$A$9,0)),"Unmapped")</f>
        <v>Vehicle &amp; Fuel</v>
      </c>
      <c r="G697" t="str">
        <f>TRIM(Procurement_Raw!G697)</f>
        <v>INV-2025-00696</v>
      </c>
      <c r="H697" s="77">
        <f>Procurement_Raw!H697</f>
        <v>23</v>
      </c>
      <c r="I697" s="124">
        <f>Procurement_Raw!I697</f>
        <v>80.13</v>
      </c>
      <c r="J697" s="125">
        <f>IF(Procurement_Raw!J697="","",Procurement_Raw!J697)</f>
        <v>1842.95</v>
      </c>
      <c r="K697" s="77">
        <f>Procurement_Raw!K697</f>
        <v>60</v>
      </c>
      <c r="L697" t="str">
        <f>Procurement_Raw!L697</f>
        <v>Legacy Spend File</v>
      </c>
      <c r="M697" t="str">
        <f>Procurement_Raw!O697</f>
        <v>N</v>
      </c>
      <c r="N697" t="str">
        <f>IF(E697="","Missing supplier",IF(B697="","Missing site",IF(J697="","Missing spend",IF(COUNTIFS($G$2:G697,G697,$E$2:E697,E697,$J$2:J697,J697)&gt;1,"Duplicate invoice",IF(COUNTIF($G$2:$G$1801,G697)&gt;1,"Duplicate ID - review",IF(AND(P697&lt;&gt;"Unmapped",P697&lt;&gt;F697),"Category mismatch","OK"))))))</f>
        <v>OK</v>
      </c>
      <c r="O697" s="125">
        <f t="shared" si="30"/>
        <v>1842.95</v>
      </c>
      <c r="P697" t="str">
        <f>IF(E697="","Unmapped",IFERROR(INDEX(Supplier_Lookup!$B$2:$B$25,MATCH(E697,Supplier_Lookup!$A$2:$A$25,0)),"Unmapped"))</f>
        <v>Vehicle &amp; Fuel</v>
      </c>
      <c r="Q697" s="76">
        <f>IFERROR(INDEX(Category_Targets!$B$2:$B$9,MATCH(F697,Category_Targets!$A$2:$A$9,0)),0)</f>
        <v>0.05</v>
      </c>
      <c r="R697" s="125">
        <f t="shared" si="31"/>
        <v>92.147500000000008</v>
      </c>
      <c r="S697" s="78">
        <f t="shared" si="32"/>
        <v>45717</v>
      </c>
      <c r="T697" t="str">
        <f>IFERROR(VLOOKUP(B697,Sites!$A$2:$D$21,4,FALSE()),"Unknown")</f>
        <v>Wrexham</v>
      </c>
      <c r="U697" t="str">
        <f>IF(N697="OK","",COUNTIF($N$2:N697,"&lt;&gt;OK"))</f>
        <v/>
      </c>
      <c r="V697">
        <f>IF(OR(NOT(EXACT(E697,TRIM(Procurement_Raw!E697))),NOT(EXACT(F697,TRIM(Procurement_Raw!F697)))),1,0)</f>
        <v>0</v>
      </c>
    </row>
    <row r="698" spans="1:22" ht="15" customHeight="1" x14ac:dyDescent="0.25">
      <c r="A698" s="123">
        <f>Procurement_Raw!A698</f>
        <v>45717</v>
      </c>
      <c r="B698" t="str">
        <f>TRIM(Procurement_Raw!B698)</f>
        <v>S010</v>
      </c>
      <c r="C698" t="str">
        <f>Procurement_Raw!C698</f>
        <v>Coventry Care &amp; Education Centre</v>
      </c>
      <c r="D698" t="str">
        <f>Procurement_Raw!D698</f>
        <v>Midlands</v>
      </c>
      <c r="E698" t="str">
        <f>IF(TRIM(Procurement_Raw!E698)="","",IFERROR(INDEX(Supplier_Lookup!$A$2:$A$25,MATCH(TRIM(Procurement_Raw!E698),Supplier_Lookup!$A$2:$A$25,0)),TRIM(Procurement_Raw!E698)))</f>
        <v>AutoCare</v>
      </c>
      <c r="F698" t="str">
        <f>IFERROR(INDEX(Category_Targets!$A$2:$A$9,MATCH(TRIM(Procurement_Raw!F698),Category_Targets!$A$2:$A$9,0)),"Unmapped")</f>
        <v>Vehicle &amp; Fuel</v>
      </c>
      <c r="G698" t="str">
        <f>TRIM(Procurement_Raw!G698)</f>
        <v>INV-2025-00697</v>
      </c>
      <c r="H698" s="77">
        <f>Procurement_Raw!H698</f>
        <v>46</v>
      </c>
      <c r="I698" s="124">
        <f>Procurement_Raw!I698</f>
        <v>113.66</v>
      </c>
      <c r="J698" s="125">
        <f>IF(Procurement_Raw!J698="","",Procurement_Raw!J698)</f>
        <v>5228.5600000000004</v>
      </c>
      <c r="K698" s="77">
        <f>Procurement_Raw!K698</f>
        <v>60</v>
      </c>
      <c r="L698" t="str">
        <f>Procurement_Raw!L698</f>
        <v>Procurement Portal</v>
      </c>
      <c r="M698" t="str">
        <f>Procurement_Raw!O698</f>
        <v>N</v>
      </c>
      <c r="N698" t="str">
        <f>IF(E698="","Missing supplier",IF(B698="","Missing site",IF(J698="","Missing spend",IF(COUNTIFS($G$2:G698,G698,$E$2:E698,E698,$J$2:J698,J698)&gt;1,"Duplicate invoice",IF(COUNTIF($G$2:$G$1801,G698)&gt;1,"Duplicate ID - review",IF(AND(P698&lt;&gt;"Unmapped",P698&lt;&gt;F698),"Category mismatch","OK"))))))</f>
        <v>OK</v>
      </c>
      <c r="O698" s="125">
        <f t="shared" si="30"/>
        <v>5228.5600000000004</v>
      </c>
      <c r="P698" t="str">
        <f>IF(E698="","Unmapped",IFERROR(INDEX(Supplier_Lookup!$B$2:$B$25,MATCH(E698,Supplier_Lookup!$A$2:$A$25,0)),"Unmapped"))</f>
        <v>Vehicle &amp; Fuel</v>
      </c>
      <c r="Q698" s="76">
        <f>IFERROR(INDEX(Category_Targets!$B$2:$B$9,MATCH(F698,Category_Targets!$A$2:$A$9,0)),0)</f>
        <v>0.05</v>
      </c>
      <c r="R698" s="125">
        <f t="shared" si="31"/>
        <v>261.42800000000005</v>
      </c>
      <c r="S698" s="78">
        <f t="shared" si="32"/>
        <v>45717</v>
      </c>
      <c r="T698" t="str">
        <f>IFERROR(VLOOKUP(B698,Sites!$A$2:$D$21,4,FALSE()),"Unknown")</f>
        <v>Coventry</v>
      </c>
      <c r="U698" t="str">
        <f>IF(N698="OK","",COUNTIF($N$2:N698,"&lt;&gt;OK"))</f>
        <v/>
      </c>
      <c r="V698">
        <f>IF(OR(NOT(EXACT(E698,TRIM(Procurement_Raw!E698))),NOT(EXACT(F698,TRIM(Procurement_Raw!F698)))),1,0)</f>
        <v>0</v>
      </c>
    </row>
    <row r="699" spans="1:22" ht="15" customHeight="1" x14ac:dyDescent="0.25">
      <c r="A699" s="123">
        <f>Procurement_Raw!A699</f>
        <v>45931</v>
      </c>
      <c r="B699" t="str">
        <f>TRIM(Procurement_Raw!B699)</f>
        <v>S009</v>
      </c>
      <c r="C699" t="str">
        <f>Procurement_Raw!C699</f>
        <v>Derby Care &amp; Education Centre</v>
      </c>
      <c r="D699" t="str">
        <f>Procurement_Raw!D699</f>
        <v>Midlands</v>
      </c>
      <c r="E699" t="str">
        <f>IF(TRIM(Procurement_Raw!E699)="","",IFERROR(INDEX(Supplier_Lookup!$A$2:$A$25,MATCH(TRIM(Procurement_Raw!E699),Supplier_Lookup!$A$2:$A$25,0)),TRIM(Procurement_Raw!E699)))</f>
        <v>NurseLink</v>
      </c>
      <c r="F699" t="str">
        <f>IFERROR(INDEX(Category_Targets!$A$2:$A$9,MATCH(TRIM(Procurement_Raw!F699),Category_Targets!$A$2:$A$9,0)),"Unmapped")</f>
        <v>Agency Labour</v>
      </c>
      <c r="G699" t="str">
        <f>TRIM(Procurement_Raw!G699)</f>
        <v>INV-2025-00698</v>
      </c>
      <c r="H699" s="77">
        <f>Procurement_Raw!H699</f>
        <v>37</v>
      </c>
      <c r="I699" s="124">
        <f>Procurement_Raw!I699</f>
        <v>150.76</v>
      </c>
      <c r="J699" s="125">
        <f>IF(Procurement_Raw!J699="","",Procurement_Raw!J699)</f>
        <v>5578.01</v>
      </c>
      <c r="K699" s="77">
        <f>Procurement_Raw!K699</f>
        <v>45</v>
      </c>
      <c r="L699" t="str">
        <f>Procurement_Raw!L699</f>
        <v>ERP</v>
      </c>
      <c r="M699" t="str">
        <f>Procurement_Raw!O699</f>
        <v>N</v>
      </c>
      <c r="N699" t="str">
        <f>IF(E699="","Missing supplier",IF(B699="","Missing site",IF(J699="","Missing spend",IF(COUNTIFS($G$2:G699,G699,$E$2:E699,E699,$J$2:J699,J699)&gt;1,"Duplicate invoice",IF(COUNTIF($G$2:$G$1801,G699)&gt;1,"Duplicate ID - review",IF(AND(P699&lt;&gt;"Unmapped",P699&lt;&gt;F699),"Category mismatch","OK"))))))</f>
        <v>OK</v>
      </c>
      <c r="O699" s="125">
        <f t="shared" si="30"/>
        <v>5578.01</v>
      </c>
      <c r="P699" t="str">
        <f>IF(E699="","Unmapped",IFERROR(INDEX(Supplier_Lookup!$B$2:$B$25,MATCH(E699,Supplier_Lookup!$A$2:$A$25,0)),"Unmapped"))</f>
        <v>Agency Labour</v>
      </c>
      <c r="Q699" s="76">
        <f>IFERROR(INDEX(Category_Targets!$B$2:$B$9,MATCH(F699,Category_Targets!$A$2:$A$9,0)),0)</f>
        <v>7.0000000000000007E-2</v>
      </c>
      <c r="R699" s="125">
        <f t="shared" si="31"/>
        <v>390.46070000000003</v>
      </c>
      <c r="S699" s="78">
        <f t="shared" si="32"/>
        <v>45931</v>
      </c>
      <c r="T699" t="str">
        <f>IFERROR(VLOOKUP(B699,Sites!$A$2:$D$21,4,FALSE()),"Unknown")</f>
        <v>Derby</v>
      </c>
      <c r="U699" t="str">
        <f>IF(N699="OK","",COUNTIF($N$2:N699,"&lt;&gt;OK"))</f>
        <v/>
      </c>
      <c r="V699">
        <f>IF(OR(NOT(EXACT(E699,TRIM(Procurement_Raw!E699))),NOT(EXACT(F699,TRIM(Procurement_Raw!F699)))),1,0)</f>
        <v>0</v>
      </c>
    </row>
    <row r="700" spans="1:22" ht="15" customHeight="1" x14ac:dyDescent="0.25">
      <c r="A700" s="123">
        <f>Procurement_Raw!A700</f>
        <v>45853</v>
      </c>
      <c r="B700" t="str">
        <f>TRIM(Procurement_Raw!B700)</f>
        <v>S003</v>
      </c>
      <c r="C700" t="str">
        <f>Procurement_Raw!C700</f>
        <v>Leeds Care &amp; Education Centre</v>
      </c>
      <c r="D700" t="str">
        <f>Procurement_Raw!D700</f>
        <v>North</v>
      </c>
      <c r="E700" t="str">
        <f>IF(TRIM(Procurement_Raw!E700)="","",IFERROR(INDEX(Supplier_Lookup!$A$2:$A$25,MATCH(TRIM(Procurement_Raw!E700),Supplier_Lookup!$A$2:$A$25,0)),TRIM(Procurement_Raw!E700)))</f>
        <v>FreshServe</v>
      </c>
      <c r="F700" t="str">
        <f>IFERROR(INDEX(Category_Targets!$A$2:$A$9,MATCH(TRIM(Procurement_Raw!F700),Category_Targets!$A$2:$A$9,0)),"Unmapped")</f>
        <v>Food &amp; Catering</v>
      </c>
      <c r="G700" t="str">
        <f>TRIM(Procurement_Raw!G700)</f>
        <v>INV-2025-00699</v>
      </c>
      <c r="H700" s="77">
        <f>Procurement_Raw!H700</f>
        <v>19</v>
      </c>
      <c r="I700" s="124">
        <f>Procurement_Raw!I700</f>
        <v>108.05</v>
      </c>
      <c r="J700" s="125">
        <f>IF(Procurement_Raw!J700="","",Procurement_Raw!J700)</f>
        <v>2052.9699999999998</v>
      </c>
      <c r="K700" s="77">
        <f>Procurement_Raw!K700</f>
        <v>30</v>
      </c>
      <c r="L700" t="str">
        <f>Procurement_Raw!L700</f>
        <v>Legacy Spend File</v>
      </c>
      <c r="M700" t="str">
        <f>Procurement_Raw!O700</f>
        <v>Y</v>
      </c>
      <c r="N700" t="str">
        <f>IF(E700="","Missing supplier",IF(B700="","Missing site",IF(J700="","Missing spend",IF(COUNTIFS($G$2:G700,G700,$E$2:E700,E700,$J$2:J700,J700)&gt;1,"Duplicate invoice",IF(COUNTIF($G$2:$G$1801,G700)&gt;1,"Duplicate ID - review",IF(AND(P700&lt;&gt;"Unmapped",P700&lt;&gt;F700),"Category mismatch","OK"))))))</f>
        <v>OK</v>
      </c>
      <c r="O700" s="125">
        <f t="shared" si="30"/>
        <v>2052.9699999999998</v>
      </c>
      <c r="P700" t="str">
        <f>IF(E700="","Unmapped",IFERROR(INDEX(Supplier_Lookup!$B$2:$B$25,MATCH(E700,Supplier_Lookup!$A$2:$A$25,0)),"Unmapped"))</f>
        <v>Food &amp; Catering</v>
      </c>
      <c r="Q700" s="76">
        <f>IFERROR(INDEX(Category_Targets!$B$2:$B$9,MATCH(F700,Category_Targets!$A$2:$A$9,0)),0)</f>
        <v>0.04</v>
      </c>
      <c r="R700" s="125">
        <f t="shared" si="31"/>
        <v>82.118799999999993</v>
      </c>
      <c r="S700" s="78">
        <f t="shared" si="32"/>
        <v>45839</v>
      </c>
      <c r="T700" t="str">
        <f>IFERROR(VLOOKUP(B700,Sites!$A$2:$D$21,4,FALSE()),"Unknown")</f>
        <v>Leeds</v>
      </c>
      <c r="U700" t="str">
        <f>IF(N700="OK","",COUNTIF($N$2:N700,"&lt;&gt;OK"))</f>
        <v/>
      </c>
      <c r="V700">
        <f>IF(OR(NOT(EXACT(E700,TRIM(Procurement_Raw!E700))),NOT(EXACT(F700,TRIM(Procurement_Raw!F700)))),1,0)</f>
        <v>0</v>
      </c>
    </row>
    <row r="701" spans="1:22" ht="15" customHeight="1" x14ac:dyDescent="0.25">
      <c r="A701" s="123">
        <f>Procurement_Raw!A701</f>
        <v>45740</v>
      </c>
      <c r="B701" t="str">
        <f>TRIM(Procurement_Raw!B701)</f>
        <v>S013</v>
      </c>
      <c r="C701" t="str">
        <f>Procurement_Raw!C701</f>
        <v>Reading Care &amp; Education Centre</v>
      </c>
      <c r="D701" t="str">
        <f>Procurement_Raw!D701</f>
        <v>South</v>
      </c>
      <c r="E701" t="str">
        <f>IF(TRIM(Procurement_Raw!E701)="","",IFERROR(INDEX(Supplier_Lookup!$A$2:$A$25,MATCH(TRIM(Procurement_Raw!E701),Supplier_Lookup!$A$2:$A$25,0)),TRIM(Procurement_Raw!E701)))</f>
        <v>WaterGrid</v>
      </c>
      <c r="F701" t="str">
        <f>IFERROR(INDEX(Category_Targets!$A$2:$A$9,MATCH(TRIM(Procurement_Raw!F701),Category_Targets!$A$2:$A$9,0)),"Unmapped")</f>
        <v>Utilities</v>
      </c>
      <c r="G701" t="str">
        <f>TRIM(Procurement_Raw!G701)</f>
        <v>INV-2025-00700</v>
      </c>
      <c r="H701" s="77">
        <f>Procurement_Raw!H701</f>
        <v>37</v>
      </c>
      <c r="I701" s="124">
        <f>Procurement_Raw!I701</f>
        <v>225.83</v>
      </c>
      <c r="J701" s="125">
        <f>IF(Procurement_Raw!J701="","",Procurement_Raw!J701)</f>
        <v>8355.56</v>
      </c>
      <c r="K701" s="77">
        <f>Procurement_Raw!K701</f>
        <v>60</v>
      </c>
      <c r="L701" t="str">
        <f>Procurement_Raw!L701</f>
        <v>Procurement Portal</v>
      </c>
      <c r="M701" t="str">
        <f>Procurement_Raw!O701</f>
        <v>N</v>
      </c>
      <c r="N701" t="str">
        <f>IF(E701="","Missing supplier",IF(B701="","Missing site",IF(J701="","Missing spend",IF(COUNTIFS($G$2:G701,G701,$E$2:E701,E701,$J$2:J701,J701)&gt;1,"Duplicate invoice",IF(COUNTIF($G$2:$G$1801,G701)&gt;1,"Duplicate ID - review",IF(AND(P701&lt;&gt;"Unmapped",P701&lt;&gt;F701),"Category mismatch","OK"))))))</f>
        <v>OK</v>
      </c>
      <c r="O701" s="125">
        <f t="shared" si="30"/>
        <v>8355.56</v>
      </c>
      <c r="P701" t="str">
        <f>IF(E701="","Unmapped",IFERROR(INDEX(Supplier_Lookup!$B$2:$B$25,MATCH(E701,Supplier_Lookup!$A$2:$A$25,0)),"Unmapped"))</f>
        <v>Utilities</v>
      </c>
      <c r="Q701" s="76">
        <f>IFERROR(INDEX(Category_Targets!$B$2:$B$9,MATCH(F701,Category_Targets!$A$2:$A$9,0)),0)</f>
        <v>0.03</v>
      </c>
      <c r="R701" s="125">
        <f t="shared" si="31"/>
        <v>250.66679999999997</v>
      </c>
      <c r="S701" s="78">
        <f t="shared" si="32"/>
        <v>45717</v>
      </c>
      <c r="T701" t="str">
        <f>IFERROR(VLOOKUP(B701,Sites!$A$2:$D$21,4,FALSE()),"Unknown")</f>
        <v>Reading</v>
      </c>
      <c r="U701" t="str">
        <f>IF(N701="OK","",COUNTIF($N$2:N701,"&lt;&gt;OK"))</f>
        <v/>
      </c>
      <c r="V701">
        <f>IF(OR(NOT(EXACT(E701,TRIM(Procurement_Raw!E701))),NOT(EXACT(F701,TRIM(Procurement_Raw!F701)))),1,0)</f>
        <v>0</v>
      </c>
    </row>
    <row r="702" spans="1:22" ht="15" customHeight="1" x14ac:dyDescent="0.25">
      <c r="A702" s="123">
        <f>Procurement_Raw!A702</f>
        <v>45809</v>
      </c>
      <c r="B702" t="str">
        <f>TRIM(Procurement_Raw!B702)</f>
        <v>S011</v>
      </c>
      <c r="C702" t="str">
        <f>Procurement_Raw!C702</f>
        <v>London Care &amp; Education Centre</v>
      </c>
      <c r="D702" t="str">
        <f>Procurement_Raw!D702</f>
        <v>South</v>
      </c>
      <c r="E702" t="str">
        <f>IF(TRIM(Procurement_Raw!E702)="","",IFERROR(INDEX(Supplier_Lookup!$A$2:$A$25,MATCH(TRIM(Procurement_Raw!E702),Supplier_Lookup!$A$2:$A$25,0)),TRIM(Procurement_Raw!E702)))</f>
        <v>ClinEquip</v>
      </c>
      <c r="F702" t="str">
        <f>IFERROR(INDEX(Category_Targets!$A$2:$A$9,MATCH(TRIM(Procurement_Raw!F702),Category_Targets!$A$2:$A$9,0)),"Unmapped")</f>
        <v>Medical Supplies</v>
      </c>
      <c r="G702" t="str">
        <f>TRIM(Procurement_Raw!G702)</f>
        <v>INV-2025-00701</v>
      </c>
      <c r="H702" s="77">
        <f>Procurement_Raw!H702</f>
        <v>27</v>
      </c>
      <c r="I702" s="124">
        <f>Procurement_Raw!I702</f>
        <v>90.02</v>
      </c>
      <c r="J702" s="125">
        <f>IF(Procurement_Raw!J702="","",Procurement_Raw!J702)</f>
        <v>2430.4499999999998</v>
      </c>
      <c r="K702" s="77">
        <f>Procurement_Raw!K702</f>
        <v>60</v>
      </c>
      <c r="L702" t="str">
        <f>Procurement_Raw!L702</f>
        <v>ERP</v>
      </c>
      <c r="M702" t="str">
        <f>Procurement_Raw!O702</f>
        <v>N</v>
      </c>
      <c r="N702" t="str">
        <f>IF(E702="","Missing supplier",IF(B702="","Missing site",IF(J702="","Missing spend",IF(COUNTIFS($G$2:G702,G702,$E$2:E702,E702,$J$2:J702,J702)&gt;1,"Duplicate invoice",IF(COUNTIF($G$2:$G$1801,G702)&gt;1,"Duplicate ID - review",IF(AND(P702&lt;&gt;"Unmapped",P702&lt;&gt;F702),"Category mismatch","OK"))))))</f>
        <v>OK</v>
      </c>
      <c r="O702" s="125">
        <f t="shared" si="30"/>
        <v>2430.4499999999998</v>
      </c>
      <c r="P702" t="str">
        <f>IF(E702="","Unmapped",IFERROR(INDEX(Supplier_Lookup!$B$2:$B$25,MATCH(E702,Supplier_Lookup!$A$2:$A$25,0)),"Unmapped"))</f>
        <v>Medical Supplies</v>
      </c>
      <c r="Q702" s="76">
        <f>IFERROR(INDEX(Category_Targets!$B$2:$B$9,MATCH(F702,Category_Targets!$A$2:$A$9,0)),0)</f>
        <v>0.06</v>
      </c>
      <c r="R702" s="125">
        <f t="shared" si="31"/>
        <v>145.82699999999997</v>
      </c>
      <c r="S702" s="78">
        <f t="shared" si="32"/>
        <v>45809</v>
      </c>
      <c r="T702" t="str">
        <f>IFERROR(VLOOKUP(B702,Sites!$A$2:$D$21,4,FALSE()),"Unknown")</f>
        <v>London</v>
      </c>
      <c r="U702" t="str">
        <f>IF(N702="OK","",COUNTIF($N$2:N702,"&lt;&gt;OK"))</f>
        <v/>
      </c>
      <c r="V702">
        <f>IF(OR(NOT(EXACT(E702,TRIM(Procurement_Raw!E702))),NOT(EXACT(F702,TRIM(Procurement_Raw!F702)))),1,0)</f>
        <v>0</v>
      </c>
    </row>
    <row r="703" spans="1:22" ht="15" customHeight="1" x14ac:dyDescent="0.25">
      <c r="A703" s="123">
        <f>Procurement_Raw!A703</f>
        <v>45973</v>
      </c>
      <c r="B703" t="str">
        <f>TRIM(Procurement_Raw!B703)</f>
        <v>S020</v>
      </c>
      <c r="C703" t="str">
        <f>Procurement_Raw!C703</f>
        <v>Bangor Care &amp; Education Centre</v>
      </c>
      <c r="D703" t="str">
        <f>Procurement_Raw!D703</f>
        <v>Wales</v>
      </c>
      <c r="E703" t="str">
        <f>IF(TRIM(Procurement_Raw!E703)="","",IFERROR(INDEX(Supplier_Lookup!$A$2:$A$25,MATCH(TRIM(Procurement_Raw!E703),Supplier_Lookup!$A$2:$A$25,0)),TRIM(Procurement_Raw!E703)))</f>
        <v>OfficePlus</v>
      </c>
      <c r="F703" t="str">
        <f>IFERROR(INDEX(Category_Targets!$A$2:$A$9,MATCH(TRIM(Procurement_Raw!F703),Category_Targets!$A$2:$A$9,0)),"Unmapped")</f>
        <v>Office &amp; Training</v>
      </c>
      <c r="G703" t="str">
        <f>TRIM(Procurement_Raw!G703)</f>
        <v>INV-2025-00702</v>
      </c>
      <c r="H703" s="77">
        <f>Procurement_Raw!H703</f>
        <v>72</v>
      </c>
      <c r="I703" s="124">
        <f>Procurement_Raw!I703</f>
        <v>133.55000000000001</v>
      </c>
      <c r="J703" s="125">
        <f>IF(Procurement_Raw!J703="","",Procurement_Raw!J703)</f>
        <v>9615.2900000000009</v>
      </c>
      <c r="K703" s="77">
        <f>Procurement_Raw!K703</f>
        <v>30</v>
      </c>
      <c r="L703" t="str">
        <f>Procurement_Raw!L703</f>
        <v>Legacy Spend File</v>
      </c>
      <c r="M703" t="str">
        <f>Procurement_Raw!O703</f>
        <v>N</v>
      </c>
      <c r="N703" t="str">
        <f>IF(E703="","Missing supplier",IF(B703="","Missing site",IF(J703="","Missing spend",IF(COUNTIFS($G$2:G703,G703,$E$2:E703,E703,$J$2:J703,J703)&gt;1,"Duplicate invoice",IF(COUNTIF($G$2:$G$1801,G703)&gt;1,"Duplicate ID - review",IF(AND(P703&lt;&gt;"Unmapped",P703&lt;&gt;F703),"Category mismatch","OK"))))))</f>
        <v>OK</v>
      </c>
      <c r="O703" s="125">
        <f t="shared" si="30"/>
        <v>9615.2900000000009</v>
      </c>
      <c r="P703" t="str">
        <f>IF(E703="","Unmapped",IFERROR(INDEX(Supplier_Lookup!$B$2:$B$25,MATCH(E703,Supplier_Lookup!$A$2:$A$25,0)),"Unmapped"))</f>
        <v>Office &amp; Training</v>
      </c>
      <c r="Q703" s="76">
        <f>IFERROR(INDEX(Category_Targets!$B$2:$B$9,MATCH(F703,Category_Targets!$A$2:$A$9,0)),0)</f>
        <v>0.04</v>
      </c>
      <c r="R703" s="125">
        <f t="shared" si="31"/>
        <v>384.61160000000007</v>
      </c>
      <c r="S703" s="78">
        <f t="shared" si="32"/>
        <v>45962</v>
      </c>
      <c r="T703" t="str">
        <f>IFERROR(VLOOKUP(B703,Sites!$A$2:$D$21,4,FALSE()),"Unknown")</f>
        <v>Bangor</v>
      </c>
      <c r="U703" t="str">
        <f>IF(N703="OK","",COUNTIF($N$2:N703,"&lt;&gt;OK"))</f>
        <v/>
      </c>
      <c r="V703">
        <f>IF(OR(NOT(EXACT(E703,TRIM(Procurement_Raw!E703))),NOT(EXACT(F703,TRIM(Procurement_Raw!F703)))),1,0)</f>
        <v>0</v>
      </c>
    </row>
    <row r="704" spans="1:22" ht="15" customHeight="1" x14ac:dyDescent="0.25">
      <c r="A704" s="123">
        <f>Procurement_Raw!A704</f>
        <v>45919</v>
      </c>
      <c r="B704" t="str">
        <f>TRIM(Procurement_Raw!B704)</f>
        <v>S007</v>
      </c>
      <c r="C704" t="str">
        <f>Procurement_Raw!C704</f>
        <v>Nottingham Care &amp; Education Centre</v>
      </c>
      <c r="D704" t="str">
        <f>Procurement_Raw!D704</f>
        <v>Midlands</v>
      </c>
      <c r="E704" t="str">
        <f>IF(TRIM(Procurement_Raw!E704)="","",IFERROR(INDEX(Supplier_Lookup!$A$2:$A$25,MATCH(TRIM(Procurement_Raw!E704),Supplier_Lookup!$A$2:$A$25,0)),TRIM(Procurement_Raw!E704)))</f>
        <v>HealthStaffing</v>
      </c>
      <c r="F704" t="str">
        <f>IFERROR(INDEX(Category_Targets!$A$2:$A$9,MATCH(TRIM(Procurement_Raw!F704),Category_Targets!$A$2:$A$9,0)),"Unmapped")</f>
        <v>Agency Labour</v>
      </c>
      <c r="G704" t="str">
        <f>TRIM(Procurement_Raw!G704)</f>
        <v>INV-2025-00703</v>
      </c>
      <c r="H704" s="77">
        <f>Procurement_Raw!H704</f>
        <v>37</v>
      </c>
      <c r="I704" s="124">
        <f>Procurement_Raw!I704</f>
        <v>203.65</v>
      </c>
      <c r="J704" s="125">
        <f>IF(Procurement_Raw!J704="","",Procurement_Raw!J704)</f>
        <v>7534.98</v>
      </c>
      <c r="K704" s="77">
        <f>Procurement_Raw!K704</f>
        <v>60</v>
      </c>
      <c r="L704" t="str">
        <f>Procurement_Raw!L704</f>
        <v>Legacy Spend File</v>
      </c>
      <c r="M704" t="str">
        <f>Procurement_Raw!O704</f>
        <v>N</v>
      </c>
      <c r="N704" t="str">
        <f>IF(E704="","Missing supplier",IF(B704="","Missing site",IF(J704="","Missing spend",IF(COUNTIFS($G$2:G704,G704,$E$2:E704,E704,$J$2:J704,J704)&gt;1,"Duplicate invoice",IF(COUNTIF($G$2:$G$1801,G704)&gt;1,"Duplicate ID - review",IF(AND(P704&lt;&gt;"Unmapped",P704&lt;&gt;F704),"Category mismatch","OK"))))))</f>
        <v>OK</v>
      </c>
      <c r="O704" s="125">
        <f t="shared" si="30"/>
        <v>7534.98</v>
      </c>
      <c r="P704" t="str">
        <f>IF(E704="","Unmapped",IFERROR(INDEX(Supplier_Lookup!$B$2:$B$25,MATCH(E704,Supplier_Lookup!$A$2:$A$25,0)),"Unmapped"))</f>
        <v>Agency Labour</v>
      </c>
      <c r="Q704" s="76">
        <f>IFERROR(INDEX(Category_Targets!$B$2:$B$9,MATCH(F704,Category_Targets!$A$2:$A$9,0)),0)</f>
        <v>7.0000000000000007E-2</v>
      </c>
      <c r="R704" s="125">
        <f t="shared" si="31"/>
        <v>527.44860000000006</v>
      </c>
      <c r="S704" s="78">
        <f t="shared" si="32"/>
        <v>45901</v>
      </c>
      <c r="T704" t="str">
        <f>IFERROR(VLOOKUP(B704,Sites!$A$2:$D$21,4,FALSE()),"Unknown")</f>
        <v>Nottingham</v>
      </c>
      <c r="U704" t="str">
        <f>IF(N704="OK","",COUNTIF($N$2:N704,"&lt;&gt;OK"))</f>
        <v/>
      </c>
      <c r="V704">
        <f>IF(OR(NOT(EXACT(E704,TRIM(Procurement_Raw!E704))),NOT(EXACT(F704,TRIM(Procurement_Raw!F704)))),1,0)</f>
        <v>0</v>
      </c>
    </row>
    <row r="705" spans="1:22" ht="15" customHeight="1" x14ac:dyDescent="0.25">
      <c r="A705" s="123">
        <f>Procurement_Raw!A705</f>
        <v>45871</v>
      </c>
      <c r="B705" t="str">
        <f>TRIM(Procurement_Raw!B705)</f>
        <v>S011</v>
      </c>
      <c r="C705" t="str">
        <f>Procurement_Raw!C705</f>
        <v>London Care &amp; Education Centre</v>
      </c>
      <c r="D705" t="str">
        <f>Procurement_Raw!D705</f>
        <v>South</v>
      </c>
      <c r="E705" t="str">
        <f>IF(TRIM(Procurement_Raw!E705)="","",IFERROR(INDEX(Supplier_Lookup!$A$2:$A$25,MATCH(TRIM(Procurement_Raw!E705),Supplier_Lookup!$A$2:$A$25,0)),TRIM(Procurement_Raw!E705)))</f>
        <v>CareTemps</v>
      </c>
      <c r="F705" t="str">
        <f>IFERROR(INDEX(Category_Targets!$A$2:$A$9,MATCH(TRIM(Procurement_Raw!F705),Category_Targets!$A$2:$A$9,0)),"Unmapped")</f>
        <v>Agency Labour</v>
      </c>
      <c r="G705" t="str">
        <f>TRIM(Procurement_Raw!G705)</f>
        <v>INV-2025-00704</v>
      </c>
      <c r="H705" s="77">
        <f>Procurement_Raw!H705</f>
        <v>41</v>
      </c>
      <c r="I705" s="124">
        <f>Procurement_Raw!I705</f>
        <v>138.26</v>
      </c>
      <c r="J705" s="125">
        <f>IF(Procurement_Raw!J705="","",Procurement_Raw!J705)</f>
        <v>5668.62</v>
      </c>
      <c r="K705" s="77">
        <f>Procurement_Raw!K705</f>
        <v>60</v>
      </c>
      <c r="L705" t="str">
        <f>Procurement_Raw!L705</f>
        <v>ERP</v>
      </c>
      <c r="M705" t="str">
        <f>Procurement_Raw!O705</f>
        <v>N</v>
      </c>
      <c r="N705" t="str">
        <f>IF(E705="","Missing supplier",IF(B705="","Missing site",IF(J705="","Missing spend",IF(COUNTIFS($G$2:G705,G705,$E$2:E705,E705,$J$2:J705,J705)&gt;1,"Duplicate invoice",IF(COUNTIF($G$2:$G$1801,G705)&gt;1,"Duplicate ID - review",IF(AND(P705&lt;&gt;"Unmapped",P705&lt;&gt;F705),"Category mismatch","OK"))))))</f>
        <v>OK</v>
      </c>
      <c r="O705" s="125">
        <f t="shared" si="30"/>
        <v>5668.62</v>
      </c>
      <c r="P705" t="str">
        <f>IF(E705="","Unmapped",IFERROR(INDEX(Supplier_Lookup!$B$2:$B$25,MATCH(E705,Supplier_Lookup!$A$2:$A$25,0)),"Unmapped"))</f>
        <v>Agency Labour</v>
      </c>
      <c r="Q705" s="76">
        <f>IFERROR(INDEX(Category_Targets!$B$2:$B$9,MATCH(F705,Category_Targets!$A$2:$A$9,0)),0)</f>
        <v>7.0000000000000007E-2</v>
      </c>
      <c r="R705" s="125">
        <f t="shared" si="31"/>
        <v>396.80340000000001</v>
      </c>
      <c r="S705" s="78">
        <f t="shared" si="32"/>
        <v>45870</v>
      </c>
      <c r="T705" t="str">
        <f>IFERROR(VLOOKUP(B705,Sites!$A$2:$D$21,4,FALSE()),"Unknown")</f>
        <v>London</v>
      </c>
      <c r="U705" t="str">
        <f>IF(N705="OK","",COUNTIF($N$2:N705,"&lt;&gt;OK"))</f>
        <v/>
      </c>
      <c r="V705">
        <f>IF(OR(NOT(EXACT(E705,TRIM(Procurement_Raw!E705))),NOT(EXACT(F705,TRIM(Procurement_Raw!F705)))),1,0)</f>
        <v>0</v>
      </c>
    </row>
    <row r="706" spans="1:22" ht="15" customHeight="1" x14ac:dyDescent="0.25">
      <c r="A706" s="123">
        <f>Procurement_Raw!A706</f>
        <v>45975</v>
      </c>
      <c r="B706" t="str">
        <f>TRIM(Procurement_Raw!B706)</f>
        <v>S005</v>
      </c>
      <c r="C706" t="str">
        <f>Procurement_Raw!C706</f>
        <v>Sheffield Care &amp; Education Centre</v>
      </c>
      <c r="D706" t="str">
        <f>Procurement_Raw!D706</f>
        <v>North</v>
      </c>
      <c r="E706" t="str">
        <f>IF(TRIM(Procurement_Raw!E706)="","",IFERROR(INDEX(Supplier_Lookup!$A$2:$A$25,MATCH(TRIM(Procurement_Raw!E706),Supplier_Lookup!$A$2:$A$25,0)),TRIM(Procurement_Raw!E706)))</f>
        <v>CloudLink</v>
      </c>
      <c r="F706" t="str">
        <f>IFERROR(INDEX(Category_Targets!$A$2:$A$9,MATCH(TRIM(Procurement_Raw!F706),Category_Targets!$A$2:$A$9,0)),"Unmapped")</f>
        <v>IT &amp; Telecoms</v>
      </c>
      <c r="G706" t="str">
        <f>TRIM(Procurement_Raw!G706)</f>
        <v>INV-2025-00705</v>
      </c>
      <c r="H706" s="77">
        <f>Procurement_Raw!H706</f>
        <v>57</v>
      </c>
      <c r="I706" s="124">
        <f>Procurement_Raw!I706</f>
        <v>93.46</v>
      </c>
      <c r="J706" s="125">
        <f>IF(Procurement_Raw!J706="","",Procurement_Raw!J706)</f>
        <v>5326.94</v>
      </c>
      <c r="K706" s="77">
        <f>Procurement_Raw!K706</f>
        <v>30</v>
      </c>
      <c r="L706" t="str">
        <f>Procurement_Raw!L706</f>
        <v>Legacy Spend File</v>
      </c>
      <c r="M706" t="str">
        <f>Procurement_Raw!O706</f>
        <v>Y</v>
      </c>
      <c r="N706" t="str">
        <f>IF(E706="","Missing supplier",IF(B706="","Missing site",IF(J706="","Missing spend",IF(COUNTIFS($G$2:G706,G706,$E$2:E706,E706,$J$2:J706,J706)&gt;1,"Duplicate invoice",IF(COUNTIF($G$2:$G$1801,G706)&gt;1,"Duplicate ID - review",IF(AND(P706&lt;&gt;"Unmapped",P706&lt;&gt;F706),"Category mismatch","OK"))))))</f>
        <v>OK</v>
      </c>
      <c r="O706" s="125">
        <f t="shared" ref="O706:O769" si="33">IF(OR(N706="Missing spend",N706="Duplicate invoice"),0,J706)</f>
        <v>5326.94</v>
      </c>
      <c r="P706" t="str">
        <f>IF(E706="","Unmapped",IFERROR(INDEX(Supplier_Lookup!$B$2:$B$25,MATCH(E706,Supplier_Lookup!$A$2:$A$25,0)),"Unmapped"))</f>
        <v>IT &amp; Telecoms</v>
      </c>
      <c r="Q706" s="76">
        <f>IFERROR(INDEX(Category_Targets!$B$2:$B$9,MATCH(F706,Category_Targets!$A$2:$A$9,0)),0)</f>
        <v>0.08</v>
      </c>
      <c r="R706" s="125">
        <f t="shared" ref="R706:R769" si="34">O706*Q706</f>
        <v>426.15519999999998</v>
      </c>
      <c r="S706" s="78">
        <f t="shared" ref="S706:S769" si="35">DATE(YEAR(A706),MONTH(A706),1)</f>
        <v>45962</v>
      </c>
      <c r="T706" t="str">
        <f>IFERROR(VLOOKUP(B706,Sites!$A$2:$D$21,4,FALSE()),"Unknown")</f>
        <v>Sheffield</v>
      </c>
      <c r="U706" t="str">
        <f>IF(N706="OK","",COUNTIF($N$2:N706,"&lt;&gt;OK"))</f>
        <v/>
      </c>
      <c r="V706">
        <f>IF(OR(NOT(EXACT(E706,TRIM(Procurement_Raw!E706))),NOT(EXACT(F706,TRIM(Procurement_Raw!F706)))),1,0)</f>
        <v>0</v>
      </c>
    </row>
    <row r="707" spans="1:22" ht="15" customHeight="1" x14ac:dyDescent="0.25">
      <c r="A707" s="123">
        <f>Procurement_Raw!A707</f>
        <v>45937</v>
      </c>
      <c r="B707" t="str">
        <f>TRIM(Procurement_Raw!B707)</f>
        <v>S011</v>
      </c>
      <c r="C707" t="str">
        <f>Procurement_Raw!C707</f>
        <v>London Care &amp; Education Centre</v>
      </c>
      <c r="D707" t="str">
        <f>Procurement_Raw!D707</f>
        <v>South</v>
      </c>
      <c r="E707" t="str">
        <f>IF(TRIM(Procurement_Raw!E707)="","",IFERROR(INDEX(Supplier_Lookup!$A$2:$A$25,MATCH(TRIM(Procurement_Raw!E707),Supplier_Lookup!$A$2:$A$25,0)),TRIM(Procurement_Raw!E707)))</f>
        <v>AutoCare</v>
      </c>
      <c r="F707" t="str">
        <f>IFERROR(INDEX(Category_Targets!$A$2:$A$9,MATCH(TRIM(Procurement_Raw!F707),Category_Targets!$A$2:$A$9,0)),"Unmapped")</f>
        <v>Vehicle &amp; Fuel</v>
      </c>
      <c r="G707" t="str">
        <f>TRIM(Procurement_Raw!G707)</f>
        <v>INV-2025-00706</v>
      </c>
      <c r="H707" s="77">
        <f>Procurement_Raw!H707</f>
        <v>78</v>
      </c>
      <c r="I707" s="124">
        <f>Procurement_Raw!I707</f>
        <v>132.58000000000001</v>
      </c>
      <c r="J707" s="125">
        <f>IF(Procurement_Raw!J707="","",Procurement_Raw!J707)</f>
        <v>10341.200000000001</v>
      </c>
      <c r="K707" s="77">
        <f>Procurement_Raw!K707</f>
        <v>30</v>
      </c>
      <c r="L707" t="str">
        <f>Procurement_Raw!L707</f>
        <v>Legacy Spend File</v>
      </c>
      <c r="M707" t="str">
        <f>Procurement_Raw!O707</f>
        <v>N</v>
      </c>
      <c r="N707" t="str">
        <f>IF(E707="","Missing supplier",IF(B707="","Missing site",IF(J707="","Missing spend",IF(COUNTIFS($G$2:G707,G707,$E$2:E707,E707,$J$2:J707,J707)&gt;1,"Duplicate invoice",IF(COUNTIF($G$2:$G$1801,G707)&gt;1,"Duplicate ID - review",IF(AND(P707&lt;&gt;"Unmapped",P707&lt;&gt;F707),"Category mismatch","OK"))))))</f>
        <v>OK</v>
      </c>
      <c r="O707" s="125">
        <f t="shared" si="33"/>
        <v>10341.200000000001</v>
      </c>
      <c r="P707" t="str">
        <f>IF(E707="","Unmapped",IFERROR(INDEX(Supplier_Lookup!$B$2:$B$25,MATCH(E707,Supplier_Lookup!$A$2:$A$25,0)),"Unmapped"))</f>
        <v>Vehicle &amp; Fuel</v>
      </c>
      <c r="Q707" s="76">
        <f>IFERROR(INDEX(Category_Targets!$B$2:$B$9,MATCH(F707,Category_Targets!$A$2:$A$9,0)),0)</f>
        <v>0.05</v>
      </c>
      <c r="R707" s="125">
        <f t="shared" si="34"/>
        <v>517.06000000000006</v>
      </c>
      <c r="S707" s="78">
        <f t="shared" si="35"/>
        <v>45931</v>
      </c>
      <c r="T707" t="str">
        <f>IFERROR(VLOOKUP(B707,Sites!$A$2:$D$21,4,FALSE()),"Unknown")</f>
        <v>London</v>
      </c>
      <c r="U707" t="str">
        <f>IF(N707="OK","",COUNTIF($N$2:N707,"&lt;&gt;OK"))</f>
        <v/>
      </c>
      <c r="V707">
        <f>IF(OR(NOT(EXACT(E707,TRIM(Procurement_Raw!E707))),NOT(EXACT(F707,TRIM(Procurement_Raw!F707)))),1,0)</f>
        <v>0</v>
      </c>
    </row>
    <row r="708" spans="1:22" ht="15" customHeight="1" x14ac:dyDescent="0.25">
      <c r="A708" s="123">
        <f>Procurement_Raw!A708</f>
        <v>45748</v>
      </c>
      <c r="B708" t="str">
        <f>TRIM(Procurement_Raw!B708)</f>
        <v>S006</v>
      </c>
      <c r="C708" t="str">
        <f>Procurement_Raw!C708</f>
        <v>Birmingham Care &amp; Education Centre</v>
      </c>
      <c r="D708" t="str">
        <f>Procurement_Raw!D708</f>
        <v>Midlands</v>
      </c>
      <c r="E708" t="str">
        <f>IF(TRIM(Procurement_Raw!E708)="","",IFERROR(INDEX(Supplier_Lookup!$A$2:$A$25,MATCH(TRIM(Procurement_Raw!E708),Supplier_Lookup!$A$2:$A$25,0)),TRIM(Procurement_Raw!E708)))</f>
        <v>TeleCare IT</v>
      </c>
      <c r="F708" t="str">
        <f>IFERROR(INDEX(Category_Targets!$A$2:$A$9,MATCH(TRIM(Procurement_Raw!F708),Category_Targets!$A$2:$A$9,0)),"Unmapped")</f>
        <v>IT &amp; Telecoms</v>
      </c>
      <c r="G708" t="str">
        <f>TRIM(Procurement_Raw!G708)</f>
        <v>INV-2025-00707</v>
      </c>
      <c r="H708" s="77">
        <f>Procurement_Raw!H708</f>
        <v>10</v>
      </c>
      <c r="I708" s="124">
        <f>Procurement_Raw!I708</f>
        <v>108.79</v>
      </c>
      <c r="J708" s="125">
        <f>IF(Procurement_Raw!J708="","",Procurement_Raw!J708)</f>
        <v>1087.8699999999999</v>
      </c>
      <c r="K708" s="77">
        <f>Procurement_Raw!K708</f>
        <v>30</v>
      </c>
      <c r="L708" t="str">
        <f>Procurement_Raw!L708</f>
        <v>ERP</v>
      </c>
      <c r="M708" t="str">
        <f>Procurement_Raw!O708</f>
        <v>N</v>
      </c>
      <c r="N708" t="str">
        <f>IF(E708="","Missing supplier",IF(B708="","Missing site",IF(J708="","Missing spend",IF(COUNTIFS($G$2:G708,G708,$E$2:E708,E708,$J$2:J708,J708)&gt;1,"Duplicate invoice",IF(COUNTIF($G$2:$G$1801,G708)&gt;1,"Duplicate ID - review",IF(AND(P708&lt;&gt;"Unmapped",P708&lt;&gt;F708),"Category mismatch","OK"))))))</f>
        <v>OK</v>
      </c>
      <c r="O708" s="125">
        <f t="shared" si="33"/>
        <v>1087.8699999999999</v>
      </c>
      <c r="P708" t="str">
        <f>IF(E708="","Unmapped",IFERROR(INDEX(Supplier_Lookup!$B$2:$B$25,MATCH(E708,Supplier_Lookup!$A$2:$A$25,0)),"Unmapped"))</f>
        <v>IT &amp; Telecoms</v>
      </c>
      <c r="Q708" s="76">
        <f>IFERROR(INDEX(Category_Targets!$B$2:$B$9,MATCH(F708,Category_Targets!$A$2:$A$9,0)),0)</f>
        <v>0.08</v>
      </c>
      <c r="R708" s="125">
        <f t="shared" si="34"/>
        <v>87.029599999999988</v>
      </c>
      <c r="S708" s="78">
        <f t="shared" si="35"/>
        <v>45748</v>
      </c>
      <c r="T708" t="str">
        <f>IFERROR(VLOOKUP(B708,Sites!$A$2:$D$21,4,FALSE()),"Unknown")</f>
        <v>Birmingham</v>
      </c>
      <c r="U708" t="str">
        <f>IF(N708="OK","",COUNTIF($N$2:N708,"&lt;&gt;OK"))</f>
        <v/>
      </c>
      <c r="V708">
        <f>IF(OR(NOT(EXACT(E708,TRIM(Procurement_Raw!E708))),NOT(EXACT(F708,TRIM(Procurement_Raw!F708)))),1,0)</f>
        <v>0</v>
      </c>
    </row>
    <row r="709" spans="1:22" ht="15" customHeight="1" x14ac:dyDescent="0.25">
      <c r="A709" s="123">
        <f>Procurement_Raw!A709</f>
        <v>45678</v>
      </c>
      <c r="B709" t="str">
        <f>TRIM(Procurement_Raw!B709)</f>
        <v>S017</v>
      </c>
      <c r="C709" t="str">
        <f>Procurement_Raw!C709</f>
        <v>Swansea Care &amp; Education Centre</v>
      </c>
      <c r="D709" t="str">
        <f>Procurement_Raw!D709</f>
        <v>Wales</v>
      </c>
      <c r="E709" t="str">
        <f>IF(TRIM(Procurement_Raw!E709)="","",IFERROR(INDEX(Supplier_Lookup!$A$2:$A$25,MATCH(TRIM(Procurement_Raw!E709),Supplier_Lookup!$A$2:$A$25,0)),TRIM(Procurement_Raw!E709)))</f>
        <v>NourishCo</v>
      </c>
      <c r="F709" t="str">
        <f>IFERROR(INDEX(Category_Targets!$A$2:$A$9,MATCH(TRIM(Procurement_Raw!F709),Category_Targets!$A$2:$A$9,0)),"Unmapped")</f>
        <v>Food &amp; Catering</v>
      </c>
      <c r="G709" t="str">
        <f>TRIM(Procurement_Raw!G709)</f>
        <v>INV-2025-00708</v>
      </c>
      <c r="H709" s="77">
        <f>Procurement_Raw!H709</f>
        <v>55</v>
      </c>
      <c r="I709" s="124">
        <f>Procurement_Raw!I709</f>
        <v>170.63</v>
      </c>
      <c r="J709" s="125">
        <f>IF(Procurement_Raw!J709="","",Procurement_Raw!J709)</f>
        <v>9384.9</v>
      </c>
      <c r="K709" s="77">
        <f>Procurement_Raw!K709</f>
        <v>45</v>
      </c>
      <c r="L709" t="str">
        <f>Procurement_Raw!L709</f>
        <v>Legacy Spend File</v>
      </c>
      <c r="M709" t="str">
        <f>Procurement_Raw!O709</f>
        <v>N</v>
      </c>
      <c r="N709" t="str">
        <f>IF(E709="","Missing supplier",IF(B709="","Missing site",IF(J709="","Missing spend",IF(COUNTIFS($G$2:G709,G709,$E$2:E709,E709,$J$2:J709,J709)&gt;1,"Duplicate invoice",IF(COUNTIF($G$2:$G$1801,G709)&gt;1,"Duplicate ID - review",IF(AND(P709&lt;&gt;"Unmapped",P709&lt;&gt;F709),"Category mismatch","OK"))))))</f>
        <v>OK</v>
      </c>
      <c r="O709" s="125">
        <f t="shared" si="33"/>
        <v>9384.9</v>
      </c>
      <c r="P709" t="str">
        <f>IF(E709="","Unmapped",IFERROR(INDEX(Supplier_Lookup!$B$2:$B$25,MATCH(E709,Supplier_Lookup!$A$2:$A$25,0)),"Unmapped"))</f>
        <v>Food &amp; Catering</v>
      </c>
      <c r="Q709" s="76">
        <f>IFERROR(INDEX(Category_Targets!$B$2:$B$9,MATCH(F709,Category_Targets!$A$2:$A$9,0)),0)</f>
        <v>0.04</v>
      </c>
      <c r="R709" s="125">
        <f t="shared" si="34"/>
        <v>375.39600000000002</v>
      </c>
      <c r="S709" s="78">
        <f t="shared" si="35"/>
        <v>45658</v>
      </c>
      <c r="T709" t="str">
        <f>IFERROR(VLOOKUP(B709,Sites!$A$2:$D$21,4,FALSE()),"Unknown")</f>
        <v>Swansea</v>
      </c>
      <c r="U709" t="str">
        <f>IF(N709="OK","",COUNTIF($N$2:N709,"&lt;&gt;OK"))</f>
        <v/>
      </c>
      <c r="V709">
        <f>IF(OR(NOT(EXACT(E709,TRIM(Procurement_Raw!E709))),NOT(EXACT(F709,TRIM(Procurement_Raw!F709)))),1,0)</f>
        <v>0</v>
      </c>
    </row>
    <row r="710" spans="1:22" ht="15" customHeight="1" x14ac:dyDescent="0.25">
      <c r="A710" s="123">
        <f>Procurement_Raw!A710</f>
        <v>45957</v>
      </c>
      <c r="B710" t="str">
        <f>TRIM(Procurement_Raw!B710)</f>
        <v>S019</v>
      </c>
      <c r="C710" t="str">
        <f>Procurement_Raw!C710</f>
        <v>Wrexham Care &amp; Education Centre</v>
      </c>
      <c r="D710" t="str">
        <f>Procurement_Raw!D710</f>
        <v>Wales</v>
      </c>
      <c r="E710" t="str">
        <f>IF(TRIM(Procurement_Raw!E710)="","",IFERROR(INDEX(Supplier_Lookup!$A$2:$A$25,MATCH(TRIM(Procurement_Raw!E710),Supplier_Lookup!$A$2:$A$25,0)),TRIM(Procurement_Raw!E710)))</f>
        <v>CleanWorks</v>
      </c>
      <c r="F710" t="str">
        <f>IFERROR(INDEX(Category_Targets!$A$2:$A$9,MATCH(TRIM(Procurement_Raw!F710),Category_Targets!$A$2:$A$9,0)),"Unmapped")</f>
        <v>Facilities</v>
      </c>
      <c r="G710" t="str">
        <f>TRIM(Procurement_Raw!G710)</f>
        <v>INV-2025-00709</v>
      </c>
      <c r="H710" s="77">
        <f>Procurement_Raw!H710</f>
        <v>33</v>
      </c>
      <c r="I710" s="124">
        <f>Procurement_Raw!I710</f>
        <v>57.28</v>
      </c>
      <c r="J710" s="125">
        <f>IF(Procurement_Raw!J710="","",Procurement_Raw!J710)</f>
        <v>1890.13</v>
      </c>
      <c r="K710" s="77">
        <f>Procurement_Raw!K710</f>
        <v>30</v>
      </c>
      <c r="L710" t="str">
        <f>Procurement_Raw!L710</f>
        <v>Procurement Portal</v>
      </c>
      <c r="M710" t="str">
        <f>Procurement_Raw!O710</f>
        <v>Y</v>
      </c>
      <c r="N710" t="str">
        <f>IF(E710="","Missing supplier",IF(B710="","Missing site",IF(J710="","Missing spend",IF(COUNTIFS($G$2:G710,G710,$E$2:E710,E710,$J$2:J710,J710)&gt;1,"Duplicate invoice",IF(COUNTIF($G$2:$G$1801,G710)&gt;1,"Duplicate ID - review",IF(AND(P710&lt;&gt;"Unmapped",P710&lt;&gt;F710),"Category mismatch","OK"))))))</f>
        <v>OK</v>
      </c>
      <c r="O710" s="125">
        <f t="shared" si="33"/>
        <v>1890.13</v>
      </c>
      <c r="P710" t="str">
        <f>IF(E710="","Unmapped",IFERROR(INDEX(Supplier_Lookup!$B$2:$B$25,MATCH(E710,Supplier_Lookup!$A$2:$A$25,0)),"Unmapped"))</f>
        <v>Facilities</v>
      </c>
      <c r="Q710" s="76">
        <f>IFERROR(INDEX(Category_Targets!$B$2:$B$9,MATCH(F710,Category_Targets!$A$2:$A$9,0)),0)</f>
        <v>0.05</v>
      </c>
      <c r="R710" s="125">
        <f t="shared" si="34"/>
        <v>94.506500000000017</v>
      </c>
      <c r="S710" s="78">
        <f t="shared" si="35"/>
        <v>45931</v>
      </c>
      <c r="T710" t="str">
        <f>IFERROR(VLOOKUP(B710,Sites!$A$2:$D$21,4,FALSE()),"Unknown")</f>
        <v>Wrexham</v>
      </c>
      <c r="U710" t="str">
        <f>IF(N710="OK","",COUNTIF($N$2:N710,"&lt;&gt;OK"))</f>
        <v/>
      </c>
      <c r="V710">
        <f>IF(OR(NOT(EXACT(E710,TRIM(Procurement_Raw!E710))),NOT(EXACT(F710,TRIM(Procurement_Raw!F710)))),1,0)</f>
        <v>0</v>
      </c>
    </row>
    <row r="711" spans="1:22" ht="15" customHeight="1" x14ac:dyDescent="0.25">
      <c r="A711" s="123">
        <f>Procurement_Raw!A711</f>
        <v>45736</v>
      </c>
      <c r="B711" t="str">
        <f>TRIM(Procurement_Raw!B711)</f>
        <v>S012</v>
      </c>
      <c r="C711" t="str">
        <f>Procurement_Raw!C711</f>
        <v>Bristol Care &amp; Education Centre</v>
      </c>
      <c r="D711" t="str">
        <f>Procurement_Raw!D711</f>
        <v>South</v>
      </c>
      <c r="E711" t="str">
        <f>IF(TRIM(Procurement_Raw!E711)="","",IFERROR(INDEX(Supplier_Lookup!$A$2:$A$25,MATCH(TRIM(Procurement_Raw!E711),Supplier_Lookup!$A$2:$A$25,0)),TRIM(Procurement_Raw!E711)))</f>
        <v>CleanWorks</v>
      </c>
      <c r="F711" t="str">
        <f>IFERROR(INDEX(Category_Targets!$A$2:$A$9,MATCH(TRIM(Procurement_Raw!F711),Category_Targets!$A$2:$A$9,0)),"Unmapped")</f>
        <v>Facilities</v>
      </c>
      <c r="G711" t="str">
        <f>TRIM(Procurement_Raw!G711)</f>
        <v>INV-2025-00710</v>
      </c>
      <c r="H711" s="77">
        <f>Procurement_Raw!H711</f>
        <v>42</v>
      </c>
      <c r="I711" s="124">
        <f>Procurement_Raw!I711</f>
        <v>457.61</v>
      </c>
      <c r="J711" s="125">
        <f>IF(Procurement_Raw!J711="","",Procurement_Raw!J711)</f>
        <v>19219.439999999999</v>
      </c>
      <c r="K711" s="77">
        <f>Procurement_Raw!K711</f>
        <v>60</v>
      </c>
      <c r="L711" t="str">
        <f>Procurement_Raw!L711</f>
        <v>ERP</v>
      </c>
      <c r="M711" t="str">
        <f>Procurement_Raw!O711</f>
        <v>Y</v>
      </c>
      <c r="N711" t="str">
        <f>IF(E711="","Missing supplier",IF(B711="","Missing site",IF(J711="","Missing spend",IF(COUNTIFS($G$2:G711,G711,$E$2:E711,E711,$J$2:J711,J711)&gt;1,"Duplicate invoice",IF(COUNTIF($G$2:$G$1801,G711)&gt;1,"Duplicate ID - review",IF(AND(P711&lt;&gt;"Unmapped",P711&lt;&gt;F711),"Category mismatch","OK"))))))</f>
        <v>OK</v>
      </c>
      <c r="O711" s="125">
        <f t="shared" si="33"/>
        <v>19219.439999999999</v>
      </c>
      <c r="P711" t="str">
        <f>IF(E711="","Unmapped",IFERROR(INDEX(Supplier_Lookup!$B$2:$B$25,MATCH(E711,Supplier_Lookup!$A$2:$A$25,0)),"Unmapped"))</f>
        <v>Facilities</v>
      </c>
      <c r="Q711" s="76">
        <f>IFERROR(INDEX(Category_Targets!$B$2:$B$9,MATCH(F711,Category_Targets!$A$2:$A$9,0)),0)</f>
        <v>0.05</v>
      </c>
      <c r="R711" s="125">
        <f t="shared" si="34"/>
        <v>960.97199999999998</v>
      </c>
      <c r="S711" s="78">
        <f t="shared" si="35"/>
        <v>45717</v>
      </c>
      <c r="T711" t="str">
        <f>IFERROR(VLOOKUP(B711,Sites!$A$2:$D$21,4,FALSE()),"Unknown")</f>
        <v>Bristol</v>
      </c>
      <c r="U711" t="str">
        <f>IF(N711="OK","",COUNTIF($N$2:N711,"&lt;&gt;OK"))</f>
        <v/>
      </c>
      <c r="V711">
        <f>IF(OR(NOT(EXACT(E711,TRIM(Procurement_Raw!E711))),NOT(EXACT(F711,TRIM(Procurement_Raw!F711)))),1,0)</f>
        <v>0</v>
      </c>
    </row>
    <row r="712" spans="1:22" ht="15" customHeight="1" x14ac:dyDescent="0.25">
      <c r="A712" s="123">
        <f>Procurement_Raw!A712</f>
        <v>45951</v>
      </c>
      <c r="B712" t="str">
        <f>TRIM(Procurement_Raw!B712)</f>
        <v>S013</v>
      </c>
      <c r="C712" t="str">
        <f>Procurement_Raw!C712</f>
        <v>Reading Care &amp; Education Centre</v>
      </c>
      <c r="D712" t="str">
        <f>Procurement_Raw!D712</f>
        <v>South</v>
      </c>
      <c r="E712" t="str">
        <f>IF(TRIM(Procurement_Raw!E712)="","",IFERROR(INDEX(Supplier_Lookup!$A$2:$A$25,MATCH(TRIM(Procurement_Raw!E712),Supplier_Lookup!$A$2:$A$25,0)),TRIM(Procurement_Raw!E712)))</f>
        <v>TeleCare IT</v>
      </c>
      <c r="F712" t="str">
        <f>IFERROR(INDEX(Category_Targets!$A$2:$A$9,MATCH(TRIM(Procurement_Raw!F712),Category_Targets!$A$2:$A$9,0)),"Unmapped")</f>
        <v>IT &amp; Telecoms</v>
      </c>
      <c r="G712" t="str">
        <f>TRIM(Procurement_Raw!G712)</f>
        <v>INV-2025-00711</v>
      </c>
      <c r="H712" s="77">
        <f>Procurement_Raw!H712</f>
        <v>71</v>
      </c>
      <c r="I712" s="124">
        <f>Procurement_Raw!I712</f>
        <v>247.07</v>
      </c>
      <c r="J712" s="125">
        <f>IF(Procurement_Raw!J712="","",Procurement_Raw!J712)</f>
        <v>17542.240000000002</v>
      </c>
      <c r="K712" s="77">
        <f>Procurement_Raw!K712</f>
        <v>45</v>
      </c>
      <c r="L712" t="str">
        <f>Procurement_Raw!L712</f>
        <v>ERP</v>
      </c>
      <c r="M712" t="str">
        <f>Procurement_Raw!O712</f>
        <v>N</v>
      </c>
      <c r="N712" t="str">
        <f>IF(E712="","Missing supplier",IF(B712="","Missing site",IF(J712="","Missing spend",IF(COUNTIFS($G$2:G712,G712,$E$2:E712,E712,$J$2:J712,J712)&gt;1,"Duplicate invoice",IF(COUNTIF($G$2:$G$1801,G712)&gt;1,"Duplicate ID - review",IF(AND(P712&lt;&gt;"Unmapped",P712&lt;&gt;F712),"Category mismatch","OK"))))))</f>
        <v>OK</v>
      </c>
      <c r="O712" s="125">
        <f t="shared" si="33"/>
        <v>17542.240000000002</v>
      </c>
      <c r="P712" t="str">
        <f>IF(E712="","Unmapped",IFERROR(INDEX(Supplier_Lookup!$B$2:$B$25,MATCH(E712,Supplier_Lookup!$A$2:$A$25,0)),"Unmapped"))</f>
        <v>IT &amp; Telecoms</v>
      </c>
      <c r="Q712" s="76">
        <f>IFERROR(INDEX(Category_Targets!$B$2:$B$9,MATCH(F712,Category_Targets!$A$2:$A$9,0)),0)</f>
        <v>0.08</v>
      </c>
      <c r="R712" s="125">
        <f t="shared" si="34"/>
        <v>1403.3792000000001</v>
      </c>
      <c r="S712" s="78">
        <f t="shared" si="35"/>
        <v>45931</v>
      </c>
      <c r="T712" t="str">
        <f>IFERROR(VLOOKUP(B712,Sites!$A$2:$D$21,4,FALSE()),"Unknown")</f>
        <v>Reading</v>
      </c>
      <c r="U712" t="str">
        <f>IF(N712="OK","",COUNTIF($N$2:N712,"&lt;&gt;OK"))</f>
        <v/>
      </c>
      <c r="V712">
        <f>IF(OR(NOT(EXACT(E712,TRIM(Procurement_Raw!E712))),NOT(EXACT(F712,TRIM(Procurement_Raw!F712)))),1,0)</f>
        <v>0</v>
      </c>
    </row>
    <row r="713" spans="1:22" ht="15" customHeight="1" x14ac:dyDescent="0.25">
      <c r="A713" s="123">
        <f>Procurement_Raw!A713</f>
        <v>45770</v>
      </c>
      <c r="B713" t="str">
        <f>TRIM(Procurement_Raw!B713)</f>
        <v>S008</v>
      </c>
      <c r="C713" t="str">
        <f>Procurement_Raw!C713</f>
        <v>Leicester Care &amp; Education Centre</v>
      </c>
      <c r="D713" t="str">
        <f>Procurement_Raw!D713</f>
        <v>Midlands</v>
      </c>
      <c r="E713" t="str">
        <f>IF(TRIM(Procurement_Raw!E713)="","",IFERROR(INDEX(Supplier_Lookup!$A$2:$A$25,MATCH(TRIM(Procurement_Raw!E713),Supplier_Lookup!$A$2:$A$25,0)),TRIM(Procurement_Raw!E713)))</f>
        <v>AutoCare</v>
      </c>
      <c r="F713" t="str">
        <f>IFERROR(INDEX(Category_Targets!$A$2:$A$9,MATCH(TRIM(Procurement_Raw!F713),Category_Targets!$A$2:$A$9,0)),"Unmapped")</f>
        <v>Vehicle &amp; Fuel</v>
      </c>
      <c r="G713" t="str">
        <f>TRIM(Procurement_Raw!G713)</f>
        <v>INV-2025-00712</v>
      </c>
      <c r="H713" s="77">
        <f>Procurement_Raw!H713</f>
        <v>24</v>
      </c>
      <c r="I713" s="124">
        <f>Procurement_Raw!I713</f>
        <v>90.08</v>
      </c>
      <c r="J713" s="125">
        <f>IF(Procurement_Raw!J713="","",Procurement_Raw!J713)</f>
        <v>2161.89</v>
      </c>
      <c r="K713" s="77">
        <f>Procurement_Raw!K713</f>
        <v>60</v>
      </c>
      <c r="L713" t="str">
        <f>Procurement_Raw!L713</f>
        <v>ERP</v>
      </c>
      <c r="M713" t="str">
        <f>Procurement_Raw!O713</f>
        <v>N</v>
      </c>
      <c r="N713" t="str">
        <f>IF(E713="","Missing supplier",IF(B713="","Missing site",IF(J713="","Missing spend",IF(COUNTIFS($G$2:G713,G713,$E$2:E713,E713,$J$2:J713,J713)&gt;1,"Duplicate invoice",IF(COUNTIF($G$2:$G$1801,G713)&gt;1,"Duplicate ID - review",IF(AND(P713&lt;&gt;"Unmapped",P713&lt;&gt;F713),"Category mismatch","OK"))))))</f>
        <v>OK</v>
      </c>
      <c r="O713" s="125">
        <f t="shared" si="33"/>
        <v>2161.89</v>
      </c>
      <c r="P713" t="str">
        <f>IF(E713="","Unmapped",IFERROR(INDEX(Supplier_Lookup!$B$2:$B$25,MATCH(E713,Supplier_Lookup!$A$2:$A$25,0)),"Unmapped"))</f>
        <v>Vehicle &amp; Fuel</v>
      </c>
      <c r="Q713" s="76">
        <f>IFERROR(INDEX(Category_Targets!$B$2:$B$9,MATCH(F713,Category_Targets!$A$2:$A$9,0)),0)</f>
        <v>0.05</v>
      </c>
      <c r="R713" s="125">
        <f t="shared" si="34"/>
        <v>108.0945</v>
      </c>
      <c r="S713" s="78">
        <f t="shared" si="35"/>
        <v>45748</v>
      </c>
      <c r="T713" t="str">
        <f>IFERROR(VLOOKUP(B713,Sites!$A$2:$D$21,4,FALSE()),"Unknown")</f>
        <v>Leicester</v>
      </c>
      <c r="U713" t="str">
        <f>IF(N713="OK","",COUNTIF($N$2:N713,"&lt;&gt;OK"))</f>
        <v/>
      </c>
      <c r="V713">
        <f>IF(OR(NOT(EXACT(E713,TRIM(Procurement_Raw!E713))),NOT(EXACT(F713,TRIM(Procurement_Raw!F713)))),1,0)</f>
        <v>0</v>
      </c>
    </row>
    <row r="714" spans="1:22" ht="15" customHeight="1" x14ac:dyDescent="0.25">
      <c r="A714" s="123">
        <f>Procurement_Raw!A714</f>
        <v>45936</v>
      </c>
      <c r="B714" t="str">
        <f>TRIM(Procurement_Raw!B714)</f>
        <v>S014</v>
      </c>
      <c r="C714" t="str">
        <f>Procurement_Raw!C714</f>
        <v>Southampton Care &amp; Education Centre</v>
      </c>
      <c r="D714" t="str">
        <f>Procurement_Raw!D714</f>
        <v>South</v>
      </c>
      <c r="E714" t="str">
        <f>IF(TRIM(Procurement_Raw!E714)="","",IFERROR(INDEX(Supplier_Lookup!$A$2:$A$25,MATCH(TRIM(Procurement_Raw!E714),Supplier_Lookup!$A$2:$A$25,0)),TRIM(Procurement_Raw!E714)))</f>
        <v>SafeGuard FM</v>
      </c>
      <c r="F714" t="str">
        <f>IFERROR(INDEX(Category_Targets!$A$2:$A$9,MATCH(TRIM(Procurement_Raw!F714),Category_Targets!$A$2:$A$9,0)),"Unmapped")</f>
        <v>Facilities</v>
      </c>
      <c r="G714" t="str">
        <f>TRIM(Procurement_Raw!G714)</f>
        <v>INV-2025-00713</v>
      </c>
      <c r="H714" s="77">
        <f>Procurement_Raw!H714</f>
        <v>69</v>
      </c>
      <c r="I714" s="124">
        <f>Procurement_Raw!I714</f>
        <v>133.38999999999999</v>
      </c>
      <c r="J714" s="125">
        <f>IF(Procurement_Raw!J714="","",Procurement_Raw!J714)</f>
        <v>9203.67</v>
      </c>
      <c r="K714" s="77">
        <f>Procurement_Raw!K714</f>
        <v>45</v>
      </c>
      <c r="L714" t="str">
        <f>Procurement_Raw!L714</f>
        <v>ERP</v>
      </c>
      <c r="M714" t="str">
        <f>Procurement_Raw!O714</f>
        <v>N</v>
      </c>
      <c r="N714" t="str">
        <f>IF(E714="","Missing supplier",IF(B714="","Missing site",IF(J714="","Missing spend",IF(COUNTIFS($G$2:G714,G714,$E$2:E714,E714,$J$2:J714,J714)&gt;1,"Duplicate invoice",IF(COUNTIF($G$2:$G$1801,G714)&gt;1,"Duplicate ID - review",IF(AND(P714&lt;&gt;"Unmapped",P714&lt;&gt;F714),"Category mismatch","OK"))))))</f>
        <v>OK</v>
      </c>
      <c r="O714" s="125">
        <f t="shared" si="33"/>
        <v>9203.67</v>
      </c>
      <c r="P714" t="str">
        <f>IF(E714="","Unmapped",IFERROR(INDEX(Supplier_Lookup!$B$2:$B$25,MATCH(E714,Supplier_Lookup!$A$2:$A$25,0)),"Unmapped"))</f>
        <v>Facilities</v>
      </c>
      <c r="Q714" s="76">
        <f>IFERROR(INDEX(Category_Targets!$B$2:$B$9,MATCH(F714,Category_Targets!$A$2:$A$9,0)),0)</f>
        <v>0.05</v>
      </c>
      <c r="R714" s="125">
        <f t="shared" si="34"/>
        <v>460.18350000000004</v>
      </c>
      <c r="S714" s="78">
        <f t="shared" si="35"/>
        <v>45931</v>
      </c>
      <c r="T714" t="str">
        <f>IFERROR(VLOOKUP(B714,Sites!$A$2:$D$21,4,FALSE()),"Unknown")</f>
        <v>Southampton</v>
      </c>
      <c r="U714" t="str">
        <f>IF(N714="OK","",COUNTIF($N$2:N714,"&lt;&gt;OK"))</f>
        <v/>
      </c>
      <c r="V714">
        <f>IF(OR(NOT(EXACT(E714,TRIM(Procurement_Raw!E714))),NOT(EXACT(F714,TRIM(Procurement_Raw!F714)))),1,0)</f>
        <v>0</v>
      </c>
    </row>
    <row r="715" spans="1:22" ht="15" customHeight="1" x14ac:dyDescent="0.25">
      <c r="A715" s="123">
        <f>Procurement_Raw!A715</f>
        <v>45997</v>
      </c>
      <c r="B715" t="str">
        <f>TRIM(Procurement_Raw!B715)</f>
        <v>S005</v>
      </c>
      <c r="C715" t="str">
        <f>Procurement_Raw!C715</f>
        <v>Sheffield Care &amp; Education Centre</v>
      </c>
      <c r="D715" t="str">
        <f>Procurement_Raw!D715</f>
        <v>North</v>
      </c>
      <c r="E715" t="str">
        <f>IF(TRIM(Procurement_Raw!E715)="","",IFERROR(INDEX(Supplier_Lookup!$A$2:$A$25,MATCH(TRIM(Procurement_Raw!E715),Supplier_Lookup!$A$2:$A$25,0)),TRIM(Procurement_Raw!E715)))</f>
        <v>UK Energy Partners</v>
      </c>
      <c r="F715" t="str">
        <f>IFERROR(INDEX(Category_Targets!$A$2:$A$9,MATCH(TRIM(Procurement_Raw!F715),Category_Targets!$A$2:$A$9,0)),"Unmapped")</f>
        <v>Utilities</v>
      </c>
      <c r="G715" t="str">
        <f>TRIM(Procurement_Raw!G715)</f>
        <v>INV-2025-00714</v>
      </c>
      <c r="H715" s="77">
        <f>Procurement_Raw!H715</f>
        <v>43</v>
      </c>
      <c r="I715" s="124">
        <f>Procurement_Raw!I715</f>
        <v>311.37</v>
      </c>
      <c r="J715" s="125">
        <f>IF(Procurement_Raw!J715="","",Procurement_Raw!J715)</f>
        <v>13388.96</v>
      </c>
      <c r="K715" s="77">
        <f>Procurement_Raw!K715</f>
        <v>45</v>
      </c>
      <c r="L715" t="str">
        <f>Procurement_Raw!L715</f>
        <v>Procurement Portal</v>
      </c>
      <c r="M715" t="str">
        <f>Procurement_Raw!O715</f>
        <v>N</v>
      </c>
      <c r="N715" t="str">
        <f>IF(E715="","Missing supplier",IF(B715="","Missing site",IF(J715="","Missing spend",IF(COUNTIFS($G$2:G715,G715,$E$2:E715,E715,$J$2:J715,J715)&gt;1,"Duplicate invoice",IF(COUNTIF($G$2:$G$1801,G715)&gt;1,"Duplicate ID - review",IF(AND(P715&lt;&gt;"Unmapped",P715&lt;&gt;F715),"Category mismatch","OK"))))))</f>
        <v>OK</v>
      </c>
      <c r="O715" s="125">
        <f t="shared" si="33"/>
        <v>13388.96</v>
      </c>
      <c r="P715" t="str">
        <f>IF(E715="","Unmapped",IFERROR(INDEX(Supplier_Lookup!$B$2:$B$25,MATCH(E715,Supplier_Lookup!$A$2:$A$25,0)),"Unmapped"))</f>
        <v>Utilities</v>
      </c>
      <c r="Q715" s="76">
        <f>IFERROR(INDEX(Category_Targets!$B$2:$B$9,MATCH(F715,Category_Targets!$A$2:$A$9,0)),0)</f>
        <v>0.03</v>
      </c>
      <c r="R715" s="125">
        <f t="shared" si="34"/>
        <v>401.66879999999998</v>
      </c>
      <c r="S715" s="78">
        <f t="shared" si="35"/>
        <v>45992</v>
      </c>
      <c r="T715" t="str">
        <f>IFERROR(VLOOKUP(B715,Sites!$A$2:$D$21,4,FALSE()),"Unknown")</f>
        <v>Sheffield</v>
      </c>
      <c r="U715" t="str">
        <f>IF(N715="OK","",COUNTIF($N$2:N715,"&lt;&gt;OK"))</f>
        <v/>
      </c>
      <c r="V715">
        <f>IF(OR(NOT(EXACT(E715,TRIM(Procurement_Raw!E715))),NOT(EXACT(F715,TRIM(Procurement_Raw!F715)))),1,0)</f>
        <v>0</v>
      </c>
    </row>
    <row r="716" spans="1:22" ht="15" customHeight="1" x14ac:dyDescent="0.25">
      <c r="A716" s="123">
        <f>Procurement_Raw!A716</f>
        <v>45929</v>
      </c>
      <c r="B716" t="str">
        <f>TRIM(Procurement_Raw!B716)</f>
        <v>S003</v>
      </c>
      <c r="C716" t="str">
        <f>Procurement_Raw!C716</f>
        <v>Leeds Care &amp; Education Centre</v>
      </c>
      <c r="D716" t="str">
        <f>Procurement_Raw!D716</f>
        <v>North</v>
      </c>
      <c r="E716" t="str">
        <f>IF(TRIM(Procurement_Raw!E716)="","",IFERROR(INDEX(Supplier_Lookup!$A$2:$A$25,MATCH(TRIM(Procurement_Raw!E716),Supplier_Lookup!$A$2:$A$25,0)),TRIM(Procurement_Raw!E716)))</f>
        <v>PowerDirect</v>
      </c>
      <c r="F716" t="str">
        <f>IFERROR(INDEX(Category_Targets!$A$2:$A$9,MATCH(TRIM(Procurement_Raw!F716),Category_Targets!$A$2:$A$9,0)),"Unmapped")</f>
        <v>Utilities</v>
      </c>
      <c r="G716" t="str">
        <f>TRIM(Procurement_Raw!G716)</f>
        <v>INV-2025-00715</v>
      </c>
      <c r="H716" s="77">
        <f>Procurement_Raw!H716</f>
        <v>61</v>
      </c>
      <c r="I716" s="124">
        <f>Procurement_Raw!I716</f>
        <v>244.88</v>
      </c>
      <c r="J716" s="125">
        <f>IF(Procurement_Raw!J716="","",Procurement_Raw!J716)</f>
        <v>14937.58</v>
      </c>
      <c r="K716" s="77">
        <f>Procurement_Raw!K716</f>
        <v>60</v>
      </c>
      <c r="L716" t="str">
        <f>Procurement_Raw!L716</f>
        <v>Legacy Spend File</v>
      </c>
      <c r="M716" t="str">
        <f>Procurement_Raw!O716</f>
        <v>N</v>
      </c>
      <c r="N716" t="str">
        <f>IF(E716="","Missing supplier",IF(B716="","Missing site",IF(J716="","Missing spend",IF(COUNTIFS($G$2:G716,G716,$E$2:E716,E716,$J$2:J716,J716)&gt;1,"Duplicate invoice",IF(COUNTIF($G$2:$G$1801,G716)&gt;1,"Duplicate ID - review",IF(AND(P716&lt;&gt;"Unmapped",P716&lt;&gt;F716),"Category mismatch","OK"))))))</f>
        <v>OK</v>
      </c>
      <c r="O716" s="125">
        <f t="shared" si="33"/>
        <v>14937.58</v>
      </c>
      <c r="P716" t="str">
        <f>IF(E716="","Unmapped",IFERROR(INDEX(Supplier_Lookup!$B$2:$B$25,MATCH(E716,Supplier_Lookup!$A$2:$A$25,0)),"Unmapped"))</f>
        <v>Utilities</v>
      </c>
      <c r="Q716" s="76">
        <f>IFERROR(INDEX(Category_Targets!$B$2:$B$9,MATCH(F716,Category_Targets!$A$2:$A$9,0)),0)</f>
        <v>0.03</v>
      </c>
      <c r="R716" s="125">
        <f t="shared" si="34"/>
        <v>448.12739999999997</v>
      </c>
      <c r="S716" s="78">
        <f t="shared" si="35"/>
        <v>45901</v>
      </c>
      <c r="T716" t="str">
        <f>IFERROR(VLOOKUP(B716,Sites!$A$2:$D$21,4,FALSE()),"Unknown")</f>
        <v>Leeds</v>
      </c>
      <c r="U716" t="str">
        <f>IF(N716="OK","",COUNTIF($N$2:N716,"&lt;&gt;OK"))</f>
        <v/>
      </c>
      <c r="V716">
        <f>IF(OR(NOT(EXACT(E716,TRIM(Procurement_Raw!E716))),NOT(EXACT(F716,TRIM(Procurement_Raw!F716)))),1,0)</f>
        <v>0</v>
      </c>
    </row>
    <row r="717" spans="1:22" ht="15" customHeight="1" x14ac:dyDescent="0.25">
      <c r="A717" s="123">
        <f>Procurement_Raw!A717</f>
        <v>45835</v>
      </c>
      <c r="B717" t="str">
        <f>TRIM(Procurement_Raw!B717)</f>
        <v>S010</v>
      </c>
      <c r="C717" t="str">
        <f>Procurement_Raw!C717</f>
        <v>Coventry Care &amp; Education Centre</v>
      </c>
      <c r="D717" t="str">
        <f>Procurement_Raw!D717</f>
        <v>Midlands</v>
      </c>
      <c r="E717" t="str">
        <f>IF(TRIM(Procurement_Raw!E717)="","",IFERROR(INDEX(Supplier_Lookup!$A$2:$A$25,MATCH(TRIM(Procurement_Raw!E717),Supplier_Lookup!$A$2:$A$25,0)),TRIM(Procurement_Raw!E717)))</f>
        <v>KitchenPro</v>
      </c>
      <c r="F717" t="str">
        <f>IFERROR(INDEX(Category_Targets!$A$2:$A$9,MATCH(TRIM(Procurement_Raw!F717),Category_Targets!$A$2:$A$9,0)),"Unmapped")</f>
        <v>Food &amp; Catering</v>
      </c>
      <c r="G717" t="str">
        <f>TRIM(Procurement_Raw!G717)</f>
        <v>INV-2025-00716</v>
      </c>
      <c r="H717" s="77">
        <f>Procurement_Raw!H717</f>
        <v>58</v>
      </c>
      <c r="I717" s="124">
        <f>Procurement_Raw!I717</f>
        <v>119.25</v>
      </c>
      <c r="J717" s="125">
        <f>IF(Procurement_Raw!J717="","",Procurement_Raw!J717)</f>
        <v>6916.37</v>
      </c>
      <c r="K717" s="77">
        <f>Procurement_Raw!K717</f>
        <v>30</v>
      </c>
      <c r="L717" t="str">
        <f>Procurement_Raw!L717</f>
        <v>Legacy Spend File</v>
      </c>
      <c r="M717" t="str">
        <f>Procurement_Raw!O717</f>
        <v>N</v>
      </c>
      <c r="N717" t="str">
        <f>IF(E717="","Missing supplier",IF(B717="","Missing site",IF(J717="","Missing spend",IF(COUNTIFS($G$2:G717,G717,$E$2:E717,E717,$J$2:J717,J717)&gt;1,"Duplicate invoice",IF(COUNTIF($G$2:$G$1801,G717)&gt;1,"Duplicate ID - review",IF(AND(P717&lt;&gt;"Unmapped",P717&lt;&gt;F717),"Category mismatch","OK"))))))</f>
        <v>OK</v>
      </c>
      <c r="O717" s="125">
        <f t="shared" si="33"/>
        <v>6916.37</v>
      </c>
      <c r="P717" t="str">
        <f>IF(E717="","Unmapped",IFERROR(INDEX(Supplier_Lookup!$B$2:$B$25,MATCH(E717,Supplier_Lookup!$A$2:$A$25,0)),"Unmapped"))</f>
        <v>Food &amp; Catering</v>
      </c>
      <c r="Q717" s="76">
        <f>IFERROR(INDEX(Category_Targets!$B$2:$B$9,MATCH(F717,Category_Targets!$A$2:$A$9,0)),0)</f>
        <v>0.04</v>
      </c>
      <c r="R717" s="125">
        <f t="shared" si="34"/>
        <v>276.65480000000002</v>
      </c>
      <c r="S717" s="78">
        <f t="shared" si="35"/>
        <v>45809</v>
      </c>
      <c r="T717" t="str">
        <f>IFERROR(VLOOKUP(B717,Sites!$A$2:$D$21,4,FALSE()),"Unknown")</f>
        <v>Coventry</v>
      </c>
      <c r="U717" t="str">
        <f>IF(N717="OK","",COUNTIF($N$2:N717,"&lt;&gt;OK"))</f>
        <v/>
      </c>
      <c r="V717">
        <f>IF(OR(NOT(EXACT(E717,TRIM(Procurement_Raw!E717))),NOT(EXACT(F717,TRIM(Procurement_Raw!F717)))),1,0)</f>
        <v>0</v>
      </c>
    </row>
    <row r="718" spans="1:22" ht="15" customHeight="1" x14ac:dyDescent="0.25">
      <c r="A718" s="123">
        <f>Procurement_Raw!A718</f>
        <v>46007</v>
      </c>
      <c r="B718" t="str">
        <f>TRIM(Procurement_Raw!B718)</f>
        <v>S019</v>
      </c>
      <c r="C718" t="str">
        <f>Procurement_Raw!C718</f>
        <v>Wrexham Care &amp; Education Centre</v>
      </c>
      <c r="D718" t="str">
        <f>Procurement_Raw!D718</f>
        <v>Wales</v>
      </c>
      <c r="E718" t="str">
        <f>IF(TRIM(Procurement_Raw!E718)="","",IFERROR(INDEX(Supplier_Lookup!$A$2:$A$25,MATCH(TRIM(Procurement_Raw!E718),Supplier_Lookup!$A$2:$A$25,0)),TRIM(Procurement_Raw!E718)))</f>
        <v>UK Energy Partners</v>
      </c>
      <c r="F718" t="str">
        <f>IFERROR(INDEX(Category_Targets!$A$2:$A$9,MATCH(TRIM(Procurement_Raw!F718),Category_Targets!$A$2:$A$9,0)),"Unmapped")</f>
        <v>Utilities</v>
      </c>
      <c r="G718" t="str">
        <f>TRIM(Procurement_Raw!G718)</f>
        <v>INV-2025-00717</v>
      </c>
      <c r="H718" s="77">
        <f>Procurement_Raw!H718</f>
        <v>42</v>
      </c>
      <c r="I718" s="124">
        <f>Procurement_Raw!I718</f>
        <v>266.20999999999998</v>
      </c>
      <c r="J718" s="125">
        <f>IF(Procurement_Raw!J718="","",Procurement_Raw!J718)</f>
        <v>11180.83</v>
      </c>
      <c r="K718" s="77">
        <f>Procurement_Raw!K718</f>
        <v>45</v>
      </c>
      <c r="L718" t="str">
        <f>Procurement_Raw!L718</f>
        <v>ERP</v>
      </c>
      <c r="M718" t="str">
        <f>Procurement_Raw!O718</f>
        <v>N</v>
      </c>
      <c r="N718" t="str">
        <f>IF(E718="","Missing supplier",IF(B718="","Missing site",IF(J718="","Missing spend",IF(COUNTIFS($G$2:G718,G718,$E$2:E718,E718,$J$2:J718,J718)&gt;1,"Duplicate invoice",IF(COUNTIF($G$2:$G$1801,G718)&gt;1,"Duplicate ID - review",IF(AND(P718&lt;&gt;"Unmapped",P718&lt;&gt;F718),"Category mismatch","OK"))))))</f>
        <v>OK</v>
      </c>
      <c r="O718" s="125">
        <f t="shared" si="33"/>
        <v>11180.83</v>
      </c>
      <c r="P718" t="str">
        <f>IF(E718="","Unmapped",IFERROR(INDEX(Supplier_Lookup!$B$2:$B$25,MATCH(E718,Supplier_Lookup!$A$2:$A$25,0)),"Unmapped"))</f>
        <v>Utilities</v>
      </c>
      <c r="Q718" s="76">
        <f>IFERROR(INDEX(Category_Targets!$B$2:$B$9,MATCH(F718,Category_Targets!$A$2:$A$9,0)),0)</f>
        <v>0.03</v>
      </c>
      <c r="R718" s="125">
        <f t="shared" si="34"/>
        <v>335.42489999999998</v>
      </c>
      <c r="S718" s="78">
        <f t="shared" si="35"/>
        <v>45992</v>
      </c>
      <c r="T718" t="str">
        <f>IFERROR(VLOOKUP(B718,Sites!$A$2:$D$21,4,FALSE()),"Unknown")</f>
        <v>Wrexham</v>
      </c>
      <c r="U718" t="str">
        <f>IF(N718="OK","",COUNTIF($N$2:N718,"&lt;&gt;OK"))</f>
        <v/>
      </c>
      <c r="V718">
        <f>IF(OR(NOT(EXACT(E718,TRIM(Procurement_Raw!E718))),NOT(EXACT(F718,TRIM(Procurement_Raw!F718)))),1,0)</f>
        <v>0</v>
      </c>
    </row>
    <row r="719" spans="1:22" ht="15" customHeight="1" x14ac:dyDescent="0.25">
      <c r="A719" s="123">
        <f>Procurement_Raw!A719</f>
        <v>45802</v>
      </c>
      <c r="B719" t="str">
        <f>TRIM(Procurement_Raw!B719)</f>
        <v>S006</v>
      </c>
      <c r="C719" t="str">
        <f>Procurement_Raw!C719</f>
        <v>Birmingham Care &amp; Education Centre</v>
      </c>
      <c r="D719" t="str">
        <f>Procurement_Raw!D719</f>
        <v>Midlands</v>
      </c>
      <c r="E719" t="str">
        <f>IF(TRIM(Procurement_Raw!E719)="","",IFERROR(INDEX(Supplier_Lookup!$A$2:$A$25,MATCH(TRIM(Procurement_Raw!E719),Supplier_Lookup!$A$2:$A$25,0)),TRIM(Procurement_Raw!E719)))</f>
        <v>NetServe</v>
      </c>
      <c r="F719" t="str">
        <f>IFERROR(INDEX(Category_Targets!$A$2:$A$9,MATCH(TRIM(Procurement_Raw!F719),Category_Targets!$A$2:$A$9,0)),"Unmapped")</f>
        <v>IT &amp; Telecoms</v>
      </c>
      <c r="G719" t="str">
        <f>TRIM(Procurement_Raw!G719)</f>
        <v>INV-2025-00718</v>
      </c>
      <c r="H719" s="77">
        <f>Procurement_Raw!H719</f>
        <v>4</v>
      </c>
      <c r="I719" s="124">
        <f>Procurement_Raw!I719</f>
        <v>238.96</v>
      </c>
      <c r="J719" s="125">
        <f>IF(Procurement_Raw!J719="","",Procurement_Raw!J719)</f>
        <v>955.84</v>
      </c>
      <c r="K719" s="77">
        <f>Procurement_Raw!K719</f>
        <v>60</v>
      </c>
      <c r="L719" t="str">
        <f>Procurement_Raw!L719</f>
        <v>Procurement Portal</v>
      </c>
      <c r="M719" t="str">
        <f>Procurement_Raw!O719</f>
        <v>N</v>
      </c>
      <c r="N719" t="str">
        <f>IF(E719="","Missing supplier",IF(B719="","Missing site",IF(J719="","Missing spend",IF(COUNTIFS($G$2:G719,G719,$E$2:E719,E719,$J$2:J719,J719)&gt;1,"Duplicate invoice",IF(COUNTIF($G$2:$G$1801,G719)&gt;1,"Duplicate ID - review",IF(AND(P719&lt;&gt;"Unmapped",P719&lt;&gt;F719),"Category mismatch","OK"))))))</f>
        <v>OK</v>
      </c>
      <c r="O719" s="125">
        <f t="shared" si="33"/>
        <v>955.84</v>
      </c>
      <c r="P719" t="str">
        <f>IF(E719="","Unmapped",IFERROR(INDEX(Supplier_Lookup!$B$2:$B$25,MATCH(E719,Supplier_Lookup!$A$2:$A$25,0)),"Unmapped"))</f>
        <v>IT &amp; Telecoms</v>
      </c>
      <c r="Q719" s="76">
        <f>IFERROR(INDEX(Category_Targets!$B$2:$B$9,MATCH(F719,Category_Targets!$A$2:$A$9,0)),0)</f>
        <v>0.08</v>
      </c>
      <c r="R719" s="125">
        <f t="shared" si="34"/>
        <v>76.467200000000005</v>
      </c>
      <c r="S719" s="78">
        <f t="shared" si="35"/>
        <v>45778</v>
      </c>
      <c r="T719" t="str">
        <f>IFERROR(VLOOKUP(B719,Sites!$A$2:$D$21,4,FALSE()),"Unknown")</f>
        <v>Birmingham</v>
      </c>
      <c r="U719" t="str">
        <f>IF(N719="OK","",COUNTIF($N$2:N719,"&lt;&gt;OK"))</f>
        <v/>
      </c>
      <c r="V719">
        <f>IF(OR(NOT(EXACT(E719,TRIM(Procurement_Raw!E719))),NOT(EXACT(F719,TRIM(Procurement_Raw!F719)))),1,0)</f>
        <v>0</v>
      </c>
    </row>
    <row r="720" spans="1:22" ht="15" customHeight="1" x14ac:dyDescent="0.25">
      <c r="A720" s="123">
        <f>Procurement_Raw!A720</f>
        <v>45680</v>
      </c>
      <c r="B720" t="str">
        <f>TRIM(Procurement_Raw!B720)</f>
        <v>S011</v>
      </c>
      <c r="C720" t="str">
        <f>Procurement_Raw!C720</f>
        <v>London Care &amp; Education Centre</v>
      </c>
      <c r="D720" t="str">
        <f>Procurement_Raw!D720</f>
        <v>South</v>
      </c>
      <c r="E720" t="str">
        <f>IF(TRIM(Procurement_Raw!E720)="","",IFERROR(INDEX(Supplier_Lookup!$A$2:$A$25,MATCH(TRIM(Procurement_Raw!E720),Supplier_Lookup!$A$2:$A$25,0)),TRIM(Procurement_Raw!E720)))</f>
        <v>LearnWell</v>
      </c>
      <c r="F720" t="str">
        <f>IFERROR(INDEX(Category_Targets!$A$2:$A$9,MATCH(TRIM(Procurement_Raw!F720),Category_Targets!$A$2:$A$9,0)),"Unmapped")</f>
        <v>Office &amp; Training</v>
      </c>
      <c r="G720" t="str">
        <f>TRIM(Procurement_Raw!G720)</f>
        <v>INV-2025-00719</v>
      </c>
      <c r="H720" s="77">
        <f>Procurement_Raw!H720</f>
        <v>38</v>
      </c>
      <c r="I720" s="124">
        <f>Procurement_Raw!I720</f>
        <v>61.41</v>
      </c>
      <c r="J720" s="125">
        <f>IF(Procurement_Raw!J720="","",Procurement_Raw!J720)</f>
        <v>2333.41</v>
      </c>
      <c r="K720" s="77">
        <f>Procurement_Raw!K720</f>
        <v>60</v>
      </c>
      <c r="L720" t="str">
        <f>Procurement_Raw!L720</f>
        <v>ERP</v>
      </c>
      <c r="M720" t="str">
        <f>Procurement_Raw!O720</f>
        <v>N</v>
      </c>
      <c r="N720" t="str">
        <f>IF(E720="","Missing supplier",IF(B720="","Missing site",IF(J720="","Missing spend",IF(COUNTIFS($G$2:G720,G720,$E$2:E720,E720,$J$2:J720,J720)&gt;1,"Duplicate invoice",IF(COUNTIF($G$2:$G$1801,G720)&gt;1,"Duplicate ID - review",IF(AND(P720&lt;&gt;"Unmapped",P720&lt;&gt;F720),"Category mismatch","OK"))))))</f>
        <v>OK</v>
      </c>
      <c r="O720" s="125">
        <f t="shared" si="33"/>
        <v>2333.41</v>
      </c>
      <c r="P720" t="str">
        <f>IF(E720="","Unmapped",IFERROR(INDEX(Supplier_Lookup!$B$2:$B$25,MATCH(E720,Supplier_Lookup!$A$2:$A$25,0)),"Unmapped"))</f>
        <v>Office &amp; Training</v>
      </c>
      <c r="Q720" s="76">
        <f>IFERROR(INDEX(Category_Targets!$B$2:$B$9,MATCH(F720,Category_Targets!$A$2:$A$9,0)),0)</f>
        <v>0.04</v>
      </c>
      <c r="R720" s="125">
        <f t="shared" si="34"/>
        <v>93.336399999999998</v>
      </c>
      <c r="S720" s="78">
        <f t="shared" si="35"/>
        <v>45658</v>
      </c>
      <c r="T720" t="str">
        <f>IFERROR(VLOOKUP(B720,Sites!$A$2:$D$21,4,FALSE()),"Unknown")</f>
        <v>London</v>
      </c>
      <c r="U720" t="str">
        <f>IF(N720="OK","",COUNTIF($N$2:N720,"&lt;&gt;OK"))</f>
        <v/>
      </c>
      <c r="V720">
        <f>IF(OR(NOT(EXACT(E720,TRIM(Procurement_Raw!E720))),NOT(EXACT(F720,TRIM(Procurement_Raw!F720)))),1,0)</f>
        <v>0</v>
      </c>
    </row>
    <row r="721" spans="1:22" ht="15" customHeight="1" x14ac:dyDescent="0.25">
      <c r="A721" s="123">
        <f>Procurement_Raw!A721</f>
        <v>45743</v>
      </c>
      <c r="B721" t="str">
        <f>TRIM(Procurement_Raw!B721)</f>
        <v>S005</v>
      </c>
      <c r="C721" t="str">
        <f>Procurement_Raw!C721</f>
        <v>Sheffield Care &amp; Education Centre</v>
      </c>
      <c r="D721" t="str">
        <f>Procurement_Raw!D721</f>
        <v>North</v>
      </c>
      <c r="E721" t="str">
        <f>IF(TRIM(Procurement_Raw!E721)="","",IFERROR(INDEX(Supplier_Lookup!$A$2:$A$25,MATCH(TRIM(Procurement_Raw!E721),Supplier_Lookup!$A$2:$A$25,0)),TRIM(Procurement_Raw!E721)))</f>
        <v>FreshServe</v>
      </c>
      <c r="F721" t="str">
        <f>IFERROR(INDEX(Category_Targets!$A$2:$A$9,MATCH(TRIM(Procurement_Raw!F721),Category_Targets!$A$2:$A$9,0)),"Unmapped")</f>
        <v>Food &amp; Catering</v>
      </c>
      <c r="G721" t="str">
        <f>TRIM(Procurement_Raw!G721)</f>
        <v>INV-2025-00720</v>
      </c>
      <c r="H721" s="77">
        <f>Procurement_Raw!H721</f>
        <v>69</v>
      </c>
      <c r="I721" s="124">
        <f>Procurement_Raw!I721</f>
        <v>63</v>
      </c>
      <c r="J721" s="125">
        <f>IF(Procurement_Raw!J721="","",Procurement_Raw!J721)</f>
        <v>4346.71</v>
      </c>
      <c r="K721" s="77">
        <f>Procurement_Raw!K721</f>
        <v>60</v>
      </c>
      <c r="L721" t="str">
        <f>Procurement_Raw!L721</f>
        <v>ERP</v>
      </c>
      <c r="M721" t="str">
        <f>Procurement_Raw!O721</f>
        <v>Y</v>
      </c>
      <c r="N721" t="str">
        <f>IF(E721="","Missing supplier",IF(B721="","Missing site",IF(J721="","Missing spend",IF(COUNTIFS($G$2:G721,G721,$E$2:E721,E721,$J$2:J721,J721)&gt;1,"Duplicate invoice",IF(COUNTIF($G$2:$G$1801,G721)&gt;1,"Duplicate ID - review",IF(AND(P721&lt;&gt;"Unmapped",P721&lt;&gt;F721),"Category mismatch","OK"))))))</f>
        <v>OK</v>
      </c>
      <c r="O721" s="125">
        <f t="shared" si="33"/>
        <v>4346.71</v>
      </c>
      <c r="P721" t="str">
        <f>IF(E721="","Unmapped",IFERROR(INDEX(Supplier_Lookup!$B$2:$B$25,MATCH(E721,Supplier_Lookup!$A$2:$A$25,0)),"Unmapped"))</f>
        <v>Food &amp; Catering</v>
      </c>
      <c r="Q721" s="76">
        <f>IFERROR(INDEX(Category_Targets!$B$2:$B$9,MATCH(F721,Category_Targets!$A$2:$A$9,0)),0)</f>
        <v>0.04</v>
      </c>
      <c r="R721" s="125">
        <f t="shared" si="34"/>
        <v>173.86840000000001</v>
      </c>
      <c r="S721" s="78">
        <f t="shared" si="35"/>
        <v>45717</v>
      </c>
      <c r="T721" t="str">
        <f>IFERROR(VLOOKUP(B721,Sites!$A$2:$D$21,4,FALSE()),"Unknown")</f>
        <v>Sheffield</v>
      </c>
      <c r="U721" t="str">
        <f>IF(N721="OK","",COUNTIF($N$2:N721,"&lt;&gt;OK"))</f>
        <v/>
      </c>
      <c r="V721">
        <f>IF(OR(NOT(EXACT(E721,TRIM(Procurement_Raw!E721))),NOT(EXACT(F721,TRIM(Procurement_Raw!F721)))),1,0)</f>
        <v>0</v>
      </c>
    </row>
    <row r="722" spans="1:22" ht="15" customHeight="1" x14ac:dyDescent="0.25">
      <c r="A722" s="123">
        <f>Procurement_Raw!A722</f>
        <v>46001</v>
      </c>
      <c r="B722" t="str">
        <f>TRIM(Procurement_Raw!B722)</f>
        <v>S007</v>
      </c>
      <c r="C722" t="str">
        <f>Procurement_Raw!C722</f>
        <v>Nottingham Care &amp; Education Centre</v>
      </c>
      <c r="D722" t="str">
        <f>Procurement_Raw!D722</f>
        <v>Midlands</v>
      </c>
      <c r="E722" t="str">
        <f>IF(TRIM(Procurement_Raw!E722)="","",IFERROR(INDEX(Supplier_Lookup!$A$2:$A$25,MATCH(TRIM(Procurement_Raw!E722),Supplier_Lookup!$A$2:$A$25,0)),TRIM(Procurement_Raw!E722)))</f>
        <v>FreshServe</v>
      </c>
      <c r="F722" t="str">
        <f>IFERROR(INDEX(Category_Targets!$A$2:$A$9,MATCH(TRIM(Procurement_Raw!F722),Category_Targets!$A$2:$A$9,0)),"Unmapped")</f>
        <v>Food &amp; Catering</v>
      </c>
      <c r="G722" t="str">
        <f>TRIM(Procurement_Raw!G722)</f>
        <v>INV-2025-00721</v>
      </c>
      <c r="H722" s="77">
        <f>Procurement_Raw!H722</f>
        <v>28</v>
      </c>
      <c r="I722" s="124">
        <f>Procurement_Raw!I722</f>
        <v>76.989999999999995</v>
      </c>
      <c r="J722" s="125">
        <f>IF(Procurement_Raw!J722="","",Procurement_Raw!J722)</f>
        <v>2155.73</v>
      </c>
      <c r="K722" s="77">
        <f>Procurement_Raw!K722</f>
        <v>60</v>
      </c>
      <c r="L722" t="str">
        <f>Procurement_Raw!L722</f>
        <v>Procurement Portal</v>
      </c>
      <c r="M722" t="str">
        <f>Procurement_Raw!O722</f>
        <v>Y</v>
      </c>
      <c r="N722" t="str">
        <f>IF(E722="","Missing supplier",IF(B722="","Missing site",IF(J722="","Missing spend",IF(COUNTIFS($G$2:G722,G722,$E$2:E722,E722,$J$2:J722,J722)&gt;1,"Duplicate invoice",IF(COUNTIF($G$2:$G$1801,G722)&gt;1,"Duplicate ID - review",IF(AND(P722&lt;&gt;"Unmapped",P722&lt;&gt;F722),"Category mismatch","OK"))))))</f>
        <v>OK</v>
      </c>
      <c r="O722" s="125">
        <f t="shared" si="33"/>
        <v>2155.73</v>
      </c>
      <c r="P722" t="str">
        <f>IF(E722="","Unmapped",IFERROR(INDEX(Supplier_Lookup!$B$2:$B$25,MATCH(E722,Supplier_Lookup!$A$2:$A$25,0)),"Unmapped"))</f>
        <v>Food &amp; Catering</v>
      </c>
      <c r="Q722" s="76">
        <f>IFERROR(INDEX(Category_Targets!$B$2:$B$9,MATCH(F722,Category_Targets!$A$2:$A$9,0)),0)</f>
        <v>0.04</v>
      </c>
      <c r="R722" s="125">
        <f t="shared" si="34"/>
        <v>86.229200000000006</v>
      </c>
      <c r="S722" s="78">
        <f t="shared" si="35"/>
        <v>45992</v>
      </c>
      <c r="T722" t="str">
        <f>IFERROR(VLOOKUP(B722,Sites!$A$2:$D$21,4,FALSE()),"Unknown")</f>
        <v>Nottingham</v>
      </c>
      <c r="U722" t="str">
        <f>IF(N722="OK","",COUNTIF($N$2:N722,"&lt;&gt;OK"))</f>
        <v/>
      </c>
      <c r="V722">
        <f>IF(OR(NOT(EXACT(E722,TRIM(Procurement_Raw!E722))),NOT(EXACT(F722,TRIM(Procurement_Raw!F722)))),1,0)</f>
        <v>0</v>
      </c>
    </row>
    <row r="723" spans="1:22" ht="15" customHeight="1" x14ac:dyDescent="0.25">
      <c r="A723" s="123">
        <f>Procurement_Raw!A723</f>
        <v>46017</v>
      </c>
      <c r="B723" t="str">
        <f>TRIM(Procurement_Raw!B723)</f>
        <v>S010</v>
      </c>
      <c r="C723" t="str">
        <f>Procurement_Raw!C723</f>
        <v>Coventry Care &amp; Education Centre</v>
      </c>
      <c r="D723" t="str">
        <f>Procurement_Raw!D723</f>
        <v>Midlands</v>
      </c>
      <c r="E723" t="str">
        <f>IF(TRIM(Procurement_Raw!E723)="","",IFERROR(INDEX(Supplier_Lookup!$A$2:$A$25,MATCH(TRIM(Procurement_Raw!E723),Supplier_Lookup!$A$2:$A$25,0)),TRIM(Procurement_Raw!E723)))</f>
        <v>PowerDirect</v>
      </c>
      <c r="F723" t="str">
        <f>IFERROR(INDEX(Category_Targets!$A$2:$A$9,MATCH(TRIM(Procurement_Raw!F723),Category_Targets!$A$2:$A$9,0)),"Unmapped")</f>
        <v>Utilities</v>
      </c>
      <c r="G723" t="str">
        <f>TRIM(Procurement_Raw!G723)</f>
        <v>INV-2025-00722</v>
      </c>
      <c r="H723" s="77">
        <f>Procurement_Raw!H723</f>
        <v>56</v>
      </c>
      <c r="I723" s="124">
        <f>Procurement_Raw!I723</f>
        <v>97.6</v>
      </c>
      <c r="J723" s="125">
        <f>IF(Procurement_Raw!J723="","",Procurement_Raw!J723)</f>
        <v>5465.55</v>
      </c>
      <c r="K723" s="77">
        <f>Procurement_Raw!K723</f>
        <v>60</v>
      </c>
      <c r="L723" t="str">
        <f>Procurement_Raw!L723</f>
        <v>ERP</v>
      </c>
      <c r="M723" t="str">
        <f>Procurement_Raw!O723</f>
        <v>N</v>
      </c>
      <c r="N723" t="str">
        <f>IF(E723="","Missing supplier",IF(B723="","Missing site",IF(J723="","Missing spend",IF(COUNTIFS($G$2:G723,G723,$E$2:E723,E723,$J$2:J723,J723)&gt;1,"Duplicate invoice",IF(COUNTIF($G$2:$G$1801,G723)&gt;1,"Duplicate ID - review",IF(AND(P723&lt;&gt;"Unmapped",P723&lt;&gt;F723),"Category mismatch","OK"))))))</f>
        <v>OK</v>
      </c>
      <c r="O723" s="125">
        <f t="shared" si="33"/>
        <v>5465.55</v>
      </c>
      <c r="P723" t="str">
        <f>IF(E723="","Unmapped",IFERROR(INDEX(Supplier_Lookup!$B$2:$B$25,MATCH(E723,Supplier_Lookup!$A$2:$A$25,0)),"Unmapped"))</f>
        <v>Utilities</v>
      </c>
      <c r="Q723" s="76">
        <f>IFERROR(INDEX(Category_Targets!$B$2:$B$9,MATCH(F723,Category_Targets!$A$2:$A$9,0)),0)</f>
        <v>0.03</v>
      </c>
      <c r="R723" s="125">
        <f t="shared" si="34"/>
        <v>163.9665</v>
      </c>
      <c r="S723" s="78">
        <f t="shared" si="35"/>
        <v>45992</v>
      </c>
      <c r="T723" t="str">
        <f>IFERROR(VLOOKUP(B723,Sites!$A$2:$D$21,4,FALSE()),"Unknown")</f>
        <v>Coventry</v>
      </c>
      <c r="U723" t="str">
        <f>IF(N723="OK","",COUNTIF($N$2:N723,"&lt;&gt;OK"))</f>
        <v/>
      </c>
      <c r="V723">
        <f>IF(OR(NOT(EXACT(E723,TRIM(Procurement_Raw!E723))),NOT(EXACT(F723,TRIM(Procurement_Raw!F723)))),1,0)</f>
        <v>0</v>
      </c>
    </row>
    <row r="724" spans="1:22" ht="15" customHeight="1" x14ac:dyDescent="0.25">
      <c r="A724" s="123">
        <f>Procurement_Raw!A724</f>
        <v>45893</v>
      </c>
      <c r="B724" t="str">
        <f>TRIM(Procurement_Raw!B724)</f>
        <v>S008</v>
      </c>
      <c r="C724" t="str">
        <f>Procurement_Raw!C724</f>
        <v>Leicester Care &amp; Education Centre</v>
      </c>
      <c r="D724" t="str">
        <f>Procurement_Raw!D724</f>
        <v>Midlands</v>
      </c>
      <c r="E724" t="str">
        <f>IF(TRIM(Procurement_Raw!E724)="","",IFERROR(INDEX(Supplier_Lookup!$A$2:$A$25,MATCH(TRIM(Procurement_Raw!E724),Supplier_Lookup!$A$2:$A$25,0)),TRIM(Procurement_Raw!E724)))</f>
        <v>CleanWorks</v>
      </c>
      <c r="F724" t="str">
        <f>IFERROR(INDEX(Category_Targets!$A$2:$A$9,MATCH(TRIM(Procurement_Raw!F724),Category_Targets!$A$2:$A$9,0)),"Unmapped")</f>
        <v>Facilities</v>
      </c>
      <c r="G724" t="str">
        <f>TRIM(Procurement_Raw!G724)</f>
        <v>INV-2025-00723</v>
      </c>
      <c r="H724" s="77">
        <f>Procurement_Raw!H724</f>
        <v>43</v>
      </c>
      <c r="I724" s="124">
        <f>Procurement_Raw!I724</f>
        <v>85.75</v>
      </c>
      <c r="J724" s="125">
        <f>IF(Procurement_Raw!J724="","",Procurement_Raw!J724)</f>
        <v>3687.32</v>
      </c>
      <c r="K724" s="77">
        <f>Procurement_Raw!K724</f>
        <v>30</v>
      </c>
      <c r="L724" t="str">
        <f>Procurement_Raw!L724</f>
        <v>ERP</v>
      </c>
      <c r="M724" t="str">
        <f>Procurement_Raw!O724</f>
        <v>Y</v>
      </c>
      <c r="N724" t="str">
        <f>IF(E724="","Missing supplier",IF(B724="","Missing site",IF(J724="","Missing spend",IF(COUNTIFS($G$2:G724,G724,$E$2:E724,E724,$J$2:J724,J724)&gt;1,"Duplicate invoice",IF(COUNTIF($G$2:$G$1801,G724)&gt;1,"Duplicate ID - review",IF(AND(P724&lt;&gt;"Unmapped",P724&lt;&gt;F724),"Category mismatch","OK"))))))</f>
        <v>OK</v>
      </c>
      <c r="O724" s="125">
        <f t="shared" si="33"/>
        <v>3687.32</v>
      </c>
      <c r="P724" t="str">
        <f>IF(E724="","Unmapped",IFERROR(INDEX(Supplier_Lookup!$B$2:$B$25,MATCH(E724,Supplier_Lookup!$A$2:$A$25,0)),"Unmapped"))</f>
        <v>Facilities</v>
      </c>
      <c r="Q724" s="76">
        <f>IFERROR(INDEX(Category_Targets!$B$2:$B$9,MATCH(F724,Category_Targets!$A$2:$A$9,0)),0)</f>
        <v>0.05</v>
      </c>
      <c r="R724" s="125">
        <f t="shared" si="34"/>
        <v>184.36600000000001</v>
      </c>
      <c r="S724" s="78">
        <f t="shared" si="35"/>
        <v>45870</v>
      </c>
      <c r="T724" t="str">
        <f>IFERROR(VLOOKUP(B724,Sites!$A$2:$D$21,4,FALSE()),"Unknown")</f>
        <v>Leicester</v>
      </c>
      <c r="U724" t="str">
        <f>IF(N724="OK","",COUNTIF($N$2:N724,"&lt;&gt;OK"))</f>
        <v/>
      </c>
      <c r="V724">
        <f>IF(OR(NOT(EXACT(E724,TRIM(Procurement_Raw!E724))),NOT(EXACT(F724,TRIM(Procurement_Raw!F724)))),1,0)</f>
        <v>0</v>
      </c>
    </row>
    <row r="725" spans="1:22" ht="15" customHeight="1" x14ac:dyDescent="0.25">
      <c r="A725" s="123">
        <f>Procurement_Raw!A725</f>
        <v>45786</v>
      </c>
      <c r="B725" t="str">
        <f>TRIM(Procurement_Raw!B725)</f>
        <v>S014</v>
      </c>
      <c r="C725" t="str">
        <f>Procurement_Raw!C725</f>
        <v>Southampton Care &amp; Education Centre</v>
      </c>
      <c r="D725" t="str">
        <f>Procurement_Raw!D725</f>
        <v>South</v>
      </c>
      <c r="E725" t="str">
        <f>IF(TRIM(Procurement_Raw!E725)="","",IFERROR(INDEX(Supplier_Lookup!$A$2:$A$25,MATCH(TRIM(Procurement_Raw!E725),Supplier_Lookup!$A$2:$A$25,0)),TRIM(Procurement_Raw!E725)))</f>
        <v>MediSure</v>
      </c>
      <c r="F725" t="str">
        <f>IFERROR(INDEX(Category_Targets!$A$2:$A$9,MATCH(TRIM(Procurement_Raw!F725),Category_Targets!$A$2:$A$9,0)),"Unmapped")</f>
        <v>Medical Supplies</v>
      </c>
      <c r="G725" t="str">
        <f>TRIM(Procurement_Raw!G725)</f>
        <v>INV-2025-00724</v>
      </c>
      <c r="H725" s="77">
        <f>Procurement_Raw!H725</f>
        <v>72</v>
      </c>
      <c r="I725" s="124">
        <f>Procurement_Raw!I725</f>
        <v>180.6</v>
      </c>
      <c r="J725" s="125">
        <f>IF(Procurement_Raw!J725="","",Procurement_Raw!J725)</f>
        <v>13003.23</v>
      </c>
      <c r="K725" s="77">
        <f>Procurement_Raw!K725</f>
        <v>30</v>
      </c>
      <c r="L725" t="str">
        <f>Procurement_Raw!L725</f>
        <v>Legacy Spend File</v>
      </c>
      <c r="M725" t="str">
        <f>Procurement_Raw!O725</f>
        <v>Y</v>
      </c>
      <c r="N725" t="str">
        <f>IF(E725="","Missing supplier",IF(B725="","Missing site",IF(J725="","Missing spend",IF(COUNTIFS($G$2:G725,G725,$E$2:E725,E725,$J$2:J725,J725)&gt;1,"Duplicate invoice",IF(COUNTIF($G$2:$G$1801,G725)&gt;1,"Duplicate ID - review",IF(AND(P725&lt;&gt;"Unmapped",P725&lt;&gt;F725),"Category mismatch","OK"))))))</f>
        <v>OK</v>
      </c>
      <c r="O725" s="125">
        <f t="shared" si="33"/>
        <v>13003.23</v>
      </c>
      <c r="P725" t="str">
        <f>IF(E725="","Unmapped",IFERROR(INDEX(Supplier_Lookup!$B$2:$B$25,MATCH(E725,Supplier_Lookup!$A$2:$A$25,0)),"Unmapped"))</f>
        <v>Medical Supplies</v>
      </c>
      <c r="Q725" s="76">
        <f>IFERROR(INDEX(Category_Targets!$B$2:$B$9,MATCH(F725,Category_Targets!$A$2:$A$9,0)),0)</f>
        <v>0.06</v>
      </c>
      <c r="R725" s="125">
        <f t="shared" si="34"/>
        <v>780.1937999999999</v>
      </c>
      <c r="S725" s="78">
        <f t="shared" si="35"/>
        <v>45778</v>
      </c>
      <c r="T725" t="str">
        <f>IFERROR(VLOOKUP(B725,Sites!$A$2:$D$21,4,FALSE()),"Unknown")</f>
        <v>Southampton</v>
      </c>
      <c r="U725" t="str">
        <f>IF(N725="OK","",COUNTIF($N$2:N725,"&lt;&gt;OK"))</f>
        <v/>
      </c>
      <c r="V725">
        <f>IF(OR(NOT(EXACT(E725,TRIM(Procurement_Raw!E725))),NOT(EXACT(F725,TRIM(Procurement_Raw!F725)))),1,0)</f>
        <v>0</v>
      </c>
    </row>
    <row r="726" spans="1:22" ht="15" customHeight="1" x14ac:dyDescent="0.25">
      <c r="A726" s="123">
        <f>Procurement_Raw!A726</f>
        <v>45856</v>
      </c>
      <c r="B726" t="str">
        <f>TRIM(Procurement_Raw!B726)</f>
        <v>S016</v>
      </c>
      <c r="C726" t="str">
        <f>Procurement_Raw!C726</f>
        <v>Cardiff Care &amp; Education Centre</v>
      </c>
      <c r="D726" t="str">
        <f>Procurement_Raw!D726</f>
        <v>Wales</v>
      </c>
      <c r="E726" t="str">
        <f>IF(TRIM(Procurement_Raw!E726)="","",IFERROR(INDEX(Supplier_Lookup!$A$2:$A$25,MATCH(TRIM(Procurement_Raw!E726),Supplier_Lookup!$A$2:$A$25,0)),TRIM(Procurement_Raw!E726)))</f>
        <v>TeleCare IT</v>
      </c>
      <c r="F726" t="str">
        <f>IFERROR(INDEX(Category_Targets!$A$2:$A$9,MATCH(TRIM(Procurement_Raw!F726),Category_Targets!$A$2:$A$9,0)),"Unmapped")</f>
        <v>IT &amp; Telecoms</v>
      </c>
      <c r="G726" t="str">
        <f>TRIM(Procurement_Raw!G726)</f>
        <v>INV-2025-00725</v>
      </c>
      <c r="H726" s="77">
        <f>Procurement_Raw!H726</f>
        <v>58</v>
      </c>
      <c r="I726" s="124">
        <f>Procurement_Raw!I726</f>
        <v>241.68</v>
      </c>
      <c r="J726" s="125">
        <f>IF(Procurement_Raw!J726="","",Procurement_Raw!J726)</f>
        <v>14017.29</v>
      </c>
      <c r="K726" s="77">
        <f>Procurement_Raw!K726</f>
        <v>60</v>
      </c>
      <c r="L726" t="str">
        <f>Procurement_Raw!L726</f>
        <v>Procurement Portal</v>
      </c>
      <c r="M726" t="str">
        <f>Procurement_Raw!O726</f>
        <v>N</v>
      </c>
      <c r="N726" t="str">
        <f>IF(E726="","Missing supplier",IF(B726="","Missing site",IF(J726="","Missing spend",IF(COUNTIFS($G$2:G726,G726,$E$2:E726,E726,$J$2:J726,J726)&gt;1,"Duplicate invoice",IF(COUNTIF($G$2:$G$1801,G726)&gt;1,"Duplicate ID - review",IF(AND(P726&lt;&gt;"Unmapped",P726&lt;&gt;F726),"Category mismatch","OK"))))))</f>
        <v>OK</v>
      </c>
      <c r="O726" s="125">
        <f t="shared" si="33"/>
        <v>14017.29</v>
      </c>
      <c r="P726" t="str">
        <f>IF(E726="","Unmapped",IFERROR(INDEX(Supplier_Lookup!$B$2:$B$25,MATCH(E726,Supplier_Lookup!$A$2:$A$25,0)),"Unmapped"))</f>
        <v>IT &amp; Telecoms</v>
      </c>
      <c r="Q726" s="76">
        <f>IFERROR(INDEX(Category_Targets!$B$2:$B$9,MATCH(F726,Category_Targets!$A$2:$A$9,0)),0)</f>
        <v>0.08</v>
      </c>
      <c r="R726" s="125">
        <f t="shared" si="34"/>
        <v>1121.3832</v>
      </c>
      <c r="S726" s="78">
        <f t="shared" si="35"/>
        <v>45839</v>
      </c>
      <c r="T726" t="str">
        <f>IFERROR(VLOOKUP(B726,Sites!$A$2:$D$21,4,FALSE()),"Unknown")</f>
        <v>Cardiff</v>
      </c>
      <c r="U726" t="str">
        <f>IF(N726="OK","",COUNTIF($N$2:N726,"&lt;&gt;OK"))</f>
        <v/>
      </c>
      <c r="V726">
        <f>IF(OR(NOT(EXACT(E726,TRIM(Procurement_Raw!E726))),NOT(EXACT(F726,TRIM(Procurement_Raw!F726)))),1,0)</f>
        <v>0</v>
      </c>
    </row>
    <row r="727" spans="1:22" ht="15" customHeight="1" x14ac:dyDescent="0.25">
      <c r="A727" s="123">
        <f>Procurement_Raw!A727</f>
        <v>45857</v>
      </c>
      <c r="B727" t="str">
        <f>TRIM(Procurement_Raw!B727)</f>
        <v>S014</v>
      </c>
      <c r="C727" t="str">
        <f>Procurement_Raw!C727</f>
        <v>Southampton Care &amp; Education Centre</v>
      </c>
      <c r="D727" t="str">
        <f>Procurement_Raw!D727</f>
        <v>South</v>
      </c>
      <c r="E727" t="str">
        <f>IF(TRIM(Procurement_Raw!E727)="","",IFERROR(INDEX(Supplier_Lookup!$A$2:$A$25,MATCH(TRIM(Procurement_Raw!E727),Supplier_Lookup!$A$2:$A$25,0)),TRIM(Procurement_Raw!E727)))</f>
        <v>FleetFuel</v>
      </c>
      <c r="F727" t="str">
        <f>IFERROR(INDEX(Category_Targets!$A$2:$A$9,MATCH(TRIM(Procurement_Raw!F727),Category_Targets!$A$2:$A$9,0)),"Unmapped")</f>
        <v>Vehicle &amp; Fuel</v>
      </c>
      <c r="G727" t="str">
        <f>TRIM(Procurement_Raw!G727)</f>
        <v>INV-2025-00726</v>
      </c>
      <c r="H727" s="77">
        <f>Procurement_Raw!H727</f>
        <v>16</v>
      </c>
      <c r="I727" s="124">
        <f>Procurement_Raw!I727</f>
        <v>85.86</v>
      </c>
      <c r="J727" s="125">
        <f>IF(Procurement_Raw!J727="","",Procurement_Raw!J727)</f>
        <v>1373.72</v>
      </c>
      <c r="K727" s="77">
        <f>Procurement_Raw!K727</f>
        <v>60</v>
      </c>
      <c r="L727" t="str">
        <f>Procurement_Raw!L727</f>
        <v>ERP</v>
      </c>
      <c r="M727" t="str">
        <f>Procurement_Raw!O727</f>
        <v>Y</v>
      </c>
      <c r="N727" t="str">
        <f>IF(E727="","Missing supplier",IF(B727="","Missing site",IF(J727="","Missing spend",IF(COUNTIFS($G$2:G727,G727,$E$2:E727,E727,$J$2:J727,J727)&gt;1,"Duplicate invoice",IF(COUNTIF($G$2:$G$1801,G727)&gt;1,"Duplicate ID - review",IF(AND(P727&lt;&gt;"Unmapped",P727&lt;&gt;F727),"Category mismatch","OK"))))))</f>
        <v>OK</v>
      </c>
      <c r="O727" s="125">
        <f t="shared" si="33"/>
        <v>1373.72</v>
      </c>
      <c r="P727" t="str">
        <f>IF(E727="","Unmapped",IFERROR(INDEX(Supplier_Lookup!$B$2:$B$25,MATCH(E727,Supplier_Lookup!$A$2:$A$25,0)),"Unmapped"))</f>
        <v>Vehicle &amp; Fuel</v>
      </c>
      <c r="Q727" s="76">
        <f>IFERROR(INDEX(Category_Targets!$B$2:$B$9,MATCH(F727,Category_Targets!$A$2:$A$9,0)),0)</f>
        <v>0.05</v>
      </c>
      <c r="R727" s="125">
        <f t="shared" si="34"/>
        <v>68.686000000000007</v>
      </c>
      <c r="S727" s="78">
        <f t="shared" si="35"/>
        <v>45839</v>
      </c>
      <c r="T727" t="str">
        <f>IFERROR(VLOOKUP(B727,Sites!$A$2:$D$21,4,FALSE()),"Unknown")</f>
        <v>Southampton</v>
      </c>
      <c r="U727" t="str">
        <f>IF(N727="OK","",COUNTIF($N$2:N727,"&lt;&gt;OK"))</f>
        <v/>
      </c>
      <c r="V727">
        <f>IF(OR(NOT(EXACT(E727,TRIM(Procurement_Raw!E727))),NOT(EXACT(F727,TRIM(Procurement_Raw!F727)))),1,0)</f>
        <v>0</v>
      </c>
    </row>
    <row r="728" spans="1:22" ht="15" customHeight="1" x14ac:dyDescent="0.25">
      <c r="A728" s="123">
        <f>Procurement_Raw!A728</f>
        <v>45957</v>
      </c>
      <c r="B728" t="str">
        <f>TRIM(Procurement_Raw!B728)</f>
        <v>S006</v>
      </c>
      <c r="C728" t="str">
        <f>Procurement_Raw!C728</f>
        <v>Birmingham Care &amp; Education Centre</v>
      </c>
      <c r="D728" t="str">
        <f>Procurement_Raw!D728</f>
        <v>Midlands</v>
      </c>
      <c r="E728" t="str">
        <f>IF(TRIM(Procurement_Raw!E728)="","",IFERROR(INDEX(Supplier_Lookup!$A$2:$A$25,MATCH(TRIM(Procurement_Raw!E728),Supplier_Lookup!$A$2:$A$25,0)),TRIM(Procurement_Raw!E728)))</f>
        <v>KitchenPro</v>
      </c>
      <c r="F728" t="str">
        <f>IFERROR(INDEX(Category_Targets!$A$2:$A$9,MATCH(TRIM(Procurement_Raw!F728),Category_Targets!$A$2:$A$9,0)),"Unmapped")</f>
        <v>Food &amp; Catering</v>
      </c>
      <c r="G728" t="str">
        <f>TRIM(Procurement_Raw!G728)</f>
        <v>INV-2025-00727</v>
      </c>
      <c r="H728" s="77">
        <f>Procurement_Raw!H728</f>
        <v>6</v>
      </c>
      <c r="I728" s="124">
        <f>Procurement_Raw!I728</f>
        <v>65.66</v>
      </c>
      <c r="J728" s="125">
        <f>IF(Procurement_Raw!J728="","",Procurement_Raw!J728)</f>
        <v>393.97</v>
      </c>
      <c r="K728" s="77">
        <f>Procurement_Raw!K728</f>
        <v>60</v>
      </c>
      <c r="L728" t="str">
        <f>Procurement_Raw!L728</f>
        <v>ERP</v>
      </c>
      <c r="M728" t="str">
        <f>Procurement_Raw!O728</f>
        <v>N</v>
      </c>
      <c r="N728" t="str">
        <f>IF(E728="","Missing supplier",IF(B728="","Missing site",IF(J728="","Missing spend",IF(COUNTIFS($G$2:G728,G728,$E$2:E728,E728,$J$2:J728,J728)&gt;1,"Duplicate invoice",IF(COUNTIF($G$2:$G$1801,G728)&gt;1,"Duplicate ID - review",IF(AND(P728&lt;&gt;"Unmapped",P728&lt;&gt;F728),"Category mismatch","OK"))))))</f>
        <v>OK</v>
      </c>
      <c r="O728" s="125">
        <f t="shared" si="33"/>
        <v>393.97</v>
      </c>
      <c r="P728" t="str">
        <f>IF(E728="","Unmapped",IFERROR(INDEX(Supplier_Lookup!$B$2:$B$25,MATCH(E728,Supplier_Lookup!$A$2:$A$25,0)),"Unmapped"))</f>
        <v>Food &amp; Catering</v>
      </c>
      <c r="Q728" s="76">
        <f>IFERROR(INDEX(Category_Targets!$B$2:$B$9,MATCH(F728,Category_Targets!$A$2:$A$9,0)),0)</f>
        <v>0.04</v>
      </c>
      <c r="R728" s="125">
        <f t="shared" si="34"/>
        <v>15.758800000000001</v>
      </c>
      <c r="S728" s="78">
        <f t="shared" si="35"/>
        <v>45931</v>
      </c>
      <c r="T728" t="str">
        <f>IFERROR(VLOOKUP(B728,Sites!$A$2:$D$21,4,FALSE()),"Unknown")</f>
        <v>Birmingham</v>
      </c>
      <c r="U728" t="str">
        <f>IF(N728="OK","",COUNTIF($N$2:N728,"&lt;&gt;OK"))</f>
        <v/>
      </c>
      <c r="V728">
        <f>IF(OR(NOT(EXACT(E728,TRIM(Procurement_Raw!E728))),NOT(EXACT(F728,TRIM(Procurement_Raw!F728)))),1,0)</f>
        <v>0</v>
      </c>
    </row>
    <row r="729" spans="1:22" ht="15" customHeight="1" x14ac:dyDescent="0.25">
      <c r="A729" s="123">
        <f>Procurement_Raw!A729</f>
        <v>46009</v>
      </c>
      <c r="B729" t="str">
        <f>TRIM(Procurement_Raw!B729)</f>
        <v>S002</v>
      </c>
      <c r="C729" t="str">
        <f>Procurement_Raw!C729</f>
        <v>Manchester Care &amp; Education Centre</v>
      </c>
      <c r="D729" t="str">
        <f>Procurement_Raw!D729</f>
        <v>North</v>
      </c>
      <c r="E729" t="str">
        <f>IF(TRIM(Procurement_Raw!E729)="","",IFERROR(INDEX(Supplier_Lookup!$A$2:$A$25,MATCH(TRIM(Procurement_Raw!E729),Supplier_Lookup!$A$2:$A$25,0)),TRIM(Procurement_Raw!E729)))</f>
        <v>NourishCo</v>
      </c>
      <c r="F729" t="str">
        <f>IFERROR(INDEX(Category_Targets!$A$2:$A$9,MATCH(TRIM(Procurement_Raw!F729),Category_Targets!$A$2:$A$9,0)),"Unmapped")</f>
        <v>Food &amp; Catering</v>
      </c>
      <c r="G729" t="str">
        <f>TRIM(Procurement_Raw!G729)</f>
        <v>INV-2025-00728</v>
      </c>
      <c r="H729" s="77">
        <f>Procurement_Raw!H729</f>
        <v>39</v>
      </c>
      <c r="I729" s="124">
        <f>Procurement_Raw!I729</f>
        <v>78.69</v>
      </c>
      <c r="J729" s="125">
        <f>IF(Procurement_Raw!J729="","",Procurement_Raw!J729)</f>
        <v>3069.04</v>
      </c>
      <c r="K729" s="77">
        <f>Procurement_Raw!K729</f>
        <v>60</v>
      </c>
      <c r="L729" t="str">
        <f>Procurement_Raw!L729</f>
        <v>ERP</v>
      </c>
      <c r="M729" t="str">
        <f>Procurement_Raw!O729</f>
        <v>N</v>
      </c>
      <c r="N729" t="str">
        <f>IF(E729="","Missing supplier",IF(B729="","Missing site",IF(J729="","Missing spend",IF(COUNTIFS($G$2:G729,G729,$E$2:E729,E729,$J$2:J729,J729)&gt;1,"Duplicate invoice",IF(COUNTIF($G$2:$G$1801,G729)&gt;1,"Duplicate ID - review",IF(AND(P729&lt;&gt;"Unmapped",P729&lt;&gt;F729),"Category mismatch","OK"))))))</f>
        <v>OK</v>
      </c>
      <c r="O729" s="125">
        <f t="shared" si="33"/>
        <v>3069.04</v>
      </c>
      <c r="P729" t="str">
        <f>IF(E729="","Unmapped",IFERROR(INDEX(Supplier_Lookup!$B$2:$B$25,MATCH(E729,Supplier_Lookup!$A$2:$A$25,0)),"Unmapped"))</f>
        <v>Food &amp; Catering</v>
      </c>
      <c r="Q729" s="76">
        <f>IFERROR(INDEX(Category_Targets!$B$2:$B$9,MATCH(F729,Category_Targets!$A$2:$A$9,0)),0)</f>
        <v>0.04</v>
      </c>
      <c r="R729" s="125">
        <f t="shared" si="34"/>
        <v>122.7616</v>
      </c>
      <c r="S729" s="78">
        <f t="shared" si="35"/>
        <v>45992</v>
      </c>
      <c r="T729" t="str">
        <f>IFERROR(VLOOKUP(B729,Sites!$A$2:$D$21,4,FALSE()),"Unknown")</f>
        <v>Manchester</v>
      </c>
      <c r="U729" t="str">
        <f>IF(N729="OK","",COUNTIF($N$2:N729,"&lt;&gt;OK"))</f>
        <v/>
      </c>
      <c r="V729">
        <f>IF(OR(NOT(EXACT(E729,TRIM(Procurement_Raw!E729))),NOT(EXACT(F729,TRIM(Procurement_Raw!F729)))),1,0)</f>
        <v>0</v>
      </c>
    </row>
    <row r="730" spans="1:22" ht="15" customHeight="1" x14ac:dyDescent="0.25">
      <c r="A730" s="123">
        <f>Procurement_Raw!A730</f>
        <v>45860</v>
      </c>
      <c r="B730" t="str">
        <f>TRIM(Procurement_Raw!B730)</f>
        <v>S011</v>
      </c>
      <c r="C730" t="str">
        <f>Procurement_Raw!C730</f>
        <v>London Care &amp; Education Centre</v>
      </c>
      <c r="D730" t="str">
        <f>Procurement_Raw!D730</f>
        <v>South</v>
      </c>
      <c r="E730" t="str">
        <f>IF(TRIM(Procurement_Raw!E730)="","",IFERROR(INDEX(Supplier_Lookup!$A$2:$A$25,MATCH(TRIM(Procurement_Raw!E730),Supplier_Lookup!$A$2:$A$25,0)),TRIM(Procurement_Raw!E730)))</f>
        <v>LearnWell</v>
      </c>
      <c r="F730" t="str">
        <f>IFERROR(INDEX(Category_Targets!$A$2:$A$9,MATCH(TRIM(Procurement_Raw!F730),Category_Targets!$A$2:$A$9,0)),"Unmapped")</f>
        <v>Office &amp; Training</v>
      </c>
      <c r="G730" t="str">
        <f>TRIM(Procurement_Raw!G730)</f>
        <v>INV-2025-00729</v>
      </c>
      <c r="H730" s="77">
        <f>Procurement_Raw!H730</f>
        <v>4</v>
      </c>
      <c r="I730" s="124">
        <f>Procurement_Raw!I730</f>
        <v>55.74</v>
      </c>
      <c r="J730" s="125">
        <f>IF(Procurement_Raw!J730="","",Procurement_Raw!J730)</f>
        <v>222.94</v>
      </c>
      <c r="K730" s="77">
        <f>Procurement_Raw!K730</f>
        <v>45</v>
      </c>
      <c r="L730" t="str">
        <f>Procurement_Raw!L730</f>
        <v>ERP</v>
      </c>
      <c r="M730" t="str">
        <f>Procurement_Raw!O730</f>
        <v>N</v>
      </c>
      <c r="N730" t="str">
        <f>IF(E730="","Missing supplier",IF(B730="","Missing site",IF(J730="","Missing spend",IF(COUNTIFS($G$2:G730,G730,$E$2:E730,E730,$J$2:J730,J730)&gt;1,"Duplicate invoice",IF(COUNTIF($G$2:$G$1801,G730)&gt;1,"Duplicate ID - review",IF(AND(P730&lt;&gt;"Unmapped",P730&lt;&gt;F730),"Category mismatch","OK"))))))</f>
        <v>OK</v>
      </c>
      <c r="O730" s="125">
        <f t="shared" si="33"/>
        <v>222.94</v>
      </c>
      <c r="P730" t="str">
        <f>IF(E730="","Unmapped",IFERROR(INDEX(Supplier_Lookup!$B$2:$B$25,MATCH(E730,Supplier_Lookup!$A$2:$A$25,0)),"Unmapped"))</f>
        <v>Office &amp; Training</v>
      </c>
      <c r="Q730" s="76">
        <f>IFERROR(INDEX(Category_Targets!$B$2:$B$9,MATCH(F730,Category_Targets!$A$2:$A$9,0)),0)</f>
        <v>0.04</v>
      </c>
      <c r="R730" s="125">
        <f t="shared" si="34"/>
        <v>8.9176000000000002</v>
      </c>
      <c r="S730" s="78">
        <f t="shared" si="35"/>
        <v>45839</v>
      </c>
      <c r="T730" t="str">
        <f>IFERROR(VLOOKUP(B730,Sites!$A$2:$D$21,4,FALSE()),"Unknown")</f>
        <v>London</v>
      </c>
      <c r="U730" t="str">
        <f>IF(N730="OK","",COUNTIF($N$2:N730,"&lt;&gt;OK"))</f>
        <v/>
      </c>
      <c r="V730">
        <f>IF(OR(NOT(EXACT(E730,TRIM(Procurement_Raw!E730))),NOT(EXACT(F730,TRIM(Procurement_Raw!F730)))),1,0)</f>
        <v>0</v>
      </c>
    </row>
    <row r="731" spans="1:22" ht="15" customHeight="1" x14ac:dyDescent="0.25">
      <c r="A731" s="123">
        <f>Procurement_Raw!A731</f>
        <v>45858</v>
      </c>
      <c r="B731" t="str">
        <f>TRIM(Procurement_Raw!B731)</f>
        <v>S002</v>
      </c>
      <c r="C731" t="str">
        <f>Procurement_Raw!C731</f>
        <v>Manchester Care &amp; Education Centre</v>
      </c>
      <c r="D731" t="str">
        <f>Procurement_Raw!D731</f>
        <v>North</v>
      </c>
      <c r="E731" t="str">
        <f>IF(TRIM(Procurement_Raw!E731)="","",IFERROR(INDEX(Supplier_Lookup!$A$2:$A$25,MATCH(TRIM(Procurement_Raw!E731),Supplier_Lookup!$A$2:$A$25,0)),TRIM(Procurement_Raw!E731)))</f>
        <v>UK Energy Partners</v>
      </c>
      <c r="F731" t="str">
        <f>IFERROR(INDEX(Category_Targets!$A$2:$A$9,MATCH(TRIM(Procurement_Raw!F731),Category_Targets!$A$2:$A$9,0)),"Unmapped")</f>
        <v>Utilities</v>
      </c>
      <c r="G731" t="str">
        <f>TRIM(Procurement_Raw!G731)</f>
        <v>INV-2025-00730</v>
      </c>
      <c r="H731" s="77">
        <f>Procurement_Raw!H731</f>
        <v>70</v>
      </c>
      <c r="I731" s="124">
        <f>Procurement_Raw!I731</f>
        <v>162.94</v>
      </c>
      <c r="J731" s="125">
        <f>IF(Procurement_Raw!J731="","",Procurement_Raw!J731)</f>
        <v>11405.93</v>
      </c>
      <c r="K731" s="77">
        <f>Procurement_Raw!K731</f>
        <v>45</v>
      </c>
      <c r="L731" t="str">
        <f>Procurement_Raw!L731</f>
        <v>Legacy Spend File</v>
      </c>
      <c r="M731" t="str">
        <f>Procurement_Raw!O731</f>
        <v>N</v>
      </c>
      <c r="N731" t="str">
        <f>IF(E731="","Missing supplier",IF(B731="","Missing site",IF(J731="","Missing spend",IF(COUNTIFS($G$2:G731,G731,$E$2:E731,E731,$J$2:J731,J731)&gt;1,"Duplicate invoice",IF(COUNTIF($G$2:$G$1801,G731)&gt;1,"Duplicate ID - review",IF(AND(P731&lt;&gt;"Unmapped",P731&lt;&gt;F731),"Category mismatch","OK"))))))</f>
        <v>OK</v>
      </c>
      <c r="O731" s="125">
        <f t="shared" si="33"/>
        <v>11405.93</v>
      </c>
      <c r="P731" t="str">
        <f>IF(E731="","Unmapped",IFERROR(INDEX(Supplier_Lookup!$B$2:$B$25,MATCH(E731,Supplier_Lookup!$A$2:$A$25,0)),"Unmapped"))</f>
        <v>Utilities</v>
      </c>
      <c r="Q731" s="76">
        <f>IFERROR(INDEX(Category_Targets!$B$2:$B$9,MATCH(F731,Category_Targets!$A$2:$A$9,0)),0)</f>
        <v>0.03</v>
      </c>
      <c r="R731" s="125">
        <f t="shared" si="34"/>
        <v>342.17790000000002</v>
      </c>
      <c r="S731" s="78">
        <f t="shared" si="35"/>
        <v>45839</v>
      </c>
      <c r="T731" t="str">
        <f>IFERROR(VLOOKUP(B731,Sites!$A$2:$D$21,4,FALSE()),"Unknown")</f>
        <v>Manchester</v>
      </c>
      <c r="U731" t="str">
        <f>IF(N731="OK","",COUNTIF($N$2:N731,"&lt;&gt;OK"))</f>
        <v/>
      </c>
      <c r="V731">
        <f>IF(OR(NOT(EXACT(E731,TRIM(Procurement_Raw!E731))),NOT(EXACT(F731,TRIM(Procurement_Raw!F731)))),1,0)</f>
        <v>0</v>
      </c>
    </row>
    <row r="732" spans="1:22" ht="15" customHeight="1" x14ac:dyDescent="0.25">
      <c r="A732" s="123">
        <f>Procurement_Raw!A732</f>
        <v>45989</v>
      </c>
      <c r="B732" t="str">
        <f>TRIM(Procurement_Raw!B732)</f>
        <v>S011</v>
      </c>
      <c r="C732" t="str">
        <f>Procurement_Raw!C732</f>
        <v>London Care &amp; Education Centre</v>
      </c>
      <c r="D732" t="str">
        <f>Procurement_Raw!D732</f>
        <v>South</v>
      </c>
      <c r="E732" t="str">
        <f>IF(TRIM(Procurement_Raw!E732)="","",IFERROR(INDEX(Supplier_Lookup!$A$2:$A$25,MATCH(TRIM(Procurement_Raw!E732),Supplier_Lookup!$A$2:$A$25,0)),TRIM(Procurement_Raw!E732)))</f>
        <v>NetServe</v>
      </c>
      <c r="F732" t="str">
        <f>IFERROR(INDEX(Category_Targets!$A$2:$A$9,MATCH(TRIM(Procurement_Raw!F732),Category_Targets!$A$2:$A$9,0)),"Unmapped")</f>
        <v>IT &amp; Telecoms</v>
      </c>
      <c r="G732" t="str">
        <f>TRIM(Procurement_Raw!G732)</f>
        <v>INV-2025-00731</v>
      </c>
      <c r="H732" s="77">
        <f>Procurement_Raw!H732</f>
        <v>48</v>
      </c>
      <c r="I732" s="124">
        <f>Procurement_Raw!I732</f>
        <v>245.02</v>
      </c>
      <c r="J732" s="125">
        <f>IF(Procurement_Raw!J732="","",Procurement_Raw!J732)</f>
        <v>11760.99</v>
      </c>
      <c r="K732" s="77">
        <f>Procurement_Raw!K732</f>
        <v>30</v>
      </c>
      <c r="L732" t="str">
        <f>Procurement_Raw!L732</f>
        <v>Legacy Spend File</v>
      </c>
      <c r="M732" t="str">
        <f>Procurement_Raw!O732</f>
        <v>N</v>
      </c>
      <c r="N732" t="str">
        <f>IF(E732="","Missing supplier",IF(B732="","Missing site",IF(J732="","Missing spend",IF(COUNTIFS($G$2:G732,G732,$E$2:E732,E732,$J$2:J732,J732)&gt;1,"Duplicate invoice",IF(COUNTIF($G$2:$G$1801,G732)&gt;1,"Duplicate ID - review",IF(AND(P732&lt;&gt;"Unmapped",P732&lt;&gt;F732),"Category mismatch","OK"))))))</f>
        <v>OK</v>
      </c>
      <c r="O732" s="125">
        <f t="shared" si="33"/>
        <v>11760.99</v>
      </c>
      <c r="P732" t="str">
        <f>IF(E732="","Unmapped",IFERROR(INDEX(Supplier_Lookup!$B$2:$B$25,MATCH(E732,Supplier_Lookup!$A$2:$A$25,0)),"Unmapped"))</f>
        <v>IT &amp; Telecoms</v>
      </c>
      <c r="Q732" s="76">
        <f>IFERROR(INDEX(Category_Targets!$B$2:$B$9,MATCH(F732,Category_Targets!$A$2:$A$9,0)),0)</f>
        <v>0.08</v>
      </c>
      <c r="R732" s="125">
        <f t="shared" si="34"/>
        <v>940.87919999999997</v>
      </c>
      <c r="S732" s="78">
        <f t="shared" si="35"/>
        <v>45962</v>
      </c>
      <c r="T732" t="str">
        <f>IFERROR(VLOOKUP(B732,Sites!$A$2:$D$21,4,FALSE()),"Unknown")</f>
        <v>London</v>
      </c>
      <c r="U732" t="str">
        <f>IF(N732="OK","",COUNTIF($N$2:N732,"&lt;&gt;OK"))</f>
        <v/>
      </c>
      <c r="V732">
        <f>IF(OR(NOT(EXACT(E732,TRIM(Procurement_Raw!E732))),NOT(EXACT(F732,TRIM(Procurement_Raw!F732)))),1,0)</f>
        <v>0</v>
      </c>
    </row>
    <row r="733" spans="1:22" ht="15" customHeight="1" x14ac:dyDescent="0.25">
      <c r="A733" s="123">
        <f>Procurement_Raw!A733</f>
        <v>45679</v>
      </c>
      <c r="B733" t="str">
        <f>TRIM(Procurement_Raw!B733)</f>
        <v>S004</v>
      </c>
      <c r="C733" t="str">
        <f>Procurement_Raw!C733</f>
        <v>Newcastle Care &amp; Education Centre</v>
      </c>
      <c r="D733" t="str">
        <f>Procurement_Raw!D733</f>
        <v>North</v>
      </c>
      <c r="E733" t="str">
        <f>IF(TRIM(Procurement_Raw!E733)="","",IFERROR(INDEX(Supplier_Lookup!$A$2:$A$25,MATCH(TRIM(Procurement_Raw!E733),Supplier_Lookup!$A$2:$A$25,0)),TRIM(Procurement_Raw!E733)))</f>
        <v>CleanWorks</v>
      </c>
      <c r="F733" t="str">
        <f>IFERROR(INDEX(Category_Targets!$A$2:$A$9,MATCH(TRIM(Procurement_Raw!F733),Category_Targets!$A$2:$A$9,0)),"Unmapped")</f>
        <v>Facilities</v>
      </c>
      <c r="G733" t="str">
        <f>TRIM(Procurement_Raw!G733)</f>
        <v>INV-2025-00732</v>
      </c>
      <c r="H733" s="77">
        <f>Procurement_Raw!H733</f>
        <v>1</v>
      </c>
      <c r="I733" s="124">
        <f>Procurement_Raw!I733</f>
        <v>105.09</v>
      </c>
      <c r="J733" s="125">
        <f>IF(Procurement_Raw!J733="","",Procurement_Raw!J733)</f>
        <v>105.09</v>
      </c>
      <c r="K733" s="77">
        <f>Procurement_Raw!K733</f>
        <v>60</v>
      </c>
      <c r="L733" t="str">
        <f>Procurement_Raw!L733</f>
        <v>Legacy Spend File</v>
      </c>
      <c r="M733" t="str">
        <f>Procurement_Raw!O733</f>
        <v>Y</v>
      </c>
      <c r="N733" t="str">
        <f>IF(E733="","Missing supplier",IF(B733="","Missing site",IF(J733="","Missing spend",IF(COUNTIFS($G$2:G733,G733,$E$2:E733,E733,$J$2:J733,J733)&gt;1,"Duplicate invoice",IF(COUNTIF($G$2:$G$1801,G733)&gt;1,"Duplicate ID - review",IF(AND(P733&lt;&gt;"Unmapped",P733&lt;&gt;F733),"Category mismatch","OK"))))))</f>
        <v>OK</v>
      </c>
      <c r="O733" s="125">
        <f t="shared" si="33"/>
        <v>105.09</v>
      </c>
      <c r="P733" t="str">
        <f>IF(E733="","Unmapped",IFERROR(INDEX(Supplier_Lookup!$B$2:$B$25,MATCH(E733,Supplier_Lookup!$A$2:$A$25,0)),"Unmapped"))</f>
        <v>Facilities</v>
      </c>
      <c r="Q733" s="76">
        <f>IFERROR(INDEX(Category_Targets!$B$2:$B$9,MATCH(F733,Category_Targets!$A$2:$A$9,0)),0)</f>
        <v>0.05</v>
      </c>
      <c r="R733" s="125">
        <f t="shared" si="34"/>
        <v>5.2545000000000002</v>
      </c>
      <c r="S733" s="78">
        <f t="shared" si="35"/>
        <v>45658</v>
      </c>
      <c r="T733" t="str">
        <f>IFERROR(VLOOKUP(B733,Sites!$A$2:$D$21,4,FALSE()),"Unknown")</f>
        <v>Newcastle</v>
      </c>
      <c r="U733" t="str">
        <f>IF(N733="OK","",COUNTIF($N$2:N733,"&lt;&gt;OK"))</f>
        <v/>
      </c>
      <c r="V733">
        <f>IF(OR(NOT(EXACT(E733,TRIM(Procurement_Raw!E733))),NOT(EXACT(F733,TRIM(Procurement_Raw!F733)))),1,0)</f>
        <v>0</v>
      </c>
    </row>
    <row r="734" spans="1:22" ht="15" customHeight="1" x14ac:dyDescent="0.25">
      <c r="A734" s="123">
        <f>Procurement_Raw!A734</f>
        <v>45765</v>
      </c>
      <c r="B734" t="str">
        <f>TRIM(Procurement_Raw!B734)</f>
        <v>S018</v>
      </c>
      <c r="C734" t="str">
        <f>Procurement_Raw!C734</f>
        <v>Newport Care &amp; Education Centre</v>
      </c>
      <c r="D734" t="str">
        <f>Procurement_Raw!D734</f>
        <v>Wales</v>
      </c>
      <c r="E734" t="str">
        <f>IF(TRIM(Procurement_Raw!E734)="","",IFERROR(INDEX(Supplier_Lookup!$A$2:$A$25,MATCH(TRIM(Procurement_Raw!E734),Supplier_Lookup!$A$2:$A$25,0)),TRIM(Procurement_Raw!E734)))</f>
        <v>NourishCo</v>
      </c>
      <c r="F734" t="str">
        <f>IFERROR(INDEX(Category_Targets!$A$2:$A$9,MATCH(TRIM(Procurement_Raw!F734),Category_Targets!$A$2:$A$9,0)),"Unmapped")</f>
        <v>Food &amp; Catering</v>
      </c>
      <c r="G734" t="str">
        <f>TRIM(Procurement_Raw!G734)</f>
        <v>INV-2025-00733</v>
      </c>
      <c r="H734" s="77">
        <f>Procurement_Raw!H734</f>
        <v>45</v>
      </c>
      <c r="I734" s="124">
        <f>Procurement_Raw!I734</f>
        <v>81.36</v>
      </c>
      <c r="J734" s="125">
        <f>IF(Procurement_Raw!J734="","",Procurement_Raw!J734)</f>
        <v>3661.36</v>
      </c>
      <c r="K734" s="77">
        <f>Procurement_Raw!K734</f>
        <v>30</v>
      </c>
      <c r="L734" t="str">
        <f>Procurement_Raw!L734</f>
        <v>Procurement Portal</v>
      </c>
      <c r="M734" t="str">
        <f>Procurement_Raw!O734</f>
        <v>N</v>
      </c>
      <c r="N734" t="str">
        <f>IF(E734="","Missing supplier",IF(B734="","Missing site",IF(J734="","Missing spend",IF(COUNTIFS($G$2:G734,G734,$E$2:E734,E734,$J$2:J734,J734)&gt;1,"Duplicate invoice",IF(COUNTIF($G$2:$G$1801,G734)&gt;1,"Duplicate ID - review",IF(AND(P734&lt;&gt;"Unmapped",P734&lt;&gt;F734),"Category mismatch","OK"))))))</f>
        <v>OK</v>
      </c>
      <c r="O734" s="125">
        <f t="shared" si="33"/>
        <v>3661.36</v>
      </c>
      <c r="P734" t="str">
        <f>IF(E734="","Unmapped",IFERROR(INDEX(Supplier_Lookup!$B$2:$B$25,MATCH(E734,Supplier_Lookup!$A$2:$A$25,0)),"Unmapped"))</f>
        <v>Food &amp; Catering</v>
      </c>
      <c r="Q734" s="76">
        <f>IFERROR(INDEX(Category_Targets!$B$2:$B$9,MATCH(F734,Category_Targets!$A$2:$A$9,0)),0)</f>
        <v>0.04</v>
      </c>
      <c r="R734" s="125">
        <f t="shared" si="34"/>
        <v>146.45440000000002</v>
      </c>
      <c r="S734" s="78">
        <f t="shared" si="35"/>
        <v>45748</v>
      </c>
      <c r="T734" t="str">
        <f>IFERROR(VLOOKUP(B734,Sites!$A$2:$D$21,4,FALSE()),"Unknown")</f>
        <v>Newport</v>
      </c>
      <c r="U734" t="str">
        <f>IF(N734="OK","",COUNTIF($N$2:N734,"&lt;&gt;OK"))</f>
        <v/>
      </c>
      <c r="V734">
        <f>IF(OR(NOT(EXACT(E734,TRIM(Procurement_Raw!E734))),NOT(EXACT(F734,TRIM(Procurement_Raw!F734)))),1,0)</f>
        <v>0</v>
      </c>
    </row>
    <row r="735" spans="1:22" ht="15" customHeight="1" x14ac:dyDescent="0.25">
      <c r="A735" s="123">
        <f>Procurement_Raw!A735</f>
        <v>45752</v>
      </c>
      <c r="B735" t="str">
        <f>TRIM(Procurement_Raw!B735)</f>
        <v>S016</v>
      </c>
      <c r="C735" t="str">
        <f>Procurement_Raw!C735</f>
        <v>Cardiff Care &amp; Education Centre</v>
      </c>
      <c r="D735" t="str">
        <f>Procurement_Raw!D735</f>
        <v>Wales</v>
      </c>
      <c r="E735" t="str">
        <f>IF(TRIM(Procurement_Raw!E735)="","",IFERROR(INDEX(Supplier_Lookup!$A$2:$A$25,MATCH(TRIM(Procurement_Raw!E735),Supplier_Lookup!$A$2:$A$25,0)),TRIM(Procurement_Raw!E735)))</f>
        <v>CleanWorks</v>
      </c>
      <c r="F735" t="str">
        <f>IFERROR(INDEX(Category_Targets!$A$2:$A$9,MATCH(TRIM(Procurement_Raw!F735),Category_Targets!$A$2:$A$9,0)),"Unmapped")</f>
        <v>Facilities</v>
      </c>
      <c r="G735" t="str">
        <f>TRIM(Procurement_Raw!G735)</f>
        <v>INV-2025-00734</v>
      </c>
      <c r="H735" s="77">
        <f>Procurement_Raw!H735</f>
        <v>29</v>
      </c>
      <c r="I735" s="124">
        <f>Procurement_Raw!I735</f>
        <v>70.569999999999993</v>
      </c>
      <c r="J735" s="125">
        <f>IF(Procurement_Raw!J735="","",Procurement_Raw!J735)</f>
        <v>2046.39</v>
      </c>
      <c r="K735" s="77">
        <f>Procurement_Raw!K735</f>
        <v>60</v>
      </c>
      <c r="L735" t="str">
        <f>Procurement_Raw!L735</f>
        <v>Procurement Portal</v>
      </c>
      <c r="M735" t="str">
        <f>Procurement_Raw!O735</f>
        <v>Y</v>
      </c>
      <c r="N735" t="str">
        <f>IF(E735="","Missing supplier",IF(B735="","Missing site",IF(J735="","Missing spend",IF(COUNTIFS($G$2:G735,G735,$E$2:E735,E735,$J$2:J735,J735)&gt;1,"Duplicate invoice",IF(COUNTIF($G$2:$G$1801,G735)&gt;1,"Duplicate ID - review",IF(AND(P735&lt;&gt;"Unmapped",P735&lt;&gt;F735),"Category mismatch","OK"))))))</f>
        <v>OK</v>
      </c>
      <c r="O735" s="125">
        <f t="shared" si="33"/>
        <v>2046.39</v>
      </c>
      <c r="P735" t="str">
        <f>IF(E735="","Unmapped",IFERROR(INDEX(Supplier_Lookup!$B$2:$B$25,MATCH(E735,Supplier_Lookup!$A$2:$A$25,0)),"Unmapped"))</f>
        <v>Facilities</v>
      </c>
      <c r="Q735" s="76">
        <f>IFERROR(INDEX(Category_Targets!$B$2:$B$9,MATCH(F735,Category_Targets!$A$2:$A$9,0)),0)</f>
        <v>0.05</v>
      </c>
      <c r="R735" s="125">
        <f t="shared" si="34"/>
        <v>102.31950000000001</v>
      </c>
      <c r="S735" s="78">
        <f t="shared" si="35"/>
        <v>45748</v>
      </c>
      <c r="T735" t="str">
        <f>IFERROR(VLOOKUP(B735,Sites!$A$2:$D$21,4,FALSE()),"Unknown")</f>
        <v>Cardiff</v>
      </c>
      <c r="U735" t="str">
        <f>IF(N735="OK","",COUNTIF($N$2:N735,"&lt;&gt;OK"))</f>
        <v/>
      </c>
      <c r="V735">
        <f>IF(OR(NOT(EXACT(E735,TRIM(Procurement_Raw!E735))),NOT(EXACT(F735,TRIM(Procurement_Raw!F735)))),1,0)</f>
        <v>0</v>
      </c>
    </row>
    <row r="736" spans="1:22" ht="15" customHeight="1" x14ac:dyDescent="0.25">
      <c r="A736" s="123">
        <f>Procurement_Raw!A736</f>
        <v>46001</v>
      </c>
      <c r="B736" t="str">
        <f>TRIM(Procurement_Raw!B736)</f>
        <v>S007</v>
      </c>
      <c r="C736" t="str">
        <f>Procurement_Raw!C736</f>
        <v>Nottingham Care &amp; Education Centre</v>
      </c>
      <c r="D736" t="str">
        <f>Procurement_Raw!D736</f>
        <v>Midlands</v>
      </c>
      <c r="E736" t="str">
        <f>IF(TRIM(Procurement_Raw!E736)="","",IFERROR(INDEX(Supplier_Lookup!$A$2:$A$25,MATCH(TRIM(Procurement_Raw!E736),Supplier_Lookup!$A$2:$A$25,0)),TRIM(Procurement_Raw!E736)))</f>
        <v>FreshServe</v>
      </c>
      <c r="F736" t="str">
        <f>IFERROR(INDEX(Category_Targets!$A$2:$A$9,MATCH(TRIM(Procurement_Raw!F736),Category_Targets!$A$2:$A$9,0)),"Unmapped")</f>
        <v>Food &amp; Catering</v>
      </c>
      <c r="G736" t="str">
        <f>TRIM(Procurement_Raw!G736)</f>
        <v>INV-2025-00735</v>
      </c>
      <c r="H736" s="77">
        <f>Procurement_Raw!H736</f>
        <v>73</v>
      </c>
      <c r="I736" s="124">
        <f>Procurement_Raw!I736</f>
        <v>114.48</v>
      </c>
      <c r="J736" s="125">
        <f>IF(Procurement_Raw!J736="","",Procurement_Raw!J736)</f>
        <v>8357.23</v>
      </c>
      <c r="K736" s="77">
        <f>Procurement_Raw!K736</f>
        <v>30</v>
      </c>
      <c r="L736" t="str">
        <f>Procurement_Raw!L736</f>
        <v>Legacy Spend File</v>
      </c>
      <c r="M736" t="str">
        <f>Procurement_Raw!O736</f>
        <v>Y</v>
      </c>
      <c r="N736" t="str">
        <f>IF(E736="","Missing supplier",IF(B736="","Missing site",IF(J736="","Missing spend",IF(COUNTIFS($G$2:G736,G736,$E$2:E736,E736,$J$2:J736,J736)&gt;1,"Duplicate invoice",IF(COUNTIF($G$2:$G$1801,G736)&gt;1,"Duplicate ID - review",IF(AND(P736&lt;&gt;"Unmapped",P736&lt;&gt;F736),"Category mismatch","OK"))))))</f>
        <v>OK</v>
      </c>
      <c r="O736" s="125">
        <f t="shared" si="33"/>
        <v>8357.23</v>
      </c>
      <c r="P736" t="str">
        <f>IF(E736="","Unmapped",IFERROR(INDEX(Supplier_Lookup!$B$2:$B$25,MATCH(E736,Supplier_Lookup!$A$2:$A$25,0)),"Unmapped"))</f>
        <v>Food &amp; Catering</v>
      </c>
      <c r="Q736" s="76">
        <f>IFERROR(INDEX(Category_Targets!$B$2:$B$9,MATCH(F736,Category_Targets!$A$2:$A$9,0)),0)</f>
        <v>0.04</v>
      </c>
      <c r="R736" s="125">
        <f t="shared" si="34"/>
        <v>334.28919999999999</v>
      </c>
      <c r="S736" s="78">
        <f t="shared" si="35"/>
        <v>45992</v>
      </c>
      <c r="T736" t="str">
        <f>IFERROR(VLOOKUP(B736,Sites!$A$2:$D$21,4,FALSE()),"Unknown")</f>
        <v>Nottingham</v>
      </c>
      <c r="U736" t="str">
        <f>IF(N736="OK","",COUNTIF($N$2:N736,"&lt;&gt;OK"))</f>
        <v/>
      </c>
      <c r="V736">
        <f>IF(OR(NOT(EXACT(E736,TRIM(Procurement_Raw!E736))),NOT(EXACT(F736,TRIM(Procurement_Raw!F736)))),1,0)</f>
        <v>0</v>
      </c>
    </row>
    <row r="737" spans="1:22" ht="15" customHeight="1" x14ac:dyDescent="0.25">
      <c r="A737" s="123">
        <f>Procurement_Raw!A737</f>
        <v>46001</v>
      </c>
      <c r="B737" t="str">
        <f>TRIM(Procurement_Raw!B737)</f>
        <v>S014</v>
      </c>
      <c r="C737" t="str">
        <f>Procurement_Raw!C737</f>
        <v>Southampton Care &amp; Education Centre</v>
      </c>
      <c r="D737" t="str">
        <f>Procurement_Raw!D737</f>
        <v>South</v>
      </c>
      <c r="E737" t="str">
        <f>IF(TRIM(Procurement_Raw!E737)="","",IFERROR(INDEX(Supplier_Lookup!$A$2:$A$25,MATCH(TRIM(Procurement_Raw!E737),Supplier_Lookup!$A$2:$A$25,0)),TRIM(Procurement_Raw!E737)))</f>
        <v>NourishCo</v>
      </c>
      <c r="F737" t="str">
        <f>IFERROR(INDEX(Category_Targets!$A$2:$A$9,MATCH(TRIM(Procurement_Raw!F737),Category_Targets!$A$2:$A$9,0)),"Unmapped")</f>
        <v>Food &amp; Catering</v>
      </c>
      <c r="G737" t="str">
        <f>TRIM(Procurement_Raw!G737)</f>
        <v>INV-2025-00736</v>
      </c>
      <c r="H737" s="77">
        <f>Procurement_Raw!H737</f>
        <v>9</v>
      </c>
      <c r="I737" s="124">
        <f>Procurement_Raw!I737</f>
        <v>84.29</v>
      </c>
      <c r="J737" s="125">
        <f>IF(Procurement_Raw!J737="","",Procurement_Raw!J737)</f>
        <v>758.65</v>
      </c>
      <c r="K737" s="77">
        <f>Procurement_Raw!K737</f>
        <v>45</v>
      </c>
      <c r="L737" t="str">
        <f>Procurement_Raw!L737</f>
        <v>ERP</v>
      </c>
      <c r="M737" t="str">
        <f>Procurement_Raw!O737</f>
        <v>N</v>
      </c>
      <c r="N737" t="str">
        <f>IF(E737="","Missing supplier",IF(B737="","Missing site",IF(J737="","Missing spend",IF(COUNTIFS($G$2:G737,G737,$E$2:E737,E737,$J$2:J737,J737)&gt;1,"Duplicate invoice",IF(COUNTIF($G$2:$G$1801,G737)&gt;1,"Duplicate ID - review",IF(AND(P737&lt;&gt;"Unmapped",P737&lt;&gt;F737),"Category mismatch","OK"))))))</f>
        <v>OK</v>
      </c>
      <c r="O737" s="125">
        <f t="shared" si="33"/>
        <v>758.65</v>
      </c>
      <c r="P737" t="str">
        <f>IF(E737="","Unmapped",IFERROR(INDEX(Supplier_Lookup!$B$2:$B$25,MATCH(E737,Supplier_Lookup!$A$2:$A$25,0)),"Unmapped"))</f>
        <v>Food &amp; Catering</v>
      </c>
      <c r="Q737" s="76">
        <f>IFERROR(INDEX(Category_Targets!$B$2:$B$9,MATCH(F737,Category_Targets!$A$2:$A$9,0)),0)</f>
        <v>0.04</v>
      </c>
      <c r="R737" s="125">
        <f t="shared" si="34"/>
        <v>30.346</v>
      </c>
      <c r="S737" s="78">
        <f t="shared" si="35"/>
        <v>45992</v>
      </c>
      <c r="T737" t="str">
        <f>IFERROR(VLOOKUP(B737,Sites!$A$2:$D$21,4,FALSE()),"Unknown")</f>
        <v>Southampton</v>
      </c>
      <c r="U737" t="str">
        <f>IF(N737="OK","",COUNTIF($N$2:N737,"&lt;&gt;OK"))</f>
        <v/>
      </c>
      <c r="V737">
        <f>IF(OR(NOT(EXACT(E737,TRIM(Procurement_Raw!E737))),NOT(EXACT(F737,TRIM(Procurement_Raw!F737)))),1,0)</f>
        <v>0</v>
      </c>
    </row>
    <row r="738" spans="1:22" ht="15" customHeight="1" x14ac:dyDescent="0.25">
      <c r="A738" s="123">
        <f>Procurement_Raw!A738</f>
        <v>45840</v>
      </c>
      <c r="B738" t="str">
        <f>TRIM(Procurement_Raw!B738)</f>
        <v>S006</v>
      </c>
      <c r="C738" t="str">
        <f>Procurement_Raw!C738</f>
        <v>Birmingham Care &amp; Education Centre</v>
      </c>
      <c r="D738" t="str">
        <f>Procurement_Raw!D738</f>
        <v>Midlands</v>
      </c>
      <c r="E738" t="str">
        <f>IF(TRIM(Procurement_Raw!E738)="","",IFERROR(INDEX(Supplier_Lookup!$A$2:$A$25,MATCH(TRIM(Procurement_Raw!E738),Supplier_Lookup!$A$2:$A$25,0)),TRIM(Procurement_Raw!E738)))</f>
        <v>LearnWell</v>
      </c>
      <c r="F738" t="str">
        <f>IFERROR(INDEX(Category_Targets!$A$2:$A$9,MATCH(TRIM(Procurement_Raw!F738),Category_Targets!$A$2:$A$9,0)),"Unmapped")</f>
        <v>Office &amp; Training</v>
      </c>
      <c r="G738" t="str">
        <f>TRIM(Procurement_Raw!G738)</f>
        <v>INV-2025-00737</v>
      </c>
      <c r="H738" s="77">
        <f>Procurement_Raw!H738</f>
        <v>17</v>
      </c>
      <c r="I738" s="124">
        <f>Procurement_Raw!I738</f>
        <v>86.34</v>
      </c>
      <c r="J738" s="125">
        <f>IF(Procurement_Raw!J738="","",Procurement_Raw!J738)</f>
        <v>1467.8</v>
      </c>
      <c r="K738" s="77">
        <f>Procurement_Raw!K738</f>
        <v>60</v>
      </c>
      <c r="L738" t="str">
        <f>Procurement_Raw!L738</f>
        <v>Legacy Spend File</v>
      </c>
      <c r="M738" t="str">
        <f>Procurement_Raw!O738</f>
        <v>N</v>
      </c>
      <c r="N738" t="str">
        <f>IF(E738="","Missing supplier",IF(B738="","Missing site",IF(J738="","Missing spend",IF(COUNTIFS($G$2:G738,G738,$E$2:E738,E738,$J$2:J738,J738)&gt;1,"Duplicate invoice",IF(COUNTIF($G$2:$G$1801,G738)&gt;1,"Duplicate ID - review",IF(AND(P738&lt;&gt;"Unmapped",P738&lt;&gt;F738),"Category mismatch","OK"))))))</f>
        <v>OK</v>
      </c>
      <c r="O738" s="125">
        <f t="shared" si="33"/>
        <v>1467.8</v>
      </c>
      <c r="P738" t="str">
        <f>IF(E738="","Unmapped",IFERROR(INDEX(Supplier_Lookup!$B$2:$B$25,MATCH(E738,Supplier_Lookup!$A$2:$A$25,0)),"Unmapped"))</f>
        <v>Office &amp; Training</v>
      </c>
      <c r="Q738" s="76">
        <f>IFERROR(INDEX(Category_Targets!$B$2:$B$9,MATCH(F738,Category_Targets!$A$2:$A$9,0)),0)</f>
        <v>0.04</v>
      </c>
      <c r="R738" s="125">
        <f t="shared" si="34"/>
        <v>58.711999999999996</v>
      </c>
      <c r="S738" s="78">
        <f t="shared" si="35"/>
        <v>45839</v>
      </c>
      <c r="T738" t="str">
        <f>IFERROR(VLOOKUP(B738,Sites!$A$2:$D$21,4,FALSE()),"Unknown")</f>
        <v>Birmingham</v>
      </c>
      <c r="U738" t="str">
        <f>IF(N738="OK","",COUNTIF($N$2:N738,"&lt;&gt;OK"))</f>
        <v/>
      </c>
      <c r="V738">
        <f>IF(OR(NOT(EXACT(E738,TRIM(Procurement_Raw!E738))),NOT(EXACT(F738,TRIM(Procurement_Raw!F738)))),1,0)</f>
        <v>0</v>
      </c>
    </row>
    <row r="739" spans="1:22" ht="15" customHeight="1" x14ac:dyDescent="0.25">
      <c r="A739" s="123">
        <f>Procurement_Raw!A739</f>
        <v>45975</v>
      </c>
      <c r="B739" t="str">
        <f>TRIM(Procurement_Raw!B739)</f>
        <v>S013</v>
      </c>
      <c r="C739" t="str">
        <f>Procurement_Raw!C739</f>
        <v>Reading Care &amp; Education Centre</v>
      </c>
      <c r="D739" t="str">
        <f>Procurement_Raw!D739</f>
        <v>South</v>
      </c>
      <c r="E739" t="str">
        <f>IF(TRIM(Procurement_Raw!E739)="","",IFERROR(INDEX(Supplier_Lookup!$A$2:$A$25,MATCH(TRIM(Procurement_Raw!E739),Supplier_Lookup!$A$2:$A$25,0)),TRIM(Procurement_Raw!E739)))</f>
        <v>NourishCo</v>
      </c>
      <c r="F739" t="str">
        <f>IFERROR(INDEX(Category_Targets!$A$2:$A$9,MATCH(TRIM(Procurement_Raw!F739),Category_Targets!$A$2:$A$9,0)),"Unmapped")</f>
        <v>Food &amp; Catering</v>
      </c>
      <c r="G739" t="str">
        <f>TRIM(Procurement_Raw!G739)</f>
        <v>INV-2025-00738</v>
      </c>
      <c r="H739" s="77">
        <f>Procurement_Raw!H739</f>
        <v>9</v>
      </c>
      <c r="I739" s="124">
        <f>Procurement_Raw!I739</f>
        <v>111.59</v>
      </c>
      <c r="J739" s="125">
        <f>IF(Procurement_Raw!J739="","",Procurement_Raw!J739)</f>
        <v>1004.35</v>
      </c>
      <c r="K739" s="77">
        <f>Procurement_Raw!K739</f>
        <v>30</v>
      </c>
      <c r="L739" t="str">
        <f>Procurement_Raw!L739</f>
        <v>Procurement Portal</v>
      </c>
      <c r="M739" t="str">
        <f>Procurement_Raw!O739</f>
        <v>N</v>
      </c>
      <c r="N739" t="str">
        <f>IF(E739="","Missing supplier",IF(B739="","Missing site",IF(J739="","Missing spend",IF(COUNTIFS($G$2:G739,G739,$E$2:E739,E739,$J$2:J739,J739)&gt;1,"Duplicate invoice",IF(COUNTIF($G$2:$G$1801,G739)&gt;1,"Duplicate ID - review",IF(AND(P739&lt;&gt;"Unmapped",P739&lt;&gt;F739),"Category mismatch","OK"))))))</f>
        <v>OK</v>
      </c>
      <c r="O739" s="125">
        <f t="shared" si="33"/>
        <v>1004.35</v>
      </c>
      <c r="P739" t="str">
        <f>IF(E739="","Unmapped",IFERROR(INDEX(Supplier_Lookup!$B$2:$B$25,MATCH(E739,Supplier_Lookup!$A$2:$A$25,0)),"Unmapped"))</f>
        <v>Food &amp; Catering</v>
      </c>
      <c r="Q739" s="76">
        <f>IFERROR(INDEX(Category_Targets!$B$2:$B$9,MATCH(F739,Category_Targets!$A$2:$A$9,0)),0)</f>
        <v>0.04</v>
      </c>
      <c r="R739" s="125">
        <f t="shared" si="34"/>
        <v>40.173999999999999</v>
      </c>
      <c r="S739" s="78">
        <f t="shared" si="35"/>
        <v>45962</v>
      </c>
      <c r="T739" t="str">
        <f>IFERROR(VLOOKUP(B739,Sites!$A$2:$D$21,4,FALSE()),"Unknown")</f>
        <v>Reading</v>
      </c>
      <c r="U739" t="str">
        <f>IF(N739="OK","",COUNTIF($N$2:N739,"&lt;&gt;OK"))</f>
        <v/>
      </c>
      <c r="V739">
        <f>IF(OR(NOT(EXACT(E739,TRIM(Procurement_Raw!E739))),NOT(EXACT(F739,TRIM(Procurement_Raw!F739)))),1,0)</f>
        <v>0</v>
      </c>
    </row>
    <row r="740" spans="1:22" ht="15" customHeight="1" x14ac:dyDescent="0.25">
      <c r="A740" s="123">
        <f>Procurement_Raw!A740</f>
        <v>45973</v>
      </c>
      <c r="B740" t="str">
        <f>TRIM(Procurement_Raw!B740)</f>
        <v>S005</v>
      </c>
      <c r="C740" t="str">
        <f>Procurement_Raw!C740</f>
        <v>Sheffield Care &amp; Education Centre</v>
      </c>
      <c r="D740" t="str">
        <f>Procurement_Raw!D740</f>
        <v>North</v>
      </c>
      <c r="E740" t="str">
        <f>IF(TRIM(Procurement_Raw!E740)="","",IFERROR(INDEX(Supplier_Lookup!$A$2:$A$25,MATCH(TRIM(Procurement_Raw!E740),Supplier_Lookup!$A$2:$A$25,0)),TRIM(Procurement_Raw!E740)))</f>
        <v>LearnWell</v>
      </c>
      <c r="F740" t="str">
        <f>IFERROR(INDEX(Category_Targets!$A$2:$A$9,MATCH(TRIM(Procurement_Raw!F740),Category_Targets!$A$2:$A$9,0)),"Unmapped")</f>
        <v>Office &amp; Training</v>
      </c>
      <c r="G740" t="str">
        <f>TRIM(Procurement_Raw!G740)</f>
        <v>INV-2025-00739</v>
      </c>
      <c r="H740" s="77">
        <f>Procurement_Raw!H740</f>
        <v>40</v>
      </c>
      <c r="I740" s="124">
        <f>Procurement_Raw!I740</f>
        <v>187.45</v>
      </c>
      <c r="J740" s="125">
        <f>IF(Procurement_Raw!J740="","",Procurement_Raw!J740)</f>
        <v>7497.9</v>
      </c>
      <c r="K740" s="77">
        <f>Procurement_Raw!K740</f>
        <v>60</v>
      </c>
      <c r="L740" t="str">
        <f>Procurement_Raw!L740</f>
        <v>Legacy Spend File</v>
      </c>
      <c r="M740" t="str">
        <f>Procurement_Raw!O740</f>
        <v>N</v>
      </c>
      <c r="N740" t="str">
        <f>IF(E740="","Missing supplier",IF(B740="","Missing site",IF(J740="","Missing spend",IF(COUNTIFS($G$2:G740,G740,$E$2:E740,E740,$J$2:J740,J740)&gt;1,"Duplicate invoice",IF(COUNTIF($G$2:$G$1801,G740)&gt;1,"Duplicate ID - review",IF(AND(P740&lt;&gt;"Unmapped",P740&lt;&gt;F740),"Category mismatch","OK"))))))</f>
        <v>OK</v>
      </c>
      <c r="O740" s="125">
        <f t="shared" si="33"/>
        <v>7497.9</v>
      </c>
      <c r="P740" t="str">
        <f>IF(E740="","Unmapped",IFERROR(INDEX(Supplier_Lookup!$B$2:$B$25,MATCH(E740,Supplier_Lookup!$A$2:$A$25,0)),"Unmapped"))</f>
        <v>Office &amp; Training</v>
      </c>
      <c r="Q740" s="76">
        <f>IFERROR(INDEX(Category_Targets!$B$2:$B$9,MATCH(F740,Category_Targets!$A$2:$A$9,0)),0)</f>
        <v>0.04</v>
      </c>
      <c r="R740" s="125">
        <f t="shared" si="34"/>
        <v>299.916</v>
      </c>
      <c r="S740" s="78">
        <f t="shared" si="35"/>
        <v>45962</v>
      </c>
      <c r="T740" t="str">
        <f>IFERROR(VLOOKUP(B740,Sites!$A$2:$D$21,4,FALSE()),"Unknown")</f>
        <v>Sheffield</v>
      </c>
      <c r="U740" t="str">
        <f>IF(N740="OK","",COUNTIF($N$2:N740,"&lt;&gt;OK"))</f>
        <v/>
      </c>
      <c r="V740">
        <f>IF(OR(NOT(EXACT(E740,TRIM(Procurement_Raw!E740))),NOT(EXACT(F740,TRIM(Procurement_Raw!F740)))),1,0)</f>
        <v>0</v>
      </c>
    </row>
    <row r="741" spans="1:22" ht="15" customHeight="1" x14ac:dyDescent="0.25">
      <c r="A741" s="123">
        <f>Procurement_Raw!A741</f>
        <v>45877</v>
      </c>
      <c r="B741" t="str">
        <f>TRIM(Procurement_Raw!B741)</f>
        <v>S006</v>
      </c>
      <c r="C741" t="str">
        <f>Procurement_Raw!C741</f>
        <v>Birmingham Care &amp; Education Centre</v>
      </c>
      <c r="D741" t="str">
        <f>Procurement_Raw!D741</f>
        <v>Midlands</v>
      </c>
      <c r="E741" t="str">
        <f>IF(TRIM(Procurement_Raw!E741)="","",IFERROR(INDEX(Supplier_Lookup!$A$2:$A$25,MATCH(TRIM(Procurement_Raw!E741),Supplier_Lookup!$A$2:$A$25,0)),TRIM(Procurement_Raw!E741)))</f>
        <v>RoadReady</v>
      </c>
      <c r="F741" t="str">
        <f>IFERROR(INDEX(Category_Targets!$A$2:$A$9,MATCH(TRIM(Procurement_Raw!F741),Category_Targets!$A$2:$A$9,0)),"Unmapped")</f>
        <v>Vehicle &amp; Fuel</v>
      </c>
      <c r="G741" t="str">
        <f>TRIM(Procurement_Raw!G741)</f>
        <v>INV-2025-00740</v>
      </c>
      <c r="H741" s="77">
        <f>Procurement_Raw!H741</f>
        <v>22</v>
      </c>
      <c r="I741" s="124">
        <f>Procurement_Raw!I741</f>
        <v>165.97</v>
      </c>
      <c r="J741" s="125">
        <f>IF(Procurement_Raw!J741="","",Procurement_Raw!J741)</f>
        <v>3651.24</v>
      </c>
      <c r="K741" s="77">
        <f>Procurement_Raw!K741</f>
        <v>30</v>
      </c>
      <c r="L741" t="str">
        <f>Procurement_Raw!L741</f>
        <v>Procurement Portal</v>
      </c>
      <c r="M741" t="str">
        <f>Procurement_Raw!O741</f>
        <v>N</v>
      </c>
      <c r="N741" t="str">
        <f>IF(E741="","Missing supplier",IF(B741="","Missing site",IF(J741="","Missing spend",IF(COUNTIFS($G$2:G741,G741,$E$2:E741,E741,$J$2:J741,J741)&gt;1,"Duplicate invoice",IF(COUNTIF($G$2:$G$1801,G741)&gt;1,"Duplicate ID - review",IF(AND(P741&lt;&gt;"Unmapped",P741&lt;&gt;F741),"Category mismatch","OK"))))))</f>
        <v>OK</v>
      </c>
      <c r="O741" s="125">
        <f t="shared" si="33"/>
        <v>3651.24</v>
      </c>
      <c r="P741" t="str">
        <f>IF(E741="","Unmapped",IFERROR(INDEX(Supplier_Lookup!$B$2:$B$25,MATCH(E741,Supplier_Lookup!$A$2:$A$25,0)),"Unmapped"))</f>
        <v>Vehicle &amp; Fuel</v>
      </c>
      <c r="Q741" s="76">
        <f>IFERROR(INDEX(Category_Targets!$B$2:$B$9,MATCH(F741,Category_Targets!$A$2:$A$9,0)),0)</f>
        <v>0.05</v>
      </c>
      <c r="R741" s="125">
        <f t="shared" si="34"/>
        <v>182.56200000000001</v>
      </c>
      <c r="S741" s="78">
        <f t="shared" si="35"/>
        <v>45870</v>
      </c>
      <c r="T741" t="str">
        <f>IFERROR(VLOOKUP(B741,Sites!$A$2:$D$21,4,FALSE()),"Unknown")</f>
        <v>Birmingham</v>
      </c>
      <c r="U741" t="str">
        <f>IF(N741="OK","",COUNTIF($N$2:N741,"&lt;&gt;OK"))</f>
        <v/>
      </c>
      <c r="V741">
        <f>IF(OR(NOT(EXACT(E741,TRIM(Procurement_Raw!E741))),NOT(EXACT(F741,TRIM(Procurement_Raw!F741)))),1,0)</f>
        <v>0</v>
      </c>
    </row>
    <row r="742" spans="1:22" ht="15" customHeight="1" x14ac:dyDescent="0.25">
      <c r="A742" s="123">
        <f>Procurement_Raw!A742</f>
        <v>45986</v>
      </c>
      <c r="B742" t="str">
        <f>TRIM(Procurement_Raw!B742)</f>
        <v>S016</v>
      </c>
      <c r="C742" t="str">
        <f>Procurement_Raw!C742</f>
        <v>Cardiff Care &amp; Education Centre</v>
      </c>
      <c r="D742" t="str">
        <f>Procurement_Raw!D742</f>
        <v>Wales</v>
      </c>
      <c r="E742" t="str">
        <f>IF(TRIM(Procurement_Raw!E742)="","",IFERROR(INDEX(Supplier_Lookup!$A$2:$A$25,MATCH(TRIM(Procurement_Raw!E742),Supplier_Lookup!$A$2:$A$25,0)),TRIM(Procurement_Raw!E742)))</f>
        <v>PowerDirect</v>
      </c>
      <c r="F742" t="str">
        <f>IFERROR(INDEX(Category_Targets!$A$2:$A$9,MATCH(TRIM(Procurement_Raw!F742),Category_Targets!$A$2:$A$9,0)),"Unmapped")</f>
        <v>Utilities</v>
      </c>
      <c r="G742" t="str">
        <f>TRIM(Procurement_Raw!G742)</f>
        <v>INV-2025-00741</v>
      </c>
      <c r="H742" s="77">
        <f>Procurement_Raw!H742</f>
        <v>56</v>
      </c>
      <c r="I742" s="124">
        <f>Procurement_Raw!I742</f>
        <v>90.83</v>
      </c>
      <c r="J742" s="125">
        <f>IF(Procurement_Raw!J742="","",Procurement_Raw!J742)</f>
        <v>5086.43</v>
      </c>
      <c r="K742" s="77">
        <f>Procurement_Raw!K742</f>
        <v>45</v>
      </c>
      <c r="L742" t="str">
        <f>Procurement_Raw!L742</f>
        <v>Procurement Portal</v>
      </c>
      <c r="M742" t="str">
        <f>Procurement_Raw!O742</f>
        <v>N</v>
      </c>
      <c r="N742" t="str">
        <f>IF(E742="","Missing supplier",IF(B742="","Missing site",IF(J742="","Missing spend",IF(COUNTIFS($G$2:G742,G742,$E$2:E742,E742,$J$2:J742,J742)&gt;1,"Duplicate invoice",IF(COUNTIF($G$2:$G$1801,G742)&gt;1,"Duplicate ID - review",IF(AND(P742&lt;&gt;"Unmapped",P742&lt;&gt;F742),"Category mismatch","OK"))))))</f>
        <v>OK</v>
      </c>
      <c r="O742" s="125">
        <f t="shared" si="33"/>
        <v>5086.43</v>
      </c>
      <c r="P742" t="str">
        <f>IF(E742="","Unmapped",IFERROR(INDEX(Supplier_Lookup!$B$2:$B$25,MATCH(E742,Supplier_Lookup!$A$2:$A$25,0)),"Unmapped"))</f>
        <v>Utilities</v>
      </c>
      <c r="Q742" s="76">
        <f>IFERROR(INDEX(Category_Targets!$B$2:$B$9,MATCH(F742,Category_Targets!$A$2:$A$9,0)),0)</f>
        <v>0.03</v>
      </c>
      <c r="R742" s="125">
        <f t="shared" si="34"/>
        <v>152.59290000000001</v>
      </c>
      <c r="S742" s="78">
        <f t="shared" si="35"/>
        <v>45962</v>
      </c>
      <c r="T742" t="str">
        <f>IFERROR(VLOOKUP(B742,Sites!$A$2:$D$21,4,FALSE()),"Unknown")</f>
        <v>Cardiff</v>
      </c>
      <c r="U742" t="str">
        <f>IF(N742="OK","",COUNTIF($N$2:N742,"&lt;&gt;OK"))</f>
        <v/>
      </c>
      <c r="V742">
        <f>IF(OR(NOT(EXACT(E742,TRIM(Procurement_Raw!E742))),NOT(EXACT(F742,TRIM(Procurement_Raw!F742)))),1,0)</f>
        <v>0</v>
      </c>
    </row>
    <row r="743" spans="1:22" ht="15" customHeight="1" x14ac:dyDescent="0.25">
      <c r="A743" s="123">
        <f>Procurement_Raw!A743</f>
        <v>45894</v>
      </c>
      <c r="B743" t="str">
        <f>TRIM(Procurement_Raw!B743)</f>
        <v>S007</v>
      </c>
      <c r="C743" t="str">
        <f>Procurement_Raw!C743</f>
        <v>Nottingham Care &amp; Education Centre</v>
      </c>
      <c r="D743" t="str">
        <f>Procurement_Raw!D743</f>
        <v>Midlands</v>
      </c>
      <c r="E743" t="str">
        <f>IF(TRIM(Procurement_Raw!E743)="","",IFERROR(INDEX(Supplier_Lookup!$A$2:$A$25,MATCH(TRIM(Procurement_Raw!E743),Supplier_Lookup!$A$2:$A$25,0)),TRIM(Procurement_Raw!E743)))</f>
        <v>RoadReady</v>
      </c>
      <c r="F743" t="str">
        <f>IFERROR(INDEX(Category_Targets!$A$2:$A$9,MATCH(TRIM(Procurement_Raw!F743),Category_Targets!$A$2:$A$9,0)),"Unmapped")</f>
        <v>Vehicle &amp; Fuel</v>
      </c>
      <c r="G743" t="str">
        <f>TRIM(Procurement_Raw!G743)</f>
        <v>INV-2025-00742</v>
      </c>
      <c r="H743" s="77">
        <f>Procurement_Raw!H743</f>
        <v>58</v>
      </c>
      <c r="I743" s="124">
        <f>Procurement_Raw!I743</f>
        <v>47</v>
      </c>
      <c r="J743" s="125">
        <f>IF(Procurement_Raw!J743="","",Procurement_Raw!J743)</f>
        <v>2725.9</v>
      </c>
      <c r="K743" s="77">
        <f>Procurement_Raw!K743</f>
        <v>45</v>
      </c>
      <c r="L743" t="str">
        <f>Procurement_Raw!L743</f>
        <v>Procurement Portal</v>
      </c>
      <c r="M743" t="str">
        <f>Procurement_Raw!O743</f>
        <v>N</v>
      </c>
      <c r="N743" t="str">
        <f>IF(E743="","Missing supplier",IF(B743="","Missing site",IF(J743="","Missing spend",IF(COUNTIFS($G$2:G743,G743,$E$2:E743,E743,$J$2:J743,J743)&gt;1,"Duplicate invoice",IF(COUNTIF($G$2:$G$1801,G743)&gt;1,"Duplicate ID - review",IF(AND(P743&lt;&gt;"Unmapped",P743&lt;&gt;F743),"Category mismatch","OK"))))))</f>
        <v>OK</v>
      </c>
      <c r="O743" s="125">
        <f t="shared" si="33"/>
        <v>2725.9</v>
      </c>
      <c r="P743" t="str">
        <f>IF(E743="","Unmapped",IFERROR(INDEX(Supplier_Lookup!$B$2:$B$25,MATCH(E743,Supplier_Lookup!$A$2:$A$25,0)),"Unmapped"))</f>
        <v>Vehicle &amp; Fuel</v>
      </c>
      <c r="Q743" s="76">
        <f>IFERROR(INDEX(Category_Targets!$B$2:$B$9,MATCH(F743,Category_Targets!$A$2:$A$9,0)),0)</f>
        <v>0.05</v>
      </c>
      <c r="R743" s="125">
        <f t="shared" si="34"/>
        <v>136.29500000000002</v>
      </c>
      <c r="S743" s="78">
        <f t="shared" si="35"/>
        <v>45870</v>
      </c>
      <c r="T743" t="str">
        <f>IFERROR(VLOOKUP(B743,Sites!$A$2:$D$21,4,FALSE()),"Unknown")</f>
        <v>Nottingham</v>
      </c>
      <c r="U743" t="str">
        <f>IF(N743="OK","",COUNTIF($N$2:N743,"&lt;&gt;OK"))</f>
        <v/>
      </c>
      <c r="V743">
        <f>IF(OR(NOT(EXACT(E743,TRIM(Procurement_Raw!E743))),NOT(EXACT(F743,TRIM(Procurement_Raw!F743)))),1,0)</f>
        <v>0</v>
      </c>
    </row>
    <row r="744" spans="1:22" ht="15" customHeight="1" x14ac:dyDescent="0.25">
      <c r="A744" s="123">
        <f>Procurement_Raw!A744</f>
        <v>45988</v>
      </c>
      <c r="B744" t="str">
        <f>TRIM(Procurement_Raw!B744)</f>
        <v>S010</v>
      </c>
      <c r="C744" t="str">
        <f>Procurement_Raw!C744</f>
        <v>Coventry Care &amp; Education Centre</v>
      </c>
      <c r="D744" t="str">
        <f>Procurement_Raw!D744</f>
        <v>Midlands</v>
      </c>
      <c r="E744" t="str">
        <f>IF(TRIM(Procurement_Raw!E744)="","",IFERROR(INDEX(Supplier_Lookup!$A$2:$A$25,MATCH(TRIM(Procurement_Raw!E744),Supplier_Lookup!$A$2:$A$25,0)),TRIM(Procurement_Raw!E744)))</f>
        <v>FreshServe</v>
      </c>
      <c r="F744" t="str">
        <f>IFERROR(INDEX(Category_Targets!$A$2:$A$9,MATCH(TRIM(Procurement_Raw!F744),Category_Targets!$A$2:$A$9,0)),"Unmapped")</f>
        <v>Food &amp; Catering</v>
      </c>
      <c r="G744" t="str">
        <f>TRIM(Procurement_Raw!G744)</f>
        <v>INV-2025-00743</v>
      </c>
      <c r="H744" s="77">
        <f>Procurement_Raw!H744</f>
        <v>78</v>
      </c>
      <c r="I744" s="124">
        <f>Procurement_Raw!I744</f>
        <v>46.1</v>
      </c>
      <c r="J744" s="125">
        <f>IF(Procurement_Raw!J744="","",Procurement_Raw!J744)</f>
        <v>3595.53</v>
      </c>
      <c r="K744" s="77">
        <f>Procurement_Raw!K744</f>
        <v>30</v>
      </c>
      <c r="L744" t="str">
        <f>Procurement_Raw!L744</f>
        <v>Procurement Portal</v>
      </c>
      <c r="M744" t="str">
        <f>Procurement_Raw!O744</f>
        <v>Y</v>
      </c>
      <c r="N744" t="str">
        <f>IF(E744="","Missing supplier",IF(B744="","Missing site",IF(J744="","Missing spend",IF(COUNTIFS($G$2:G744,G744,$E$2:E744,E744,$J$2:J744,J744)&gt;1,"Duplicate invoice",IF(COUNTIF($G$2:$G$1801,G744)&gt;1,"Duplicate ID - review",IF(AND(P744&lt;&gt;"Unmapped",P744&lt;&gt;F744),"Category mismatch","OK"))))))</f>
        <v>OK</v>
      </c>
      <c r="O744" s="125">
        <f t="shared" si="33"/>
        <v>3595.53</v>
      </c>
      <c r="P744" t="str">
        <f>IF(E744="","Unmapped",IFERROR(INDEX(Supplier_Lookup!$B$2:$B$25,MATCH(E744,Supplier_Lookup!$A$2:$A$25,0)),"Unmapped"))</f>
        <v>Food &amp; Catering</v>
      </c>
      <c r="Q744" s="76">
        <f>IFERROR(INDEX(Category_Targets!$B$2:$B$9,MATCH(F744,Category_Targets!$A$2:$A$9,0)),0)</f>
        <v>0.04</v>
      </c>
      <c r="R744" s="125">
        <f t="shared" si="34"/>
        <v>143.8212</v>
      </c>
      <c r="S744" s="78">
        <f t="shared" si="35"/>
        <v>45962</v>
      </c>
      <c r="T744" t="str">
        <f>IFERROR(VLOOKUP(B744,Sites!$A$2:$D$21,4,FALSE()),"Unknown")</f>
        <v>Coventry</v>
      </c>
      <c r="U744" t="str">
        <f>IF(N744="OK","",COUNTIF($N$2:N744,"&lt;&gt;OK"))</f>
        <v/>
      </c>
      <c r="V744">
        <f>IF(OR(NOT(EXACT(E744,TRIM(Procurement_Raw!E744))),NOT(EXACT(F744,TRIM(Procurement_Raw!F744)))),1,0)</f>
        <v>0</v>
      </c>
    </row>
    <row r="745" spans="1:22" ht="15" customHeight="1" x14ac:dyDescent="0.25">
      <c r="A745" s="123">
        <f>Procurement_Raw!A745</f>
        <v>45978</v>
      </c>
      <c r="B745" t="str">
        <f>TRIM(Procurement_Raw!B745)</f>
        <v>S001</v>
      </c>
      <c r="C745" t="str">
        <f>Procurement_Raw!C745</f>
        <v>Preston Care &amp; Education Centre</v>
      </c>
      <c r="D745" t="str">
        <f>Procurement_Raw!D745</f>
        <v>North</v>
      </c>
      <c r="E745" t="str">
        <f>IF(TRIM(Procurement_Raw!E745)="","",IFERROR(INDEX(Supplier_Lookup!$A$2:$A$25,MATCH(TRIM(Procurement_Raw!E745),Supplier_Lookup!$A$2:$A$25,0)),TRIM(Procurement_Raw!E745)))</f>
        <v>WaterGrid</v>
      </c>
      <c r="F745" t="str">
        <f>IFERROR(INDEX(Category_Targets!$A$2:$A$9,MATCH(TRIM(Procurement_Raw!F745),Category_Targets!$A$2:$A$9,0)),"Unmapped")</f>
        <v>Utilities</v>
      </c>
      <c r="G745" t="str">
        <f>TRIM(Procurement_Raw!G745)</f>
        <v>INV-2025-00744</v>
      </c>
      <c r="H745" s="77">
        <f>Procurement_Raw!H745</f>
        <v>10</v>
      </c>
      <c r="I745" s="124">
        <f>Procurement_Raw!I745</f>
        <v>253.61</v>
      </c>
      <c r="J745" s="125">
        <f>IF(Procurement_Raw!J745="","",Procurement_Raw!J745)</f>
        <v>2536.13</v>
      </c>
      <c r="K745" s="77">
        <f>Procurement_Raw!K745</f>
        <v>60</v>
      </c>
      <c r="L745" t="str">
        <f>Procurement_Raw!L745</f>
        <v>ERP</v>
      </c>
      <c r="M745" t="str">
        <f>Procurement_Raw!O745</f>
        <v>N</v>
      </c>
      <c r="N745" t="str">
        <f>IF(E745="","Missing supplier",IF(B745="","Missing site",IF(J745="","Missing spend",IF(COUNTIFS($G$2:G745,G745,$E$2:E745,E745,$J$2:J745,J745)&gt;1,"Duplicate invoice",IF(COUNTIF($G$2:$G$1801,G745)&gt;1,"Duplicate ID - review",IF(AND(P745&lt;&gt;"Unmapped",P745&lt;&gt;F745),"Category mismatch","OK"))))))</f>
        <v>OK</v>
      </c>
      <c r="O745" s="125">
        <f t="shared" si="33"/>
        <v>2536.13</v>
      </c>
      <c r="P745" t="str">
        <f>IF(E745="","Unmapped",IFERROR(INDEX(Supplier_Lookup!$B$2:$B$25,MATCH(E745,Supplier_Lookup!$A$2:$A$25,0)),"Unmapped"))</f>
        <v>Utilities</v>
      </c>
      <c r="Q745" s="76">
        <f>IFERROR(INDEX(Category_Targets!$B$2:$B$9,MATCH(F745,Category_Targets!$A$2:$A$9,0)),0)</f>
        <v>0.03</v>
      </c>
      <c r="R745" s="125">
        <f t="shared" si="34"/>
        <v>76.0839</v>
      </c>
      <c r="S745" s="78">
        <f t="shared" si="35"/>
        <v>45962</v>
      </c>
      <c r="T745" t="str">
        <f>IFERROR(VLOOKUP(B745,Sites!$A$2:$D$21,4,FALSE()),"Unknown")</f>
        <v>Preston</v>
      </c>
      <c r="U745" t="str">
        <f>IF(N745="OK","",COUNTIF($N$2:N745,"&lt;&gt;OK"))</f>
        <v/>
      </c>
      <c r="V745">
        <f>IF(OR(NOT(EXACT(E745,TRIM(Procurement_Raw!E745))),NOT(EXACT(F745,TRIM(Procurement_Raw!F745)))),1,0)</f>
        <v>0</v>
      </c>
    </row>
    <row r="746" spans="1:22" ht="15" customHeight="1" x14ac:dyDescent="0.25">
      <c r="A746" s="123">
        <f>Procurement_Raw!A746</f>
        <v>45954</v>
      </c>
      <c r="B746" t="str">
        <f>TRIM(Procurement_Raw!B746)</f>
        <v>S006</v>
      </c>
      <c r="C746" t="str">
        <f>Procurement_Raw!C746</f>
        <v>Birmingham Care &amp; Education Centre</v>
      </c>
      <c r="D746" t="str">
        <f>Procurement_Raw!D746</f>
        <v>Midlands</v>
      </c>
      <c r="E746" t="str">
        <f>IF(TRIM(Procurement_Raw!E746)="","",IFERROR(INDEX(Supplier_Lookup!$A$2:$A$25,MATCH(TRIM(Procurement_Raw!E746),Supplier_Lookup!$A$2:$A$25,0)),TRIM(Procurement_Raw!E746)))</f>
        <v>ClinEquip</v>
      </c>
      <c r="F746" t="str">
        <f>IFERROR(INDEX(Category_Targets!$A$2:$A$9,MATCH(TRIM(Procurement_Raw!F746),Category_Targets!$A$2:$A$9,0)),"Unmapped")</f>
        <v>Medical Supplies</v>
      </c>
      <c r="G746" t="str">
        <f>TRIM(Procurement_Raw!G746)</f>
        <v>INV-2025-00745</v>
      </c>
      <c r="H746" s="77">
        <f>Procurement_Raw!H746</f>
        <v>52</v>
      </c>
      <c r="I746" s="124">
        <f>Procurement_Raw!I746</f>
        <v>159.53</v>
      </c>
      <c r="J746" s="125">
        <f>IF(Procurement_Raw!J746="","",Procurement_Raw!J746)</f>
        <v>8295.33</v>
      </c>
      <c r="K746" s="77">
        <f>Procurement_Raw!K746</f>
        <v>60</v>
      </c>
      <c r="L746" t="str">
        <f>Procurement_Raw!L746</f>
        <v>ERP</v>
      </c>
      <c r="M746" t="str">
        <f>Procurement_Raw!O746</f>
        <v>N</v>
      </c>
      <c r="N746" t="str">
        <f>IF(E746="","Missing supplier",IF(B746="","Missing site",IF(J746="","Missing spend",IF(COUNTIFS($G$2:G746,G746,$E$2:E746,E746,$J$2:J746,J746)&gt;1,"Duplicate invoice",IF(COUNTIF($G$2:$G$1801,G746)&gt;1,"Duplicate ID - review",IF(AND(P746&lt;&gt;"Unmapped",P746&lt;&gt;F746),"Category mismatch","OK"))))))</f>
        <v>OK</v>
      </c>
      <c r="O746" s="125">
        <f t="shared" si="33"/>
        <v>8295.33</v>
      </c>
      <c r="P746" t="str">
        <f>IF(E746="","Unmapped",IFERROR(INDEX(Supplier_Lookup!$B$2:$B$25,MATCH(E746,Supplier_Lookup!$A$2:$A$25,0)),"Unmapped"))</f>
        <v>Medical Supplies</v>
      </c>
      <c r="Q746" s="76">
        <f>IFERROR(INDEX(Category_Targets!$B$2:$B$9,MATCH(F746,Category_Targets!$A$2:$A$9,0)),0)</f>
        <v>0.06</v>
      </c>
      <c r="R746" s="125">
        <f t="shared" si="34"/>
        <v>497.71979999999996</v>
      </c>
      <c r="S746" s="78">
        <f t="shared" si="35"/>
        <v>45931</v>
      </c>
      <c r="T746" t="str">
        <f>IFERROR(VLOOKUP(B746,Sites!$A$2:$D$21,4,FALSE()),"Unknown")</f>
        <v>Birmingham</v>
      </c>
      <c r="U746" t="str">
        <f>IF(N746="OK","",COUNTIF($N$2:N746,"&lt;&gt;OK"))</f>
        <v/>
      </c>
      <c r="V746">
        <f>IF(OR(NOT(EXACT(E746,TRIM(Procurement_Raw!E746))),NOT(EXACT(F746,TRIM(Procurement_Raw!F746)))),1,0)</f>
        <v>0</v>
      </c>
    </row>
    <row r="747" spans="1:22" ht="15" customHeight="1" x14ac:dyDescent="0.25">
      <c r="A747" s="123">
        <f>Procurement_Raw!A747</f>
        <v>45934</v>
      </c>
      <c r="B747" t="str">
        <f>TRIM(Procurement_Raw!B747)</f>
        <v>S016</v>
      </c>
      <c r="C747" t="str">
        <f>Procurement_Raw!C747</f>
        <v>Cardiff Care &amp; Education Centre</v>
      </c>
      <c r="D747" t="str">
        <f>Procurement_Raw!D747</f>
        <v>Wales</v>
      </c>
      <c r="E747" t="str">
        <f>IF(TRIM(Procurement_Raw!E747)="","",IFERROR(INDEX(Supplier_Lookup!$A$2:$A$25,MATCH(TRIM(Procurement_Raw!E747),Supplier_Lookup!$A$2:$A$25,0)),TRIM(Procurement_Raw!E747)))</f>
        <v>NetServe</v>
      </c>
      <c r="F747" t="str">
        <f>IFERROR(INDEX(Category_Targets!$A$2:$A$9,MATCH(TRIM(Procurement_Raw!F747),Category_Targets!$A$2:$A$9,0)),"Unmapped")</f>
        <v>IT &amp; Telecoms</v>
      </c>
      <c r="G747" t="str">
        <f>TRIM(Procurement_Raw!G747)</f>
        <v>INV-2025-00746</v>
      </c>
      <c r="H747" s="77">
        <f>Procurement_Raw!H747</f>
        <v>61</v>
      </c>
      <c r="I747" s="124">
        <f>Procurement_Raw!I747</f>
        <v>147.59</v>
      </c>
      <c r="J747" s="125">
        <f>IF(Procurement_Raw!J747="","",Procurement_Raw!J747)</f>
        <v>9003.26</v>
      </c>
      <c r="K747" s="77">
        <f>Procurement_Raw!K747</f>
        <v>60</v>
      </c>
      <c r="L747" t="str">
        <f>Procurement_Raw!L747</f>
        <v>ERP</v>
      </c>
      <c r="M747" t="str">
        <f>Procurement_Raw!O747</f>
        <v>N</v>
      </c>
      <c r="N747" t="str">
        <f>IF(E747="","Missing supplier",IF(B747="","Missing site",IF(J747="","Missing spend",IF(COUNTIFS($G$2:G747,G747,$E$2:E747,E747,$J$2:J747,J747)&gt;1,"Duplicate invoice",IF(COUNTIF($G$2:$G$1801,G747)&gt;1,"Duplicate ID - review",IF(AND(P747&lt;&gt;"Unmapped",P747&lt;&gt;F747),"Category mismatch","OK"))))))</f>
        <v>OK</v>
      </c>
      <c r="O747" s="125">
        <f t="shared" si="33"/>
        <v>9003.26</v>
      </c>
      <c r="P747" t="str">
        <f>IF(E747="","Unmapped",IFERROR(INDEX(Supplier_Lookup!$B$2:$B$25,MATCH(E747,Supplier_Lookup!$A$2:$A$25,0)),"Unmapped"))</f>
        <v>IT &amp; Telecoms</v>
      </c>
      <c r="Q747" s="76">
        <f>IFERROR(INDEX(Category_Targets!$B$2:$B$9,MATCH(F747,Category_Targets!$A$2:$A$9,0)),0)</f>
        <v>0.08</v>
      </c>
      <c r="R747" s="125">
        <f t="shared" si="34"/>
        <v>720.26080000000002</v>
      </c>
      <c r="S747" s="78">
        <f t="shared" si="35"/>
        <v>45931</v>
      </c>
      <c r="T747" t="str">
        <f>IFERROR(VLOOKUP(B747,Sites!$A$2:$D$21,4,FALSE()),"Unknown")</f>
        <v>Cardiff</v>
      </c>
      <c r="U747" t="str">
        <f>IF(N747="OK","",COUNTIF($N$2:N747,"&lt;&gt;OK"))</f>
        <v/>
      </c>
      <c r="V747">
        <f>IF(OR(NOT(EXACT(E747,TRIM(Procurement_Raw!E747))),NOT(EXACT(F747,TRIM(Procurement_Raw!F747)))),1,0)</f>
        <v>0</v>
      </c>
    </row>
    <row r="748" spans="1:22" ht="15" customHeight="1" x14ac:dyDescent="0.25">
      <c r="A748" s="123">
        <f>Procurement_Raw!A748</f>
        <v>45959</v>
      </c>
      <c r="B748" t="str">
        <f>TRIM(Procurement_Raw!B748)</f>
        <v>S009</v>
      </c>
      <c r="C748" t="str">
        <f>Procurement_Raw!C748</f>
        <v>Derby Care &amp; Education Centre</v>
      </c>
      <c r="D748" t="str">
        <f>Procurement_Raw!D748</f>
        <v>Midlands</v>
      </c>
      <c r="E748" t="str">
        <f>IF(TRIM(Procurement_Raw!E748)="","",IFERROR(INDEX(Supplier_Lookup!$A$2:$A$25,MATCH(TRIM(Procurement_Raw!E748),Supplier_Lookup!$A$2:$A$25,0)),TRIM(Procurement_Raw!E748)))</f>
        <v>HealthStaffing</v>
      </c>
      <c r="F748" t="str">
        <f>IFERROR(INDEX(Category_Targets!$A$2:$A$9,MATCH(TRIM(Procurement_Raw!F748),Category_Targets!$A$2:$A$9,0)),"Unmapped")</f>
        <v>Agency Labour</v>
      </c>
      <c r="G748" t="str">
        <f>TRIM(Procurement_Raw!G748)</f>
        <v>INV-2025-00747</v>
      </c>
      <c r="H748" s="77">
        <f>Procurement_Raw!H748</f>
        <v>38</v>
      </c>
      <c r="I748" s="124">
        <f>Procurement_Raw!I748</f>
        <v>332.45</v>
      </c>
      <c r="J748" s="125">
        <f>IF(Procurement_Raw!J748="","",Procurement_Raw!J748)</f>
        <v>12633.29</v>
      </c>
      <c r="K748" s="77">
        <f>Procurement_Raw!K748</f>
        <v>30</v>
      </c>
      <c r="L748" t="str">
        <f>Procurement_Raw!L748</f>
        <v>Procurement Portal</v>
      </c>
      <c r="M748" t="str">
        <f>Procurement_Raw!O748</f>
        <v>N</v>
      </c>
      <c r="N748" t="str">
        <f>IF(E748="","Missing supplier",IF(B748="","Missing site",IF(J748="","Missing spend",IF(COUNTIFS($G$2:G748,G748,$E$2:E748,E748,$J$2:J748,J748)&gt;1,"Duplicate invoice",IF(COUNTIF($G$2:$G$1801,G748)&gt;1,"Duplicate ID - review",IF(AND(P748&lt;&gt;"Unmapped",P748&lt;&gt;F748),"Category mismatch","OK"))))))</f>
        <v>OK</v>
      </c>
      <c r="O748" s="125">
        <f t="shared" si="33"/>
        <v>12633.29</v>
      </c>
      <c r="P748" t="str">
        <f>IF(E748="","Unmapped",IFERROR(INDEX(Supplier_Lookup!$B$2:$B$25,MATCH(E748,Supplier_Lookup!$A$2:$A$25,0)),"Unmapped"))</f>
        <v>Agency Labour</v>
      </c>
      <c r="Q748" s="76">
        <f>IFERROR(INDEX(Category_Targets!$B$2:$B$9,MATCH(F748,Category_Targets!$A$2:$A$9,0)),0)</f>
        <v>7.0000000000000007E-2</v>
      </c>
      <c r="R748" s="125">
        <f t="shared" si="34"/>
        <v>884.33030000000019</v>
      </c>
      <c r="S748" s="78">
        <f t="shared" si="35"/>
        <v>45931</v>
      </c>
      <c r="T748" t="str">
        <f>IFERROR(VLOOKUP(B748,Sites!$A$2:$D$21,4,FALSE()),"Unknown")</f>
        <v>Derby</v>
      </c>
      <c r="U748" t="str">
        <f>IF(N748="OK","",COUNTIF($N$2:N748,"&lt;&gt;OK"))</f>
        <v/>
      </c>
      <c r="V748">
        <f>IF(OR(NOT(EXACT(E748,TRIM(Procurement_Raw!E748))),NOT(EXACT(F748,TRIM(Procurement_Raw!F748)))),1,0)</f>
        <v>0</v>
      </c>
    </row>
    <row r="749" spans="1:22" ht="15" customHeight="1" x14ac:dyDescent="0.25">
      <c r="A749" s="123">
        <f>Procurement_Raw!A749</f>
        <v>45844</v>
      </c>
      <c r="B749" t="str">
        <f>TRIM(Procurement_Raw!B749)</f>
        <v>S016</v>
      </c>
      <c r="C749" t="str">
        <f>Procurement_Raw!C749</f>
        <v>Cardiff Care &amp; Education Centre</v>
      </c>
      <c r="D749" t="str">
        <f>Procurement_Raw!D749</f>
        <v>Wales</v>
      </c>
      <c r="E749" t="str">
        <f>IF(TRIM(Procurement_Raw!E749)="","",IFERROR(INDEX(Supplier_Lookup!$A$2:$A$25,MATCH(TRIM(Procurement_Raw!E749),Supplier_Lookup!$A$2:$A$25,0)),TRIM(Procurement_Raw!E749)))</f>
        <v>NourishCo</v>
      </c>
      <c r="F749" t="str">
        <f>IFERROR(INDEX(Category_Targets!$A$2:$A$9,MATCH(TRIM(Procurement_Raw!F749),Category_Targets!$A$2:$A$9,0)),"Unmapped")</f>
        <v>Food &amp; Catering</v>
      </c>
      <c r="G749" t="str">
        <f>TRIM(Procurement_Raw!G749)</f>
        <v>INV-2025-00748</v>
      </c>
      <c r="H749" s="77">
        <f>Procurement_Raw!H749</f>
        <v>65</v>
      </c>
      <c r="I749" s="124">
        <f>Procurement_Raw!I749</f>
        <v>42.9</v>
      </c>
      <c r="J749" s="125">
        <f>IF(Procurement_Raw!J749="","",Procurement_Raw!J749)</f>
        <v>2788.65</v>
      </c>
      <c r="K749" s="77">
        <f>Procurement_Raw!K749</f>
        <v>30</v>
      </c>
      <c r="L749" t="str">
        <f>Procurement_Raw!L749</f>
        <v>Legacy Spend File</v>
      </c>
      <c r="M749" t="str">
        <f>Procurement_Raw!O749</f>
        <v>N</v>
      </c>
      <c r="N749" t="str">
        <f>IF(E749="","Missing supplier",IF(B749="","Missing site",IF(J749="","Missing spend",IF(COUNTIFS($G$2:G749,G749,$E$2:E749,E749,$J$2:J749,J749)&gt;1,"Duplicate invoice",IF(COUNTIF($G$2:$G$1801,G749)&gt;1,"Duplicate ID - review",IF(AND(P749&lt;&gt;"Unmapped",P749&lt;&gt;F749),"Category mismatch","OK"))))))</f>
        <v>OK</v>
      </c>
      <c r="O749" s="125">
        <f t="shared" si="33"/>
        <v>2788.65</v>
      </c>
      <c r="P749" t="str">
        <f>IF(E749="","Unmapped",IFERROR(INDEX(Supplier_Lookup!$B$2:$B$25,MATCH(E749,Supplier_Lookup!$A$2:$A$25,0)),"Unmapped"))</f>
        <v>Food &amp; Catering</v>
      </c>
      <c r="Q749" s="76">
        <f>IFERROR(INDEX(Category_Targets!$B$2:$B$9,MATCH(F749,Category_Targets!$A$2:$A$9,0)),0)</f>
        <v>0.04</v>
      </c>
      <c r="R749" s="125">
        <f t="shared" si="34"/>
        <v>111.54600000000001</v>
      </c>
      <c r="S749" s="78">
        <f t="shared" si="35"/>
        <v>45839</v>
      </c>
      <c r="T749" t="str">
        <f>IFERROR(VLOOKUP(B749,Sites!$A$2:$D$21,4,FALSE()),"Unknown")</f>
        <v>Cardiff</v>
      </c>
      <c r="U749" t="str">
        <f>IF(N749="OK","",COUNTIF($N$2:N749,"&lt;&gt;OK"))</f>
        <v/>
      </c>
      <c r="V749">
        <f>IF(OR(NOT(EXACT(E749,TRIM(Procurement_Raw!E749))),NOT(EXACT(F749,TRIM(Procurement_Raw!F749)))),1,0)</f>
        <v>0</v>
      </c>
    </row>
    <row r="750" spans="1:22" ht="15" customHeight="1" x14ac:dyDescent="0.25">
      <c r="A750" s="123">
        <f>Procurement_Raw!A750</f>
        <v>45729</v>
      </c>
      <c r="B750" t="str">
        <f>TRIM(Procurement_Raw!B750)</f>
        <v>S005</v>
      </c>
      <c r="C750" t="str">
        <f>Procurement_Raw!C750</f>
        <v>Sheffield Care &amp; Education Centre</v>
      </c>
      <c r="D750" t="str">
        <f>Procurement_Raw!D750</f>
        <v>North</v>
      </c>
      <c r="E750" t="str">
        <f>IF(TRIM(Procurement_Raw!E750)="","",IFERROR(INDEX(Supplier_Lookup!$A$2:$A$25,MATCH(TRIM(Procurement_Raw!E750),Supplier_Lookup!$A$2:$A$25,0)),TRIM(Procurement_Raw!E750)))</f>
        <v>BuildCare</v>
      </c>
      <c r="F750" t="str">
        <f>IFERROR(INDEX(Category_Targets!$A$2:$A$9,MATCH(TRIM(Procurement_Raw!F750),Category_Targets!$A$2:$A$9,0)),"Unmapped")</f>
        <v>Facilities</v>
      </c>
      <c r="G750" t="str">
        <f>TRIM(Procurement_Raw!G750)</f>
        <v>INV-2025-00749</v>
      </c>
      <c r="H750" s="77">
        <f>Procurement_Raw!H750</f>
        <v>58</v>
      </c>
      <c r="I750" s="124">
        <f>Procurement_Raw!I750</f>
        <v>128.59</v>
      </c>
      <c r="J750" s="125">
        <f>IF(Procurement_Raw!J750="","",Procurement_Raw!J750)</f>
        <v>7458.17</v>
      </c>
      <c r="K750" s="77">
        <f>Procurement_Raw!K750</f>
        <v>30</v>
      </c>
      <c r="L750" t="str">
        <f>Procurement_Raw!L750</f>
        <v>ERP</v>
      </c>
      <c r="M750" t="str">
        <f>Procurement_Raw!O750</f>
        <v>N</v>
      </c>
      <c r="N750" t="str">
        <f>IF(E750="","Missing supplier",IF(B750="","Missing site",IF(J750="","Missing spend",IF(COUNTIFS($G$2:G750,G750,$E$2:E750,E750,$J$2:J750,J750)&gt;1,"Duplicate invoice",IF(COUNTIF($G$2:$G$1801,G750)&gt;1,"Duplicate ID - review",IF(AND(P750&lt;&gt;"Unmapped",P750&lt;&gt;F750),"Category mismatch","OK"))))))</f>
        <v>OK</v>
      </c>
      <c r="O750" s="125">
        <f t="shared" si="33"/>
        <v>7458.17</v>
      </c>
      <c r="P750" t="str">
        <f>IF(E750="","Unmapped",IFERROR(INDEX(Supplier_Lookup!$B$2:$B$25,MATCH(E750,Supplier_Lookup!$A$2:$A$25,0)),"Unmapped"))</f>
        <v>Facilities</v>
      </c>
      <c r="Q750" s="76">
        <f>IFERROR(INDEX(Category_Targets!$B$2:$B$9,MATCH(F750,Category_Targets!$A$2:$A$9,0)),0)</f>
        <v>0.05</v>
      </c>
      <c r="R750" s="125">
        <f t="shared" si="34"/>
        <v>372.9085</v>
      </c>
      <c r="S750" s="78">
        <f t="shared" si="35"/>
        <v>45717</v>
      </c>
      <c r="T750" t="str">
        <f>IFERROR(VLOOKUP(B750,Sites!$A$2:$D$21,4,FALSE()),"Unknown")</f>
        <v>Sheffield</v>
      </c>
      <c r="U750" t="str">
        <f>IF(N750="OK","",COUNTIF($N$2:N750,"&lt;&gt;OK"))</f>
        <v/>
      </c>
      <c r="V750">
        <f>IF(OR(NOT(EXACT(E750,TRIM(Procurement_Raw!E750))),NOT(EXACT(F750,TRIM(Procurement_Raw!F750)))),1,0)</f>
        <v>0</v>
      </c>
    </row>
    <row r="751" spans="1:22" ht="15" customHeight="1" x14ac:dyDescent="0.25">
      <c r="A751" s="123">
        <f>Procurement_Raw!A751</f>
        <v>45905</v>
      </c>
      <c r="B751" t="str">
        <f>TRIM(Procurement_Raw!B751)</f>
        <v>S006</v>
      </c>
      <c r="C751" t="str">
        <f>Procurement_Raw!C751</f>
        <v>Birmingham Care &amp; Education Centre</v>
      </c>
      <c r="D751" t="str">
        <f>Procurement_Raw!D751</f>
        <v>Midlands</v>
      </c>
      <c r="E751" t="str">
        <f>IF(TRIM(Procurement_Raw!E751)="","",IFERROR(INDEX(Supplier_Lookup!$A$2:$A$25,MATCH(TRIM(Procurement_Raw!E751),Supplier_Lookup!$A$2:$A$25,0)),TRIM(Procurement_Raw!E751)))</f>
        <v>BuildCare</v>
      </c>
      <c r="F751" t="str">
        <f>IFERROR(INDEX(Category_Targets!$A$2:$A$9,MATCH(TRIM(Procurement_Raw!F751),Category_Targets!$A$2:$A$9,0)),"Unmapped")</f>
        <v>Facilities</v>
      </c>
      <c r="G751" t="str">
        <f>TRIM(Procurement_Raw!G751)</f>
        <v>INV-2025-00750</v>
      </c>
      <c r="H751" s="77">
        <f>Procurement_Raw!H751</f>
        <v>46</v>
      </c>
      <c r="I751" s="124">
        <f>Procurement_Raw!I751</f>
        <v>83.04</v>
      </c>
      <c r="J751" s="125">
        <f>IF(Procurement_Raw!J751="","",Procurement_Raw!J751)</f>
        <v>3819.73</v>
      </c>
      <c r="K751" s="77">
        <f>Procurement_Raw!K751</f>
        <v>30</v>
      </c>
      <c r="L751" t="str">
        <f>Procurement_Raw!L751</f>
        <v>ERP</v>
      </c>
      <c r="M751" t="str">
        <f>Procurement_Raw!O751</f>
        <v>N</v>
      </c>
      <c r="N751" t="str">
        <f>IF(E751="","Missing supplier",IF(B751="","Missing site",IF(J751="","Missing spend",IF(COUNTIFS($G$2:G751,G751,$E$2:E751,E751,$J$2:J751,J751)&gt;1,"Duplicate invoice",IF(COUNTIF($G$2:$G$1801,G751)&gt;1,"Duplicate ID - review",IF(AND(P751&lt;&gt;"Unmapped",P751&lt;&gt;F751),"Category mismatch","OK"))))))</f>
        <v>OK</v>
      </c>
      <c r="O751" s="125">
        <f t="shared" si="33"/>
        <v>3819.73</v>
      </c>
      <c r="P751" t="str">
        <f>IF(E751="","Unmapped",IFERROR(INDEX(Supplier_Lookup!$B$2:$B$25,MATCH(E751,Supplier_Lookup!$A$2:$A$25,0)),"Unmapped"))</f>
        <v>Facilities</v>
      </c>
      <c r="Q751" s="76">
        <f>IFERROR(INDEX(Category_Targets!$B$2:$B$9,MATCH(F751,Category_Targets!$A$2:$A$9,0)),0)</f>
        <v>0.05</v>
      </c>
      <c r="R751" s="125">
        <f t="shared" si="34"/>
        <v>190.98650000000001</v>
      </c>
      <c r="S751" s="78">
        <f t="shared" si="35"/>
        <v>45901</v>
      </c>
      <c r="T751" t="str">
        <f>IFERROR(VLOOKUP(B751,Sites!$A$2:$D$21,4,FALSE()),"Unknown")</f>
        <v>Birmingham</v>
      </c>
      <c r="U751" t="str">
        <f>IF(N751="OK","",COUNTIF($N$2:N751,"&lt;&gt;OK"))</f>
        <v/>
      </c>
      <c r="V751">
        <f>IF(OR(NOT(EXACT(E751,TRIM(Procurement_Raw!E751))),NOT(EXACT(F751,TRIM(Procurement_Raw!F751)))),1,0)</f>
        <v>0</v>
      </c>
    </row>
    <row r="752" spans="1:22" ht="15" customHeight="1" x14ac:dyDescent="0.25">
      <c r="A752" s="123">
        <f>Procurement_Raw!A752</f>
        <v>45690</v>
      </c>
      <c r="B752" t="str">
        <f>TRIM(Procurement_Raw!B752)</f>
        <v>S018</v>
      </c>
      <c r="C752" t="str">
        <f>Procurement_Raw!C752</f>
        <v>Newport Care &amp; Education Centre</v>
      </c>
      <c r="D752" t="str">
        <f>Procurement_Raw!D752</f>
        <v>Wales</v>
      </c>
      <c r="E752" t="str">
        <f>IF(TRIM(Procurement_Raw!E752)="","",IFERROR(INDEX(Supplier_Lookup!$A$2:$A$25,MATCH(TRIM(Procurement_Raw!E752),Supplier_Lookup!$A$2:$A$25,0)),TRIM(Procurement_Raw!E752)))</f>
        <v>OfficePlus</v>
      </c>
      <c r="F752" t="str">
        <f>IFERROR(INDEX(Category_Targets!$A$2:$A$9,MATCH(TRIM(Procurement_Raw!F752),Category_Targets!$A$2:$A$9,0)),"Unmapped")</f>
        <v>Office &amp; Training</v>
      </c>
      <c r="G752" t="str">
        <f>TRIM(Procurement_Raw!G752)</f>
        <v>INV-2025-00751</v>
      </c>
      <c r="H752" s="77">
        <f>Procurement_Raw!H752</f>
        <v>34</v>
      </c>
      <c r="I752" s="124">
        <f>Procurement_Raw!I752</f>
        <v>45.14</v>
      </c>
      <c r="J752" s="125">
        <f>IF(Procurement_Raw!J752="","",Procurement_Raw!J752)</f>
        <v>1534.67</v>
      </c>
      <c r="K752" s="77">
        <f>Procurement_Raw!K752</f>
        <v>45</v>
      </c>
      <c r="L752" t="str">
        <f>Procurement_Raw!L752</f>
        <v>ERP</v>
      </c>
      <c r="M752" t="str">
        <f>Procurement_Raw!O752</f>
        <v>N</v>
      </c>
      <c r="N752" t="str">
        <f>IF(E752="","Missing supplier",IF(B752="","Missing site",IF(J752="","Missing spend",IF(COUNTIFS($G$2:G752,G752,$E$2:E752,E752,$J$2:J752,J752)&gt;1,"Duplicate invoice",IF(COUNTIF($G$2:$G$1801,G752)&gt;1,"Duplicate ID - review",IF(AND(P752&lt;&gt;"Unmapped",P752&lt;&gt;F752),"Category mismatch","OK"))))))</f>
        <v>OK</v>
      </c>
      <c r="O752" s="125">
        <f t="shared" si="33"/>
        <v>1534.67</v>
      </c>
      <c r="P752" t="str">
        <f>IF(E752="","Unmapped",IFERROR(INDEX(Supplier_Lookup!$B$2:$B$25,MATCH(E752,Supplier_Lookup!$A$2:$A$25,0)),"Unmapped"))</f>
        <v>Office &amp; Training</v>
      </c>
      <c r="Q752" s="76">
        <f>IFERROR(INDEX(Category_Targets!$B$2:$B$9,MATCH(F752,Category_Targets!$A$2:$A$9,0)),0)</f>
        <v>0.04</v>
      </c>
      <c r="R752" s="125">
        <f t="shared" si="34"/>
        <v>61.386800000000001</v>
      </c>
      <c r="S752" s="78">
        <f t="shared" si="35"/>
        <v>45689</v>
      </c>
      <c r="T752" t="str">
        <f>IFERROR(VLOOKUP(B752,Sites!$A$2:$D$21,4,FALSE()),"Unknown")</f>
        <v>Newport</v>
      </c>
      <c r="U752" t="str">
        <f>IF(N752="OK","",COUNTIF($N$2:N752,"&lt;&gt;OK"))</f>
        <v/>
      </c>
      <c r="V752">
        <f>IF(OR(NOT(EXACT(E752,TRIM(Procurement_Raw!E752))),NOT(EXACT(F752,TRIM(Procurement_Raw!F752)))),1,0)</f>
        <v>0</v>
      </c>
    </row>
    <row r="753" spans="1:22" ht="15" customHeight="1" x14ac:dyDescent="0.25">
      <c r="A753" s="123">
        <f>Procurement_Raw!A753</f>
        <v>45842</v>
      </c>
      <c r="B753" t="str">
        <f>TRIM(Procurement_Raw!B753)</f>
        <v>S010</v>
      </c>
      <c r="C753" t="str">
        <f>Procurement_Raw!C753</f>
        <v>Coventry Care &amp; Education Centre</v>
      </c>
      <c r="D753" t="str">
        <f>Procurement_Raw!D753</f>
        <v>Midlands</v>
      </c>
      <c r="E753" t="str">
        <f>IF(TRIM(Procurement_Raw!E753)="","",IFERROR(INDEX(Supplier_Lookup!$A$2:$A$25,MATCH(TRIM(Procurement_Raw!E753),Supplier_Lookup!$A$2:$A$25,0)),TRIM(Procurement_Raw!E753)))</f>
        <v>PowerDirect</v>
      </c>
      <c r="F753" t="str">
        <f>IFERROR(INDEX(Category_Targets!$A$2:$A$9,MATCH(TRIM(Procurement_Raw!F753),Category_Targets!$A$2:$A$9,0)),"Unmapped")</f>
        <v>Utilities</v>
      </c>
      <c r="G753" t="str">
        <f>TRIM(Procurement_Raw!G753)</f>
        <v>INV-2025-00752</v>
      </c>
      <c r="H753" s="77">
        <f>Procurement_Raw!H753</f>
        <v>50</v>
      </c>
      <c r="I753" s="124">
        <f>Procurement_Raw!I753</f>
        <v>118.87</v>
      </c>
      <c r="J753" s="125">
        <f>IF(Procurement_Raw!J753="","",Procurement_Raw!J753)</f>
        <v>5943.52</v>
      </c>
      <c r="K753" s="77">
        <f>Procurement_Raw!K753</f>
        <v>45</v>
      </c>
      <c r="L753" t="str">
        <f>Procurement_Raw!L753</f>
        <v>Procurement Portal</v>
      </c>
      <c r="M753" t="str">
        <f>Procurement_Raw!O753</f>
        <v>N</v>
      </c>
      <c r="N753" t="str">
        <f>IF(E753="","Missing supplier",IF(B753="","Missing site",IF(J753="","Missing spend",IF(COUNTIFS($G$2:G753,G753,$E$2:E753,E753,$J$2:J753,J753)&gt;1,"Duplicate invoice",IF(COUNTIF($G$2:$G$1801,G753)&gt;1,"Duplicate ID - review",IF(AND(P753&lt;&gt;"Unmapped",P753&lt;&gt;F753),"Category mismatch","OK"))))))</f>
        <v>OK</v>
      </c>
      <c r="O753" s="125">
        <f t="shared" si="33"/>
        <v>5943.52</v>
      </c>
      <c r="P753" t="str">
        <f>IF(E753="","Unmapped",IFERROR(INDEX(Supplier_Lookup!$B$2:$B$25,MATCH(E753,Supplier_Lookup!$A$2:$A$25,0)),"Unmapped"))</f>
        <v>Utilities</v>
      </c>
      <c r="Q753" s="76">
        <f>IFERROR(INDEX(Category_Targets!$B$2:$B$9,MATCH(F753,Category_Targets!$A$2:$A$9,0)),0)</f>
        <v>0.03</v>
      </c>
      <c r="R753" s="125">
        <f t="shared" si="34"/>
        <v>178.3056</v>
      </c>
      <c r="S753" s="78">
        <f t="shared" si="35"/>
        <v>45839</v>
      </c>
      <c r="T753" t="str">
        <f>IFERROR(VLOOKUP(B753,Sites!$A$2:$D$21,4,FALSE()),"Unknown")</f>
        <v>Coventry</v>
      </c>
      <c r="U753" t="str">
        <f>IF(N753="OK","",COUNTIF($N$2:N753,"&lt;&gt;OK"))</f>
        <v/>
      </c>
      <c r="V753">
        <f>IF(OR(NOT(EXACT(E753,TRIM(Procurement_Raw!E753))),NOT(EXACT(F753,TRIM(Procurement_Raw!F753)))),1,0)</f>
        <v>0</v>
      </c>
    </row>
    <row r="754" spans="1:22" ht="15" customHeight="1" x14ac:dyDescent="0.25">
      <c r="A754" s="123">
        <f>Procurement_Raw!A754</f>
        <v>45823</v>
      </c>
      <c r="B754" t="str">
        <f>TRIM(Procurement_Raw!B754)</f>
        <v>S008</v>
      </c>
      <c r="C754" t="str">
        <f>Procurement_Raw!C754</f>
        <v>Leicester Care &amp; Education Centre</v>
      </c>
      <c r="D754" t="str">
        <f>Procurement_Raw!D754</f>
        <v>Midlands</v>
      </c>
      <c r="E754" t="str">
        <f>IF(TRIM(Procurement_Raw!E754)="","",IFERROR(INDEX(Supplier_Lookup!$A$2:$A$25,MATCH(TRIM(Procurement_Raw!E754),Supplier_Lookup!$A$2:$A$25,0)),TRIM(Procurement_Raw!E754)))</f>
        <v>ClinEquip</v>
      </c>
      <c r="F754" t="str">
        <f>IFERROR(INDEX(Category_Targets!$A$2:$A$9,MATCH(TRIM(Procurement_Raw!F754),Category_Targets!$A$2:$A$9,0)),"Unmapped")</f>
        <v>Medical Supplies</v>
      </c>
      <c r="G754" t="str">
        <f>TRIM(Procurement_Raw!G754)</f>
        <v>INV-2025-00753</v>
      </c>
      <c r="H754" s="77">
        <f>Procurement_Raw!H754</f>
        <v>14</v>
      </c>
      <c r="I754" s="124">
        <f>Procurement_Raw!I754</f>
        <v>70.16</v>
      </c>
      <c r="J754" s="125">
        <f>IF(Procurement_Raw!J754="","",Procurement_Raw!J754)</f>
        <v>982.22</v>
      </c>
      <c r="K754" s="77">
        <f>Procurement_Raw!K754</f>
        <v>60</v>
      </c>
      <c r="L754" t="str">
        <f>Procurement_Raw!L754</f>
        <v>Legacy Spend File</v>
      </c>
      <c r="M754" t="str">
        <f>Procurement_Raw!O754</f>
        <v>N</v>
      </c>
      <c r="N754" t="str">
        <f>IF(E754="","Missing supplier",IF(B754="","Missing site",IF(J754="","Missing spend",IF(COUNTIFS($G$2:G754,G754,$E$2:E754,E754,$J$2:J754,J754)&gt;1,"Duplicate invoice",IF(COUNTIF($G$2:$G$1801,G754)&gt;1,"Duplicate ID - review",IF(AND(P754&lt;&gt;"Unmapped",P754&lt;&gt;F754),"Category mismatch","OK"))))))</f>
        <v>OK</v>
      </c>
      <c r="O754" s="125">
        <f t="shared" si="33"/>
        <v>982.22</v>
      </c>
      <c r="P754" t="str">
        <f>IF(E754="","Unmapped",IFERROR(INDEX(Supplier_Lookup!$B$2:$B$25,MATCH(E754,Supplier_Lookup!$A$2:$A$25,0)),"Unmapped"))</f>
        <v>Medical Supplies</v>
      </c>
      <c r="Q754" s="76">
        <f>IFERROR(INDEX(Category_Targets!$B$2:$B$9,MATCH(F754,Category_Targets!$A$2:$A$9,0)),0)</f>
        <v>0.06</v>
      </c>
      <c r="R754" s="125">
        <f t="shared" si="34"/>
        <v>58.933199999999999</v>
      </c>
      <c r="S754" s="78">
        <f t="shared" si="35"/>
        <v>45809</v>
      </c>
      <c r="T754" t="str">
        <f>IFERROR(VLOOKUP(B754,Sites!$A$2:$D$21,4,FALSE()),"Unknown")</f>
        <v>Leicester</v>
      </c>
      <c r="U754" t="str">
        <f>IF(N754="OK","",COUNTIF($N$2:N754,"&lt;&gt;OK"))</f>
        <v/>
      </c>
      <c r="V754">
        <f>IF(OR(NOT(EXACT(E754,TRIM(Procurement_Raw!E754))),NOT(EXACT(F754,TRIM(Procurement_Raw!F754)))),1,0)</f>
        <v>0</v>
      </c>
    </row>
    <row r="755" spans="1:22" ht="15" customHeight="1" x14ac:dyDescent="0.25">
      <c r="A755" s="123">
        <f>Procurement_Raw!A755</f>
        <v>45792</v>
      </c>
      <c r="B755" t="str">
        <f>TRIM(Procurement_Raw!B755)</f>
        <v>S006</v>
      </c>
      <c r="C755" t="str">
        <f>Procurement_Raw!C755</f>
        <v>Birmingham Care &amp; Education Centre</v>
      </c>
      <c r="D755" t="str">
        <f>Procurement_Raw!D755</f>
        <v>Midlands</v>
      </c>
      <c r="E755" t="str">
        <f>IF(TRIM(Procurement_Raw!E755)="","",IFERROR(INDEX(Supplier_Lookup!$A$2:$A$25,MATCH(TRIM(Procurement_Raw!E755),Supplier_Lookup!$A$2:$A$25,0)),TRIM(Procurement_Raw!E755)))</f>
        <v>NetServe</v>
      </c>
      <c r="F755" t="str">
        <f>IFERROR(INDEX(Category_Targets!$A$2:$A$9,MATCH(TRIM(Procurement_Raw!F755),Category_Targets!$A$2:$A$9,0)),"Unmapped")</f>
        <v>IT &amp; Telecoms</v>
      </c>
      <c r="G755" t="str">
        <f>TRIM(Procurement_Raw!G755)</f>
        <v>INV-2025-00754</v>
      </c>
      <c r="H755" s="77">
        <f>Procurement_Raw!H755</f>
        <v>75</v>
      </c>
      <c r="I755" s="124">
        <f>Procurement_Raw!I755</f>
        <v>392.73</v>
      </c>
      <c r="J755" s="125">
        <f>IF(Procurement_Raw!J755="","",Procurement_Raw!J755)</f>
        <v>29454.99</v>
      </c>
      <c r="K755" s="77">
        <f>Procurement_Raw!K755</f>
        <v>60</v>
      </c>
      <c r="L755" t="str">
        <f>Procurement_Raw!L755</f>
        <v>Legacy Spend File</v>
      </c>
      <c r="M755" t="str">
        <f>Procurement_Raw!O755</f>
        <v>N</v>
      </c>
      <c r="N755" t="str">
        <f>IF(E755="","Missing supplier",IF(B755="","Missing site",IF(J755="","Missing spend",IF(COUNTIFS($G$2:G755,G755,$E$2:E755,E755,$J$2:J755,J755)&gt;1,"Duplicate invoice",IF(COUNTIF($G$2:$G$1801,G755)&gt;1,"Duplicate ID - review",IF(AND(P755&lt;&gt;"Unmapped",P755&lt;&gt;F755),"Category mismatch","OK"))))))</f>
        <v>OK</v>
      </c>
      <c r="O755" s="125">
        <f t="shared" si="33"/>
        <v>29454.99</v>
      </c>
      <c r="P755" t="str">
        <f>IF(E755="","Unmapped",IFERROR(INDEX(Supplier_Lookup!$B$2:$B$25,MATCH(E755,Supplier_Lookup!$A$2:$A$25,0)),"Unmapped"))</f>
        <v>IT &amp; Telecoms</v>
      </c>
      <c r="Q755" s="76">
        <f>IFERROR(INDEX(Category_Targets!$B$2:$B$9,MATCH(F755,Category_Targets!$A$2:$A$9,0)),0)</f>
        <v>0.08</v>
      </c>
      <c r="R755" s="125">
        <f t="shared" si="34"/>
        <v>2356.3992000000003</v>
      </c>
      <c r="S755" s="78">
        <f t="shared" si="35"/>
        <v>45778</v>
      </c>
      <c r="T755" t="str">
        <f>IFERROR(VLOOKUP(B755,Sites!$A$2:$D$21,4,FALSE()),"Unknown")</f>
        <v>Birmingham</v>
      </c>
      <c r="U755" t="str">
        <f>IF(N755="OK","",COUNTIF($N$2:N755,"&lt;&gt;OK"))</f>
        <v/>
      </c>
      <c r="V755">
        <f>IF(OR(NOT(EXACT(E755,TRIM(Procurement_Raw!E755))),NOT(EXACT(F755,TRIM(Procurement_Raw!F755)))),1,0)</f>
        <v>0</v>
      </c>
    </row>
    <row r="756" spans="1:22" ht="15" customHeight="1" x14ac:dyDescent="0.25">
      <c r="A756" s="123">
        <f>Procurement_Raw!A756</f>
        <v>45851</v>
      </c>
      <c r="B756" t="str">
        <f>TRIM(Procurement_Raw!B756)</f>
        <v>S017</v>
      </c>
      <c r="C756" t="str">
        <f>Procurement_Raw!C756</f>
        <v>Swansea Care &amp; Education Centre</v>
      </c>
      <c r="D756" t="str">
        <f>Procurement_Raw!D756</f>
        <v>Wales</v>
      </c>
      <c r="E756" t="str">
        <f>IF(TRIM(Procurement_Raw!E756)="","",IFERROR(INDEX(Supplier_Lookup!$A$2:$A$25,MATCH(TRIM(Procurement_Raw!E756),Supplier_Lookup!$A$2:$A$25,0)),TRIM(Procurement_Raw!E756)))</f>
        <v>NurseLink</v>
      </c>
      <c r="F756" t="str">
        <f>IFERROR(INDEX(Category_Targets!$A$2:$A$9,MATCH(TRIM(Procurement_Raw!F756),Category_Targets!$A$2:$A$9,0)),"Unmapped")</f>
        <v>Agency Labour</v>
      </c>
      <c r="G756" t="str">
        <f>TRIM(Procurement_Raw!G756)</f>
        <v>INV-2025-00755</v>
      </c>
      <c r="H756" s="77">
        <f>Procurement_Raw!H756</f>
        <v>47</v>
      </c>
      <c r="I756" s="124">
        <f>Procurement_Raw!I756</f>
        <v>177.97</v>
      </c>
      <c r="J756" s="125">
        <f>IF(Procurement_Raw!J756="","",Procurement_Raw!J756)</f>
        <v>8364.57</v>
      </c>
      <c r="K756" s="77">
        <f>Procurement_Raw!K756</f>
        <v>60</v>
      </c>
      <c r="L756" t="str">
        <f>Procurement_Raw!L756</f>
        <v>Legacy Spend File</v>
      </c>
      <c r="M756" t="str">
        <f>Procurement_Raw!O756</f>
        <v>N</v>
      </c>
      <c r="N756" t="str">
        <f>IF(E756="","Missing supplier",IF(B756="","Missing site",IF(J756="","Missing spend",IF(COUNTIFS($G$2:G756,G756,$E$2:E756,E756,$J$2:J756,J756)&gt;1,"Duplicate invoice",IF(COUNTIF($G$2:$G$1801,G756)&gt;1,"Duplicate ID - review",IF(AND(P756&lt;&gt;"Unmapped",P756&lt;&gt;F756),"Category mismatch","OK"))))))</f>
        <v>OK</v>
      </c>
      <c r="O756" s="125">
        <f t="shared" si="33"/>
        <v>8364.57</v>
      </c>
      <c r="P756" t="str">
        <f>IF(E756="","Unmapped",IFERROR(INDEX(Supplier_Lookup!$B$2:$B$25,MATCH(E756,Supplier_Lookup!$A$2:$A$25,0)),"Unmapped"))</f>
        <v>Agency Labour</v>
      </c>
      <c r="Q756" s="76">
        <f>IFERROR(INDEX(Category_Targets!$B$2:$B$9,MATCH(F756,Category_Targets!$A$2:$A$9,0)),0)</f>
        <v>7.0000000000000007E-2</v>
      </c>
      <c r="R756" s="125">
        <f t="shared" si="34"/>
        <v>585.51990000000001</v>
      </c>
      <c r="S756" s="78">
        <f t="shared" si="35"/>
        <v>45839</v>
      </c>
      <c r="T756" t="str">
        <f>IFERROR(VLOOKUP(B756,Sites!$A$2:$D$21,4,FALSE()),"Unknown")</f>
        <v>Swansea</v>
      </c>
      <c r="U756" t="str">
        <f>IF(N756="OK","",COUNTIF($N$2:N756,"&lt;&gt;OK"))</f>
        <v/>
      </c>
      <c r="V756">
        <f>IF(OR(NOT(EXACT(E756,TRIM(Procurement_Raw!E756))),NOT(EXACT(F756,TRIM(Procurement_Raw!F756)))),1,0)</f>
        <v>0</v>
      </c>
    </row>
    <row r="757" spans="1:22" ht="15" customHeight="1" x14ac:dyDescent="0.25">
      <c r="A757" s="123">
        <f>Procurement_Raw!A757</f>
        <v>45772</v>
      </c>
      <c r="B757" t="str">
        <f>TRIM(Procurement_Raw!B757)</f>
        <v>S012</v>
      </c>
      <c r="C757" t="str">
        <f>Procurement_Raw!C757</f>
        <v>Bristol Care &amp; Education Centre</v>
      </c>
      <c r="D757" t="str">
        <f>Procurement_Raw!D757</f>
        <v>South</v>
      </c>
      <c r="E757" t="str">
        <f>IF(TRIM(Procurement_Raw!E757)="","",IFERROR(INDEX(Supplier_Lookup!$A$2:$A$25,MATCH(TRIM(Procurement_Raw!E757),Supplier_Lookup!$A$2:$A$25,0)),TRIM(Procurement_Raw!E757)))</f>
        <v>TeleCare IT</v>
      </c>
      <c r="F757" t="str">
        <f>IFERROR(INDEX(Category_Targets!$A$2:$A$9,MATCH(TRIM(Procurement_Raw!F757),Category_Targets!$A$2:$A$9,0)),"Unmapped")</f>
        <v>IT &amp; Telecoms</v>
      </c>
      <c r="G757" t="str">
        <f>TRIM(Procurement_Raw!G757)</f>
        <v>INV-2025-00756</v>
      </c>
      <c r="H757" s="77">
        <f>Procurement_Raw!H757</f>
        <v>67</v>
      </c>
      <c r="I757" s="124">
        <f>Procurement_Raw!I757</f>
        <v>935.83</v>
      </c>
      <c r="J757" s="125">
        <f>IF(Procurement_Raw!J757="","",Procurement_Raw!J757)</f>
        <v>62700.85</v>
      </c>
      <c r="K757" s="77">
        <f>Procurement_Raw!K757</f>
        <v>45</v>
      </c>
      <c r="L757" t="str">
        <f>Procurement_Raw!L757</f>
        <v>Procurement Portal</v>
      </c>
      <c r="M757" t="str">
        <f>Procurement_Raw!O757</f>
        <v>N</v>
      </c>
      <c r="N757" t="str">
        <f>IF(E757="","Missing supplier",IF(B757="","Missing site",IF(J757="","Missing spend",IF(COUNTIFS($G$2:G757,G757,$E$2:E757,E757,$J$2:J757,J757)&gt;1,"Duplicate invoice",IF(COUNTIF($G$2:$G$1801,G757)&gt;1,"Duplicate ID - review",IF(AND(P757&lt;&gt;"Unmapped",P757&lt;&gt;F757),"Category mismatch","OK"))))))</f>
        <v>OK</v>
      </c>
      <c r="O757" s="125">
        <f t="shared" si="33"/>
        <v>62700.85</v>
      </c>
      <c r="P757" t="str">
        <f>IF(E757="","Unmapped",IFERROR(INDEX(Supplier_Lookup!$B$2:$B$25,MATCH(E757,Supplier_Lookup!$A$2:$A$25,0)),"Unmapped"))</f>
        <v>IT &amp; Telecoms</v>
      </c>
      <c r="Q757" s="76">
        <f>IFERROR(INDEX(Category_Targets!$B$2:$B$9,MATCH(F757,Category_Targets!$A$2:$A$9,0)),0)</f>
        <v>0.08</v>
      </c>
      <c r="R757" s="125">
        <f t="shared" si="34"/>
        <v>5016.0680000000002</v>
      </c>
      <c r="S757" s="78">
        <f t="shared" si="35"/>
        <v>45748</v>
      </c>
      <c r="T757" t="str">
        <f>IFERROR(VLOOKUP(B757,Sites!$A$2:$D$21,4,FALSE()),"Unknown")</f>
        <v>Bristol</v>
      </c>
      <c r="U757" t="str">
        <f>IF(N757="OK","",COUNTIF($N$2:N757,"&lt;&gt;OK"))</f>
        <v/>
      </c>
      <c r="V757">
        <f>IF(OR(NOT(EXACT(E757,TRIM(Procurement_Raw!E757))),NOT(EXACT(F757,TRIM(Procurement_Raw!F757)))),1,0)</f>
        <v>0</v>
      </c>
    </row>
    <row r="758" spans="1:22" ht="15" customHeight="1" x14ac:dyDescent="0.25">
      <c r="A758" s="123">
        <f>Procurement_Raw!A758</f>
        <v>45967</v>
      </c>
      <c r="B758" t="str">
        <f>TRIM(Procurement_Raw!B758)</f>
        <v>S011</v>
      </c>
      <c r="C758" t="str">
        <f>Procurement_Raw!C758</f>
        <v>London Care &amp; Education Centre</v>
      </c>
      <c r="D758" t="str">
        <f>Procurement_Raw!D758</f>
        <v>South</v>
      </c>
      <c r="E758" t="str">
        <f>IF(TRIM(Procurement_Raw!E758)="","",IFERROR(INDEX(Supplier_Lookup!$A$2:$A$25,MATCH(TRIM(Procurement_Raw!E758),Supplier_Lookup!$A$2:$A$25,0)),TRIM(Procurement_Raw!E758)))</f>
        <v>LearnWell</v>
      </c>
      <c r="F758" t="str">
        <f>IFERROR(INDEX(Category_Targets!$A$2:$A$9,MATCH(TRIM(Procurement_Raw!F758),Category_Targets!$A$2:$A$9,0)),"Unmapped")</f>
        <v>Office &amp; Training</v>
      </c>
      <c r="G758" t="str">
        <f>TRIM(Procurement_Raw!G758)</f>
        <v>INV-2025-00757</v>
      </c>
      <c r="H758" s="77">
        <f>Procurement_Raw!H758</f>
        <v>1</v>
      </c>
      <c r="I758" s="124">
        <f>Procurement_Raw!I758</f>
        <v>98.38</v>
      </c>
      <c r="J758" s="125">
        <f>IF(Procurement_Raw!J758="","",Procurement_Raw!J758)</f>
        <v>98.38</v>
      </c>
      <c r="K758" s="77">
        <f>Procurement_Raw!K758</f>
        <v>60</v>
      </c>
      <c r="L758" t="str">
        <f>Procurement_Raw!L758</f>
        <v>ERP</v>
      </c>
      <c r="M758" t="str">
        <f>Procurement_Raw!O758</f>
        <v>N</v>
      </c>
      <c r="N758" t="str">
        <f>IF(E758="","Missing supplier",IF(B758="","Missing site",IF(J758="","Missing spend",IF(COUNTIFS($G$2:G758,G758,$E$2:E758,E758,$J$2:J758,J758)&gt;1,"Duplicate invoice",IF(COUNTIF($G$2:$G$1801,G758)&gt;1,"Duplicate ID - review",IF(AND(P758&lt;&gt;"Unmapped",P758&lt;&gt;F758),"Category mismatch","OK"))))))</f>
        <v>OK</v>
      </c>
      <c r="O758" s="125">
        <f t="shared" si="33"/>
        <v>98.38</v>
      </c>
      <c r="P758" t="str">
        <f>IF(E758="","Unmapped",IFERROR(INDEX(Supplier_Lookup!$B$2:$B$25,MATCH(E758,Supplier_Lookup!$A$2:$A$25,0)),"Unmapped"))</f>
        <v>Office &amp; Training</v>
      </c>
      <c r="Q758" s="76">
        <f>IFERROR(INDEX(Category_Targets!$B$2:$B$9,MATCH(F758,Category_Targets!$A$2:$A$9,0)),0)</f>
        <v>0.04</v>
      </c>
      <c r="R758" s="125">
        <f t="shared" si="34"/>
        <v>3.9352</v>
      </c>
      <c r="S758" s="78">
        <f t="shared" si="35"/>
        <v>45962</v>
      </c>
      <c r="T758" t="str">
        <f>IFERROR(VLOOKUP(B758,Sites!$A$2:$D$21,4,FALSE()),"Unknown")</f>
        <v>London</v>
      </c>
      <c r="U758" t="str">
        <f>IF(N758="OK","",COUNTIF($N$2:N758,"&lt;&gt;OK"))</f>
        <v/>
      </c>
      <c r="V758">
        <f>IF(OR(NOT(EXACT(E758,TRIM(Procurement_Raw!E758))),NOT(EXACT(F758,TRIM(Procurement_Raw!F758)))),1,0)</f>
        <v>0</v>
      </c>
    </row>
    <row r="759" spans="1:22" ht="15" customHeight="1" x14ac:dyDescent="0.25">
      <c r="A759" s="123">
        <f>Procurement_Raw!A759</f>
        <v>45697</v>
      </c>
      <c r="B759" t="str">
        <f>TRIM(Procurement_Raw!B759)</f>
        <v>S010</v>
      </c>
      <c r="C759" t="str">
        <f>Procurement_Raw!C759</f>
        <v>Coventry Care &amp; Education Centre</v>
      </c>
      <c r="D759" t="str">
        <f>Procurement_Raw!D759</f>
        <v>Midlands</v>
      </c>
      <c r="E759" t="str">
        <f>IF(TRIM(Procurement_Raw!E759)="","",IFERROR(INDEX(Supplier_Lookup!$A$2:$A$25,MATCH(TRIM(Procurement_Raw!E759),Supplier_Lookup!$A$2:$A$25,0)),TRIM(Procurement_Raw!E759)))</f>
        <v>CleanWorks</v>
      </c>
      <c r="F759" t="str">
        <f>IFERROR(INDEX(Category_Targets!$A$2:$A$9,MATCH(TRIM(Procurement_Raw!F759),Category_Targets!$A$2:$A$9,0)),"Unmapped")</f>
        <v>Facilities</v>
      </c>
      <c r="G759" t="str">
        <f>TRIM(Procurement_Raw!G759)</f>
        <v>INV-2025-00758</v>
      </c>
      <c r="H759" s="77">
        <f>Procurement_Raw!H759</f>
        <v>66</v>
      </c>
      <c r="I759" s="124">
        <f>Procurement_Raw!I759</f>
        <v>199.26</v>
      </c>
      <c r="J759" s="125">
        <f>IF(Procurement_Raw!J759="","",Procurement_Raw!J759)</f>
        <v>13151.24</v>
      </c>
      <c r="K759" s="77">
        <f>Procurement_Raw!K759</f>
        <v>60</v>
      </c>
      <c r="L759" t="str">
        <f>Procurement_Raw!L759</f>
        <v>Procurement Portal</v>
      </c>
      <c r="M759" t="str">
        <f>Procurement_Raw!O759</f>
        <v>Y</v>
      </c>
      <c r="N759" t="str">
        <f>IF(E759="","Missing supplier",IF(B759="","Missing site",IF(J759="","Missing spend",IF(COUNTIFS($G$2:G759,G759,$E$2:E759,E759,$J$2:J759,J759)&gt;1,"Duplicate invoice",IF(COUNTIF($G$2:$G$1801,G759)&gt;1,"Duplicate ID - review",IF(AND(P759&lt;&gt;"Unmapped",P759&lt;&gt;F759),"Category mismatch","OK"))))))</f>
        <v>OK</v>
      </c>
      <c r="O759" s="125">
        <f t="shared" si="33"/>
        <v>13151.24</v>
      </c>
      <c r="P759" t="str">
        <f>IF(E759="","Unmapped",IFERROR(INDEX(Supplier_Lookup!$B$2:$B$25,MATCH(E759,Supplier_Lookup!$A$2:$A$25,0)),"Unmapped"))</f>
        <v>Facilities</v>
      </c>
      <c r="Q759" s="76">
        <f>IFERROR(INDEX(Category_Targets!$B$2:$B$9,MATCH(F759,Category_Targets!$A$2:$A$9,0)),0)</f>
        <v>0.05</v>
      </c>
      <c r="R759" s="125">
        <f t="shared" si="34"/>
        <v>657.56200000000001</v>
      </c>
      <c r="S759" s="78">
        <f t="shared" si="35"/>
        <v>45689</v>
      </c>
      <c r="T759" t="str">
        <f>IFERROR(VLOOKUP(B759,Sites!$A$2:$D$21,4,FALSE()),"Unknown")</f>
        <v>Coventry</v>
      </c>
      <c r="U759" t="str">
        <f>IF(N759="OK","",COUNTIF($N$2:N759,"&lt;&gt;OK"))</f>
        <v/>
      </c>
      <c r="V759">
        <f>IF(OR(NOT(EXACT(E759,TRIM(Procurement_Raw!E759))),NOT(EXACT(F759,TRIM(Procurement_Raw!F759)))),1,0)</f>
        <v>0</v>
      </c>
    </row>
    <row r="760" spans="1:22" ht="15" customHeight="1" x14ac:dyDescent="0.25">
      <c r="A760" s="123">
        <f>Procurement_Raw!A760</f>
        <v>45738</v>
      </c>
      <c r="B760" t="str">
        <f>TRIM(Procurement_Raw!B760)</f>
        <v>S007</v>
      </c>
      <c r="C760" t="str">
        <f>Procurement_Raw!C760</f>
        <v>Nottingham Care &amp; Education Centre</v>
      </c>
      <c r="D760" t="str">
        <f>Procurement_Raw!D760</f>
        <v>Midlands</v>
      </c>
      <c r="E760" t="str">
        <f>IF(TRIM(Procurement_Raw!E760)="","",IFERROR(INDEX(Supplier_Lookup!$A$2:$A$25,MATCH(TRIM(Procurement_Raw!E760),Supplier_Lookup!$A$2:$A$25,0)),TRIM(Procurement_Raw!E760)))</f>
        <v>CleanWorks</v>
      </c>
      <c r="F760" t="str">
        <f>IFERROR(INDEX(Category_Targets!$A$2:$A$9,MATCH(TRIM(Procurement_Raw!F760),Category_Targets!$A$2:$A$9,0)),"Unmapped")</f>
        <v>Facilities</v>
      </c>
      <c r="G760" t="str">
        <f>TRIM(Procurement_Raw!G760)</f>
        <v>INV-2025-00759</v>
      </c>
      <c r="H760" s="77">
        <f>Procurement_Raw!H760</f>
        <v>47</v>
      </c>
      <c r="I760" s="124">
        <f>Procurement_Raw!I760</f>
        <v>112.26</v>
      </c>
      <c r="J760" s="125">
        <f>IF(Procurement_Raw!J760="","",Procurement_Raw!J760)</f>
        <v>5276.44</v>
      </c>
      <c r="K760" s="77">
        <f>Procurement_Raw!K760</f>
        <v>60</v>
      </c>
      <c r="L760" t="str">
        <f>Procurement_Raw!L760</f>
        <v>Legacy Spend File</v>
      </c>
      <c r="M760" t="str">
        <f>Procurement_Raw!O760</f>
        <v>Y</v>
      </c>
      <c r="N760" t="str">
        <f>IF(E760="","Missing supplier",IF(B760="","Missing site",IF(J760="","Missing spend",IF(COUNTIFS($G$2:G760,G760,$E$2:E760,E760,$J$2:J760,J760)&gt;1,"Duplicate invoice",IF(COUNTIF($G$2:$G$1801,G760)&gt;1,"Duplicate ID - review",IF(AND(P760&lt;&gt;"Unmapped",P760&lt;&gt;F760),"Category mismatch","OK"))))))</f>
        <v>OK</v>
      </c>
      <c r="O760" s="125">
        <f t="shared" si="33"/>
        <v>5276.44</v>
      </c>
      <c r="P760" t="str">
        <f>IF(E760="","Unmapped",IFERROR(INDEX(Supplier_Lookup!$B$2:$B$25,MATCH(E760,Supplier_Lookup!$A$2:$A$25,0)),"Unmapped"))</f>
        <v>Facilities</v>
      </c>
      <c r="Q760" s="76">
        <f>IFERROR(INDEX(Category_Targets!$B$2:$B$9,MATCH(F760,Category_Targets!$A$2:$A$9,0)),0)</f>
        <v>0.05</v>
      </c>
      <c r="R760" s="125">
        <f t="shared" si="34"/>
        <v>263.822</v>
      </c>
      <c r="S760" s="78">
        <f t="shared" si="35"/>
        <v>45717</v>
      </c>
      <c r="T760" t="str">
        <f>IFERROR(VLOOKUP(B760,Sites!$A$2:$D$21,4,FALSE()),"Unknown")</f>
        <v>Nottingham</v>
      </c>
      <c r="U760" t="str">
        <f>IF(N760="OK","",COUNTIF($N$2:N760,"&lt;&gt;OK"))</f>
        <v/>
      </c>
      <c r="V760">
        <f>IF(OR(NOT(EXACT(E760,TRIM(Procurement_Raw!E760))),NOT(EXACT(F760,TRIM(Procurement_Raw!F760)))),1,0)</f>
        <v>0</v>
      </c>
    </row>
    <row r="761" spans="1:22" ht="15" customHeight="1" x14ac:dyDescent="0.25">
      <c r="A761" s="123">
        <f>Procurement_Raw!A761</f>
        <v>45827</v>
      </c>
      <c r="B761" t="str">
        <f>TRIM(Procurement_Raw!B761)</f>
        <v>S014</v>
      </c>
      <c r="C761" t="str">
        <f>Procurement_Raw!C761</f>
        <v>Southampton Care &amp; Education Centre</v>
      </c>
      <c r="D761" t="str">
        <f>Procurement_Raw!D761</f>
        <v>South</v>
      </c>
      <c r="E761" t="str">
        <f>IF(TRIM(Procurement_Raw!E761)="","",IFERROR(INDEX(Supplier_Lookup!$A$2:$A$25,MATCH(TRIM(Procurement_Raw!E761),Supplier_Lookup!$A$2:$A$25,0)),TRIM(Procurement_Raw!E761)))</f>
        <v>WaterGrid</v>
      </c>
      <c r="F761" t="str">
        <f>IFERROR(INDEX(Category_Targets!$A$2:$A$9,MATCH(TRIM(Procurement_Raw!F761),Category_Targets!$A$2:$A$9,0)),"Unmapped")</f>
        <v>Utilities</v>
      </c>
      <c r="G761" t="str">
        <f>TRIM(Procurement_Raw!G761)</f>
        <v>INV-2025-00760</v>
      </c>
      <c r="H761" s="77">
        <f>Procurement_Raw!H761</f>
        <v>15</v>
      </c>
      <c r="I761" s="124">
        <f>Procurement_Raw!I761</f>
        <v>367.47</v>
      </c>
      <c r="J761" s="125">
        <f>IF(Procurement_Raw!J761="","",Procurement_Raw!J761)</f>
        <v>5511.99</v>
      </c>
      <c r="K761" s="77">
        <f>Procurement_Raw!K761</f>
        <v>45</v>
      </c>
      <c r="L761" t="str">
        <f>Procurement_Raw!L761</f>
        <v>Legacy Spend File</v>
      </c>
      <c r="M761" t="str">
        <f>Procurement_Raw!O761</f>
        <v>N</v>
      </c>
      <c r="N761" t="str">
        <f>IF(E761="","Missing supplier",IF(B761="","Missing site",IF(J761="","Missing spend",IF(COUNTIFS($G$2:G761,G761,$E$2:E761,E761,$J$2:J761,J761)&gt;1,"Duplicate invoice",IF(COUNTIF($G$2:$G$1801,G761)&gt;1,"Duplicate ID - review",IF(AND(P761&lt;&gt;"Unmapped",P761&lt;&gt;F761),"Category mismatch","OK"))))))</f>
        <v>OK</v>
      </c>
      <c r="O761" s="125">
        <f t="shared" si="33"/>
        <v>5511.99</v>
      </c>
      <c r="P761" t="str">
        <f>IF(E761="","Unmapped",IFERROR(INDEX(Supplier_Lookup!$B$2:$B$25,MATCH(E761,Supplier_Lookup!$A$2:$A$25,0)),"Unmapped"))</f>
        <v>Utilities</v>
      </c>
      <c r="Q761" s="76">
        <f>IFERROR(INDEX(Category_Targets!$B$2:$B$9,MATCH(F761,Category_Targets!$A$2:$A$9,0)),0)</f>
        <v>0.03</v>
      </c>
      <c r="R761" s="125">
        <f t="shared" si="34"/>
        <v>165.35969999999998</v>
      </c>
      <c r="S761" s="78">
        <f t="shared" si="35"/>
        <v>45809</v>
      </c>
      <c r="T761" t="str">
        <f>IFERROR(VLOOKUP(B761,Sites!$A$2:$D$21,4,FALSE()),"Unknown")</f>
        <v>Southampton</v>
      </c>
      <c r="U761" t="str">
        <f>IF(N761="OK","",COUNTIF($N$2:N761,"&lt;&gt;OK"))</f>
        <v/>
      </c>
      <c r="V761">
        <f>IF(OR(NOT(EXACT(E761,TRIM(Procurement_Raw!E761))),NOT(EXACT(F761,TRIM(Procurement_Raw!F761)))),1,0)</f>
        <v>0</v>
      </c>
    </row>
    <row r="762" spans="1:22" ht="15" customHeight="1" x14ac:dyDescent="0.25">
      <c r="A762" s="123">
        <f>Procurement_Raw!A762</f>
        <v>45960</v>
      </c>
      <c r="B762" t="str">
        <f>TRIM(Procurement_Raw!B762)</f>
        <v>S004</v>
      </c>
      <c r="C762" t="str">
        <f>Procurement_Raw!C762</f>
        <v>Newcastle Care &amp; Education Centre</v>
      </c>
      <c r="D762" t="str">
        <f>Procurement_Raw!D762</f>
        <v>North</v>
      </c>
      <c r="E762" t="str">
        <f>IF(TRIM(Procurement_Raw!E762)="","",IFERROR(INDEX(Supplier_Lookup!$A$2:$A$25,MATCH(TRIM(Procurement_Raw!E762),Supplier_Lookup!$A$2:$A$25,0)),TRIM(Procurement_Raw!E762)))</f>
        <v>OfficePlus</v>
      </c>
      <c r="F762" t="str">
        <f>IFERROR(INDEX(Category_Targets!$A$2:$A$9,MATCH(TRIM(Procurement_Raw!F762),Category_Targets!$A$2:$A$9,0)),"Unmapped")</f>
        <v>Office &amp; Training</v>
      </c>
      <c r="G762" t="str">
        <f>TRIM(Procurement_Raw!G762)</f>
        <v>INV-2025-00761</v>
      </c>
      <c r="H762" s="77">
        <f>Procurement_Raw!H762</f>
        <v>21</v>
      </c>
      <c r="I762" s="124">
        <f>Procurement_Raw!I762</f>
        <v>54.65</v>
      </c>
      <c r="J762" s="125">
        <f>IF(Procurement_Raw!J762="","",Procurement_Raw!J762)</f>
        <v>1147.58</v>
      </c>
      <c r="K762" s="77">
        <f>Procurement_Raw!K762</f>
        <v>60</v>
      </c>
      <c r="L762" t="str">
        <f>Procurement_Raw!L762</f>
        <v>Procurement Portal</v>
      </c>
      <c r="M762" t="str">
        <f>Procurement_Raw!O762</f>
        <v>N</v>
      </c>
      <c r="N762" t="str">
        <f>IF(E762="","Missing supplier",IF(B762="","Missing site",IF(J762="","Missing spend",IF(COUNTIFS($G$2:G762,G762,$E$2:E762,E762,$J$2:J762,J762)&gt;1,"Duplicate invoice",IF(COUNTIF($G$2:$G$1801,G762)&gt;1,"Duplicate ID - review",IF(AND(P762&lt;&gt;"Unmapped",P762&lt;&gt;F762),"Category mismatch","OK"))))))</f>
        <v>OK</v>
      </c>
      <c r="O762" s="125">
        <f t="shared" si="33"/>
        <v>1147.58</v>
      </c>
      <c r="P762" t="str">
        <f>IF(E762="","Unmapped",IFERROR(INDEX(Supplier_Lookup!$B$2:$B$25,MATCH(E762,Supplier_Lookup!$A$2:$A$25,0)),"Unmapped"))</f>
        <v>Office &amp; Training</v>
      </c>
      <c r="Q762" s="76">
        <f>IFERROR(INDEX(Category_Targets!$B$2:$B$9,MATCH(F762,Category_Targets!$A$2:$A$9,0)),0)</f>
        <v>0.04</v>
      </c>
      <c r="R762" s="125">
        <f t="shared" si="34"/>
        <v>45.903199999999998</v>
      </c>
      <c r="S762" s="78">
        <f t="shared" si="35"/>
        <v>45931</v>
      </c>
      <c r="T762" t="str">
        <f>IFERROR(VLOOKUP(B762,Sites!$A$2:$D$21,4,FALSE()),"Unknown")</f>
        <v>Newcastle</v>
      </c>
      <c r="U762" t="str">
        <f>IF(N762="OK","",COUNTIF($N$2:N762,"&lt;&gt;OK"))</f>
        <v/>
      </c>
      <c r="V762">
        <f>IF(OR(NOT(EXACT(E762,TRIM(Procurement_Raw!E762))),NOT(EXACT(F762,TRIM(Procurement_Raw!F762)))),1,0)</f>
        <v>0</v>
      </c>
    </row>
    <row r="763" spans="1:22" ht="15" customHeight="1" x14ac:dyDescent="0.25">
      <c r="A763" s="123">
        <f>Procurement_Raw!A763</f>
        <v>45723</v>
      </c>
      <c r="B763" t="str">
        <f>TRIM(Procurement_Raw!B763)</f>
        <v>S013</v>
      </c>
      <c r="C763" t="str">
        <f>Procurement_Raw!C763</f>
        <v>Reading Care &amp; Education Centre</v>
      </c>
      <c r="D763" t="str">
        <f>Procurement_Raw!D763</f>
        <v>South</v>
      </c>
      <c r="E763" t="str">
        <f>IF(TRIM(Procurement_Raw!E763)="","",IFERROR(INDEX(Supplier_Lookup!$A$2:$A$25,MATCH(TRIM(Procurement_Raw!E763),Supplier_Lookup!$A$2:$A$25,0)),TRIM(Procurement_Raw!E763)))</f>
        <v>UK Energy Partners</v>
      </c>
      <c r="F763" t="str">
        <f>IFERROR(INDEX(Category_Targets!$A$2:$A$9,MATCH(TRIM(Procurement_Raw!F763),Category_Targets!$A$2:$A$9,0)),"Unmapped")</f>
        <v>Utilities</v>
      </c>
      <c r="G763" t="str">
        <f>TRIM(Procurement_Raw!G763)</f>
        <v>INV-2025-00762</v>
      </c>
      <c r="H763" s="77">
        <f>Procurement_Raw!H763</f>
        <v>74</v>
      </c>
      <c r="I763" s="124">
        <f>Procurement_Raw!I763</f>
        <v>267.35000000000002</v>
      </c>
      <c r="J763" s="125">
        <f>IF(Procurement_Raw!J763="","",Procurement_Raw!J763)</f>
        <v>19784.05</v>
      </c>
      <c r="K763" s="77">
        <f>Procurement_Raw!K763</f>
        <v>60</v>
      </c>
      <c r="L763" t="str">
        <f>Procurement_Raw!L763</f>
        <v>ERP</v>
      </c>
      <c r="M763" t="str">
        <f>Procurement_Raw!O763</f>
        <v>N</v>
      </c>
      <c r="N763" t="str">
        <f>IF(E763="","Missing supplier",IF(B763="","Missing site",IF(J763="","Missing spend",IF(COUNTIFS($G$2:G763,G763,$E$2:E763,E763,$J$2:J763,J763)&gt;1,"Duplicate invoice",IF(COUNTIF($G$2:$G$1801,G763)&gt;1,"Duplicate ID - review",IF(AND(P763&lt;&gt;"Unmapped",P763&lt;&gt;F763),"Category mismatch","OK"))))))</f>
        <v>OK</v>
      </c>
      <c r="O763" s="125">
        <f t="shared" si="33"/>
        <v>19784.05</v>
      </c>
      <c r="P763" t="str">
        <f>IF(E763="","Unmapped",IFERROR(INDEX(Supplier_Lookup!$B$2:$B$25,MATCH(E763,Supplier_Lookup!$A$2:$A$25,0)),"Unmapped"))</f>
        <v>Utilities</v>
      </c>
      <c r="Q763" s="76">
        <f>IFERROR(INDEX(Category_Targets!$B$2:$B$9,MATCH(F763,Category_Targets!$A$2:$A$9,0)),0)</f>
        <v>0.03</v>
      </c>
      <c r="R763" s="125">
        <f t="shared" si="34"/>
        <v>593.52149999999995</v>
      </c>
      <c r="S763" s="78">
        <f t="shared" si="35"/>
        <v>45717</v>
      </c>
      <c r="T763" t="str">
        <f>IFERROR(VLOOKUP(B763,Sites!$A$2:$D$21,4,FALSE()),"Unknown")</f>
        <v>Reading</v>
      </c>
      <c r="U763" t="str">
        <f>IF(N763="OK","",COUNTIF($N$2:N763,"&lt;&gt;OK"))</f>
        <v/>
      </c>
      <c r="V763">
        <f>IF(OR(NOT(EXACT(E763,TRIM(Procurement_Raw!E763))),NOT(EXACT(F763,TRIM(Procurement_Raw!F763)))),1,0)</f>
        <v>0</v>
      </c>
    </row>
    <row r="764" spans="1:22" ht="15" customHeight="1" x14ac:dyDescent="0.25">
      <c r="A764" s="123">
        <f>Procurement_Raw!A764</f>
        <v>45733</v>
      </c>
      <c r="B764" t="str">
        <f>TRIM(Procurement_Raw!B764)</f>
        <v>S019</v>
      </c>
      <c r="C764" t="str">
        <f>Procurement_Raw!C764</f>
        <v>Wrexham Care &amp; Education Centre</v>
      </c>
      <c r="D764" t="str">
        <f>Procurement_Raw!D764</f>
        <v>Wales</v>
      </c>
      <c r="E764" t="str">
        <f>IF(TRIM(Procurement_Raw!E764)="","",IFERROR(INDEX(Supplier_Lookup!$A$2:$A$25,MATCH(TRIM(Procurement_Raw!E764),Supplier_Lookup!$A$2:$A$25,0)),TRIM(Procurement_Raw!E764)))</f>
        <v>ClinEquip</v>
      </c>
      <c r="F764" t="str">
        <f>IFERROR(INDEX(Category_Targets!$A$2:$A$9,MATCH(TRIM(Procurement_Raw!F764),Category_Targets!$A$2:$A$9,0)),"Unmapped")</f>
        <v>Medical Supplies</v>
      </c>
      <c r="G764" t="str">
        <f>TRIM(Procurement_Raw!G764)</f>
        <v>INV-2025-00763</v>
      </c>
      <c r="H764" s="77">
        <f>Procurement_Raw!H764</f>
        <v>8</v>
      </c>
      <c r="I764" s="124">
        <f>Procurement_Raw!I764</f>
        <v>490.56</v>
      </c>
      <c r="J764" s="125">
        <f>IF(Procurement_Raw!J764="","",Procurement_Raw!J764)</f>
        <v>3924.44</v>
      </c>
      <c r="K764" s="77">
        <f>Procurement_Raw!K764</f>
        <v>30</v>
      </c>
      <c r="L764" t="str">
        <f>Procurement_Raw!L764</f>
        <v>Procurement Portal</v>
      </c>
      <c r="M764" t="str">
        <f>Procurement_Raw!O764</f>
        <v>N</v>
      </c>
      <c r="N764" t="str">
        <f>IF(E764="","Missing supplier",IF(B764="","Missing site",IF(J764="","Missing spend",IF(COUNTIFS($G$2:G764,G764,$E$2:E764,E764,$J$2:J764,J764)&gt;1,"Duplicate invoice",IF(COUNTIF($G$2:$G$1801,G764)&gt;1,"Duplicate ID - review",IF(AND(P764&lt;&gt;"Unmapped",P764&lt;&gt;F764),"Category mismatch","OK"))))))</f>
        <v>OK</v>
      </c>
      <c r="O764" s="125">
        <f t="shared" si="33"/>
        <v>3924.44</v>
      </c>
      <c r="P764" t="str">
        <f>IF(E764="","Unmapped",IFERROR(INDEX(Supplier_Lookup!$B$2:$B$25,MATCH(E764,Supplier_Lookup!$A$2:$A$25,0)),"Unmapped"))</f>
        <v>Medical Supplies</v>
      </c>
      <c r="Q764" s="76">
        <f>IFERROR(INDEX(Category_Targets!$B$2:$B$9,MATCH(F764,Category_Targets!$A$2:$A$9,0)),0)</f>
        <v>0.06</v>
      </c>
      <c r="R764" s="125">
        <f t="shared" si="34"/>
        <v>235.46639999999999</v>
      </c>
      <c r="S764" s="78">
        <f t="shared" si="35"/>
        <v>45717</v>
      </c>
      <c r="T764" t="str">
        <f>IFERROR(VLOOKUP(B764,Sites!$A$2:$D$21,4,FALSE()),"Unknown")</f>
        <v>Wrexham</v>
      </c>
      <c r="U764" t="str">
        <f>IF(N764="OK","",COUNTIF($N$2:N764,"&lt;&gt;OK"))</f>
        <v/>
      </c>
      <c r="V764">
        <f>IF(OR(NOT(EXACT(E764,TRIM(Procurement_Raw!E764))),NOT(EXACT(F764,TRIM(Procurement_Raw!F764)))),1,0)</f>
        <v>0</v>
      </c>
    </row>
    <row r="765" spans="1:22" ht="15" customHeight="1" x14ac:dyDescent="0.25">
      <c r="A765" s="123">
        <f>Procurement_Raw!A765</f>
        <v>45946</v>
      </c>
      <c r="B765" t="str">
        <f>TRIM(Procurement_Raw!B765)</f>
        <v>S004</v>
      </c>
      <c r="C765" t="str">
        <f>Procurement_Raw!C765</f>
        <v>Newcastle Care &amp; Education Centre</v>
      </c>
      <c r="D765" t="str">
        <f>Procurement_Raw!D765</f>
        <v>North</v>
      </c>
      <c r="E765" t="str">
        <f>IF(TRIM(Procurement_Raw!E765)="","",IFERROR(INDEX(Supplier_Lookup!$A$2:$A$25,MATCH(TRIM(Procurement_Raw!E765),Supplier_Lookup!$A$2:$A$25,0)),TRIM(Procurement_Raw!E765)))</f>
        <v>NurseLink</v>
      </c>
      <c r="F765" t="str">
        <f>IFERROR(INDEX(Category_Targets!$A$2:$A$9,MATCH(TRIM(Procurement_Raw!F765),Category_Targets!$A$2:$A$9,0)),"Unmapped")</f>
        <v>Agency Labour</v>
      </c>
      <c r="G765" t="str">
        <f>TRIM(Procurement_Raw!G765)</f>
        <v>INV-2025-00764</v>
      </c>
      <c r="H765" s="77">
        <f>Procurement_Raw!H765</f>
        <v>3</v>
      </c>
      <c r="I765" s="124">
        <f>Procurement_Raw!I765</f>
        <v>284.56</v>
      </c>
      <c r="J765" s="125">
        <f>IF(Procurement_Raw!J765="","",Procurement_Raw!J765)</f>
        <v>853.68</v>
      </c>
      <c r="K765" s="77">
        <f>Procurement_Raw!K765</f>
        <v>60</v>
      </c>
      <c r="L765" t="str">
        <f>Procurement_Raw!L765</f>
        <v>Legacy Spend File</v>
      </c>
      <c r="M765" t="str">
        <f>Procurement_Raw!O765</f>
        <v>N</v>
      </c>
      <c r="N765" t="str">
        <f>IF(E765="","Missing supplier",IF(B765="","Missing site",IF(J765="","Missing spend",IF(COUNTIFS($G$2:G765,G765,$E$2:E765,E765,$J$2:J765,J765)&gt;1,"Duplicate invoice",IF(COUNTIF($G$2:$G$1801,G765)&gt;1,"Duplicate ID - review",IF(AND(P765&lt;&gt;"Unmapped",P765&lt;&gt;F765),"Category mismatch","OK"))))))</f>
        <v>OK</v>
      </c>
      <c r="O765" s="125">
        <f t="shared" si="33"/>
        <v>853.68</v>
      </c>
      <c r="P765" t="str">
        <f>IF(E765="","Unmapped",IFERROR(INDEX(Supplier_Lookup!$B$2:$B$25,MATCH(E765,Supplier_Lookup!$A$2:$A$25,0)),"Unmapped"))</f>
        <v>Agency Labour</v>
      </c>
      <c r="Q765" s="76">
        <f>IFERROR(INDEX(Category_Targets!$B$2:$B$9,MATCH(F765,Category_Targets!$A$2:$A$9,0)),0)</f>
        <v>7.0000000000000007E-2</v>
      </c>
      <c r="R765" s="125">
        <f t="shared" si="34"/>
        <v>59.757600000000004</v>
      </c>
      <c r="S765" s="78">
        <f t="shared" si="35"/>
        <v>45931</v>
      </c>
      <c r="T765" t="str">
        <f>IFERROR(VLOOKUP(B765,Sites!$A$2:$D$21,4,FALSE()),"Unknown")</f>
        <v>Newcastle</v>
      </c>
      <c r="U765" t="str">
        <f>IF(N765="OK","",COUNTIF($N$2:N765,"&lt;&gt;OK"))</f>
        <v/>
      </c>
      <c r="V765">
        <f>IF(OR(NOT(EXACT(E765,TRIM(Procurement_Raw!E765))),NOT(EXACT(F765,TRIM(Procurement_Raw!F765)))),1,0)</f>
        <v>0</v>
      </c>
    </row>
    <row r="766" spans="1:22" ht="15" customHeight="1" x14ac:dyDescent="0.25">
      <c r="A766" s="123">
        <f>Procurement_Raw!A766</f>
        <v>45768</v>
      </c>
      <c r="B766" t="str">
        <f>TRIM(Procurement_Raw!B766)</f>
        <v>S007</v>
      </c>
      <c r="C766" t="str">
        <f>Procurement_Raw!C766</f>
        <v>Nottingham Care &amp; Education Centre</v>
      </c>
      <c r="D766" t="str">
        <f>Procurement_Raw!D766</f>
        <v>Midlands</v>
      </c>
      <c r="E766" t="str">
        <f>IF(TRIM(Procurement_Raw!E766)="","",IFERROR(INDEX(Supplier_Lookup!$A$2:$A$25,MATCH(TRIM(Procurement_Raw!E766),Supplier_Lookup!$A$2:$A$25,0)),TRIM(Procurement_Raw!E766)))</f>
        <v>CloudLink</v>
      </c>
      <c r="F766" t="str">
        <f>IFERROR(INDEX(Category_Targets!$A$2:$A$9,MATCH(TRIM(Procurement_Raw!F766),Category_Targets!$A$2:$A$9,0)),"Unmapped")</f>
        <v>IT &amp; Telecoms</v>
      </c>
      <c r="G766" t="str">
        <f>TRIM(Procurement_Raw!G766)</f>
        <v>INV-2025-00765</v>
      </c>
      <c r="H766" s="77">
        <f>Procurement_Raw!H766</f>
        <v>58</v>
      </c>
      <c r="I766" s="124">
        <f>Procurement_Raw!I766</f>
        <v>413.94</v>
      </c>
      <c r="J766" s="125">
        <f>IF(Procurement_Raw!J766="","",Procurement_Raw!J766)</f>
        <v>24008.68</v>
      </c>
      <c r="K766" s="77">
        <f>Procurement_Raw!K766</f>
        <v>60</v>
      </c>
      <c r="L766" t="str">
        <f>Procurement_Raw!L766</f>
        <v>Procurement Portal</v>
      </c>
      <c r="M766" t="str">
        <f>Procurement_Raw!O766</f>
        <v>Y</v>
      </c>
      <c r="N766" t="str">
        <f>IF(E766="","Missing supplier",IF(B766="","Missing site",IF(J766="","Missing spend",IF(COUNTIFS($G$2:G766,G766,$E$2:E766,E766,$J$2:J766,J766)&gt;1,"Duplicate invoice",IF(COUNTIF($G$2:$G$1801,G766)&gt;1,"Duplicate ID - review",IF(AND(P766&lt;&gt;"Unmapped",P766&lt;&gt;F766),"Category mismatch","OK"))))))</f>
        <v>OK</v>
      </c>
      <c r="O766" s="125">
        <f t="shared" si="33"/>
        <v>24008.68</v>
      </c>
      <c r="P766" t="str">
        <f>IF(E766="","Unmapped",IFERROR(INDEX(Supplier_Lookup!$B$2:$B$25,MATCH(E766,Supplier_Lookup!$A$2:$A$25,0)),"Unmapped"))</f>
        <v>IT &amp; Telecoms</v>
      </c>
      <c r="Q766" s="76">
        <f>IFERROR(INDEX(Category_Targets!$B$2:$B$9,MATCH(F766,Category_Targets!$A$2:$A$9,0)),0)</f>
        <v>0.08</v>
      </c>
      <c r="R766" s="125">
        <f t="shared" si="34"/>
        <v>1920.6944000000001</v>
      </c>
      <c r="S766" s="78">
        <f t="shared" si="35"/>
        <v>45748</v>
      </c>
      <c r="T766" t="str">
        <f>IFERROR(VLOOKUP(B766,Sites!$A$2:$D$21,4,FALSE()),"Unknown")</f>
        <v>Nottingham</v>
      </c>
      <c r="U766" t="str">
        <f>IF(N766="OK","",COUNTIF($N$2:N766,"&lt;&gt;OK"))</f>
        <v/>
      </c>
      <c r="V766">
        <f>IF(OR(NOT(EXACT(E766,TRIM(Procurement_Raw!E766))),NOT(EXACT(F766,TRIM(Procurement_Raw!F766)))),1,0)</f>
        <v>0</v>
      </c>
    </row>
    <row r="767" spans="1:22" ht="15" customHeight="1" x14ac:dyDescent="0.25">
      <c r="A767" s="123">
        <f>Procurement_Raw!A767</f>
        <v>45868</v>
      </c>
      <c r="B767" t="str">
        <f>TRIM(Procurement_Raw!B767)</f>
        <v>S013</v>
      </c>
      <c r="C767" t="str">
        <f>Procurement_Raw!C767</f>
        <v>Reading Care &amp; Education Centre</v>
      </c>
      <c r="D767" t="str">
        <f>Procurement_Raw!D767</f>
        <v>South</v>
      </c>
      <c r="E767" t="str">
        <f>IF(TRIM(Procurement_Raw!E767)="","",IFERROR(INDEX(Supplier_Lookup!$A$2:$A$25,MATCH(TRIM(Procurement_Raw!E767),Supplier_Lookup!$A$2:$A$25,0)),TRIM(Procurement_Raw!E767)))</f>
        <v>CleanWorks</v>
      </c>
      <c r="F767" t="str">
        <f>IFERROR(INDEX(Category_Targets!$A$2:$A$9,MATCH(TRIM(Procurement_Raw!F767),Category_Targets!$A$2:$A$9,0)),"Unmapped")</f>
        <v>Facilities</v>
      </c>
      <c r="G767" t="str">
        <f>TRIM(Procurement_Raw!G767)</f>
        <v>INV-2025-00766</v>
      </c>
      <c r="H767" s="77">
        <f>Procurement_Raw!H767</f>
        <v>77</v>
      </c>
      <c r="I767" s="124">
        <f>Procurement_Raw!I767</f>
        <v>122.27</v>
      </c>
      <c r="J767" s="125">
        <f>IF(Procurement_Raw!J767="","",Procurement_Raw!J767)</f>
        <v>9414.58</v>
      </c>
      <c r="K767" s="77">
        <f>Procurement_Raw!K767</f>
        <v>30</v>
      </c>
      <c r="L767" t="str">
        <f>Procurement_Raw!L767</f>
        <v>Legacy Spend File</v>
      </c>
      <c r="M767" t="str">
        <f>Procurement_Raw!O767</f>
        <v>Y</v>
      </c>
      <c r="N767" t="str">
        <f>IF(E767="","Missing supplier",IF(B767="","Missing site",IF(J767="","Missing spend",IF(COUNTIFS($G$2:G767,G767,$E$2:E767,E767,$J$2:J767,J767)&gt;1,"Duplicate invoice",IF(COUNTIF($G$2:$G$1801,G767)&gt;1,"Duplicate ID - review",IF(AND(P767&lt;&gt;"Unmapped",P767&lt;&gt;F767),"Category mismatch","OK"))))))</f>
        <v>OK</v>
      </c>
      <c r="O767" s="125">
        <f t="shared" si="33"/>
        <v>9414.58</v>
      </c>
      <c r="P767" t="str">
        <f>IF(E767="","Unmapped",IFERROR(INDEX(Supplier_Lookup!$B$2:$B$25,MATCH(E767,Supplier_Lookup!$A$2:$A$25,0)),"Unmapped"))</f>
        <v>Facilities</v>
      </c>
      <c r="Q767" s="76">
        <f>IFERROR(INDEX(Category_Targets!$B$2:$B$9,MATCH(F767,Category_Targets!$A$2:$A$9,0)),0)</f>
        <v>0.05</v>
      </c>
      <c r="R767" s="125">
        <f t="shared" si="34"/>
        <v>470.72900000000004</v>
      </c>
      <c r="S767" s="78">
        <f t="shared" si="35"/>
        <v>45839</v>
      </c>
      <c r="T767" t="str">
        <f>IFERROR(VLOOKUP(B767,Sites!$A$2:$D$21,4,FALSE()),"Unknown")</f>
        <v>Reading</v>
      </c>
      <c r="U767" t="str">
        <f>IF(N767="OK","",COUNTIF($N$2:N767,"&lt;&gt;OK"))</f>
        <v/>
      </c>
      <c r="V767">
        <f>IF(OR(NOT(EXACT(E767,TRIM(Procurement_Raw!E767))),NOT(EXACT(F767,TRIM(Procurement_Raw!F767)))),1,0)</f>
        <v>0</v>
      </c>
    </row>
    <row r="768" spans="1:22" ht="15" customHeight="1" x14ac:dyDescent="0.25">
      <c r="A768" s="123">
        <f>Procurement_Raw!A768</f>
        <v>46009</v>
      </c>
      <c r="B768" t="str">
        <f>TRIM(Procurement_Raw!B768)</f>
        <v>S014</v>
      </c>
      <c r="C768" t="str">
        <f>Procurement_Raw!C768</f>
        <v>Southampton Care &amp; Education Centre</v>
      </c>
      <c r="D768" t="str">
        <f>Procurement_Raw!D768</f>
        <v>South</v>
      </c>
      <c r="E768" t="str">
        <f>IF(TRIM(Procurement_Raw!E768)="","",IFERROR(INDEX(Supplier_Lookup!$A$2:$A$25,MATCH(TRIM(Procurement_Raw!E768),Supplier_Lookup!$A$2:$A$25,0)),TRIM(Procurement_Raw!E768)))</f>
        <v>CloudLink</v>
      </c>
      <c r="F768" t="str">
        <f>IFERROR(INDEX(Category_Targets!$A$2:$A$9,MATCH(TRIM(Procurement_Raw!F768),Category_Targets!$A$2:$A$9,0)),"Unmapped")</f>
        <v>IT &amp; Telecoms</v>
      </c>
      <c r="G768" t="str">
        <f>TRIM(Procurement_Raw!G768)</f>
        <v>INV-2025-00767</v>
      </c>
      <c r="H768" s="77">
        <f>Procurement_Raw!H768</f>
        <v>44</v>
      </c>
      <c r="I768" s="124">
        <f>Procurement_Raw!I768</f>
        <v>215.81</v>
      </c>
      <c r="J768" s="125">
        <f>IF(Procurement_Raw!J768="","",Procurement_Raw!J768)</f>
        <v>9495.5</v>
      </c>
      <c r="K768" s="77">
        <f>Procurement_Raw!K768</f>
        <v>45</v>
      </c>
      <c r="L768" t="str">
        <f>Procurement_Raw!L768</f>
        <v>Legacy Spend File</v>
      </c>
      <c r="M768" t="str">
        <f>Procurement_Raw!O768</f>
        <v>Y</v>
      </c>
      <c r="N768" t="str">
        <f>IF(E768="","Missing supplier",IF(B768="","Missing site",IF(J768="","Missing spend",IF(COUNTIFS($G$2:G768,G768,$E$2:E768,E768,$J$2:J768,J768)&gt;1,"Duplicate invoice",IF(COUNTIF($G$2:$G$1801,G768)&gt;1,"Duplicate ID - review",IF(AND(P768&lt;&gt;"Unmapped",P768&lt;&gt;F768),"Category mismatch","OK"))))))</f>
        <v>OK</v>
      </c>
      <c r="O768" s="125">
        <f t="shared" si="33"/>
        <v>9495.5</v>
      </c>
      <c r="P768" t="str">
        <f>IF(E768="","Unmapped",IFERROR(INDEX(Supplier_Lookup!$B$2:$B$25,MATCH(E768,Supplier_Lookup!$A$2:$A$25,0)),"Unmapped"))</f>
        <v>IT &amp; Telecoms</v>
      </c>
      <c r="Q768" s="76">
        <f>IFERROR(INDEX(Category_Targets!$B$2:$B$9,MATCH(F768,Category_Targets!$A$2:$A$9,0)),0)</f>
        <v>0.08</v>
      </c>
      <c r="R768" s="125">
        <f t="shared" si="34"/>
        <v>759.64</v>
      </c>
      <c r="S768" s="78">
        <f t="shared" si="35"/>
        <v>45992</v>
      </c>
      <c r="T768" t="str">
        <f>IFERROR(VLOOKUP(B768,Sites!$A$2:$D$21,4,FALSE()),"Unknown")</f>
        <v>Southampton</v>
      </c>
      <c r="U768" t="str">
        <f>IF(N768="OK","",COUNTIF($N$2:N768,"&lt;&gt;OK"))</f>
        <v/>
      </c>
      <c r="V768">
        <f>IF(OR(NOT(EXACT(E768,TRIM(Procurement_Raw!E768))),NOT(EXACT(F768,TRIM(Procurement_Raw!F768)))),1,0)</f>
        <v>0</v>
      </c>
    </row>
    <row r="769" spans="1:22" ht="15" customHeight="1" x14ac:dyDescent="0.25">
      <c r="A769" s="123">
        <f>Procurement_Raw!A769</f>
        <v>45851</v>
      </c>
      <c r="B769" t="str">
        <f>TRIM(Procurement_Raw!B769)</f>
        <v>S012</v>
      </c>
      <c r="C769" t="str">
        <f>Procurement_Raw!C769</f>
        <v>Bristol Care &amp; Education Centre</v>
      </c>
      <c r="D769" t="str">
        <f>Procurement_Raw!D769</f>
        <v>South</v>
      </c>
      <c r="E769" t="str">
        <f>IF(TRIM(Procurement_Raw!E769)="","",IFERROR(INDEX(Supplier_Lookup!$A$2:$A$25,MATCH(TRIM(Procurement_Raw!E769),Supplier_Lookup!$A$2:$A$25,0)),TRIM(Procurement_Raw!E769)))</f>
        <v>FreshServe</v>
      </c>
      <c r="F769" t="str">
        <f>IFERROR(INDEX(Category_Targets!$A$2:$A$9,MATCH(TRIM(Procurement_Raw!F769),Category_Targets!$A$2:$A$9,0)),"Unmapped")</f>
        <v>Food &amp; Catering</v>
      </c>
      <c r="G769" t="str">
        <f>TRIM(Procurement_Raw!G769)</f>
        <v>INV-2025-00768</v>
      </c>
      <c r="H769" s="77">
        <f>Procurement_Raw!H769</f>
        <v>50</v>
      </c>
      <c r="I769" s="124">
        <f>Procurement_Raw!I769</f>
        <v>172.14</v>
      </c>
      <c r="J769" s="125">
        <f>IF(Procurement_Raw!J769="","",Procurement_Raw!J769)</f>
        <v>8607.17</v>
      </c>
      <c r="K769" s="77">
        <f>Procurement_Raw!K769</f>
        <v>30</v>
      </c>
      <c r="L769" t="str">
        <f>Procurement_Raw!L769</f>
        <v>ERP</v>
      </c>
      <c r="M769" t="str">
        <f>Procurement_Raw!O769</f>
        <v>Y</v>
      </c>
      <c r="N769" t="str">
        <f>IF(E769="","Missing supplier",IF(B769="","Missing site",IF(J769="","Missing spend",IF(COUNTIFS($G$2:G769,G769,$E$2:E769,E769,$J$2:J769,J769)&gt;1,"Duplicate invoice",IF(COUNTIF($G$2:$G$1801,G769)&gt;1,"Duplicate ID - review",IF(AND(P769&lt;&gt;"Unmapped",P769&lt;&gt;F769),"Category mismatch","OK"))))))</f>
        <v>OK</v>
      </c>
      <c r="O769" s="125">
        <f t="shared" si="33"/>
        <v>8607.17</v>
      </c>
      <c r="P769" t="str">
        <f>IF(E769="","Unmapped",IFERROR(INDEX(Supplier_Lookup!$B$2:$B$25,MATCH(E769,Supplier_Lookup!$A$2:$A$25,0)),"Unmapped"))</f>
        <v>Food &amp; Catering</v>
      </c>
      <c r="Q769" s="76">
        <f>IFERROR(INDEX(Category_Targets!$B$2:$B$9,MATCH(F769,Category_Targets!$A$2:$A$9,0)),0)</f>
        <v>0.04</v>
      </c>
      <c r="R769" s="125">
        <f t="shared" si="34"/>
        <v>344.28680000000003</v>
      </c>
      <c r="S769" s="78">
        <f t="shared" si="35"/>
        <v>45839</v>
      </c>
      <c r="T769" t="str">
        <f>IFERROR(VLOOKUP(B769,Sites!$A$2:$D$21,4,FALSE()),"Unknown")</f>
        <v>Bristol</v>
      </c>
      <c r="U769" t="str">
        <f>IF(N769="OK","",COUNTIF($N$2:N769,"&lt;&gt;OK"))</f>
        <v/>
      </c>
      <c r="V769">
        <f>IF(OR(NOT(EXACT(E769,TRIM(Procurement_Raw!E769))),NOT(EXACT(F769,TRIM(Procurement_Raw!F769)))),1,0)</f>
        <v>0</v>
      </c>
    </row>
    <row r="770" spans="1:22" ht="15" customHeight="1" x14ac:dyDescent="0.25">
      <c r="A770" s="123">
        <f>Procurement_Raw!A770</f>
        <v>45916</v>
      </c>
      <c r="B770" t="str">
        <f>TRIM(Procurement_Raw!B770)</f>
        <v>S020</v>
      </c>
      <c r="C770" t="str">
        <f>Procurement_Raw!C770</f>
        <v>Bangor Care &amp; Education Centre</v>
      </c>
      <c r="D770" t="str">
        <f>Procurement_Raw!D770</f>
        <v>Wales</v>
      </c>
      <c r="E770" t="str">
        <f>IF(TRIM(Procurement_Raw!E770)="","",IFERROR(INDEX(Supplier_Lookup!$A$2:$A$25,MATCH(TRIM(Procurement_Raw!E770),Supplier_Lookup!$A$2:$A$25,0)),TRIM(Procurement_Raw!E770)))</f>
        <v>PowerDirect</v>
      </c>
      <c r="F770" t="str">
        <f>IFERROR(INDEX(Category_Targets!$A$2:$A$9,MATCH(TRIM(Procurement_Raw!F770),Category_Targets!$A$2:$A$9,0)),"Unmapped")</f>
        <v>Utilities</v>
      </c>
      <c r="G770" t="str">
        <f>TRIM(Procurement_Raw!G770)</f>
        <v>INV-2025-00769</v>
      </c>
      <c r="H770" s="77">
        <f>Procurement_Raw!H770</f>
        <v>54</v>
      </c>
      <c r="I770" s="124">
        <f>Procurement_Raw!I770</f>
        <v>177.08</v>
      </c>
      <c r="J770" s="125">
        <f>IF(Procurement_Raw!J770="","",Procurement_Raw!J770)</f>
        <v>9562.58</v>
      </c>
      <c r="K770" s="77">
        <f>Procurement_Raw!K770</f>
        <v>30</v>
      </c>
      <c r="L770" t="str">
        <f>Procurement_Raw!L770</f>
        <v>Legacy Spend File</v>
      </c>
      <c r="M770" t="str">
        <f>Procurement_Raw!O770</f>
        <v>N</v>
      </c>
      <c r="N770" t="str">
        <f>IF(E770="","Missing supplier",IF(B770="","Missing site",IF(J770="","Missing spend",IF(COUNTIFS($G$2:G770,G770,$E$2:E770,E770,$J$2:J770,J770)&gt;1,"Duplicate invoice",IF(COUNTIF($G$2:$G$1801,G770)&gt;1,"Duplicate ID - review",IF(AND(P770&lt;&gt;"Unmapped",P770&lt;&gt;F770),"Category mismatch","OK"))))))</f>
        <v>OK</v>
      </c>
      <c r="O770" s="125">
        <f t="shared" ref="O770:O833" si="36">IF(OR(N770="Missing spend",N770="Duplicate invoice"),0,J770)</f>
        <v>9562.58</v>
      </c>
      <c r="P770" t="str">
        <f>IF(E770="","Unmapped",IFERROR(INDEX(Supplier_Lookup!$B$2:$B$25,MATCH(E770,Supplier_Lookup!$A$2:$A$25,0)),"Unmapped"))</f>
        <v>Utilities</v>
      </c>
      <c r="Q770" s="76">
        <f>IFERROR(INDEX(Category_Targets!$B$2:$B$9,MATCH(F770,Category_Targets!$A$2:$A$9,0)),0)</f>
        <v>0.03</v>
      </c>
      <c r="R770" s="125">
        <f t="shared" ref="R770:R833" si="37">O770*Q770</f>
        <v>286.87739999999997</v>
      </c>
      <c r="S770" s="78">
        <f t="shared" ref="S770:S833" si="38">DATE(YEAR(A770),MONTH(A770),1)</f>
        <v>45901</v>
      </c>
      <c r="T770" t="str">
        <f>IFERROR(VLOOKUP(B770,Sites!$A$2:$D$21,4,FALSE()),"Unknown")</f>
        <v>Bangor</v>
      </c>
      <c r="U770" t="str">
        <f>IF(N770="OK","",COUNTIF($N$2:N770,"&lt;&gt;OK"))</f>
        <v/>
      </c>
      <c r="V770">
        <f>IF(OR(NOT(EXACT(E770,TRIM(Procurement_Raw!E770))),NOT(EXACT(F770,TRIM(Procurement_Raw!F770)))),1,0)</f>
        <v>0</v>
      </c>
    </row>
    <row r="771" spans="1:22" ht="15" customHeight="1" x14ac:dyDescent="0.25">
      <c r="A771" s="123">
        <f>Procurement_Raw!A771</f>
        <v>45972</v>
      </c>
      <c r="B771" t="str">
        <f>TRIM(Procurement_Raw!B771)</f>
        <v>S012</v>
      </c>
      <c r="C771" t="str">
        <f>Procurement_Raw!C771</f>
        <v>Bristol Care &amp; Education Centre</v>
      </c>
      <c r="D771" t="str">
        <f>Procurement_Raw!D771</f>
        <v>South</v>
      </c>
      <c r="E771" t="str">
        <f>IF(TRIM(Procurement_Raw!E771)="","",IFERROR(INDEX(Supplier_Lookup!$A$2:$A$25,MATCH(TRIM(Procurement_Raw!E771),Supplier_Lookup!$A$2:$A$25,0)),TRIM(Procurement_Raw!E771)))</f>
        <v>SafeGuard FM</v>
      </c>
      <c r="F771" t="str">
        <f>IFERROR(INDEX(Category_Targets!$A$2:$A$9,MATCH(TRIM(Procurement_Raw!F771),Category_Targets!$A$2:$A$9,0)),"Unmapped")</f>
        <v>Facilities</v>
      </c>
      <c r="G771" t="str">
        <f>TRIM(Procurement_Raw!G771)</f>
        <v>INV-2025-00770</v>
      </c>
      <c r="H771" s="77">
        <f>Procurement_Raw!H771</f>
        <v>77</v>
      </c>
      <c r="I771" s="124">
        <f>Procurement_Raw!I771</f>
        <v>487.75</v>
      </c>
      <c r="J771" s="125">
        <f>IF(Procurement_Raw!J771="","",Procurement_Raw!J771)</f>
        <v>37556.769999999997</v>
      </c>
      <c r="K771" s="77">
        <f>Procurement_Raw!K771</f>
        <v>30</v>
      </c>
      <c r="L771" t="str">
        <f>Procurement_Raw!L771</f>
        <v>Legacy Spend File</v>
      </c>
      <c r="M771" t="str">
        <f>Procurement_Raw!O771</f>
        <v>N</v>
      </c>
      <c r="N771" t="str">
        <f>IF(E771="","Missing supplier",IF(B771="","Missing site",IF(J771="","Missing spend",IF(COUNTIFS($G$2:G771,G771,$E$2:E771,E771,$J$2:J771,J771)&gt;1,"Duplicate invoice",IF(COUNTIF($G$2:$G$1801,G771)&gt;1,"Duplicate ID - review",IF(AND(P771&lt;&gt;"Unmapped",P771&lt;&gt;F771),"Category mismatch","OK"))))))</f>
        <v>OK</v>
      </c>
      <c r="O771" s="125">
        <f t="shared" si="36"/>
        <v>37556.769999999997</v>
      </c>
      <c r="P771" t="str">
        <f>IF(E771="","Unmapped",IFERROR(INDEX(Supplier_Lookup!$B$2:$B$25,MATCH(E771,Supplier_Lookup!$A$2:$A$25,0)),"Unmapped"))</f>
        <v>Facilities</v>
      </c>
      <c r="Q771" s="76">
        <f>IFERROR(INDEX(Category_Targets!$B$2:$B$9,MATCH(F771,Category_Targets!$A$2:$A$9,0)),0)</f>
        <v>0.05</v>
      </c>
      <c r="R771" s="125">
        <f t="shared" si="37"/>
        <v>1877.8384999999998</v>
      </c>
      <c r="S771" s="78">
        <f t="shared" si="38"/>
        <v>45962</v>
      </c>
      <c r="T771" t="str">
        <f>IFERROR(VLOOKUP(B771,Sites!$A$2:$D$21,4,FALSE()),"Unknown")</f>
        <v>Bristol</v>
      </c>
      <c r="U771" t="str">
        <f>IF(N771="OK","",COUNTIF($N$2:N771,"&lt;&gt;OK"))</f>
        <v/>
      </c>
      <c r="V771">
        <f>IF(OR(NOT(EXACT(E771,TRIM(Procurement_Raw!E771))),NOT(EXACT(F771,TRIM(Procurement_Raw!F771)))),1,0)</f>
        <v>0</v>
      </c>
    </row>
    <row r="772" spans="1:22" ht="15" customHeight="1" x14ac:dyDescent="0.25">
      <c r="A772" s="123">
        <f>Procurement_Raw!A772</f>
        <v>45904</v>
      </c>
      <c r="B772" t="str">
        <f>TRIM(Procurement_Raw!B772)</f>
        <v>S003</v>
      </c>
      <c r="C772" t="str">
        <f>Procurement_Raw!C772</f>
        <v>Leeds Care &amp; Education Centre</v>
      </c>
      <c r="D772" t="str">
        <f>Procurement_Raw!D772</f>
        <v>North</v>
      </c>
      <c r="E772" t="str">
        <f>IF(TRIM(Procurement_Raw!E772)="","",IFERROR(INDEX(Supplier_Lookup!$A$2:$A$25,MATCH(TRIM(Procurement_Raw!E772),Supplier_Lookup!$A$2:$A$25,0)),TRIM(Procurement_Raw!E772)))</f>
        <v>FreshServe</v>
      </c>
      <c r="F772" t="str">
        <f>IFERROR(INDEX(Category_Targets!$A$2:$A$9,MATCH(TRIM(Procurement_Raw!F772),Category_Targets!$A$2:$A$9,0)),"Unmapped")</f>
        <v>Food &amp; Catering</v>
      </c>
      <c r="G772" t="str">
        <f>TRIM(Procurement_Raw!G772)</f>
        <v>INV-2025-00771</v>
      </c>
      <c r="H772" s="77">
        <f>Procurement_Raw!H772</f>
        <v>17</v>
      </c>
      <c r="I772" s="124">
        <f>Procurement_Raw!I772</f>
        <v>95.93</v>
      </c>
      <c r="J772" s="125">
        <f>IF(Procurement_Raw!J772="","",Procurement_Raw!J772)</f>
        <v>1630.86</v>
      </c>
      <c r="K772" s="77">
        <f>Procurement_Raw!K772</f>
        <v>60</v>
      </c>
      <c r="L772" t="str">
        <f>Procurement_Raw!L772</f>
        <v>Legacy Spend File</v>
      </c>
      <c r="M772" t="str">
        <f>Procurement_Raw!O772</f>
        <v>Y</v>
      </c>
      <c r="N772" t="str">
        <f>IF(E772="","Missing supplier",IF(B772="","Missing site",IF(J772="","Missing spend",IF(COUNTIFS($G$2:G772,G772,$E$2:E772,E772,$J$2:J772,J772)&gt;1,"Duplicate invoice",IF(COUNTIF($G$2:$G$1801,G772)&gt;1,"Duplicate ID - review",IF(AND(P772&lt;&gt;"Unmapped",P772&lt;&gt;F772),"Category mismatch","OK"))))))</f>
        <v>OK</v>
      </c>
      <c r="O772" s="125">
        <f t="shared" si="36"/>
        <v>1630.86</v>
      </c>
      <c r="P772" t="str">
        <f>IF(E772="","Unmapped",IFERROR(INDEX(Supplier_Lookup!$B$2:$B$25,MATCH(E772,Supplier_Lookup!$A$2:$A$25,0)),"Unmapped"))</f>
        <v>Food &amp; Catering</v>
      </c>
      <c r="Q772" s="76">
        <f>IFERROR(INDEX(Category_Targets!$B$2:$B$9,MATCH(F772,Category_Targets!$A$2:$A$9,0)),0)</f>
        <v>0.04</v>
      </c>
      <c r="R772" s="125">
        <f t="shared" si="37"/>
        <v>65.234399999999994</v>
      </c>
      <c r="S772" s="78">
        <f t="shared" si="38"/>
        <v>45901</v>
      </c>
      <c r="T772" t="str">
        <f>IFERROR(VLOOKUP(B772,Sites!$A$2:$D$21,4,FALSE()),"Unknown")</f>
        <v>Leeds</v>
      </c>
      <c r="U772" t="str">
        <f>IF(N772="OK","",COUNTIF($N$2:N772,"&lt;&gt;OK"))</f>
        <v/>
      </c>
      <c r="V772">
        <f>IF(OR(NOT(EXACT(E772,TRIM(Procurement_Raw!E772))),NOT(EXACT(F772,TRIM(Procurement_Raw!F772)))),1,0)</f>
        <v>0</v>
      </c>
    </row>
    <row r="773" spans="1:22" ht="15" customHeight="1" x14ac:dyDescent="0.25">
      <c r="A773" s="123">
        <f>Procurement_Raw!A773</f>
        <v>45873</v>
      </c>
      <c r="B773" t="str">
        <f>TRIM(Procurement_Raw!B773)</f>
        <v>S002</v>
      </c>
      <c r="C773" t="str">
        <f>Procurement_Raw!C773</f>
        <v>Manchester Care &amp; Education Centre</v>
      </c>
      <c r="D773" t="str">
        <f>Procurement_Raw!D773</f>
        <v>North</v>
      </c>
      <c r="E773" t="str">
        <f>IF(TRIM(Procurement_Raw!E773)="","",IFERROR(INDEX(Supplier_Lookup!$A$2:$A$25,MATCH(TRIM(Procurement_Raw!E773),Supplier_Lookup!$A$2:$A$25,0)),TRIM(Procurement_Raw!E773)))</f>
        <v>NurseLink</v>
      </c>
      <c r="F773" t="str">
        <f>IFERROR(INDEX(Category_Targets!$A$2:$A$9,MATCH(TRIM(Procurement_Raw!F773),Category_Targets!$A$2:$A$9,0)),"Unmapped")</f>
        <v>Agency Labour</v>
      </c>
      <c r="G773" t="str">
        <f>TRIM(Procurement_Raw!G773)</f>
        <v>INV-2025-00772</v>
      </c>
      <c r="H773" s="77">
        <f>Procurement_Raw!H773</f>
        <v>48</v>
      </c>
      <c r="I773" s="124">
        <f>Procurement_Raw!I773</f>
        <v>220.18</v>
      </c>
      <c r="J773" s="125">
        <f>IF(Procurement_Raw!J773="","",Procurement_Raw!J773)</f>
        <v>10568.43</v>
      </c>
      <c r="K773" s="77">
        <f>Procurement_Raw!K773</f>
        <v>30</v>
      </c>
      <c r="L773" t="str">
        <f>Procurement_Raw!L773</f>
        <v>Legacy Spend File</v>
      </c>
      <c r="M773" t="str">
        <f>Procurement_Raw!O773</f>
        <v>N</v>
      </c>
      <c r="N773" t="str">
        <f>IF(E773="","Missing supplier",IF(B773="","Missing site",IF(J773="","Missing spend",IF(COUNTIFS($G$2:G773,G773,$E$2:E773,E773,$J$2:J773,J773)&gt;1,"Duplicate invoice",IF(COUNTIF($G$2:$G$1801,G773)&gt;1,"Duplicate ID - review",IF(AND(P773&lt;&gt;"Unmapped",P773&lt;&gt;F773),"Category mismatch","OK"))))))</f>
        <v>OK</v>
      </c>
      <c r="O773" s="125">
        <f t="shared" si="36"/>
        <v>10568.43</v>
      </c>
      <c r="P773" t="str">
        <f>IF(E773="","Unmapped",IFERROR(INDEX(Supplier_Lookup!$B$2:$B$25,MATCH(E773,Supplier_Lookup!$A$2:$A$25,0)),"Unmapped"))</f>
        <v>Agency Labour</v>
      </c>
      <c r="Q773" s="76">
        <f>IFERROR(INDEX(Category_Targets!$B$2:$B$9,MATCH(F773,Category_Targets!$A$2:$A$9,0)),0)</f>
        <v>7.0000000000000007E-2</v>
      </c>
      <c r="R773" s="125">
        <f t="shared" si="37"/>
        <v>739.79010000000005</v>
      </c>
      <c r="S773" s="78">
        <f t="shared" si="38"/>
        <v>45870</v>
      </c>
      <c r="T773" t="str">
        <f>IFERROR(VLOOKUP(B773,Sites!$A$2:$D$21,4,FALSE()),"Unknown")</f>
        <v>Manchester</v>
      </c>
      <c r="U773" t="str">
        <f>IF(N773="OK","",COUNTIF($N$2:N773,"&lt;&gt;OK"))</f>
        <v/>
      </c>
      <c r="V773">
        <f>IF(OR(NOT(EXACT(E773,TRIM(Procurement_Raw!E773))),NOT(EXACT(F773,TRIM(Procurement_Raw!F773)))),1,0)</f>
        <v>0</v>
      </c>
    </row>
    <row r="774" spans="1:22" ht="15" customHeight="1" x14ac:dyDescent="0.25">
      <c r="A774" s="123">
        <f>Procurement_Raw!A774</f>
        <v>45904</v>
      </c>
      <c r="B774" t="str">
        <f>TRIM(Procurement_Raw!B774)</f>
        <v>S020</v>
      </c>
      <c r="C774" t="str">
        <f>Procurement_Raw!C774</f>
        <v>Bangor Care &amp; Education Centre</v>
      </c>
      <c r="D774" t="str">
        <f>Procurement_Raw!D774</f>
        <v>Wales</v>
      </c>
      <c r="E774" t="str">
        <f>IF(TRIM(Procurement_Raw!E774)="","",IFERROR(INDEX(Supplier_Lookup!$A$2:$A$25,MATCH(TRIM(Procurement_Raw!E774),Supplier_Lookup!$A$2:$A$25,0)),TRIM(Procurement_Raw!E774)))</f>
        <v>HealthStaffing</v>
      </c>
      <c r="F774" t="str">
        <f>IFERROR(INDEX(Category_Targets!$A$2:$A$9,MATCH(TRIM(Procurement_Raw!F774),Category_Targets!$A$2:$A$9,0)),"Unmapped")</f>
        <v>Agency Labour</v>
      </c>
      <c r="G774" t="str">
        <f>TRIM(Procurement_Raw!G774)</f>
        <v>INV-2025-00773</v>
      </c>
      <c r="H774" s="77">
        <f>Procurement_Raw!H774</f>
        <v>49</v>
      </c>
      <c r="I774" s="124">
        <f>Procurement_Raw!I774</f>
        <v>424.8</v>
      </c>
      <c r="J774" s="125">
        <f>IF(Procurement_Raw!J774="","",Procurement_Raw!J774)</f>
        <v>20814.96</v>
      </c>
      <c r="K774" s="77">
        <f>Procurement_Raw!K774</f>
        <v>45</v>
      </c>
      <c r="L774" t="str">
        <f>Procurement_Raw!L774</f>
        <v>Legacy Spend File</v>
      </c>
      <c r="M774" t="str">
        <f>Procurement_Raw!O774</f>
        <v>N</v>
      </c>
      <c r="N774" t="str">
        <f>IF(E774="","Missing supplier",IF(B774="","Missing site",IF(J774="","Missing spend",IF(COUNTIFS($G$2:G774,G774,$E$2:E774,E774,$J$2:J774,J774)&gt;1,"Duplicate invoice",IF(COUNTIF($G$2:$G$1801,G774)&gt;1,"Duplicate ID - review",IF(AND(P774&lt;&gt;"Unmapped",P774&lt;&gt;F774),"Category mismatch","OK"))))))</f>
        <v>OK</v>
      </c>
      <c r="O774" s="125">
        <f t="shared" si="36"/>
        <v>20814.96</v>
      </c>
      <c r="P774" t="str">
        <f>IF(E774="","Unmapped",IFERROR(INDEX(Supplier_Lookup!$B$2:$B$25,MATCH(E774,Supplier_Lookup!$A$2:$A$25,0)),"Unmapped"))</f>
        <v>Agency Labour</v>
      </c>
      <c r="Q774" s="76">
        <f>IFERROR(INDEX(Category_Targets!$B$2:$B$9,MATCH(F774,Category_Targets!$A$2:$A$9,0)),0)</f>
        <v>7.0000000000000007E-2</v>
      </c>
      <c r="R774" s="125">
        <f t="shared" si="37"/>
        <v>1457.0472</v>
      </c>
      <c r="S774" s="78">
        <f t="shared" si="38"/>
        <v>45901</v>
      </c>
      <c r="T774" t="str">
        <f>IFERROR(VLOOKUP(B774,Sites!$A$2:$D$21,4,FALSE()),"Unknown")</f>
        <v>Bangor</v>
      </c>
      <c r="U774" t="str">
        <f>IF(N774="OK","",COUNTIF($N$2:N774,"&lt;&gt;OK"))</f>
        <v/>
      </c>
      <c r="V774">
        <f>IF(OR(NOT(EXACT(E774,TRIM(Procurement_Raw!E774))),NOT(EXACT(F774,TRIM(Procurement_Raw!F774)))),1,0)</f>
        <v>0</v>
      </c>
    </row>
    <row r="775" spans="1:22" ht="15" customHeight="1" x14ac:dyDescent="0.25">
      <c r="A775" s="123">
        <f>Procurement_Raw!A775</f>
        <v>45726</v>
      </c>
      <c r="B775" t="str">
        <f>TRIM(Procurement_Raw!B775)</f>
        <v>S005</v>
      </c>
      <c r="C775" t="str">
        <f>Procurement_Raw!C775</f>
        <v>Sheffield Care &amp; Education Centre</v>
      </c>
      <c r="D775" t="str">
        <f>Procurement_Raw!D775</f>
        <v>North</v>
      </c>
      <c r="E775" t="str">
        <f>IF(TRIM(Procurement_Raw!E775)="","",IFERROR(INDEX(Supplier_Lookup!$A$2:$A$25,MATCH(TRIM(Procurement_Raw!E775),Supplier_Lookup!$A$2:$A$25,0)),TRIM(Procurement_Raw!E775)))</f>
        <v>NourishCo</v>
      </c>
      <c r="F775" t="str">
        <f>IFERROR(INDEX(Category_Targets!$A$2:$A$9,MATCH(TRIM(Procurement_Raw!F775),Category_Targets!$A$2:$A$9,0)),"Unmapped")</f>
        <v>Food &amp; Catering</v>
      </c>
      <c r="G775" t="str">
        <f>TRIM(Procurement_Raw!G775)</f>
        <v>INV-2025-00774</v>
      </c>
      <c r="H775" s="77">
        <f>Procurement_Raw!H775</f>
        <v>33</v>
      </c>
      <c r="I775" s="124">
        <f>Procurement_Raw!I775</f>
        <v>110.97</v>
      </c>
      <c r="J775" s="125">
        <f>IF(Procurement_Raw!J775="","",Procurement_Raw!J775)</f>
        <v>3662.13</v>
      </c>
      <c r="K775" s="77">
        <f>Procurement_Raw!K775</f>
        <v>45</v>
      </c>
      <c r="L775" t="str">
        <f>Procurement_Raw!L775</f>
        <v>ERP</v>
      </c>
      <c r="M775" t="str">
        <f>Procurement_Raw!O775</f>
        <v>N</v>
      </c>
      <c r="N775" t="str">
        <f>IF(E775="","Missing supplier",IF(B775="","Missing site",IF(J775="","Missing spend",IF(COUNTIFS($G$2:G775,G775,$E$2:E775,E775,$J$2:J775,J775)&gt;1,"Duplicate invoice",IF(COUNTIF($G$2:$G$1801,G775)&gt;1,"Duplicate ID - review",IF(AND(P775&lt;&gt;"Unmapped",P775&lt;&gt;F775),"Category mismatch","OK"))))))</f>
        <v>OK</v>
      </c>
      <c r="O775" s="125">
        <f t="shared" si="36"/>
        <v>3662.13</v>
      </c>
      <c r="P775" t="str">
        <f>IF(E775="","Unmapped",IFERROR(INDEX(Supplier_Lookup!$B$2:$B$25,MATCH(E775,Supplier_Lookup!$A$2:$A$25,0)),"Unmapped"))</f>
        <v>Food &amp; Catering</v>
      </c>
      <c r="Q775" s="76">
        <f>IFERROR(INDEX(Category_Targets!$B$2:$B$9,MATCH(F775,Category_Targets!$A$2:$A$9,0)),0)</f>
        <v>0.04</v>
      </c>
      <c r="R775" s="125">
        <f t="shared" si="37"/>
        <v>146.48520000000002</v>
      </c>
      <c r="S775" s="78">
        <f t="shared" si="38"/>
        <v>45717</v>
      </c>
      <c r="T775" t="str">
        <f>IFERROR(VLOOKUP(B775,Sites!$A$2:$D$21,4,FALSE()),"Unknown")</f>
        <v>Sheffield</v>
      </c>
      <c r="U775" t="str">
        <f>IF(N775="OK","",COUNTIF($N$2:N775,"&lt;&gt;OK"))</f>
        <v/>
      </c>
      <c r="V775">
        <f>IF(OR(NOT(EXACT(E775,TRIM(Procurement_Raw!E775))),NOT(EXACT(F775,TRIM(Procurement_Raw!F775)))),1,0)</f>
        <v>0</v>
      </c>
    </row>
    <row r="776" spans="1:22" ht="15" customHeight="1" x14ac:dyDescent="0.25">
      <c r="A776" s="123">
        <f>Procurement_Raw!A776</f>
        <v>45936</v>
      </c>
      <c r="B776" t="str">
        <f>TRIM(Procurement_Raw!B776)</f>
        <v>S001</v>
      </c>
      <c r="C776" t="str">
        <f>Procurement_Raw!C776</f>
        <v>Preston Care &amp; Education Centre</v>
      </c>
      <c r="D776" t="str">
        <f>Procurement_Raw!D776</f>
        <v>North</v>
      </c>
      <c r="E776" t="str">
        <f>IF(TRIM(Procurement_Raw!E776)="","",IFERROR(INDEX(Supplier_Lookup!$A$2:$A$25,MATCH(TRIM(Procurement_Raw!E776),Supplier_Lookup!$A$2:$A$25,0)),TRIM(Procurement_Raw!E776)))</f>
        <v>NetServe</v>
      </c>
      <c r="F776" t="str">
        <f>IFERROR(INDEX(Category_Targets!$A$2:$A$9,MATCH(TRIM(Procurement_Raw!F776),Category_Targets!$A$2:$A$9,0)),"Unmapped")</f>
        <v>IT &amp; Telecoms</v>
      </c>
      <c r="G776" t="str">
        <f>TRIM(Procurement_Raw!G776)</f>
        <v>INV-2025-00775</v>
      </c>
      <c r="H776" s="77">
        <f>Procurement_Raw!H776</f>
        <v>53</v>
      </c>
      <c r="I776" s="124">
        <f>Procurement_Raw!I776</f>
        <v>309.70999999999998</v>
      </c>
      <c r="J776" s="125">
        <f>IF(Procurement_Raw!J776="","",Procurement_Raw!J776)</f>
        <v>16414.41</v>
      </c>
      <c r="K776" s="77">
        <f>Procurement_Raw!K776</f>
        <v>45</v>
      </c>
      <c r="L776" t="str">
        <f>Procurement_Raw!L776</f>
        <v>ERP</v>
      </c>
      <c r="M776" t="str">
        <f>Procurement_Raw!O776</f>
        <v>N</v>
      </c>
      <c r="N776" t="str">
        <f>IF(E776="","Missing supplier",IF(B776="","Missing site",IF(J776="","Missing spend",IF(COUNTIFS($G$2:G776,G776,$E$2:E776,E776,$J$2:J776,J776)&gt;1,"Duplicate invoice",IF(COUNTIF($G$2:$G$1801,G776)&gt;1,"Duplicate ID - review",IF(AND(P776&lt;&gt;"Unmapped",P776&lt;&gt;F776),"Category mismatch","OK"))))))</f>
        <v>OK</v>
      </c>
      <c r="O776" s="125">
        <f t="shared" si="36"/>
        <v>16414.41</v>
      </c>
      <c r="P776" t="str">
        <f>IF(E776="","Unmapped",IFERROR(INDEX(Supplier_Lookup!$B$2:$B$25,MATCH(E776,Supplier_Lookup!$A$2:$A$25,0)),"Unmapped"))</f>
        <v>IT &amp; Telecoms</v>
      </c>
      <c r="Q776" s="76">
        <f>IFERROR(INDEX(Category_Targets!$B$2:$B$9,MATCH(F776,Category_Targets!$A$2:$A$9,0)),0)</f>
        <v>0.08</v>
      </c>
      <c r="R776" s="125">
        <f t="shared" si="37"/>
        <v>1313.1528000000001</v>
      </c>
      <c r="S776" s="78">
        <f t="shared" si="38"/>
        <v>45931</v>
      </c>
      <c r="T776" t="str">
        <f>IFERROR(VLOOKUP(B776,Sites!$A$2:$D$21,4,FALSE()),"Unknown")</f>
        <v>Preston</v>
      </c>
      <c r="U776" t="str">
        <f>IF(N776="OK","",COUNTIF($N$2:N776,"&lt;&gt;OK"))</f>
        <v/>
      </c>
      <c r="V776">
        <f>IF(OR(NOT(EXACT(E776,TRIM(Procurement_Raw!E776))),NOT(EXACT(F776,TRIM(Procurement_Raw!F776)))),1,0)</f>
        <v>0</v>
      </c>
    </row>
    <row r="777" spans="1:22" ht="15" customHeight="1" x14ac:dyDescent="0.25">
      <c r="A777" s="123">
        <f>Procurement_Raw!A777</f>
        <v>45925</v>
      </c>
      <c r="B777" t="str">
        <f>TRIM(Procurement_Raw!B777)</f>
        <v>S001</v>
      </c>
      <c r="C777" t="str">
        <f>Procurement_Raw!C777</f>
        <v>Preston Care &amp; Education Centre</v>
      </c>
      <c r="D777" t="str">
        <f>Procurement_Raw!D777</f>
        <v>North</v>
      </c>
      <c r="E777" t="str">
        <f>IF(TRIM(Procurement_Raw!E777)="","",IFERROR(INDEX(Supplier_Lookup!$A$2:$A$25,MATCH(TRIM(Procurement_Raw!E777),Supplier_Lookup!$A$2:$A$25,0)),TRIM(Procurement_Raw!E777)))</f>
        <v>ClinEquip</v>
      </c>
      <c r="F777" t="str">
        <f>IFERROR(INDEX(Category_Targets!$A$2:$A$9,MATCH(TRIM(Procurement_Raw!F777),Category_Targets!$A$2:$A$9,0)),"Unmapped")</f>
        <v>Medical Supplies</v>
      </c>
      <c r="G777" t="str">
        <f>TRIM(Procurement_Raw!G777)</f>
        <v>INV-2025-00776</v>
      </c>
      <c r="H777" s="77">
        <f>Procurement_Raw!H777</f>
        <v>16</v>
      </c>
      <c r="I777" s="124">
        <f>Procurement_Raw!I777</f>
        <v>50.6</v>
      </c>
      <c r="J777" s="125">
        <f>IF(Procurement_Raw!J777="","",Procurement_Raw!J777)</f>
        <v>809.53</v>
      </c>
      <c r="K777" s="77">
        <f>Procurement_Raw!K777</f>
        <v>60</v>
      </c>
      <c r="L777" t="str">
        <f>Procurement_Raw!L777</f>
        <v>ERP</v>
      </c>
      <c r="M777" t="str">
        <f>Procurement_Raw!O777</f>
        <v>N</v>
      </c>
      <c r="N777" t="str">
        <f>IF(E777="","Missing supplier",IF(B777="","Missing site",IF(J777="","Missing spend",IF(COUNTIFS($G$2:G777,G777,$E$2:E777,E777,$J$2:J777,J777)&gt;1,"Duplicate invoice",IF(COUNTIF($G$2:$G$1801,G777)&gt;1,"Duplicate ID - review",IF(AND(P777&lt;&gt;"Unmapped",P777&lt;&gt;F777),"Category mismatch","OK"))))))</f>
        <v>OK</v>
      </c>
      <c r="O777" s="125">
        <f t="shared" si="36"/>
        <v>809.53</v>
      </c>
      <c r="P777" t="str">
        <f>IF(E777="","Unmapped",IFERROR(INDEX(Supplier_Lookup!$B$2:$B$25,MATCH(E777,Supplier_Lookup!$A$2:$A$25,0)),"Unmapped"))</f>
        <v>Medical Supplies</v>
      </c>
      <c r="Q777" s="76">
        <f>IFERROR(INDEX(Category_Targets!$B$2:$B$9,MATCH(F777,Category_Targets!$A$2:$A$9,0)),0)</f>
        <v>0.06</v>
      </c>
      <c r="R777" s="125">
        <f t="shared" si="37"/>
        <v>48.571799999999996</v>
      </c>
      <c r="S777" s="78">
        <f t="shared" si="38"/>
        <v>45901</v>
      </c>
      <c r="T777" t="str">
        <f>IFERROR(VLOOKUP(B777,Sites!$A$2:$D$21,4,FALSE()),"Unknown")</f>
        <v>Preston</v>
      </c>
      <c r="U777" t="str">
        <f>IF(N777="OK","",COUNTIF($N$2:N777,"&lt;&gt;OK"))</f>
        <v/>
      </c>
      <c r="V777">
        <f>IF(OR(NOT(EXACT(E777,TRIM(Procurement_Raw!E777))),NOT(EXACT(F777,TRIM(Procurement_Raw!F777)))),1,0)</f>
        <v>0</v>
      </c>
    </row>
    <row r="778" spans="1:22" ht="15" customHeight="1" x14ac:dyDescent="0.25">
      <c r="A778" s="123">
        <f>Procurement_Raw!A778</f>
        <v>45819</v>
      </c>
      <c r="B778" t="str">
        <f>TRIM(Procurement_Raw!B778)</f>
        <v>S014</v>
      </c>
      <c r="C778" t="str">
        <f>Procurement_Raw!C778</f>
        <v>Southampton Care &amp; Education Centre</v>
      </c>
      <c r="D778" t="str">
        <f>Procurement_Raw!D778</f>
        <v>South</v>
      </c>
      <c r="E778" t="str">
        <f>IF(TRIM(Procurement_Raw!E778)="","",IFERROR(INDEX(Supplier_Lookup!$A$2:$A$25,MATCH(TRIM(Procurement_Raw!E778),Supplier_Lookup!$A$2:$A$25,0)),TRIM(Procurement_Raw!E778)))</f>
        <v>PowerDirect</v>
      </c>
      <c r="F778" t="str">
        <f>IFERROR(INDEX(Category_Targets!$A$2:$A$9,MATCH(TRIM(Procurement_Raw!F778),Category_Targets!$A$2:$A$9,0)),"Unmapped")</f>
        <v>Utilities</v>
      </c>
      <c r="G778" t="str">
        <f>TRIM(Procurement_Raw!G778)</f>
        <v>INV-2025-00777</v>
      </c>
      <c r="H778" s="77">
        <f>Procurement_Raw!H778</f>
        <v>53</v>
      </c>
      <c r="I778" s="124">
        <f>Procurement_Raw!I778</f>
        <v>167.59</v>
      </c>
      <c r="J778" s="125">
        <f>IF(Procurement_Raw!J778="","",Procurement_Raw!J778)</f>
        <v>8882.4</v>
      </c>
      <c r="K778" s="77">
        <f>Procurement_Raw!K778</f>
        <v>45</v>
      </c>
      <c r="L778" t="str">
        <f>Procurement_Raw!L778</f>
        <v>ERP</v>
      </c>
      <c r="M778" t="str">
        <f>Procurement_Raw!O778</f>
        <v>N</v>
      </c>
      <c r="N778" t="str">
        <f>IF(E778="","Missing supplier",IF(B778="","Missing site",IF(J778="","Missing spend",IF(COUNTIFS($G$2:G778,G778,$E$2:E778,E778,$J$2:J778,J778)&gt;1,"Duplicate invoice",IF(COUNTIF($G$2:$G$1801,G778)&gt;1,"Duplicate ID - review",IF(AND(P778&lt;&gt;"Unmapped",P778&lt;&gt;F778),"Category mismatch","OK"))))))</f>
        <v>OK</v>
      </c>
      <c r="O778" s="125">
        <f t="shared" si="36"/>
        <v>8882.4</v>
      </c>
      <c r="P778" t="str">
        <f>IF(E778="","Unmapped",IFERROR(INDEX(Supplier_Lookup!$B$2:$B$25,MATCH(E778,Supplier_Lookup!$A$2:$A$25,0)),"Unmapped"))</f>
        <v>Utilities</v>
      </c>
      <c r="Q778" s="76">
        <f>IFERROR(INDEX(Category_Targets!$B$2:$B$9,MATCH(F778,Category_Targets!$A$2:$A$9,0)),0)</f>
        <v>0.03</v>
      </c>
      <c r="R778" s="125">
        <f t="shared" si="37"/>
        <v>266.47199999999998</v>
      </c>
      <c r="S778" s="78">
        <f t="shared" si="38"/>
        <v>45809</v>
      </c>
      <c r="T778" t="str">
        <f>IFERROR(VLOOKUP(B778,Sites!$A$2:$D$21,4,FALSE()),"Unknown")</f>
        <v>Southampton</v>
      </c>
      <c r="U778" t="str">
        <f>IF(N778="OK","",COUNTIF($N$2:N778,"&lt;&gt;OK"))</f>
        <v/>
      </c>
      <c r="V778">
        <f>IF(OR(NOT(EXACT(E778,TRIM(Procurement_Raw!E778))),NOT(EXACT(F778,TRIM(Procurement_Raw!F778)))),1,0)</f>
        <v>0</v>
      </c>
    </row>
    <row r="779" spans="1:22" ht="15" customHeight="1" x14ac:dyDescent="0.25">
      <c r="A779" s="123">
        <f>Procurement_Raw!A779</f>
        <v>45957</v>
      </c>
      <c r="B779" t="str">
        <f>TRIM(Procurement_Raw!B779)</f>
        <v>S010</v>
      </c>
      <c r="C779" t="str">
        <f>Procurement_Raw!C779</f>
        <v>Coventry Care &amp; Education Centre</v>
      </c>
      <c r="D779" t="str">
        <f>Procurement_Raw!D779</f>
        <v>Midlands</v>
      </c>
      <c r="E779" t="str">
        <f>IF(TRIM(Procurement_Raw!E779)="","",IFERROR(INDEX(Supplier_Lookup!$A$2:$A$25,MATCH(TRIM(Procurement_Raw!E779),Supplier_Lookup!$A$2:$A$25,0)),TRIM(Procurement_Raw!E779)))</f>
        <v>NurseLink</v>
      </c>
      <c r="F779" t="str">
        <f>IFERROR(INDEX(Category_Targets!$A$2:$A$9,MATCH(TRIM(Procurement_Raw!F779),Category_Targets!$A$2:$A$9,0)),"Unmapped")</f>
        <v>Agency Labour</v>
      </c>
      <c r="G779" t="str">
        <f>TRIM(Procurement_Raw!G779)</f>
        <v>INV-2025-00778</v>
      </c>
      <c r="H779" s="77">
        <f>Procurement_Raw!H779</f>
        <v>33</v>
      </c>
      <c r="I779" s="124">
        <f>Procurement_Raw!I779</f>
        <v>261.82</v>
      </c>
      <c r="J779" s="125">
        <f>IF(Procurement_Raw!J779="","",Procurement_Raw!J779)</f>
        <v>8639.9699999999993</v>
      </c>
      <c r="K779" s="77">
        <f>Procurement_Raw!K779</f>
        <v>45</v>
      </c>
      <c r="L779" t="str">
        <f>Procurement_Raw!L779</f>
        <v>Legacy Spend File</v>
      </c>
      <c r="M779" t="str">
        <f>Procurement_Raw!O779</f>
        <v>N</v>
      </c>
      <c r="N779" t="str">
        <f>IF(E779="","Missing supplier",IF(B779="","Missing site",IF(J779="","Missing spend",IF(COUNTIFS($G$2:G779,G779,$E$2:E779,E779,$J$2:J779,J779)&gt;1,"Duplicate invoice",IF(COUNTIF($G$2:$G$1801,G779)&gt;1,"Duplicate ID - review",IF(AND(P779&lt;&gt;"Unmapped",P779&lt;&gt;F779),"Category mismatch","OK"))))))</f>
        <v>OK</v>
      </c>
      <c r="O779" s="125">
        <f t="shared" si="36"/>
        <v>8639.9699999999993</v>
      </c>
      <c r="P779" t="str">
        <f>IF(E779="","Unmapped",IFERROR(INDEX(Supplier_Lookup!$B$2:$B$25,MATCH(E779,Supplier_Lookup!$A$2:$A$25,0)),"Unmapped"))</f>
        <v>Agency Labour</v>
      </c>
      <c r="Q779" s="76">
        <f>IFERROR(INDEX(Category_Targets!$B$2:$B$9,MATCH(F779,Category_Targets!$A$2:$A$9,0)),0)</f>
        <v>7.0000000000000007E-2</v>
      </c>
      <c r="R779" s="125">
        <f t="shared" si="37"/>
        <v>604.79790000000003</v>
      </c>
      <c r="S779" s="78">
        <f t="shared" si="38"/>
        <v>45931</v>
      </c>
      <c r="T779" t="str">
        <f>IFERROR(VLOOKUP(B779,Sites!$A$2:$D$21,4,FALSE()),"Unknown")</f>
        <v>Coventry</v>
      </c>
      <c r="U779" t="str">
        <f>IF(N779="OK","",COUNTIF($N$2:N779,"&lt;&gt;OK"))</f>
        <v/>
      </c>
      <c r="V779">
        <f>IF(OR(NOT(EXACT(E779,TRIM(Procurement_Raw!E779))),NOT(EXACT(F779,TRIM(Procurement_Raw!F779)))),1,0)</f>
        <v>0</v>
      </c>
    </row>
    <row r="780" spans="1:22" ht="15" customHeight="1" x14ac:dyDescent="0.25">
      <c r="A780" s="123">
        <f>Procurement_Raw!A780</f>
        <v>45799</v>
      </c>
      <c r="B780" t="str">
        <f>TRIM(Procurement_Raw!B780)</f>
        <v>S004</v>
      </c>
      <c r="C780" t="str">
        <f>Procurement_Raw!C780</f>
        <v>Newcastle Care &amp; Education Centre</v>
      </c>
      <c r="D780" t="str">
        <f>Procurement_Raw!D780</f>
        <v>North</v>
      </c>
      <c r="E780" t="str">
        <f>IF(TRIM(Procurement_Raw!E780)="","",IFERROR(INDEX(Supplier_Lookup!$A$2:$A$25,MATCH(TRIM(Procurement_Raw!E780),Supplier_Lookup!$A$2:$A$25,0)),TRIM(Procurement_Raw!E780)))</f>
        <v>AutoCare</v>
      </c>
      <c r="F780" t="str">
        <f>IFERROR(INDEX(Category_Targets!$A$2:$A$9,MATCH(TRIM(Procurement_Raw!F780),Category_Targets!$A$2:$A$9,0)),"Unmapped")</f>
        <v>Vehicle &amp; Fuel</v>
      </c>
      <c r="G780" t="str">
        <f>TRIM(Procurement_Raw!G780)</f>
        <v>INV-2025-00779</v>
      </c>
      <c r="H780" s="77">
        <f>Procurement_Raw!H780</f>
        <v>51</v>
      </c>
      <c r="I780" s="124">
        <f>Procurement_Raw!I780</f>
        <v>91.19</v>
      </c>
      <c r="J780" s="125">
        <f>IF(Procurement_Raw!J780="","",Procurement_Raw!J780)</f>
        <v>4650.66</v>
      </c>
      <c r="K780" s="77">
        <f>Procurement_Raw!K780</f>
        <v>30</v>
      </c>
      <c r="L780" t="str">
        <f>Procurement_Raw!L780</f>
        <v>Procurement Portal</v>
      </c>
      <c r="M780" t="str">
        <f>Procurement_Raw!O780</f>
        <v>N</v>
      </c>
      <c r="N780" t="str">
        <f>IF(E780="","Missing supplier",IF(B780="","Missing site",IF(J780="","Missing spend",IF(COUNTIFS($G$2:G780,G780,$E$2:E780,E780,$J$2:J780,J780)&gt;1,"Duplicate invoice",IF(COUNTIF($G$2:$G$1801,G780)&gt;1,"Duplicate ID - review",IF(AND(P780&lt;&gt;"Unmapped",P780&lt;&gt;F780),"Category mismatch","OK"))))))</f>
        <v>OK</v>
      </c>
      <c r="O780" s="125">
        <f t="shared" si="36"/>
        <v>4650.66</v>
      </c>
      <c r="P780" t="str">
        <f>IF(E780="","Unmapped",IFERROR(INDEX(Supplier_Lookup!$B$2:$B$25,MATCH(E780,Supplier_Lookup!$A$2:$A$25,0)),"Unmapped"))</f>
        <v>Vehicle &amp; Fuel</v>
      </c>
      <c r="Q780" s="76">
        <f>IFERROR(INDEX(Category_Targets!$B$2:$B$9,MATCH(F780,Category_Targets!$A$2:$A$9,0)),0)</f>
        <v>0.05</v>
      </c>
      <c r="R780" s="125">
        <f t="shared" si="37"/>
        <v>232.53300000000002</v>
      </c>
      <c r="S780" s="78">
        <f t="shared" si="38"/>
        <v>45778</v>
      </c>
      <c r="T780" t="str">
        <f>IFERROR(VLOOKUP(B780,Sites!$A$2:$D$21,4,FALSE()),"Unknown")</f>
        <v>Newcastle</v>
      </c>
      <c r="U780" t="str">
        <f>IF(N780="OK","",COUNTIF($N$2:N780,"&lt;&gt;OK"))</f>
        <v/>
      </c>
      <c r="V780">
        <f>IF(OR(NOT(EXACT(E780,TRIM(Procurement_Raw!E780))),NOT(EXACT(F780,TRIM(Procurement_Raw!F780)))),1,0)</f>
        <v>0</v>
      </c>
    </row>
    <row r="781" spans="1:22" ht="15" customHeight="1" x14ac:dyDescent="0.25">
      <c r="A781" s="123">
        <f>Procurement_Raw!A781</f>
        <v>45847</v>
      </c>
      <c r="B781" t="str">
        <f>TRIM(Procurement_Raw!B781)</f>
        <v>S012</v>
      </c>
      <c r="C781" t="str">
        <f>Procurement_Raw!C781</f>
        <v>Bristol Care &amp; Education Centre</v>
      </c>
      <c r="D781" t="str">
        <f>Procurement_Raw!D781</f>
        <v>South</v>
      </c>
      <c r="E781" t="str">
        <f>IF(TRIM(Procurement_Raw!E781)="","",IFERROR(INDEX(Supplier_Lookup!$A$2:$A$25,MATCH(TRIM(Procurement_Raw!E781),Supplier_Lookup!$A$2:$A$25,0)),TRIM(Procurement_Raw!E781)))</f>
        <v>OfficePlus</v>
      </c>
      <c r="F781" t="str">
        <f>IFERROR(INDEX(Category_Targets!$A$2:$A$9,MATCH(TRIM(Procurement_Raw!F781),Category_Targets!$A$2:$A$9,0)),"Unmapped")</f>
        <v>Office &amp; Training</v>
      </c>
      <c r="G781" t="str">
        <f>TRIM(Procurement_Raw!G781)</f>
        <v>INV-2025-00780</v>
      </c>
      <c r="H781" s="77">
        <f>Procurement_Raw!H781</f>
        <v>72</v>
      </c>
      <c r="I781" s="124">
        <f>Procurement_Raw!I781</f>
        <v>105.52</v>
      </c>
      <c r="J781" s="125">
        <f>IF(Procurement_Raw!J781="","",Procurement_Raw!J781)</f>
        <v>7597.12</v>
      </c>
      <c r="K781" s="77">
        <f>Procurement_Raw!K781</f>
        <v>60</v>
      </c>
      <c r="L781" t="str">
        <f>Procurement_Raw!L781</f>
        <v>Procurement Portal</v>
      </c>
      <c r="M781" t="str">
        <f>Procurement_Raw!O781</f>
        <v>N</v>
      </c>
      <c r="N781" t="str">
        <f>IF(E781="","Missing supplier",IF(B781="","Missing site",IF(J781="","Missing spend",IF(COUNTIFS($G$2:G781,G781,$E$2:E781,E781,$J$2:J781,J781)&gt;1,"Duplicate invoice",IF(COUNTIF($G$2:$G$1801,G781)&gt;1,"Duplicate ID - review",IF(AND(P781&lt;&gt;"Unmapped",P781&lt;&gt;F781),"Category mismatch","OK"))))))</f>
        <v>OK</v>
      </c>
      <c r="O781" s="125">
        <f t="shared" si="36"/>
        <v>7597.12</v>
      </c>
      <c r="P781" t="str">
        <f>IF(E781="","Unmapped",IFERROR(INDEX(Supplier_Lookup!$B$2:$B$25,MATCH(E781,Supplier_Lookup!$A$2:$A$25,0)),"Unmapped"))</f>
        <v>Office &amp; Training</v>
      </c>
      <c r="Q781" s="76">
        <f>IFERROR(INDEX(Category_Targets!$B$2:$B$9,MATCH(F781,Category_Targets!$A$2:$A$9,0)),0)</f>
        <v>0.04</v>
      </c>
      <c r="R781" s="125">
        <f t="shared" si="37"/>
        <v>303.88479999999998</v>
      </c>
      <c r="S781" s="78">
        <f t="shared" si="38"/>
        <v>45839</v>
      </c>
      <c r="T781" t="str">
        <f>IFERROR(VLOOKUP(B781,Sites!$A$2:$D$21,4,FALSE()),"Unknown")</f>
        <v>Bristol</v>
      </c>
      <c r="U781" t="str">
        <f>IF(N781="OK","",COUNTIF($N$2:N781,"&lt;&gt;OK"))</f>
        <v/>
      </c>
      <c r="V781">
        <f>IF(OR(NOT(EXACT(E781,TRIM(Procurement_Raw!E781))),NOT(EXACT(F781,TRIM(Procurement_Raw!F781)))),1,0)</f>
        <v>0</v>
      </c>
    </row>
    <row r="782" spans="1:22" ht="15" customHeight="1" x14ac:dyDescent="0.25">
      <c r="A782" s="123">
        <f>Procurement_Raw!A782</f>
        <v>45834</v>
      </c>
      <c r="B782" t="str">
        <f>TRIM(Procurement_Raw!B782)</f>
        <v>S014</v>
      </c>
      <c r="C782" t="str">
        <f>Procurement_Raw!C782</f>
        <v>Southampton Care &amp; Education Centre</v>
      </c>
      <c r="D782" t="str">
        <f>Procurement_Raw!D782</f>
        <v>South</v>
      </c>
      <c r="E782" t="str">
        <f>IF(TRIM(Procurement_Raw!E782)="","",IFERROR(INDEX(Supplier_Lookup!$A$2:$A$25,MATCH(TRIM(Procurement_Raw!E782),Supplier_Lookup!$A$2:$A$25,0)),TRIM(Procurement_Raw!E782)))</f>
        <v>NetServe</v>
      </c>
      <c r="F782" t="str">
        <f>IFERROR(INDEX(Category_Targets!$A$2:$A$9,MATCH(TRIM(Procurement_Raw!F782),Category_Targets!$A$2:$A$9,0)),"Unmapped")</f>
        <v>IT &amp; Telecoms</v>
      </c>
      <c r="G782" t="str">
        <f>TRIM(Procurement_Raw!G782)</f>
        <v>INV-2025-00781</v>
      </c>
      <c r="H782" s="77">
        <f>Procurement_Raw!H782</f>
        <v>51</v>
      </c>
      <c r="I782" s="124">
        <f>Procurement_Raw!I782</f>
        <v>242.59</v>
      </c>
      <c r="J782" s="125">
        <f>IF(Procurement_Raw!J782="","",Procurement_Raw!J782)</f>
        <v>12371.97</v>
      </c>
      <c r="K782" s="77">
        <f>Procurement_Raw!K782</f>
        <v>60</v>
      </c>
      <c r="L782" t="str">
        <f>Procurement_Raw!L782</f>
        <v>ERP</v>
      </c>
      <c r="M782" t="str">
        <f>Procurement_Raw!O782</f>
        <v>N</v>
      </c>
      <c r="N782" t="str">
        <f>IF(E782="","Missing supplier",IF(B782="","Missing site",IF(J782="","Missing spend",IF(COUNTIFS($G$2:G782,G782,$E$2:E782,E782,$J$2:J782,J782)&gt;1,"Duplicate invoice",IF(COUNTIF($G$2:$G$1801,G782)&gt;1,"Duplicate ID - review",IF(AND(P782&lt;&gt;"Unmapped",P782&lt;&gt;F782),"Category mismatch","OK"))))))</f>
        <v>OK</v>
      </c>
      <c r="O782" s="125">
        <f t="shared" si="36"/>
        <v>12371.97</v>
      </c>
      <c r="P782" t="str">
        <f>IF(E782="","Unmapped",IFERROR(INDEX(Supplier_Lookup!$B$2:$B$25,MATCH(E782,Supplier_Lookup!$A$2:$A$25,0)),"Unmapped"))</f>
        <v>IT &amp; Telecoms</v>
      </c>
      <c r="Q782" s="76">
        <f>IFERROR(INDEX(Category_Targets!$B$2:$B$9,MATCH(F782,Category_Targets!$A$2:$A$9,0)),0)</f>
        <v>0.08</v>
      </c>
      <c r="R782" s="125">
        <f t="shared" si="37"/>
        <v>989.75760000000002</v>
      </c>
      <c r="S782" s="78">
        <f t="shared" si="38"/>
        <v>45809</v>
      </c>
      <c r="T782" t="str">
        <f>IFERROR(VLOOKUP(B782,Sites!$A$2:$D$21,4,FALSE()),"Unknown")</f>
        <v>Southampton</v>
      </c>
      <c r="U782" t="str">
        <f>IF(N782="OK","",COUNTIF($N$2:N782,"&lt;&gt;OK"))</f>
        <v/>
      </c>
      <c r="V782">
        <f>IF(OR(NOT(EXACT(E782,TRIM(Procurement_Raw!E782))),NOT(EXACT(F782,TRIM(Procurement_Raw!F782)))),1,0)</f>
        <v>0</v>
      </c>
    </row>
    <row r="783" spans="1:22" ht="15" customHeight="1" x14ac:dyDescent="0.25">
      <c r="A783" s="123">
        <f>Procurement_Raw!A783</f>
        <v>45775</v>
      </c>
      <c r="B783" t="str">
        <f>TRIM(Procurement_Raw!B783)</f>
        <v>S006</v>
      </c>
      <c r="C783" t="str">
        <f>Procurement_Raw!C783</f>
        <v>Birmingham Care &amp; Education Centre</v>
      </c>
      <c r="D783" t="str">
        <f>Procurement_Raw!D783</f>
        <v>Midlands</v>
      </c>
      <c r="E783" t="str">
        <f>IF(TRIM(Procurement_Raw!E783)="","",IFERROR(INDEX(Supplier_Lookup!$A$2:$A$25,MATCH(TRIM(Procurement_Raw!E783),Supplier_Lookup!$A$2:$A$25,0)),TRIM(Procurement_Raw!E783)))</f>
        <v>KitchenPro</v>
      </c>
      <c r="F783" t="str">
        <f>IFERROR(INDEX(Category_Targets!$A$2:$A$9,MATCH(TRIM(Procurement_Raw!F783),Category_Targets!$A$2:$A$9,0)),"Unmapped")</f>
        <v>Food &amp; Catering</v>
      </c>
      <c r="G783" t="str">
        <f>TRIM(Procurement_Raw!G783)</f>
        <v>INV-2025-00782</v>
      </c>
      <c r="H783" s="77">
        <f>Procurement_Raw!H783</f>
        <v>58</v>
      </c>
      <c r="I783" s="124">
        <f>Procurement_Raw!I783</f>
        <v>31.19</v>
      </c>
      <c r="J783" s="125">
        <f>IF(Procurement_Raw!J783="","",Procurement_Raw!J783)</f>
        <v>1808.75</v>
      </c>
      <c r="K783" s="77">
        <f>Procurement_Raw!K783</f>
        <v>60</v>
      </c>
      <c r="L783" t="str">
        <f>Procurement_Raw!L783</f>
        <v>ERP</v>
      </c>
      <c r="M783" t="str">
        <f>Procurement_Raw!O783</f>
        <v>N</v>
      </c>
      <c r="N783" t="str">
        <f>IF(E783="","Missing supplier",IF(B783="","Missing site",IF(J783="","Missing spend",IF(COUNTIFS($G$2:G783,G783,$E$2:E783,E783,$J$2:J783,J783)&gt;1,"Duplicate invoice",IF(COUNTIF($G$2:$G$1801,G783)&gt;1,"Duplicate ID - review",IF(AND(P783&lt;&gt;"Unmapped",P783&lt;&gt;F783),"Category mismatch","OK"))))))</f>
        <v>OK</v>
      </c>
      <c r="O783" s="125">
        <f t="shared" si="36"/>
        <v>1808.75</v>
      </c>
      <c r="P783" t="str">
        <f>IF(E783="","Unmapped",IFERROR(INDEX(Supplier_Lookup!$B$2:$B$25,MATCH(E783,Supplier_Lookup!$A$2:$A$25,0)),"Unmapped"))</f>
        <v>Food &amp; Catering</v>
      </c>
      <c r="Q783" s="76">
        <f>IFERROR(INDEX(Category_Targets!$B$2:$B$9,MATCH(F783,Category_Targets!$A$2:$A$9,0)),0)</f>
        <v>0.04</v>
      </c>
      <c r="R783" s="125">
        <f t="shared" si="37"/>
        <v>72.350000000000009</v>
      </c>
      <c r="S783" s="78">
        <f t="shared" si="38"/>
        <v>45748</v>
      </c>
      <c r="T783" t="str">
        <f>IFERROR(VLOOKUP(B783,Sites!$A$2:$D$21,4,FALSE()),"Unknown")</f>
        <v>Birmingham</v>
      </c>
      <c r="U783" t="str">
        <f>IF(N783="OK","",COUNTIF($N$2:N783,"&lt;&gt;OK"))</f>
        <v/>
      </c>
      <c r="V783">
        <f>IF(OR(NOT(EXACT(E783,TRIM(Procurement_Raw!E783))),NOT(EXACT(F783,TRIM(Procurement_Raw!F783)))),1,0)</f>
        <v>0</v>
      </c>
    </row>
    <row r="784" spans="1:22" ht="15" customHeight="1" x14ac:dyDescent="0.25">
      <c r="A784" s="123">
        <f>Procurement_Raw!A784</f>
        <v>45863</v>
      </c>
      <c r="B784" t="str">
        <f>TRIM(Procurement_Raw!B784)</f>
        <v>S011</v>
      </c>
      <c r="C784" t="str">
        <f>Procurement_Raw!C784</f>
        <v>London Care &amp; Education Centre</v>
      </c>
      <c r="D784" t="str">
        <f>Procurement_Raw!D784</f>
        <v>South</v>
      </c>
      <c r="E784" t="str">
        <f>IF(TRIM(Procurement_Raw!E784)="","",IFERROR(INDEX(Supplier_Lookup!$A$2:$A$25,MATCH(TRIM(Procurement_Raw!E784),Supplier_Lookup!$A$2:$A$25,0)),TRIM(Procurement_Raw!E784)))</f>
        <v>PowerDirect</v>
      </c>
      <c r="F784" t="str">
        <f>IFERROR(INDEX(Category_Targets!$A$2:$A$9,MATCH(TRIM(Procurement_Raw!F784),Category_Targets!$A$2:$A$9,0)),"Unmapped")</f>
        <v>Utilities</v>
      </c>
      <c r="G784" t="str">
        <f>TRIM(Procurement_Raw!G784)</f>
        <v>INV-2025-00783</v>
      </c>
      <c r="H784" s="77">
        <f>Procurement_Raw!H784</f>
        <v>44</v>
      </c>
      <c r="I784" s="124">
        <f>Procurement_Raw!I784</f>
        <v>308.14</v>
      </c>
      <c r="J784" s="125">
        <f>IF(Procurement_Raw!J784="","",Procurement_Raw!J784)</f>
        <v>13558.37</v>
      </c>
      <c r="K784" s="77">
        <f>Procurement_Raw!K784</f>
        <v>60</v>
      </c>
      <c r="L784" t="str">
        <f>Procurement_Raw!L784</f>
        <v>Legacy Spend File</v>
      </c>
      <c r="M784" t="str">
        <f>Procurement_Raw!O784</f>
        <v>N</v>
      </c>
      <c r="N784" t="str">
        <f>IF(E784="","Missing supplier",IF(B784="","Missing site",IF(J784="","Missing spend",IF(COUNTIFS($G$2:G784,G784,$E$2:E784,E784,$J$2:J784,J784)&gt;1,"Duplicate invoice",IF(COUNTIF($G$2:$G$1801,G784)&gt;1,"Duplicate ID - review",IF(AND(P784&lt;&gt;"Unmapped",P784&lt;&gt;F784),"Category mismatch","OK"))))))</f>
        <v>OK</v>
      </c>
      <c r="O784" s="125">
        <f t="shared" si="36"/>
        <v>13558.37</v>
      </c>
      <c r="P784" t="str">
        <f>IF(E784="","Unmapped",IFERROR(INDEX(Supplier_Lookup!$B$2:$B$25,MATCH(E784,Supplier_Lookup!$A$2:$A$25,0)),"Unmapped"))</f>
        <v>Utilities</v>
      </c>
      <c r="Q784" s="76">
        <f>IFERROR(INDEX(Category_Targets!$B$2:$B$9,MATCH(F784,Category_Targets!$A$2:$A$9,0)),0)</f>
        <v>0.03</v>
      </c>
      <c r="R784" s="125">
        <f t="shared" si="37"/>
        <v>406.75110000000001</v>
      </c>
      <c r="S784" s="78">
        <f t="shared" si="38"/>
        <v>45839</v>
      </c>
      <c r="T784" t="str">
        <f>IFERROR(VLOOKUP(B784,Sites!$A$2:$D$21,4,FALSE()),"Unknown")</f>
        <v>London</v>
      </c>
      <c r="U784" t="str">
        <f>IF(N784="OK","",COUNTIF($N$2:N784,"&lt;&gt;OK"))</f>
        <v/>
      </c>
      <c r="V784">
        <f>IF(OR(NOT(EXACT(E784,TRIM(Procurement_Raw!E784))),NOT(EXACT(F784,TRIM(Procurement_Raw!F784)))),1,0)</f>
        <v>0</v>
      </c>
    </row>
    <row r="785" spans="1:22" ht="15" customHeight="1" x14ac:dyDescent="0.25">
      <c r="A785" s="123">
        <f>Procurement_Raw!A785</f>
        <v>45857</v>
      </c>
      <c r="B785" t="str">
        <f>TRIM(Procurement_Raw!B785)</f>
        <v>S010</v>
      </c>
      <c r="C785" t="str">
        <f>Procurement_Raw!C785</f>
        <v>Coventry Care &amp; Education Centre</v>
      </c>
      <c r="D785" t="str">
        <f>Procurement_Raw!D785</f>
        <v>Midlands</v>
      </c>
      <c r="E785" t="str">
        <f>IF(TRIM(Procurement_Raw!E785)="","",IFERROR(INDEX(Supplier_Lookup!$A$2:$A$25,MATCH(TRIM(Procurement_Raw!E785),Supplier_Lookup!$A$2:$A$25,0)),TRIM(Procurement_Raw!E785)))</f>
        <v>MediSure</v>
      </c>
      <c r="F785" t="str">
        <f>IFERROR(INDEX(Category_Targets!$A$2:$A$9,MATCH(TRIM(Procurement_Raw!F785),Category_Targets!$A$2:$A$9,0)),"Unmapped")</f>
        <v>Medical Supplies</v>
      </c>
      <c r="G785" t="str">
        <f>TRIM(Procurement_Raw!G785)</f>
        <v>INV-2025-00784</v>
      </c>
      <c r="H785" s="77">
        <f>Procurement_Raw!H785</f>
        <v>1</v>
      </c>
      <c r="I785" s="124">
        <f>Procurement_Raw!I785</f>
        <v>167.89</v>
      </c>
      <c r="J785" s="125">
        <f>IF(Procurement_Raw!J785="","",Procurement_Raw!J785)</f>
        <v>167.89</v>
      </c>
      <c r="K785" s="77">
        <f>Procurement_Raw!K785</f>
        <v>30</v>
      </c>
      <c r="L785" t="str">
        <f>Procurement_Raw!L785</f>
        <v>ERP</v>
      </c>
      <c r="M785" t="str">
        <f>Procurement_Raw!O785</f>
        <v>Y</v>
      </c>
      <c r="N785" t="str">
        <f>IF(E785="","Missing supplier",IF(B785="","Missing site",IF(J785="","Missing spend",IF(COUNTIFS($G$2:G785,G785,$E$2:E785,E785,$J$2:J785,J785)&gt;1,"Duplicate invoice",IF(COUNTIF($G$2:$G$1801,G785)&gt;1,"Duplicate ID - review",IF(AND(P785&lt;&gt;"Unmapped",P785&lt;&gt;F785),"Category mismatch","OK"))))))</f>
        <v>OK</v>
      </c>
      <c r="O785" s="125">
        <f t="shared" si="36"/>
        <v>167.89</v>
      </c>
      <c r="P785" t="str">
        <f>IF(E785="","Unmapped",IFERROR(INDEX(Supplier_Lookup!$B$2:$B$25,MATCH(E785,Supplier_Lookup!$A$2:$A$25,0)),"Unmapped"))</f>
        <v>Medical Supplies</v>
      </c>
      <c r="Q785" s="76">
        <f>IFERROR(INDEX(Category_Targets!$B$2:$B$9,MATCH(F785,Category_Targets!$A$2:$A$9,0)),0)</f>
        <v>0.06</v>
      </c>
      <c r="R785" s="125">
        <f t="shared" si="37"/>
        <v>10.073399999999999</v>
      </c>
      <c r="S785" s="78">
        <f t="shared" si="38"/>
        <v>45839</v>
      </c>
      <c r="T785" t="str">
        <f>IFERROR(VLOOKUP(B785,Sites!$A$2:$D$21,4,FALSE()),"Unknown")</f>
        <v>Coventry</v>
      </c>
      <c r="U785" t="str">
        <f>IF(N785="OK","",COUNTIF($N$2:N785,"&lt;&gt;OK"))</f>
        <v/>
      </c>
      <c r="V785">
        <f>IF(OR(NOT(EXACT(E785,TRIM(Procurement_Raw!E785))),NOT(EXACT(F785,TRIM(Procurement_Raw!F785)))),1,0)</f>
        <v>0</v>
      </c>
    </row>
    <row r="786" spans="1:22" ht="15" customHeight="1" x14ac:dyDescent="0.25">
      <c r="A786" s="123">
        <f>Procurement_Raw!A786</f>
        <v>45690</v>
      </c>
      <c r="B786" t="str">
        <f>TRIM(Procurement_Raw!B786)</f>
        <v>S016</v>
      </c>
      <c r="C786" t="str">
        <f>Procurement_Raw!C786</f>
        <v>Cardiff Care &amp; Education Centre</v>
      </c>
      <c r="D786" t="str">
        <f>Procurement_Raw!D786</f>
        <v>Wales</v>
      </c>
      <c r="E786" t="str">
        <f>IF(TRIM(Procurement_Raw!E786)="","",IFERROR(INDEX(Supplier_Lookup!$A$2:$A$25,MATCH(TRIM(Procurement_Raw!E786),Supplier_Lookup!$A$2:$A$25,0)),TRIM(Procurement_Raw!E786)))</f>
        <v>HealthStaffing</v>
      </c>
      <c r="F786" t="str">
        <f>IFERROR(INDEX(Category_Targets!$A$2:$A$9,MATCH(TRIM(Procurement_Raw!F786),Category_Targets!$A$2:$A$9,0)),"Unmapped")</f>
        <v>Agency Labour</v>
      </c>
      <c r="G786" t="str">
        <f>TRIM(Procurement_Raw!G786)</f>
        <v>INV-2025-00785</v>
      </c>
      <c r="H786" s="77">
        <f>Procurement_Raw!H786</f>
        <v>34</v>
      </c>
      <c r="I786" s="124">
        <f>Procurement_Raw!I786</f>
        <v>408.16</v>
      </c>
      <c r="J786" s="125">
        <f>IF(Procurement_Raw!J786="","",Procurement_Raw!J786)</f>
        <v>13877.55</v>
      </c>
      <c r="K786" s="77">
        <f>Procurement_Raw!K786</f>
        <v>30</v>
      </c>
      <c r="L786" t="str">
        <f>Procurement_Raw!L786</f>
        <v>Procurement Portal</v>
      </c>
      <c r="M786" t="str">
        <f>Procurement_Raw!O786</f>
        <v>N</v>
      </c>
      <c r="N786" t="str">
        <f>IF(E786="","Missing supplier",IF(B786="","Missing site",IF(J786="","Missing spend",IF(COUNTIFS($G$2:G786,G786,$E$2:E786,E786,$J$2:J786,J786)&gt;1,"Duplicate invoice",IF(COUNTIF($G$2:$G$1801,G786)&gt;1,"Duplicate ID - review",IF(AND(P786&lt;&gt;"Unmapped",P786&lt;&gt;F786),"Category mismatch","OK"))))))</f>
        <v>OK</v>
      </c>
      <c r="O786" s="125">
        <f t="shared" si="36"/>
        <v>13877.55</v>
      </c>
      <c r="P786" t="str">
        <f>IF(E786="","Unmapped",IFERROR(INDEX(Supplier_Lookup!$B$2:$B$25,MATCH(E786,Supplier_Lookup!$A$2:$A$25,0)),"Unmapped"))</f>
        <v>Agency Labour</v>
      </c>
      <c r="Q786" s="76">
        <f>IFERROR(INDEX(Category_Targets!$B$2:$B$9,MATCH(F786,Category_Targets!$A$2:$A$9,0)),0)</f>
        <v>7.0000000000000007E-2</v>
      </c>
      <c r="R786" s="125">
        <f t="shared" si="37"/>
        <v>971.42849999999999</v>
      </c>
      <c r="S786" s="78">
        <f t="shared" si="38"/>
        <v>45689</v>
      </c>
      <c r="T786" t="str">
        <f>IFERROR(VLOOKUP(B786,Sites!$A$2:$D$21,4,FALSE()),"Unknown")</f>
        <v>Cardiff</v>
      </c>
      <c r="U786" t="str">
        <f>IF(N786="OK","",COUNTIF($N$2:N786,"&lt;&gt;OK"))</f>
        <v/>
      </c>
      <c r="V786">
        <f>IF(OR(NOT(EXACT(E786,TRIM(Procurement_Raw!E786))),NOT(EXACT(F786,TRIM(Procurement_Raw!F786)))),1,0)</f>
        <v>0</v>
      </c>
    </row>
    <row r="787" spans="1:22" ht="15" customHeight="1" x14ac:dyDescent="0.25">
      <c r="A787" s="123">
        <f>Procurement_Raw!A787</f>
        <v>45854</v>
      </c>
      <c r="B787" t="str">
        <f>TRIM(Procurement_Raw!B787)</f>
        <v>S010</v>
      </c>
      <c r="C787" t="str">
        <f>Procurement_Raw!C787</f>
        <v>Coventry Care &amp; Education Centre</v>
      </c>
      <c r="D787" t="str">
        <f>Procurement_Raw!D787</f>
        <v>Midlands</v>
      </c>
      <c r="E787" t="str">
        <f>IF(TRIM(Procurement_Raw!E787)="","",IFERROR(INDEX(Supplier_Lookup!$A$2:$A$25,MATCH(TRIM(Procurement_Raw!E787),Supplier_Lookup!$A$2:$A$25,0)),TRIM(Procurement_Raw!E787)))</f>
        <v>ClinEquip</v>
      </c>
      <c r="F787" t="str">
        <f>IFERROR(INDEX(Category_Targets!$A$2:$A$9,MATCH(TRIM(Procurement_Raw!F787),Category_Targets!$A$2:$A$9,0)),"Unmapped")</f>
        <v>Medical Supplies</v>
      </c>
      <c r="G787" t="str">
        <f>TRIM(Procurement_Raw!G787)</f>
        <v>INV-2025-00786</v>
      </c>
      <c r="H787" s="77">
        <f>Procurement_Raw!H787</f>
        <v>52</v>
      </c>
      <c r="I787" s="124">
        <f>Procurement_Raw!I787</f>
        <v>217.44</v>
      </c>
      <c r="J787" s="125">
        <f>IF(Procurement_Raw!J787="","",Procurement_Raw!J787)</f>
        <v>11306.86</v>
      </c>
      <c r="K787" s="77">
        <f>Procurement_Raw!K787</f>
        <v>60</v>
      </c>
      <c r="L787" t="str">
        <f>Procurement_Raw!L787</f>
        <v>Legacy Spend File</v>
      </c>
      <c r="M787" t="str">
        <f>Procurement_Raw!O787</f>
        <v>N</v>
      </c>
      <c r="N787" t="str">
        <f>IF(E787="","Missing supplier",IF(B787="","Missing site",IF(J787="","Missing spend",IF(COUNTIFS($G$2:G787,G787,$E$2:E787,E787,$J$2:J787,J787)&gt;1,"Duplicate invoice",IF(COUNTIF($G$2:$G$1801,G787)&gt;1,"Duplicate ID - review",IF(AND(P787&lt;&gt;"Unmapped",P787&lt;&gt;F787),"Category mismatch","OK"))))))</f>
        <v>OK</v>
      </c>
      <c r="O787" s="125">
        <f t="shared" si="36"/>
        <v>11306.86</v>
      </c>
      <c r="P787" t="str">
        <f>IF(E787="","Unmapped",IFERROR(INDEX(Supplier_Lookup!$B$2:$B$25,MATCH(E787,Supplier_Lookup!$A$2:$A$25,0)),"Unmapped"))</f>
        <v>Medical Supplies</v>
      </c>
      <c r="Q787" s="76">
        <f>IFERROR(INDEX(Category_Targets!$B$2:$B$9,MATCH(F787,Category_Targets!$A$2:$A$9,0)),0)</f>
        <v>0.06</v>
      </c>
      <c r="R787" s="125">
        <f t="shared" si="37"/>
        <v>678.41160000000002</v>
      </c>
      <c r="S787" s="78">
        <f t="shared" si="38"/>
        <v>45839</v>
      </c>
      <c r="T787" t="str">
        <f>IFERROR(VLOOKUP(B787,Sites!$A$2:$D$21,4,FALSE()),"Unknown")</f>
        <v>Coventry</v>
      </c>
      <c r="U787" t="str">
        <f>IF(N787="OK","",COUNTIF($N$2:N787,"&lt;&gt;OK"))</f>
        <v/>
      </c>
      <c r="V787">
        <f>IF(OR(NOT(EXACT(E787,TRIM(Procurement_Raw!E787))),NOT(EXACT(F787,TRIM(Procurement_Raw!F787)))),1,0)</f>
        <v>0</v>
      </c>
    </row>
    <row r="788" spans="1:22" ht="15" customHeight="1" x14ac:dyDescent="0.25">
      <c r="A788" s="123">
        <f>Procurement_Raw!A788</f>
        <v>45963</v>
      </c>
      <c r="B788" t="str">
        <f>TRIM(Procurement_Raw!B788)</f>
        <v>S020</v>
      </c>
      <c r="C788" t="str">
        <f>Procurement_Raw!C788</f>
        <v>Bangor Care &amp; Education Centre</v>
      </c>
      <c r="D788" t="str">
        <f>Procurement_Raw!D788</f>
        <v>Wales</v>
      </c>
      <c r="E788" t="str">
        <f>IF(TRIM(Procurement_Raw!E788)="","",IFERROR(INDEX(Supplier_Lookup!$A$2:$A$25,MATCH(TRIM(Procurement_Raw!E788),Supplier_Lookup!$A$2:$A$25,0)),TRIM(Procurement_Raw!E788)))</f>
        <v>NetServe</v>
      </c>
      <c r="F788" t="str">
        <f>IFERROR(INDEX(Category_Targets!$A$2:$A$9,MATCH(TRIM(Procurement_Raw!F788),Category_Targets!$A$2:$A$9,0)),"Unmapped")</f>
        <v>IT &amp; Telecoms</v>
      </c>
      <c r="G788" t="str">
        <f>TRIM(Procurement_Raw!G788)</f>
        <v>INV-2025-00787</v>
      </c>
      <c r="H788" s="77">
        <f>Procurement_Raw!H788</f>
        <v>8</v>
      </c>
      <c r="I788" s="124">
        <f>Procurement_Raw!I788</f>
        <v>348.03</v>
      </c>
      <c r="J788" s="125">
        <f>IF(Procurement_Raw!J788="","",Procurement_Raw!J788)</f>
        <v>2784.23</v>
      </c>
      <c r="K788" s="77">
        <f>Procurement_Raw!K788</f>
        <v>30</v>
      </c>
      <c r="L788" t="str">
        <f>Procurement_Raw!L788</f>
        <v>Legacy Spend File</v>
      </c>
      <c r="M788" t="str">
        <f>Procurement_Raw!O788</f>
        <v>N</v>
      </c>
      <c r="N788" t="str">
        <f>IF(E788="","Missing supplier",IF(B788="","Missing site",IF(J788="","Missing spend",IF(COUNTIFS($G$2:G788,G788,$E$2:E788,E788,$J$2:J788,J788)&gt;1,"Duplicate invoice",IF(COUNTIF($G$2:$G$1801,G788)&gt;1,"Duplicate ID - review",IF(AND(P788&lt;&gt;"Unmapped",P788&lt;&gt;F788),"Category mismatch","OK"))))))</f>
        <v>OK</v>
      </c>
      <c r="O788" s="125">
        <f t="shared" si="36"/>
        <v>2784.23</v>
      </c>
      <c r="P788" t="str">
        <f>IF(E788="","Unmapped",IFERROR(INDEX(Supplier_Lookup!$B$2:$B$25,MATCH(E788,Supplier_Lookup!$A$2:$A$25,0)),"Unmapped"))</f>
        <v>IT &amp; Telecoms</v>
      </c>
      <c r="Q788" s="76">
        <f>IFERROR(INDEX(Category_Targets!$B$2:$B$9,MATCH(F788,Category_Targets!$A$2:$A$9,0)),0)</f>
        <v>0.08</v>
      </c>
      <c r="R788" s="125">
        <f t="shared" si="37"/>
        <v>222.73840000000001</v>
      </c>
      <c r="S788" s="78">
        <f t="shared" si="38"/>
        <v>45962</v>
      </c>
      <c r="T788" t="str">
        <f>IFERROR(VLOOKUP(B788,Sites!$A$2:$D$21,4,FALSE()),"Unknown")</f>
        <v>Bangor</v>
      </c>
      <c r="U788" t="str">
        <f>IF(N788="OK","",COUNTIF($N$2:N788,"&lt;&gt;OK"))</f>
        <v/>
      </c>
      <c r="V788">
        <f>IF(OR(NOT(EXACT(E788,TRIM(Procurement_Raw!E788))),NOT(EXACT(F788,TRIM(Procurement_Raw!F788)))),1,0)</f>
        <v>0</v>
      </c>
    </row>
    <row r="789" spans="1:22" ht="15" customHeight="1" x14ac:dyDescent="0.25">
      <c r="A789" s="123">
        <f>Procurement_Raw!A789</f>
        <v>45761</v>
      </c>
      <c r="B789" t="str">
        <f>TRIM(Procurement_Raw!B789)</f>
        <v>S012</v>
      </c>
      <c r="C789" t="str">
        <f>Procurement_Raw!C789</f>
        <v>Bristol Care &amp; Education Centre</v>
      </c>
      <c r="D789" t="str">
        <f>Procurement_Raw!D789</f>
        <v>South</v>
      </c>
      <c r="E789" t="str">
        <f>IF(TRIM(Procurement_Raw!E789)="","",IFERROR(INDEX(Supplier_Lookup!$A$2:$A$25,MATCH(TRIM(Procurement_Raw!E789),Supplier_Lookup!$A$2:$A$25,0)),TRIM(Procurement_Raw!E789)))</f>
        <v>OfficePlus</v>
      </c>
      <c r="F789" t="str">
        <f>IFERROR(INDEX(Category_Targets!$A$2:$A$9,MATCH(TRIM(Procurement_Raw!F789),Category_Targets!$A$2:$A$9,0)),"Unmapped")</f>
        <v>Office &amp; Training</v>
      </c>
      <c r="G789" t="str">
        <f>TRIM(Procurement_Raw!G789)</f>
        <v>INV-2025-00788</v>
      </c>
      <c r="H789" s="77">
        <f>Procurement_Raw!H789</f>
        <v>67</v>
      </c>
      <c r="I789" s="124">
        <f>Procurement_Raw!I789</f>
        <v>96.55</v>
      </c>
      <c r="J789" s="125">
        <f>IF(Procurement_Raw!J789="","",Procurement_Raw!J789)</f>
        <v>6468.7</v>
      </c>
      <c r="K789" s="77">
        <f>Procurement_Raw!K789</f>
        <v>45</v>
      </c>
      <c r="L789" t="str">
        <f>Procurement_Raw!L789</f>
        <v>ERP</v>
      </c>
      <c r="M789" t="str">
        <f>Procurement_Raw!O789</f>
        <v>N</v>
      </c>
      <c r="N789" t="str">
        <f>IF(E789="","Missing supplier",IF(B789="","Missing site",IF(J789="","Missing spend",IF(COUNTIFS($G$2:G789,G789,$E$2:E789,E789,$J$2:J789,J789)&gt;1,"Duplicate invoice",IF(COUNTIF($G$2:$G$1801,G789)&gt;1,"Duplicate ID - review",IF(AND(P789&lt;&gt;"Unmapped",P789&lt;&gt;F789),"Category mismatch","OK"))))))</f>
        <v>OK</v>
      </c>
      <c r="O789" s="125">
        <f t="shared" si="36"/>
        <v>6468.7</v>
      </c>
      <c r="P789" t="str">
        <f>IF(E789="","Unmapped",IFERROR(INDEX(Supplier_Lookup!$B$2:$B$25,MATCH(E789,Supplier_Lookup!$A$2:$A$25,0)),"Unmapped"))</f>
        <v>Office &amp; Training</v>
      </c>
      <c r="Q789" s="76">
        <f>IFERROR(INDEX(Category_Targets!$B$2:$B$9,MATCH(F789,Category_Targets!$A$2:$A$9,0)),0)</f>
        <v>0.04</v>
      </c>
      <c r="R789" s="125">
        <f t="shared" si="37"/>
        <v>258.74799999999999</v>
      </c>
      <c r="S789" s="78">
        <f t="shared" si="38"/>
        <v>45748</v>
      </c>
      <c r="T789" t="str">
        <f>IFERROR(VLOOKUP(B789,Sites!$A$2:$D$21,4,FALSE()),"Unknown")</f>
        <v>Bristol</v>
      </c>
      <c r="U789" t="str">
        <f>IF(N789="OK","",COUNTIF($N$2:N789,"&lt;&gt;OK"))</f>
        <v/>
      </c>
      <c r="V789">
        <f>IF(OR(NOT(EXACT(E789,TRIM(Procurement_Raw!E789))),NOT(EXACT(F789,TRIM(Procurement_Raw!F789)))),1,0)</f>
        <v>0</v>
      </c>
    </row>
    <row r="790" spans="1:22" ht="15" customHeight="1" x14ac:dyDescent="0.25">
      <c r="A790" s="123">
        <f>Procurement_Raw!A790</f>
        <v>45744</v>
      </c>
      <c r="B790" t="str">
        <f>TRIM(Procurement_Raw!B790)</f>
        <v>S006</v>
      </c>
      <c r="C790" t="str">
        <f>Procurement_Raw!C790</f>
        <v>Birmingham Care &amp; Education Centre</v>
      </c>
      <c r="D790" t="str">
        <f>Procurement_Raw!D790</f>
        <v>Midlands</v>
      </c>
      <c r="E790" t="str">
        <f>IF(TRIM(Procurement_Raw!E790)="","",IFERROR(INDEX(Supplier_Lookup!$A$2:$A$25,MATCH(TRIM(Procurement_Raw!E790),Supplier_Lookup!$A$2:$A$25,0)),TRIM(Procurement_Raw!E790)))</f>
        <v>PowerDirect</v>
      </c>
      <c r="F790" t="str">
        <f>IFERROR(INDEX(Category_Targets!$A$2:$A$9,MATCH(TRIM(Procurement_Raw!F790),Category_Targets!$A$2:$A$9,0)),"Unmapped")</f>
        <v>Utilities</v>
      </c>
      <c r="G790" t="str">
        <f>TRIM(Procurement_Raw!G790)</f>
        <v>INV-2025-00789</v>
      </c>
      <c r="H790" s="77">
        <f>Procurement_Raw!H790</f>
        <v>5</v>
      </c>
      <c r="I790" s="124">
        <f>Procurement_Raw!I790</f>
        <v>240.54</v>
      </c>
      <c r="J790" s="125">
        <f>IF(Procurement_Raw!J790="","",Procurement_Raw!J790)</f>
        <v>1202.68</v>
      </c>
      <c r="K790" s="77">
        <f>Procurement_Raw!K790</f>
        <v>45</v>
      </c>
      <c r="L790" t="str">
        <f>Procurement_Raw!L790</f>
        <v>ERP</v>
      </c>
      <c r="M790" t="str">
        <f>Procurement_Raw!O790</f>
        <v>N</v>
      </c>
      <c r="N790" t="str">
        <f>IF(E790="","Missing supplier",IF(B790="","Missing site",IF(J790="","Missing spend",IF(COUNTIFS($G$2:G790,G790,$E$2:E790,E790,$J$2:J790,J790)&gt;1,"Duplicate invoice",IF(COUNTIF($G$2:$G$1801,G790)&gt;1,"Duplicate ID - review",IF(AND(P790&lt;&gt;"Unmapped",P790&lt;&gt;F790),"Category mismatch","OK"))))))</f>
        <v>OK</v>
      </c>
      <c r="O790" s="125">
        <f t="shared" si="36"/>
        <v>1202.68</v>
      </c>
      <c r="P790" t="str">
        <f>IF(E790="","Unmapped",IFERROR(INDEX(Supplier_Lookup!$B$2:$B$25,MATCH(E790,Supplier_Lookup!$A$2:$A$25,0)),"Unmapped"))</f>
        <v>Utilities</v>
      </c>
      <c r="Q790" s="76">
        <f>IFERROR(INDEX(Category_Targets!$B$2:$B$9,MATCH(F790,Category_Targets!$A$2:$A$9,0)),0)</f>
        <v>0.03</v>
      </c>
      <c r="R790" s="125">
        <f t="shared" si="37"/>
        <v>36.080399999999997</v>
      </c>
      <c r="S790" s="78">
        <f t="shared" si="38"/>
        <v>45717</v>
      </c>
      <c r="T790" t="str">
        <f>IFERROR(VLOOKUP(B790,Sites!$A$2:$D$21,4,FALSE()),"Unknown")</f>
        <v>Birmingham</v>
      </c>
      <c r="U790" t="str">
        <f>IF(N790="OK","",COUNTIF($N$2:N790,"&lt;&gt;OK"))</f>
        <v/>
      </c>
      <c r="V790">
        <f>IF(OR(NOT(EXACT(E790,TRIM(Procurement_Raw!E790))),NOT(EXACT(F790,TRIM(Procurement_Raw!F790)))),1,0)</f>
        <v>0</v>
      </c>
    </row>
    <row r="791" spans="1:22" ht="15" customHeight="1" x14ac:dyDescent="0.25">
      <c r="A791" s="123">
        <f>Procurement_Raw!A791</f>
        <v>45702</v>
      </c>
      <c r="B791" t="str">
        <f>TRIM(Procurement_Raw!B791)</f>
        <v>S018</v>
      </c>
      <c r="C791" t="str">
        <f>Procurement_Raw!C791</f>
        <v>Newport Care &amp; Education Centre</v>
      </c>
      <c r="D791" t="str">
        <f>Procurement_Raw!D791</f>
        <v>Wales</v>
      </c>
      <c r="E791" t="str">
        <f>IF(TRIM(Procurement_Raw!E791)="","",IFERROR(INDEX(Supplier_Lookup!$A$2:$A$25,MATCH(TRIM(Procurement_Raw!E791),Supplier_Lookup!$A$2:$A$25,0)),TRIM(Procurement_Raw!E791)))</f>
        <v>MediSure</v>
      </c>
      <c r="F791" t="str">
        <f>IFERROR(INDEX(Category_Targets!$A$2:$A$9,MATCH(TRIM(Procurement_Raw!F791),Category_Targets!$A$2:$A$9,0)),"Unmapped")</f>
        <v>Medical Supplies</v>
      </c>
      <c r="G791" t="str">
        <f>TRIM(Procurement_Raw!G791)</f>
        <v>INV-2025-00790</v>
      </c>
      <c r="H791" s="77">
        <f>Procurement_Raw!H791</f>
        <v>36</v>
      </c>
      <c r="I791" s="124">
        <f>Procurement_Raw!I791</f>
        <v>48.13</v>
      </c>
      <c r="J791" s="125">
        <f>IF(Procurement_Raw!J791="","",Procurement_Raw!J791)</f>
        <v>1732.78</v>
      </c>
      <c r="K791" s="77">
        <f>Procurement_Raw!K791</f>
        <v>45</v>
      </c>
      <c r="L791" t="str">
        <f>Procurement_Raw!L791</f>
        <v>Procurement Portal</v>
      </c>
      <c r="M791" t="str">
        <f>Procurement_Raw!O791</f>
        <v>Y</v>
      </c>
      <c r="N791" t="str">
        <f>IF(E791="","Missing supplier",IF(B791="","Missing site",IF(J791="","Missing spend",IF(COUNTIFS($G$2:G791,G791,$E$2:E791,E791,$J$2:J791,J791)&gt;1,"Duplicate invoice",IF(COUNTIF($G$2:$G$1801,G791)&gt;1,"Duplicate ID - review",IF(AND(P791&lt;&gt;"Unmapped",P791&lt;&gt;F791),"Category mismatch","OK"))))))</f>
        <v>OK</v>
      </c>
      <c r="O791" s="125">
        <f t="shared" si="36"/>
        <v>1732.78</v>
      </c>
      <c r="P791" t="str">
        <f>IF(E791="","Unmapped",IFERROR(INDEX(Supplier_Lookup!$B$2:$B$25,MATCH(E791,Supplier_Lookup!$A$2:$A$25,0)),"Unmapped"))</f>
        <v>Medical Supplies</v>
      </c>
      <c r="Q791" s="76">
        <f>IFERROR(INDEX(Category_Targets!$B$2:$B$9,MATCH(F791,Category_Targets!$A$2:$A$9,0)),0)</f>
        <v>0.06</v>
      </c>
      <c r="R791" s="125">
        <f t="shared" si="37"/>
        <v>103.96679999999999</v>
      </c>
      <c r="S791" s="78">
        <f t="shared" si="38"/>
        <v>45689</v>
      </c>
      <c r="T791" t="str">
        <f>IFERROR(VLOOKUP(B791,Sites!$A$2:$D$21,4,FALSE()),"Unknown")</f>
        <v>Newport</v>
      </c>
      <c r="U791" t="str">
        <f>IF(N791="OK","",COUNTIF($N$2:N791,"&lt;&gt;OK"))</f>
        <v/>
      </c>
      <c r="V791">
        <f>IF(OR(NOT(EXACT(E791,TRIM(Procurement_Raw!E791))),NOT(EXACT(F791,TRIM(Procurement_Raw!F791)))),1,0)</f>
        <v>0</v>
      </c>
    </row>
    <row r="792" spans="1:22" ht="15" customHeight="1" x14ac:dyDescent="0.25">
      <c r="A792" s="123">
        <f>Procurement_Raw!A792</f>
        <v>45958</v>
      </c>
      <c r="B792" t="str">
        <f>TRIM(Procurement_Raw!B792)</f>
        <v>S016</v>
      </c>
      <c r="C792" t="str">
        <f>Procurement_Raw!C792</f>
        <v>Cardiff Care &amp; Education Centre</v>
      </c>
      <c r="D792" t="str">
        <f>Procurement_Raw!D792</f>
        <v>Wales</v>
      </c>
      <c r="E792" t="str">
        <f>IF(TRIM(Procurement_Raw!E792)="","",IFERROR(INDEX(Supplier_Lookup!$A$2:$A$25,MATCH(TRIM(Procurement_Raw!E792),Supplier_Lookup!$A$2:$A$25,0)),TRIM(Procurement_Raw!E792)))</f>
        <v>CareTemps</v>
      </c>
      <c r="F792" t="str">
        <f>IFERROR(INDEX(Category_Targets!$A$2:$A$9,MATCH(TRIM(Procurement_Raw!F792),Category_Targets!$A$2:$A$9,0)),"Unmapped")</f>
        <v>Agency Labour</v>
      </c>
      <c r="G792" t="str">
        <f>TRIM(Procurement_Raw!G792)</f>
        <v>INV-2025-00791</v>
      </c>
      <c r="H792" s="77">
        <f>Procurement_Raw!H792</f>
        <v>26</v>
      </c>
      <c r="I792" s="124">
        <f>Procurement_Raw!I792</f>
        <v>379.96</v>
      </c>
      <c r="J792" s="125">
        <f>IF(Procurement_Raw!J792="","",Procurement_Raw!J792)</f>
        <v>9879.02</v>
      </c>
      <c r="K792" s="77">
        <f>Procurement_Raw!K792</f>
        <v>60</v>
      </c>
      <c r="L792" t="str">
        <f>Procurement_Raw!L792</f>
        <v>ERP</v>
      </c>
      <c r="M792" t="str">
        <f>Procurement_Raw!O792</f>
        <v>N</v>
      </c>
      <c r="N792" t="str">
        <f>IF(E792="","Missing supplier",IF(B792="","Missing site",IF(J792="","Missing spend",IF(COUNTIFS($G$2:G792,G792,$E$2:E792,E792,$J$2:J792,J792)&gt;1,"Duplicate invoice",IF(COUNTIF($G$2:$G$1801,G792)&gt;1,"Duplicate ID - review",IF(AND(P792&lt;&gt;"Unmapped",P792&lt;&gt;F792),"Category mismatch","OK"))))))</f>
        <v>OK</v>
      </c>
      <c r="O792" s="125">
        <f t="shared" si="36"/>
        <v>9879.02</v>
      </c>
      <c r="P792" t="str">
        <f>IF(E792="","Unmapped",IFERROR(INDEX(Supplier_Lookup!$B$2:$B$25,MATCH(E792,Supplier_Lookup!$A$2:$A$25,0)),"Unmapped"))</f>
        <v>Agency Labour</v>
      </c>
      <c r="Q792" s="76">
        <f>IFERROR(INDEX(Category_Targets!$B$2:$B$9,MATCH(F792,Category_Targets!$A$2:$A$9,0)),0)</f>
        <v>7.0000000000000007E-2</v>
      </c>
      <c r="R792" s="125">
        <f t="shared" si="37"/>
        <v>691.53140000000008</v>
      </c>
      <c r="S792" s="78">
        <f t="shared" si="38"/>
        <v>45931</v>
      </c>
      <c r="T792" t="str">
        <f>IFERROR(VLOOKUP(B792,Sites!$A$2:$D$21,4,FALSE()),"Unknown")</f>
        <v>Cardiff</v>
      </c>
      <c r="U792" t="str">
        <f>IF(N792="OK","",COUNTIF($N$2:N792,"&lt;&gt;OK"))</f>
        <v/>
      </c>
      <c r="V792">
        <f>IF(OR(NOT(EXACT(E792,TRIM(Procurement_Raw!E792))),NOT(EXACT(F792,TRIM(Procurement_Raw!F792)))),1,0)</f>
        <v>0</v>
      </c>
    </row>
    <row r="793" spans="1:22" ht="15" customHeight="1" x14ac:dyDescent="0.25">
      <c r="A793" s="123">
        <f>Procurement_Raw!A793</f>
        <v>45939</v>
      </c>
      <c r="B793" t="str">
        <f>TRIM(Procurement_Raw!B793)</f>
        <v>S017</v>
      </c>
      <c r="C793" t="str">
        <f>Procurement_Raw!C793</f>
        <v>Swansea Care &amp; Education Centre</v>
      </c>
      <c r="D793" t="str">
        <f>Procurement_Raw!D793</f>
        <v>Wales</v>
      </c>
      <c r="E793" t="str">
        <f>IF(TRIM(Procurement_Raw!E793)="","",IFERROR(INDEX(Supplier_Lookup!$A$2:$A$25,MATCH(TRIM(Procurement_Raw!E793),Supplier_Lookup!$A$2:$A$25,0)),TRIM(Procurement_Raw!E793)))</f>
        <v>FreshServe</v>
      </c>
      <c r="F793" t="str">
        <f>IFERROR(INDEX(Category_Targets!$A$2:$A$9,MATCH(TRIM(Procurement_Raw!F793),Category_Targets!$A$2:$A$9,0)),"Unmapped")</f>
        <v>Food &amp; Catering</v>
      </c>
      <c r="G793" t="str">
        <f>TRIM(Procurement_Raw!G793)</f>
        <v>INV-2025-00792</v>
      </c>
      <c r="H793" s="77">
        <f>Procurement_Raw!H793</f>
        <v>37</v>
      </c>
      <c r="I793" s="124">
        <f>Procurement_Raw!I793</f>
        <v>72.87</v>
      </c>
      <c r="J793" s="125">
        <f>IF(Procurement_Raw!J793="","",Procurement_Raw!J793)</f>
        <v>2696.02</v>
      </c>
      <c r="K793" s="77">
        <f>Procurement_Raw!K793</f>
        <v>60</v>
      </c>
      <c r="L793" t="str">
        <f>Procurement_Raw!L793</f>
        <v>Legacy Spend File</v>
      </c>
      <c r="M793" t="str">
        <f>Procurement_Raw!O793</f>
        <v>Y</v>
      </c>
      <c r="N793" t="str">
        <f>IF(E793="","Missing supplier",IF(B793="","Missing site",IF(J793="","Missing spend",IF(COUNTIFS($G$2:G793,G793,$E$2:E793,E793,$J$2:J793,J793)&gt;1,"Duplicate invoice",IF(COUNTIF($G$2:$G$1801,G793)&gt;1,"Duplicate ID - review",IF(AND(P793&lt;&gt;"Unmapped",P793&lt;&gt;F793),"Category mismatch","OK"))))))</f>
        <v>OK</v>
      </c>
      <c r="O793" s="125">
        <f t="shared" si="36"/>
        <v>2696.02</v>
      </c>
      <c r="P793" t="str">
        <f>IF(E793="","Unmapped",IFERROR(INDEX(Supplier_Lookup!$B$2:$B$25,MATCH(E793,Supplier_Lookup!$A$2:$A$25,0)),"Unmapped"))</f>
        <v>Food &amp; Catering</v>
      </c>
      <c r="Q793" s="76">
        <f>IFERROR(INDEX(Category_Targets!$B$2:$B$9,MATCH(F793,Category_Targets!$A$2:$A$9,0)),0)</f>
        <v>0.04</v>
      </c>
      <c r="R793" s="125">
        <f t="shared" si="37"/>
        <v>107.8408</v>
      </c>
      <c r="S793" s="78">
        <f t="shared" si="38"/>
        <v>45931</v>
      </c>
      <c r="T793" t="str">
        <f>IFERROR(VLOOKUP(B793,Sites!$A$2:$D$21,4,FALSE()),"Unknown")</f>
        <v>Swansea</v>
      </c>
      <c r="U793" t="str">
        <f>IF(N793="OK","",COUNTIF($N$2:N793,"&lt;&gt;OK"))</f>
        <v/>
      </c>
      <c r="V793">
        <f>IF(OR(NOT(EXACT(E793,TRIM(Procurement_Raw!E793))),NOT(EXACT(F793,TRIM(Procurement_Raw!F793)))),1,0)</f>
        <v>0</v>
      </c>
    </row>
    <row r="794" spans="1:22" ht="15" customHeight="1" x14ac:dyDescent="0.25">
      <c r="A794" s="123">
        <f>Procurement_Raw!A794</f>
        <v>45799</v>
      </c>
      <c r="B794" t="str">
        <f>TRIM(Procurement_Raw!B794)</f>
        <v>S008</v>
      </c>
      <c r="C794" t="str">
        <f>Procurement_Raw!C794</f>
        <v>Leicester Care &amp; Education Centre</v>
      </c>
      <c r="D794" t="str">
        <f>Procurement_Raw!D794</f>
        <v>Midlands</v>
      </c>
      <c r="E794" t="str">
        <f>IF(TRIM(Procurement_Raw!E794)="","",IFERROR(INDEX(Supplier_Lookup!$A$2:$A$25,MATCH(TRIM(Procurement_Raw!E794),Supplier_Lookup!$A$2:$A$25,0)),TRIM(Procurement_Raw!E794)))</f>
        <v>RoadReady</v>
      </c>
      <c r="F794" t="str">
        <f>IFERROR(INDEX(Category_Targets!$A$2:$A$9,MATCH(TRIM(Procurement_Raw!F794),Category_Targets!$A$2:$A$9,0)),"Unmapped")</f>
        <v>Vehicle &amp; Fuel</v>
      </c>
      <c r="G794" t="str">
        <f>TRIM(Procurement_Raw!G794)</f>
        <v>INV-2025-00793</v>
      </c>
      <c r="H794" s="77">
        <f>Procurement_Raw!H794</f>
        <v>29</v>
      </c>
      <c r="I794" s="124">
        <f>Procurement_Raw!I794</f>
        <v>110.3</v>
      </c>
      <c r="J794" s="125">
        <f>IF(Procurement_Raw!J794="","",Procurement_Raw!J794)</f>
        <v>3198.83</v>
      </c>
      <c r="K794" s="77">
        <f>Procurement_Raw!K794</f>
        <v>60</v>
      </c>
      <c r="L794" t="str">
        <f>Procurement_Raw!L794</f>
        <v>ERP</v>
      </c>
      <c r="M794" t="str">
        <f>Procurement_Raw!O794</f>
        <v>N</v>
      </c>
      <c r="N794" t="str">
        <f>IF(E794="","Missing supplier",IF(B794="","Missing site",IF(J794="","Missing spend",IF(COUNTIFS($G$2:G794,G794,$E$2:E794,E794,$J$2:J794,J794)&gt;1,"Duplicate invoice",IF(COUNTIF($G$2:$G$1801,G794)&gt;1,"Duplicate ID - review",IF(AND(P794&lt;&gt;"Unmapped",P794&lt;&gt;F794),"Category mismatch","OK"))))))</f>
        <v>OK</v>
      </c>
      <c r="O794" s="125">
        <f t="shared" si="36"/>
        <v>3198.83</v>
      </c>
      <c r="P794" t="str">
        <f>IF(E794="","Unmapped",IFERROR(INDEX(Supplier_Lookup!$B$2:$B$25,MATCH(E794,Supplier_Lookup!$A$2:$A$25,0)),"Unmapped"))</f>
        <v>Vehicle &amp; Fuel</v>
      </c>
      <c r="Q794" s="76">
        <f>IFERROR(INDEX(Category_Targets!$B$2:$B$9,MATCH(F794,Category_Targets!$A$2:$A$9,0)),0)</f>
        <v>0.05</v>
      </c>
      <c r="R794" s="125">
        <f t="shared" si="37"/>
        <v>159.94150000000002</v>
      </c>
      <c r="S794" s="78">
        <f t="shared" si="38"/>
        <v>45778</v>
      </c>
      <c r="T794" t="str">
        <f>IFERROR(VLOOKUP(B794,Sites!$A$2:$D$21,4,FALSE()),"Unknown")</f>
        <v>Leicester</v>
      </c>
      <c r="U794" t="str">
        <f>IF(N794="OK","",COUNTIF($N$2:N794,"&lt;&gt;OK"))</f>
        <v/>
      </c>
      <c r="V794">
        <f>IF(OR(NOT(EXACT(E794,TRIM(Procurement_Raw!E794))),NOT(EXACT(F794,TRIM(Procurement_Raw!F794)))),1,0)</f>
        <v>0</v>
      </c>
    </row>
    <row r="795" spans="1:22" ht="15" customHeight="1" x14ac:dyDescent="0.25">
      <c r="A795" s="123">
        <f>Procurement_Raw!A795</f>
        <v>45660</v>
      </c>
      <c r="B795" t="str">
        <f>TRIM(Procurement_Raw!B795)</f>
        <v>S016</v>
      </c>
      <c r="C795" t="str">
        <f>Procurement_Raw!C795</f>
        <v>Cardiff Care &amp; Education Centre</v>
      </c>
      <c r="D795" t="str">
        <f>Procurement_Raw!D795</f>
        <v>Wales</v>
      </c>
      <c r="E795" t="str">
        <f>IF(TRIM(Procurement_Raw!E795)="","",IFERROR(INDEX(Supplier_Lookup!$A$2:$A$25,MATCH(TRIM(Procurement_Raw!E795),Supplier_Lookup!$A$2:$A$25,0)),TRIM(Procurement_Raw!E795)))</f>
        <v>NurseLink</v>
      </c>
      <c r="F795" t="str">
        <f>IFERROR(INDEX(Category_Targets!$A$2:$A$9,MATCH(TRIM(Procurement_Raw!F795),Category_Targets!$A$2:$A$9,0)),"Unmapped")</f>
        <v>Agency Labour</v>
      </c>
      <c r="G795" t="str">
        <f>TRIM(Procurement_Raw!G795)</f>
        <v>INV-2025-00794</v>
      </c>
      <c r="H795" s="77">
        <f>Procurement_Raw!H795</f>
        <v>34</v>
      </c>
      <c r="I795" s="124">
        <f>Procurement_Raw!I795</f>
        <v>148.65</v>
      </c>
      <c r="J795" s="125">
        <f>IF(Procurement_Raw!J795="","",Procurement_Raw!J795)</f>
        <v>5053.9799999999996</v>
      </c>
      <c r="K795" s="77">
        <f>Procurement_Raw!K795</f>
        <v>30</v>
      </c>
      <c r="L795" t="str">
        <f>Procurement_Raw!L795</f>
        <v>Procurement Portal</v>
      </c>
      <c r="M795" t="str">
        <f>Procurement_Raw!O795</f>
        <v>N</v>
      </c>
      <c r="N795" t="str">
        <f>IF(E795="","Missing supplier",IF(B795="","Missing site",IF(J795="","Missing spend",IF(COUNTIFS($G$2:G795,G795,$E$2:E795,E795,$J$2:J795,J795)&gt;1,"Duplicate invoice",IF(COUNTIF($G$2:$G$1801,G795)&gt;1,"Duplicate ID - review",IF(AND(P795&lt;&gt;"Unmapped",P795&lt;&gt;F795),"Category mismatch","OK"))))))</f>
        <v>OK</v>
      </c>
      <c r="O795" s="125">
        <f t="shared" si="36"/>
        <v>5053.9799999999996</v>
      </c>
      <c r="P795" t="str">
        <f>IF(E795="","Unmapped",IFERROR(INDEX(Supplier_Lookup!$B$2:$B$25,MATCH(E795,Supplier_Lookup!$A$2:$A$25,0)),"Unmapped"))</f>
        <v>Agency Labour</v>
      </c>
      <c r="Q795" s="76">
        <f>IFERROR(INDEX(Category_Targets!$B$2:$B$9,MATCH(F795,Category_Targets!$A$2:$A$9,0)),0)</f>
        <v>7.0000000000000007E-2</v>
      </c>
      <c r="R795" s="125">
        <f t="shared" si="37"/>
        <v>353.77859999999998</v>
      </c>
      <c r="S795" s="78">
        <f t="shared" si="38"/>
        <v>45658</v>
      </c>
      <c r="T795" t="str">
        <f>IFERROR(VLOOKUP(B795,Sites!$A$2:$D$21,4,FALSE()),"Unknown")</f>
        <v>Cardiff</v>
      </c>
      <c r="U795" t="str">
        <f>IF(N795="OK","",COUNTIF($N$2:N795,"&lt;&gt;OK"))</f>
        <v/>
      </c>
      <c r="V795">
        <f>IF(OR(NOT(EXACT(E795,TRIM(Procurement_Raw!E795))),NOT(EXACT(F795,TRIM(Procurement_Raw!F795)))),1,0)</f>
        <v>0</v>
      </c>
    </row>
    <row r="796" spans="1:22" ht="15" customHeight="1" x14ac:dyDescent="0.25">
      <c r="A796" s="123">
        <f>Procurement_Raw!A796</f>
        <v>45695</v>
      </c>
      <c r="B796" t="str">
        <f>TRIM(Procurement_Raw!B796)</f>
        <v>S009</v>
      </c>
      <c r="C796" t="str">
        <f>Procurement_Raw!C796</f>
        <v>Derby Care &amp; Education Centre</v>
      </c>
      <c r="D796" t="str">
        <f>Procurement_Raw!D796</f>
        <v>Midlands</v>
      </c>
      <c r="E796" t="str">
        <f>IF(TRIM(Procurement_Raw!E796)="","",IFERROR(INDEX(Supplier_Lookup!$A$2:$A$25,MATCH(TRIM(Procurement_Raw!E796),Supplier_Lookup!$A$2:$A$25,0)),TRIM(Procurement_Raw!E796)))</f>
        <v>KitchenPro</v>
      </c>
      <c r="F796" t="str">
        <f>IFERROR(INDEX(Category_Targets!$A$2:$A$9,MATCH(TRIM(Procurement_Raw!F796),Category_Targets!$A$2:$A$9,0)),"Unmapped")</f>
        <v>Food &amp; Catering</v>
      </c>
      <c r="G796" t="str">
        <f>TRIM(Procurement_Raw!G796)</f>
        <v>INV-2025-00795</v>
      </c>
      <c r="H796" s="77">
        <f>Procurement_Raw!H796</f>
        <v>65</v>
      </c>
      <c r="I796" s="124">
        <f>Procurement_Raw!I796</f>
        <v>35.869999999999997</v>
      </c>
      <c r="J796" s="125">
        <f>IF(Procurement_Raw!J796="","",Procurement_Raw!J796)</f>
        <v>2331.33</v>
      </c>
      <c r="K796" s="77">
        <f>Procurement_Raw!K796</f>
        <v>45</v>
      </c>
      <c r="L796" t="str">
        <f>Procurement_Raw!L796</f>
        <v>Procurement Portal</v>
      </c>
      <c r="M796" t="str">
        <f>Procurement_Raw!O796</f>
        <v>N</v>
      </c>
      <c r="N796" t="str">
        <f>IF(E796="","Missing supplier",IF(B796="","Missing site",IF(J796="","Missing spend",IF(COUNTIFS($G$2:G796,G796,$E$2:E796,E796,$J$2:J796,J796)&gt;1,"Duplicate invoice",IF(COUNTIF($G$2:$G$1801,G796)&gt;1,"Duplicate ID - review",IF(AND(P796&lt;&gt;"Unmapped",P796&lt;&gt;F796),"Category mismatch","OK"))))))</f>
        <v>OK</v>
      </c>
      <c r="O796" s="125">
        <f t="shared" si="36"/>
        <v>2331.33</v>
      </c>
      <c r="P796" t="str">
        <f>IF(E796="","Unmapped",IFERROR(INDEX(Supplier_Lookup!$B$2:$B$25,MATCH(E796,Supplier_Lookup!$A$2:$A$25,0)),"Unmapped"))</f>
        <v>Food &amp; Catering</v>
      </c>
      <c r="Q796" s="76">
        <f>IFERROR(INDEX(Category_Targets!$B$2:$B$9,MATCH(F796,Category_Targets!$A$2:$A$9,0)),0)</f>
        <v>0.04</v>
      </c>
      <c r="R796" s="125">
        <f t="shared" si="37"/>
        <v>93.253199999999993</v>
      </c>
      <c r="S796" s="78">
        <f t="shared" si="38"/>
        <v>45689</v>
      </c>
      <c r="T796" t="str">
        <f>IFERROR(VLOOKUP(B796,Sites!$A$2:$D$21,4,FALSE()),"Unknown")</f>
        <v>Derby</v>
      </c>
      <c r="U796" t="str">
        <f>IF(N796="OK","",COUNTIF($N$2:N796,"&lt;&gt;OK"))</f>
        <v/>
      </c>
      <c r="V796">
        <f>IF(OR(NOT(EXACT(E796,TRIM(Procurement_Raw!E796))),NOT(EXACT(F796,TRIM(Procurement_Raw!F796)))),1,0)</f>
        <v>0</v>
      </c>
    </row>
    <row r="797" spans="1:22" ht="15" customHeight="1" x14ac:dyDescent="0.25">
      <c r="A797" s="123">
        <f>Procurement_Raw!A797</f>
        <v>45952</v>
      </c>
      <c r="B797" t="str">
        <f>TRIM(Procurement_Raw!B797)</f>
        <v>S015</v>
      </c>
      <c r="C797" t="str">
        <f>Procurement_Raw!C797</f>
        <v>Brighton Care &amp; Education Centre</v>
      </c>
      <c r="D797" t="str">
        <f>Procurement_Raw!D797</f>
        <v>South</v>
      </c>
      <c r="E797" t="str">
        <f>IF(TRIM(Procurement_Raw!E797)="","",IFERROR(INDEX(Supplier_Lookup!$A$2:$A$25,MATCH(TRIM(Procurement_Raw!E797),Supplier_Lookup!$A$2:$A$25,0)),TRIM(Procurement_Raw!E797)))</f>
        <v>NetServe</v>
      </c>
      <c r="F797" t="str">
        <f>IFERROR(INDEX(Category_Targets!$A$2:$A$9,MATCH(TRIM(Procurement_Raw!F797),Category_Targets!$A$2:$A$9,0)),"Unmapped")</f>
        <v>IT &amp; Telecoms</v>
      </c>
      <c r="G797" t="str">
        <f>TRIM(Procurement_Raw!G797)</f>
        <v>INV-2025-00796</v>
      </c>
      <c r="H797" s="77">
        <f>Procurement_Raw!H797</f>
        <v>33</v>
      </c>
      <c r="I797" s="124">
        <f>Procurement_Raw!I797</f>
        <v>392.63</v>
      </c>
      <c r="J797" s="125">
        <f>IF(Procurement_Raw!J797="","",Procurement_Raw!J797)</f>
        <v>12956.71</v>
      </c>
      <c r="K797" s="77">
        <f>Procurement_Raw!K797</f>
        <v>60</v>
      </c>
      <c r="L797" t="str">
        <f>Procurement_Raw!L797</f>
        <v>Procurement Portal</v>
      </c>
      <c r="M797" t="str">
        <f>Procurement_Raw!O797</f>
        <v>N</v>
      </c>
      <c r="N797" t="str">
        <f>IF(E797="","Missing supplier",IF(B797="","Missing site",IF(J797="","Missing spend",IF(COUNTIFS($G$2:G797,G797,$E$2:E797,E797,$J$2:J797,J797)&gt;1,"Duplicate invoice",IF(COUNTIF($G$2:$G$1801,G797)&gt;1,"Duplicate ID - review",IF(AND(P797&lt;&gt;"Unmapped",P797&lt;&gt;F797),"Category mismatch","OK"))))))</f>
        <v>OK</v>
      </c>
      <c r="O797" s="125">
        <f t="shared" si="36"/>
        <v>12956.71</v>
      </c>
      <c r="P797" t="str">
        <f>IF(E797="","Unmapped",IFERROR(INDEX(Supplier_Lookup!$B$2:$B$25,MATCH(E797,Supplier_Lookup!$A$2:$A$25,0)),"Unmapped"))</f>
        <v>IT &amp; Telecoms</v>
      </c>
      <c r="Q797" s="76">
        <f>IFERROR(INDEX(Category_Targets!$B$2:$B$9,MATCH(F797,Category_Targets!$A$2:$A$9,0)),0)</f>
        <v>0.08</v>
      </c>
      <c r="R797" s="125">
        <f t="shared" si="37"/>
        <v>1036.5367999999999</v>
      </c>
      <c r="S797" s="78">
        <f t="shared" si="38"/>
        <v>45931</v>
      </c>
      <c r="T797" t="str">
        <f>IFERROR(VLOOKUP(B797,Sites!$A$2:$D$21,4,FALSE()),"Unknown")</f>
        <v>Brighton</v>
      </c>
      <c r="U797" t="str">
        <f>IF(N797="OK","",COUNTIF($N$2:N797,"&lt;&gt;OK"))</f>
        <v/>
      </c>
      <c r="V797">
        <f>IF(OR(NOT(EXACT(E797,TRIM(Procurement_Raw!E797))),NOT(EXACT(F797,TRIM(Procurement_Raw!F797)))),1,0)</f>
        <v>0</v>
      </c>
    </row>
    <row r="798" spans="1:22" ht="15" customHeight="1" x14ac:dyDescent="0.25">
      <c r="A798" s="123">
        <f>Procurement_Raw!A798</f>
        <v>45831</v>
      </c>
      <c r="B798" t="str">
        <f>TRIM(Procurement_Raw!B798)</f>
        <v>S004</v>
      </c>
      <c r="C798" t="str">
        <f>Procurement_Raw!C798</f>
        <v>Newcastle Care &amp; Education Centre</v>
      </c>
      <c r="D798" t="str">
        <f>Procurement_Raw!D798</f>
        <v>North</v>
      </c>
      <c r="E798" t="str">
        <f>IF(TRIM(Procurement_Raw!E798)="","",IFERROR(INDEX(Supplier_Lookup!$A$2:$A$25,MATCH(TRIM(Procurement_Raw!E798),Supplier_Lookup!$A$2:$A$25,0)),TRIM(Procurement_Raw!E798)))</f>
        <v>OfficePlus</v>
      </c>
      <c r="F798" t="str">
        <f>IFERROR(INDEX(Category_Targets!$A$2:$A$9,MATCH(TRIM(Procurement_Raw!F798),Category_Targets!$A$2:$A$9,0)),"Unmapped")</f>
        <v>Office &amp; Training</v>
      </c>
      <c r="G798" t="str">
        <f>TRIM(Procurement_Raw!G798)</f>
        <v>INV-2025-00797</v>
      </c>
      <c r="H798" s="77">
        <f>Procurement_Raw!H798</f>
        <v>59</v>
      </c>
      <c r="I798" s="124">
        <f>Procurement_Raw!I798</f>
        <v>73.39</v>
      </c>
      <c r="J798" s="125">
        <f>IF(Procurement_Raw!J798="","",Procurement_Raw!J798)</f>
        <v>4329.7700000000004</v>
      </c>
      <c r="K798" s="77">
        <f>Procurement_Raw!K798</f>
        <v>60</v>
      </c>
      <c r="L798" t="str">
        <f>Procurement_Raw!L798</f>
        <v>Procurement Portal</v>
      </c>
      <c r="M798" t="str">
        <f>Procurement_Raw!O798</f>
        <v>N</v>
      </c>
      <c r="N798" t="str">
        <f>IF(E798="","Missing supplier",IF(B798="","Missing site",IF(J798="","Missing spend",IF(COUNTIFS($G$2:G798,G798,$E$2:E798,E798,$J$2:J798,J798)&gt;1,"Duplicate invoice",IF(COUNTIF($G$2:$G$1801,G798)&gt;1,"Duplicate ID - review",IF(AND(P798&lt;&gt;"Unmapped",P798&lt;&gt;F798),"Category mismatch","OK"))))))</f>
        <v>OK</v>
      </c>
      <c r="O798" s="125">
        <f t="shared" si="36"/>
        <v>4329.7700000000004</v>
      </c>
      <c r="P798" t="str">
        <f>IF(E798="","Unmapped",IFERROR(INDEX(Supplier_Lookup!$B$2:$B$25,MATCH(E798,Supplier_Lookup!$A$2:$A$25,0)),"Unmapped"))</f>
        <v>Office &amp; Training</v>
      </c>
      <c r="Q798" s="76">
        <f>IFERROR(INDEX(Category_Targets!$B$2:$B$9,MATCH(F798,Category_Targets!$A$2:$A$9,0)),0)</f>
        <v>0.04</v>
      </c>
      <c r="R798" s="125">
        <f t="shared" si="37"/>
        <v>173.19080000000002</v>
      </c>
      <c r="S798" s="78">
        <f t="shared" si="38"/>
        <v>45809</v>
      </c>
      <c r="T798" t="str">
        <f>IFERROR(VLOOKUP(B798,Sites!$A$2:$D$21,4,FALSE()),"Unknown")</f>
        <v>Newcastle</v>
      </c>
      <c r="U798" t="str">
        <f>IF(N798="OK","",COUNTIF($N$2:N798,"&lt;&gt;OK"))</f>
        <v/>
      </c>
      <c r="V798">
        <f>IF(OR(NOT(EXACT(E798,TRIM(Procurement_Raw!E798))),NOT(EXACT(F798,TRIM(Procurement_Raw!F798)))),1,0)</f>
        <v>0</v>
      </c>
    </row>
    <row r="799" spans="1:22" ht="15" customHeight="1" x14ac:dyDescent="0.25">
      <c r="A799" s="123">
        <f>Procurement_Raw!A799</f>
        <v>45717</v>
      </c>
      <c r="B799" t="str">
        <f>TRIM(Procurement_Raw!B799)</f>
        <v>S017</v>
      </c>
      <c r="C799" t="str">
        <f>Procurement_Raw!C799</f>
        <v>Swansea Care &amp; Education Centre</v>
      </c>
      <c r="D799" t="str">
        <f>Procurement_Raw!D799</f>
        <v>Wales</v>
      </c>
      <c r="E799" t="str">
        <f>IF(TRIM(Procurement_Raw!E799)="","",IFERROR(INDEX(Supplier_Lookup!$A$2:$A$25,MATCH(TRIM(Procurement_Raw!E799),Supplier_Lookup!$A$2:$A$25,0)),TRIM(Procurement_Raw!E799)))</f>
        <v>CareMed</v>
      </c>
      <c r="F799" t="str">
        <f>IFERROR(INDEX(Category_Targets!$A$2:$A$9,MATCH(TRIM(Procurement_Raw!F799),Category_Targets!$A$2:$A$9,0)),"Unmapped")</f>
        <v>Medical Supplies</v>
      </c>
      <c r="G799" t="str">
        <f>TRIM(Procurement_Raw!G799)</f>
        <v>INV-2025-00798</v>
      </c>
      <c r="H799" s="77">
        <f>Procurement_Raw!H799</f>
        <v>34</v>
      </c>
      <c r="I799" s="124">
        <f>Procurement_Raw!I799</f>
        <v>174.57</v>
      </c>
      <c r="J799" s="125">
        <f>IF(Procurement_Raw!J799="","",Procurement_Raw!J799)</f>
        <v>5935.33</v>
      </c>
      <c r="K799" s="77">
        <f>Procurement_Raw!K799</f>
        <v>30</v>
      </c>
      <c r="L799" t="str">
        <f>Procurement_Raw!L799</f>
        <v>Procurement Portal</v>
      </c>
      <c r="M799" t="str">
        <f>Procurement_Raw!O799</f>
        <v>N</v>
      </c>
      <c r="N799" t="str">
        <f>IF(E799="","Missing supplier",IF(B799="","Missing site",IF(J799="","Missing spend",IF(COUNTIFS($G$2:G799,G799,$E$2:E799,E799,$J$2:J799,J799)&gt;1,"Duplicate invoice",IF(COUNTIF($G$2:$G$1801,G799)&gt;1,"Duplicate ID - review",IF(AND(P799&lt;&gt;"Unmapped",P799&lt;&gt;F799),"Category mismatch","OK"))))))</f>
        <v>OK</v>
      </c>
      <c r="O799" s="125">
        <f t="shared" si="36"/>
        <v>5935.33</v>
      </c>
      <c r="P799" t="str">
        <f>IF(E799="","Unmapped",IFERROR(INDEX(Supplier_Lookup!$B$2:$B$25,MATCH(E799,Supplier_Lookup!$A$2:$A$25,0)),"Unmapped"))</f>
        <v>Medical Supplies</v>
      </c>
      <c r="Q799" s="76">
        <f>IFERROR(INDEX(Category_Targets!$B$2:$B$9,MATCH(F799,Category_Targets!$A$2:$A$9,0)),0)</f>
        <v>0.06</v>
      </c>
      <c r="R799" s="125">
        <f t="shared" si="37"/>
        <v>356.1198</v>
      </c>
      <c r="S799" s="78">
        <f t="shared" si="38"/>
        <v>45717</v>
      </c>
      <c r="T799" t="str">
        <f>IFERROR(VLOOKUP(B799,Sites!$A$2:$D$21,4,FALSE()),"Unknown")</f>
        <v>Swansea</v>
      </c>
      <c r="U799" t="str">
        <f>IF(N799="OK","",COUNTIF($N$2:N799,"&lt;&gt;OK"))</f>
        <v/>
      </c>
      <c r="V799">
        <f>IF(OR(NOT(EXACT(E799,TRIM(Procurement_Raw!E799))),NOT(EXACT(F799,TRIM(Procurement_Raw!F799)))),1,0)</f>
        <v>0</v>
      </c>
    </row>
    <row r="800" spans="1:22" ht="15" customHeight="1" x14ac:dyDescent="0.25">
      <c r="A800" s="123">
        <f>Procurement_Raw!A800</f>
        <v>46017</v>
      </c>
      <c r="B800" t="str">
        <f>TRIM(Procurement_Raw!B800)</f>
        <v>S009</v>
      </c>
      <c r="C800" t="str">
        <f>Procurement_Raw!C800</f>
        <v>Derby Care &amp; Education Centre</v>
      </c>
      <c r="D800" t="str">
        <f>Procurement_Raw!D800</f>
        <v>Midlands</v>
      </c>
      <c r="E800" t="str">
        <f>IF(TRIM(Procurement_Raw!E800)="","",IFERROR(INDEX(Supplier_Lookup!$A$2:$A$25,MATCH(TRIM(Procurement_Raw!E800),Supplier_Lookup!$A$2:$A$25,0)),TRIM(Procurement_Raw!E800)))</f>
        <v>PowerDirect</v>
      </c>
      <c r="F800" t="str">
        <f>IFERROR(INDEX(Category_Targets!$A$2:$A$9,MATCH(TRIM(Procurement_Raw!F800),Category_Targets!$A$2:$A$9,0)),"Unmapped")</f>
        <v>Utilities</v>
      </c>
      <c r="G800" t="str">
        <f>TRIM(Procurement_Raw!G800)</f>
        <v>INV-2025-00799</v>
      </c>
      <c r="H800" s="77">
        <f>Procurement_Raw!H800</f>
        <v>30</v>
      </c>
      <c r="I800" s="124">
        <f>Procurement_Raw!I800</f>
        <v>253.92</v>
      </c>
      <c r="J800" s="125">
        <f>IF(Procurement_Raw!J800="","",Procurement_Raw!J800)</f>
        <v>7617.73</v>
      </c>
      <c r="K800" s="77">
        <f>Procurement_Raw!K800</f>
        <v>45</v>
      </c>
      <c r="L800" t="str">
        <f>Procurement_Raw!L800</f>
        <v>Procurement Portal</v>
      </c>
      <c r="M800" t="str">
        <f>Procurement_Raw!O800</f>
        <v>N</v>
      </c>
      <c r="N800" t="str">
        <f>IF(E800="","Missing supplier",IF(B800="","Missing site",IF(J800="","Missing spend",IF(COUNTIFS($G$2:G800,G800,$E$2:E800,E800,$J$2:J800,J800)&gt;1,"Duplicate invoice",IF(COUNTIF($G$2:$G$1801,G800)&gt;1,"Duplicate ID - review",IF(AND(P800&lt;&gt;"Unmapped",P800&lt;&gt;F800),"Category mismatch","OK"))))))</f>
        <v>OK</v>
      </c>
      <c r="O800" s="125">
        <f t="shared" si="36"/>
        <v>7617.73</v>
      </c>
      <c r="P800" t="str">
        <f>IF(E800="","Unmapped",IFERROR(INDEX(Supplier_Lookup!$B$2:$B$25,MATCH(E800,Supplier_Lookup!$A$2:$A$25,0)),"Unmapped"))</f>
        <v>Utilities</v>
      </c>
      <c r="Q800" s="76">
        <f>IFERROR(INDEX(Category_Targets!$B$2:$B$9,MATCH(F800,Category_Targets!$A$2:$A$9,0)),0)</f>
        <v>0.03</v>
      </c>
      <c r="R800" s="125">
        <f t="shared" si="37"/>
        <v>228.53189999999998</v>
      </c>
      <c r="S800" s="78">
        <f t="shared" si="38"/>
        <v>45992</v>
      </c>
      <c r="T800" t="str">
        <f>IFERROR(VLOOKUP(B800,Sites!$A$2:$D$21,4,FALSE()),"Unknown")</f>
        <v>Derby</v>
      </c>
      <c r="U800" t="str">
        <f>IF(N800="OK","",COUNTIF($N$2:N800,"&lt;&gt;OK"))</f>
        <v/>
      </c>
      <c r="V800">
        <f>IF(OR(NOT(EXACT(E800,TRIM(Procurement_Raw!E800))),NOT(EXACT(F800,TRIM(Procurement_Raw!F800)))),1,0)</f>
        <v>0</v>
      </c>
    </row>
    <row r="801" spans="1:22" ht="15" customHeight="1" x14ac:dyDescent="0.25">
      <c r="A801" s="123">
        <f>Procurement_Raw!A801</f>
        <v>45792</v>
      </c>
      <c r="B801" t="str">
        <f>TRIM(Procurement_Raw!B801)</f>
        <v>S002</v>
      </c>
      <c r="C801" t="str">
        <f>Procurement_Raw!C801</f>
        <v>Manchester Care &amp; Education Centre</v>
      </c>
      <c r="D801" t="str">
        <f>Procurement_Raw!D801</f>
        <v>North</v>
      </c>
      <c r="E801" t="str">
        <f>IF(TRIM(Procurement_Raw!E801)="","",IFERROR(INDEX(Supplier_Lookup!$A$2:$A$25,MATCH(TRIM(Procurement_Raw!E801),Supplier_Lookup!$A$2:$A$25,0)),TRIM(Procurement_Raw!E801)))</f>
        <v>ClinEquip</v>
      </c>
      <c r="F801" t="str">
        <f>IFERROR(INDEX(Category_Targets!$A$2:$A$9,MATCH(TRIM(Procurement_Raw!F801),Category_Targets!$A$2:$A$9,0)),"Unmapped")</f>
        <v>Medical Supplies</v>
      </c>
      <c r="G801" t="str">
        <f>TRIM(Procurement_Raw!G801)</f>
        <v>INV-2025-00800</v>
      </c>
      <c r="H801" s="77">
        <f>Procurement_Raw!H801</f>
        <v>32</v>
      </c>
      <c r="I801" s="124">
        <f>Procurement_Raw!I801</f>
        <v>121.98</v>
      </c>
      <c r="J801" s="125">
        <f>IF(Procurement_Raw!J801="","",Procurement_Raw!J801)</f>
        <v>3903.36</v>
      </c>
      <c r="K801" s="77">
        <f>Procurement_Raw!K801</f>
        <v>45</v>
      </c>
      <c r="L801" t="str">
        <f>Procurement_Raw!L801</f>
        <v>ERP</v>
      </c>
      <c r="M801" t="str">
        <f>Procurement_Raw!O801</f>
        <v>N</v>
      </c>
      <c r="N801" t="str">
        <f>IF(E801="","Missing supplier",IF(B801="","Missing site",IF(J801="","Missing spend",IF(COUNTIFS($G$2:G801,G801,$E$2:E801,E801,$J$2:J801,J801)&gt;1,"Duplicate invoice",IF(COUNTIF($G$2:$G$1801,G801)&gt;1,"Duplicate ID - review",IF(AND(P801&lt;&gt;"Unmapped",P801&lt;&gt;F801),"Category mismatch","OK"))))))</f>
        <v>OK</v>
      </c>
      <c r="O801" s="125">
        <f t="shared" si="36"/>
        <v>3903.36</v>
      </c>
      <c r="P801" t="str">
        <f>IF(E801="","Unmapped",IFERROR(INDEX(Supplier_Lookup!$B$2:$B$25,MATCH(E801,Supplier_Lookup!$A$2:$A$25,0)),"Unmapped"))</f>
        <v>Medical Supplies</v>
      </c>
      <c r="Q801" s="76">
        <f>IFERROR(INDEX(Category_Targets!$B$2:$B$9,MATCH(F801,Category_Targets!$A$2:$A$9,0)),0)</f>
        <v>0.06</v>
      </c>
      <c r="R801" s="125">
        <f t="shared" si="37"/>
        <v>234.20159999999998</v>
      </c>
      <c r="S801" s="78">
        <f t="shared" si="38"/>
        <v>45778</v>
      </c>
      <c r="T801" t="str">
        <f>IFERROR(VLOOKUP(B801,Sites!$A$2:$D$21,4,FALSE()),"Unknown")</f>
        <v>Manchester</v>
      </c>
      <c r="U801" t="str">
        <f>IF(N801="OK","",COUNTIF($N$2:N801,"&lt;&gt;OK"))</f>
        <v/>
      </c>
      <c r="V801">
        <f>IF(OR(NOT(EXACT(E801,TRIM(Procurement_Raw!E801))),NOT(EXACT(F801,TRIM(Procurement_Raw!F801)))),1,0)</f>
        <v>0</v>
      </c>
    </row>
    <row r="802" spans="1:22" ht="15" customHeight="1" x14ac:dyDescent="0.25">
      <c r="A802" s="123">
        <f>Procurement_Raw!A802</f>
        <v>45941</v>
      </c>
      <c r="B802" t="str">
        <f>TRIM(Procurement_Raw!B802)</f>
        <v>S012</v>
      </c>
      <c r="C802" t="str">
        <f>Procurement_Raw!C802</f>
        <v>Bristol Care &amp; Education Centre</v>
      </c>
      <c r="D802" t="str">
        <f>Procurement_Raw!D802</f>
        <v>South</v>
      </c>
      <c r="E802" t="str">
        <f>IF(TRIM(Procurement_Raw!E802)="","",IFERROR(INDEX(Supplier_Lookup!$A$2:$A$25,MATCH(TRIM(Procurement_Raw!E802),Supplier_Lookup!$A$2:$A$25,0)),TRIM(Procurement_Raw!E802)))</f>
        <v>FleetFuel</v>
      </c>
      <c r="F802" t="str">
        <f>IFERROR(INDEX(Category_Targets!$A$2:$A$9,MATCH(TRIM(Procurement_Raw!F802),Category_Targets!$A$2:$A$9,0)),"Unmapped")</f>
        <v>Vehicle &amp; Fuel</v>
      </c>
      <c r="G802" t="str">
        <f>TRIM(Procurement_Raw!G802)</f>
        <v>INV-2025-00801</v>
      </c>
      <c r="H802" s="77">
        <f>Procurement_Raw!H802</f>
        <v>23</v>
      </c>
      <c r="I802" s="124">
        <f>Procurement_Raw!I802</f>
        <v>159.16</v>
      </c>
      <c r="J802" s="125">
        <f>IF(Procurement_Raw!J802="","",Procurement_Raw!J802)</f>
        <v>3660.76</v>
      </c>
      <c r="K802" s="77">
        <f>Procurement_Raw!K802</f>
        <v>45</v>
      </c>
      <c r="L802" t="str">
        <f>Procurement_Raw!L802</f>
        <v>Procurement Portal</v>
      </c>
      <c r="M802" t="str">
        <f>Procurement_Raw!O802</f>
        <v>Y</v>
      </c>
      <c r="N802" t="str">
        <f>IF(E802="","Missing supplier",IF(B802="","Missing site",IF(J802="","Missing spend",IF(COUNTIFS($G$2:G802,G802,$E$2:E802,E802,$J$2:J802,J802)&gt;1,"Duplicate invoice",IF(COUNTIF($G$2:$G$1801,G802)&gt;1,"Duplicate ID - review",IF(AND(P802&lt;&gt;"Unmapped",P802&lt;&gt;F802),"Category mismatch","OK"))))))</f>
        <v>OK</v>
      </c>
      <c r="O802" s="125">
        <f t="shared" si="36"/>
        <v>3660.76</v>
      </c>
      <c r="P802" t="str">
        <f>IF(E802="","Unmapped",IFERROR(INDEX(Supplier_Lookup!$B$2:$B$25,MATCH(E802,Supplier_Lookup!$A$2:$A$25,0)),"Unmapped"))</f>
        <v>Vehicle &amp; Fuel</v>
      </c>
      <c r="Q802" s="76">
        <f>IFERROR(INDEX(Category_Targets!$B$2:$B$9,MATCH(F802,Category_Targets!$A$2:$A$9,0)),0)</f>
        <v>0.05</v>
      </c>
      <c r="R802" s="125">
        <f t="shared" si="37"/>
        <v>183.03800000000001</v>
      </c>
      <c r="S802" s="78">
        <f t="shared" si="38"/>
        <v>45931</v>
      </c>
      <c r="T802" t="str">
        <f>IFERROR(VLOOKUP(B802,Sites!$A$2:$D$21,4,FALSE()),"Unknown")</f>
        <v>Bristol</v>
      </c>
      <c r="U802" t="str">
        <f>IF(N802="OK","",COUNTIF($N$2:N802,"&lt;&gt;OK"))</f>
        <v/>
      </c>
      <c r="V802">
        <f>IF(OR(NOT(EXACT(E802,TRIM(Procurement_Raw!E802))),NOT(EXACT(F802,TRIM(Procurement_Raw!F802)))),1,0)</f>
        <v>0</v>
      </c>
    </row>
    <row r="803" spans="1:22" ht="15" customHeight="1" x14ac:dyDescent="0.25">
      <c r="A803" s="123">
        <f>Procurement_Raw!A803</f>
        <v>45795</v>
      </c>
      <c r="B803" t="str">
        <f>TRIM(Procurement_Raw!B803)</f>
        <v>S010</v>
      </c>
      <c r="C803" t="str">
        <f>Procurement_Raw!C803</f>
        <v>Coventry Care &amp; Education Centre</v>
      </c>
      <c r="D803" t="str">
        <f>Procurement_Raw!D803</f>
        <v>Midlands</v>
      </c>
      <c r="E803" t="str">
        <f>IF(TRIM(Procurement_Raw!E803)="","",IFERROR(INDEX(Supplier_Lookup!$A$2:$A$25,MATCH(TRIM(Procurement_Raw!E803),Supplier_Lookup!$A$2:$A$25,0)),TRIM(Procurement_Raw!E803)))</f>
        <v>PowerDirect</v>
      </c>
      <c r="F803" t="str">
        <f>IFERROR(INDEX(Category_Targets!$A$2:$A$9,MATCH(TRIM(Procurement_Raw!F803),Category_Targets!$A$2:$A$9,0)),"Unmapped")</f>
        <v>Utilities</v>
      </c>
      <c r="G803" t="str">
        <f>TRIM(Procurement_Raw!G803)</f>
        <v>INV-2025-00802</v>
      </c>
      <c r="H803" s="77">
        <f>Procurement_Raw!H803</f>
        <v>24</v>
      </c>
      <c r="I803" s="124">
        <f>Procurement_Raw!I803</f>
        <v>188.22</v>
      </c>
      <c r="J803" s="125">
        <f>IF(Procurement_Raw!J803="","",Procurement_Raw!J803)</f>
        <v>4517.3900000000003</v>
      </c>
      <c r="K803" s="77">
        <f>Procurement_Raw!K803</f>
        <v>60</v>
      </c>
      <c r="L803" t="str">
        <f>Procurement_Raw!L803</f>
        <v>Legacy Spend File</v>
      </c>
      <c r="M803" t="str">
        <f>Procurement_Raw!O803</f>
        <v>N</v>
      </c>
      <c r="N803" t="str">
        <f>IF(E803="","Missing supplier",IF(B803="","Missing site",IF(J803="","Missing spend",IF(COUNTIFS($G$2:G803,G803,$E$2:E803,E803,$J$2:J803,J803)&gt;1,"Duplicate invoice",IF(COUNTIF($G$2:$G$1801,G803)&gt;1,"Duplicate ID - review",IF(AND(P803&lt;&gt;"Unmapped",P803&lt;&gt;F803),"Category mismatch","OK"))))))</f>
        <v>OK</v>
      </c>
      <c r="O803" s="125">
        <f t="shared" si="36"/>
        <v>4517.3900000000003</v>
      </c>
      <c r="P803" t="str">
        <f>IF(E803="","Unmapped",IFERROR(INDEX(Supplier_Lookup!$B$2:$B$25,MATCH(E803,Supplier_Lookup!$A$2:$A$25,0)),"Unmapped"))</f>
        <v>Utilities</v>
      </c>
      <c r="Q803" s="76">
        <f>IFERROR(INDEX(Category_Targets!$B$2:$B$9,MATCH(F803,Category_Targets!$A$2:$A$9,0)),0)</f>
        <v>0.03</v>
      </c>
      <c r="R803" s="125">
        <f t="shared" si="37"/>
        <v>135.52170000000001</v>
      </c>
      <c r="S803" s="78">
        <f t="shared" si="38"/>
        <v>45778</v>
      </c>
      <c r="T803" t="str">
        <f>IFERROR(VLOOKUP(B803,Sites!$A$2:$D$21,4,FALSE()),"Unknown")</f>
        <v>Coventry</v>
      </c>
      <c r="U803" t="str">
        <f>IF(N803="OK","",COUNTIF($N$2:N803,"&lt;&gt;OK"))</f>
        <v/>
      </c>
      <c r="V803">
        <f>IF(OR(NOT(EXACT(E803,TRIM(Procurement_Raw!E803))),NOT(EXACT(F803,TRIM(Procurement_Raw!F803)))),1,0)</f>
        <v>0</v>
      </c>
    </row>
    <row r="804" spans="1:22" ht="15" customHeight="1" x14ac:dyDescent="0.25">
      <c r="A804" s="123">
        <f>Procurement_Raw!A804</f>
        <v>45760</v>
      </c>
      <c r="B804" t="str">
        <f>TRIM(Procurement_Raw!B804)</f>
        <v>S001</v>
      </c>
      <c r="C804" t="str">
        <f>Procurement_Raw!C804</f>
        <v>Preston Care &amp; Education Centre</v>
      </c>
      <c r="D804" t="str">
        <f>Procurement_Raw!D804</f>
        <v>North</v>
      </c>
      <c r="E804" t="str">
        <f>IF(TRIM(Procurement_Raw!E804)="","",IFERROR(INDEX(Supplier_Lookup!$A$2:$A$25,MATCH(TRIM(Procurement_Raw!E804),Supplier_Lookup!$A$2:$A$25,0)),TRIM(Procurement_Raw!E804)))</f>
        <v>PrintCo</v>
      </c>
      <c r="F804" t="str">
        <f>IFERROR(INDEX(Category_Targets!$A$2:$A$9,MATCH(TRIM(Procurement_Raw!F804),Category_Targets!$A$2:$A$9,0)),"Unmapped")</f>
        <v>Office &amp; Training</v>
      </c>
      <c r="G804" t="str">
        <f>TRIM(Procurement_Raw!G804)</f>
        <v>INV-2025-00803</v>
      </c>
      <c r="H804" s="77">
        <f>Procurement_Raw!H804</f>
        <v>31</v>
      </c>
      <c r="I804" s="124">
        <f>Procurement_Raw!I804</f>
        <v>79.069999999999993</v>
      </c>
      <c r="J804" s="125">
        <f>IF(Procurement_Raw!J804="","",Procurement_Raw!J804)</f>
        <v>2451.2199999999998</v>
      </c>
      <c r="K804" s="77">
        <f>Procurement_Raw!K804</f>
        <v>60</v>
      </c>
      <c r="L804" t="str">
        <f>Procurement_Raw!L804</f>
        <v>ERP</v>
      </c>
      <c r="M804" t="str">
        <f>Procurement_Raw!O804</f>
        <v>N</v>
      </c>
      <c r="N804" t="str">
        <f>IF(E804="","Missing supplier",IF(B804="","Missing site",IF(J804="","Missing spend",IF(COUNTIFS($G$2:G804,G804,$E$2:E804,E804,$J$2:J804,J804)&gt;1,"Duplicate invoice",IF(COUNTIF($G$2:$G$1801,G804)&gt;1,"Duplicate ID - review",IF(AND(P804&lt;&gt;"Unmapped",P804&lt;&gt;F804),"Category mismatch","OK"))))))</f>
        <v>OK</v>
      </c>
      <c r="O804" s="125">
        <f t="shared" si="36"/>
        <v>2451.2199999999998</v>
      </c>
      <c r="P804" t="str">
        <f>IF(E804="","Unmapped",IFERROR(INDEX(Supplier_Lookup!$B$2:$B$25,MATCH(E804,Supplier_Lookup!$A$2:$A$25,0)),"Unmapped"))</f>
        <v>Office &amp; Training</v>
      </c>
      <c r="Q804" s="76">
        <f>IFERROR(INDEX(Category_Targets!$B$2:$B$9,MATCH(F804,Category_Targets!$A$2:$A$9,0)),0)</f>
        <v>0.04</v>
      </c>
      <c r="R804" s="125">
        <f t="shared" si="37"/>
        <v>98.0488</v>
      </c>
      <c r="S804" s="78">
        <f t="shared" si="38"/>
        <v>45748</v>
      </c>
      <c r="T804" t="str">
        <f>IFERROR(VLOOKUP(B804,Sites!$A$2:$D$21,4,FALSE()),"Unknown")</f>
        <v>Preston</v>
      </c>
      <c r="U804" t="str">
        <f>IF(N804="OK","",COUNTIF($N$2:N804,"&lt;&gt;OK"))</f>
        <v/>
      </c>
      <c r="V804">
        <f>IF(OR(NOT(EXACT(E804,TRIM(Procurement_Raw!E804))),NOT(EXACT(F804,TRIM(Procurement_Raw!F804)))),1,0)</f>
        <v>0</v>
      </c>
    </row>
    <row r="805" spans="1:22" ht="15" customHeight="1" x14ac:dyDescent="0.25">
      <c r="A805" s="123">
        <f>Procurement_Raw!A805</f>
        <v>45761</v>
      </c>
      <c r="B805" t="str">
        <f>TRIM(Procurement_Raw!B805)</f>
        <v>S004</v>
      </c>
      <c r="C805" t="str">
        <f>Procurement_Raw!C805</f>
        <v>Newcastle Care &amp; Education Centre</v>
      </c>
      <c r="D805" t="str">
        <f>Procurement_Raw!D805</f>
        <v>North</v>
      </c>
      <c r="E805" t="str">
        <f>IF(TRIM(Procurement_Raw!E805)="","",IFERROR(INDEX(Supplier_Lookup!$A$2:$A$25,MATCH(TRIM(Procurement_Raw!E805),Supplier_Lookup!$A$2:$A$25,0)),TRIM(Procurement_Raw!E805)))</f>
        <v>UK Energy Partners</v>
      </c>
      <c r="F805" t="str">
        <f>IFERROR(INDEX(Category_Targets!$A$2:$A$9,MATCH(TRIM(Procurement_Raw!F805),Category_Targets!$A$2:$A$9,0)),"Unmapped")</f>
        <v>Utilities</v>
      </c>
      <c r="G805" t="str">
        <f>TRIM(Procurement_Raw!G805)</f>
        <v>INV-2025-00804</v>
      </c>
      <c r="H805" s="77">
        <f>Procurement_Raw!H805</f>
        <v>32</v>
      </c>
      <c r="I805" s="124">
        <f>Procurement_Raw!I805</f>
        <v>193.87</v>
      </c>
      <c r="J805" s="125">
        <f>IF(Procurement_Raw!J805="","",Procurement_Raw!J805)</f>
        <v>6203.97</v>
      </c>
      <c r="K805" s="77">
        <f>Procurement_Raw!K805</f>
        <v>60</v>
      </c>
      <c r="L805" t="str">
        <f>Procurement_Raw!L805</f>
        <v>Procurement Portal</v>
      </c>
      <c r="M805" t="str">
        <f>Procurement_Raw!O805</f>
        <v>N</v>
      </c>
      <c r="N805" t="str">
        <f>IF(E805="","Missing supplier",IF(B805="","Missing site",IF(J805="","Missing spend",IF(COUNTIFS($G$2:G805,G805,$E$2:E805,E805,$J$2:J805,J805)&gt;1,"Duplicate invoice",IF(COUNTIF($G$2:$G$1801,G805)&gt;1,"Duplicate ID - review",IF(AND(P805&lt;&gt;"Unmapped",P805&lt;&gt;F805),"Category mismatch","OK"))))))</f>
        <v>OK</v>
      </c>
      <c r="O805" s="125">
        <f t="shared" si="36"/>
        <v>6203.97</v>
      </c>
      <c r="P805" t="str">
        <f>IF(E805="","Unmapped",IFERROR(INDEX(Supplier_Lookup!$B$2:$B$25,MATCH(E805,Supplier_Lookup!$A$2:$A$25,0)),"Unmapped"))</f>
        <v>Utilities</v>
      </c>
      <c r="Q805" s="76">
        <f>IFERROR(INDEX(Category_Targets!$B$2:$B$9,MATCH(F805,Category_Targets!$A$2:$A$9,0)),0)</f>
        <v>0.03</v>
      </c>
      <c r="R805" s="125">
        <f t="shared" si="37"/>
        <v>186.1191</v>
      </c>
      <c r="S805" s="78">
        <f t="shared" si="38"/>
        <v>45748</v>
      </c>
      <c r="T805" t="str">
        <f>IFERROR(VLOOKUP(B805,Sites!$A$2:$D$21,4,FALSE()),"Unknown")</f>
        <v>Newcastle</v>
      </c>
      <c r="U805" t="str">
        <f>IF(N805="OK","",COUNTIF($N$2:N805,"&lt;&gt;OK"))</f>
        <v/>
      </c>
      <c r="V805">
        <f>IF(OR(NOT(EXACT(E805,TRIM(Procurement_Raw!E805))),NOT(EXACT(F805,TRIM(Procurement_Raw!F805)))),1,0)</f>
        <v>0</v>
      </c>
    </row>
    <row r="806" spans="1:22" ht="15" customHeight="1" x14ac:dyDescent="0.25">
      <c r="A806" s="123">
        <f>Procurement_Raw!A806</f>
        <v>45698</v>
      </c>
      <c r="B806" t="str">
        <f>TRIM(Procurement_Raw!B806)</f>
        <v>S003</v>
      </c>
      <c r="C806" t="str">
        <f>Procurement_Raw!C806</f>
        <v>Leeds Care &amp; Education Centre</v>
      </c>
      <c r="D806" t="str">
        <f>Procurement_Raw!D806</f>
        <v>North</v>
      </c>
      <c r="E806" t="str">
        <f>IF(TRIM(Procurement_Raw!E806)="","",IFERROR(INDEX(Supplier_Lookup!$A$2:$A$25,MATCH(TRIM(Procurement_Raw!E806),Supplier_Lookup!$A$2:$A$25,0)),TRIM(Procurement_Raw!E806)))</f>
        <v>FreshServe</v>
      </c>
      <c r="F806" t="str">
        <f>IFERROR(INDEX(Category_Targets!$A$2:$A$9,MATCH(TRIM(Procurement_Raw!F806),Category_Targets!$A$2:$A$9,0)),"Unmapped")</f>
        <v>Food &amp; Catering</v>
      </c>
      <c r="G806" t="str">
        <f>TRIM(Procurement_Raw!G806)</f>
        <v>INV-2025-00805</v>
      </c>
      <c r="H806" s="77">
        <f>Procurement_Raw!H806</f>
        <v>64</v>
      </c>
      <c r="I806" s="124">
        <f>Procurement_Raw!I806</f>
        <v>51.18</v>
      </c>
      <c r="J806" s="125">
        <f>IF(Procurement_Raw!J806="","",Procurement_Raw!J806)</f>
        <v>3275.73</v>
      </c>
      <c r="K806" s="77">
        <f>Procurement_Raw!K806</f>
        <v>60</v>
      </c>
      <c r="L806" t="str">
        <f>Procurement_Raw!L806</f>
        <v>ERP</v>
      </c>
      <c r="M806" t="str">
        <f>Procurement_Raw!O806</f>
        <v>Y</v>
      </c>
      <c r="N806" t="str">
        <f>IF(E806="","Missing supplier",IF(B806="","Missing site",IF(J806="","Missing spend",IF(COUNTIFS($G$2:G806,G806,$E$2:E806,E806,$J$2:J806,J806)&gt;1,"Duplicate invoice",IF(COUNTIF($G$2:$G$1801,G806)&gt;1,"Duplicate ID - review",IF(AND(P806&lt;&gt;"Unmapped",P806&lt;&gt;F806),"Category mismatch","OK"))))))</f>
        <v>OK</v>
      </c>
      <c r="O806" s="125">
        <f t="shared" si="36"/>
        <v>3275.73</v>
      </c>
      <c r="P806" t="str">
        <f>IF(E806="","Unmapped",IFERROR(INDEX(Supplier_Lookup!$B$2:$B$25,MATCH(E806,Supplier_Lookup!$A$2:$A$25,0)),"Unmapped"))</f>
        <v>Food &amp; Catering</v>
      </c>
      <c r="Q806" s="76">
        <f>IFERROR(INDEX(Category_Targets!$B$2:$B$9,MATCH(F806,Category_Targets!$A$2:$A$9,0)),0)</f>
        <v>0.04</v>
      </c>
      <c r="R806" s="125">
        <f t="shared" si="37"/>
        <v>131.0292</v>
      </c>
      <c r="S806" s="78">
        <f t="shared" si="38"/>
        <v>45689</v>
      </c>
      <c r="T806" t="str">
        <f>IFERROR(VLOOKUP(B806,Sites!$A$2:$D$21,4,FALSE()),"Unknown")</f>
        <v>Leeds</v>
      </c>
      <c r="U806" t="str">
        <f>IF(N806="OK","",COUNTIF($N$2:N806,"&lt;&gt;OK"))</f>
        <v/>
      </c>
      <c r="V806">
        <f>IF(OR(NOT(EXACT(E806,TRIM(Procurement_Raw!E806))),NOT(EXACT(F806,TRIM(Procurement_Raw!F806)))),1,0)</f>
        <v>0</v>
      </c>
    </row>
    <row r="807" spans="1:22" ht="15" customHeight="1" x14ac:dyDescent="0.25">
      <c r="A807" s="123">
        <f>Procurement_Raw!A807</f>
        <v>45848</v>
      </c>
      <c r="B807" t="str">
        <f>TRIM(Procurement_Raw!B807)</f>
        <v>S012</v>
      </c>
      <c r="C807" t="str">
        <f>Procurement_Raw!C807</f>
        <v>Bristol Care &amp; Education Centre</v>
      </c>
      <c r="D807" t="str">
        <f>Procurement_Raw!D807</f>
        <v>South</v>
      </c>
      <c r="E807" t="str">
        <f>IF(TRIM(Procurement_Raw!E807)="","",IFERROR(INDEX(Supplier_Lookup!$A$2:$A$25,MATCH(TRIM(Procurement_Raw!E807),Supplier_Lookup!$A$2:$A$25,0)),TRIM(Procurement_Raw!E807)))</f>
        <v>CareMed</v>
      </c>
      <c r="F807" t="str">
        <f>IFERROR(INDEX(Category_Targets!$A$2:$A$9,MATCH(TRIM(Procurement_Raw!F807),Category_Targets!$A$2:$A$9,0)),"Unmapped")</f>
        <v>Medical Supplies</v>
      </c>
      <c r="G807" t="str">
        <f>TRIM(Procurement_Raw!G807)</f>
        <v>INV-2025-00806</v>
      </c>
      <c r="H807" s="77">
        <f>Procurement_Raw!H807</f>
        <v>80</v>
      </c>
      <c r="I807" s="124">
        <f>Procurement_Raw!I807</f>
        <v>101.24</v>
      </c>
      <c r="J807" s="125">
        <f>IF(Procurement_Raw!J807="","",Procurement_Raw!J807)</f>
        <v>8098.82</v>
      </c>
      <c r="K807" s="77">
        <f>Procurement_Raw!K807</f>
        <v>45</v>
      </c>
      <c r="L807" t="str">
        <f>Procurement_Raw!L807</f>
        <v>Procurement Portal</v>
      </c>
      <c r="M807" t="str">
        <f>Procurement_Raw!O807</f>
        <v>N</v>
      </c>
      <c r="N807" t="str">
        <f>IF(E807="","Missing supplier",IF(B807="","Missing site",IF(J807="","Missing spend",IF(COUNTIFS($G$2:G807,G807,$E$2:E807,E807,$J$2:J807,J807)&gt;1,"Duplicate invoice",IF(COUNTIF($G$2:$G$1801,G807)&gt;1,"Duplicate ID - review",IF(AND(P807&lt;&gt;"Unmapped",P807&lt;&gt;F807),"Category mismatch","OK"))))))</f>
        <v>OK</v>
      </c>
      <c r="O807" s="125">
        <f t="shared" si="36"/>
        <v>8098.82</v>
      </c>
      <c r="P807" t="str">
        <f>IF(E807="","Unmapped",IFERROR(INDEX(Supplier_Lookup!$B$2:$B$25,MATCH(E807,Supplier_Lookup!$A$2:$A$25,0)),"Unmapped"))</f>
        <v>Medical Supplies</v>
      </c>
      <c r="Q807" s="76">
        <f>IFERROR(INDEX(Category_Targets!$B$2:$B$9,MATCH(F807,Category_Targets!$A$2:$A$9,0)),0)</f>
        <v>0.06</v>
      </c>
      <c r="R807" s="125">
        <f t="shared" si="37"/>
        <v>485.92919999999998</v>
      </c>
      <c r="S807" s="78">
        <f t="shared" si="38"/>
        <v>45839</v>
      </c>
      <c r="T807" t="str">
        <f>IFERROR(VLOOKUP(B807,Sites!$A$2:$D$21,4,FALSE()),"Unknown")</f>
        <v>Bristol</v>
      </c>
      <c r="U807" t="str">
        <f>IF(N807="OK","",COUNTIF($N$2:N807,"&lt;&gt;OK"))</f>
        <v/>
      </c>
      <c r="V807">
        <f>IF(OR(NOT(EXACT(E807,TRIM(Procurement_Raw!E807))),NOT(EXACT(F807,TRIM(Procurement_Raw!F807)))),1,0)</f>
        <v>0</v>
      </c>
    </row>
    <row r="808" spans="1:22" ht="15" customHeight="1" x14ac:dyDescent="0.25">
      <c r="A808" s="123">
        <f>Procurement_Raw!A808</f>
        <v>45751</v>
      </c>
      <c r="B808" t="str">
        <f>TRIM(Procurement_Raw!B808)</f>
        <v>S016</v>
      </c>
      <c r="C808" t="str">
        <f>Procurement_Raw!C808</f>
        <v>Cardiff Care &amp; Education Centre</v>
      </c>
      <c r="D808" t="str">
        <f>Procurement_Raw!D808</f>
        <v>Wales</v>
      </c>
      <c r="E808" t="str">
        <f>IF(TRIM(Procurement_Raw!E808)="","",IFERROR(INDEX(Supplier_Lookup!$A$2:$A$25,MATCH(TRIM(Procurement_Raw!E808),Supplier_Lookup!$A$2:$A$25,0)),TRIM(Procurement_Raw!E808)))</f>
        <v>TeleCare IT</v>
      </c>
      <c r="F808" t="str">
        <f>IFERROR(INDEX(Category_Targets!$A$2:$A$9,MATCH(TRIM(Procurement_Raw!F808),Category_Targets!$A$2:$A$9,0)),"Unmapped")</f>
        <v>IT &amp; Telecoms</v>
      </c>
      <c r="G808" t="str">
        <f>TRIM(Procurement_Raw!G808)</f>
        <v>INV-2025-00807</v>
      </c>
      <c r="H808" s="77">
        <f>Procurement_Raw!H808</f>
        <v>66</v>
      </c>
      <c r="I808" s="124">
        <f>Procurement_Raw!I808</f>
        <v>248.59</v>
      </c>
      <c r="J808" s="125">
        <f>IF(Procurement_Raw!J808="","",Procurement_Raw!J808)</f>
        <v>16406.88</v>
      </c>
      <c r="K808" s="77">
        <f>Procurement_Raw!K808</f>
        <v>45</v>
      </c>
      <c r="L808" t="str">
        <f>Procurement_Raw!L808</f>
        <v>Procurement Portal</v>
      </c>
      <c r="M808" t="str">
        <f>Procurement_Raw!O808</f>
        <v>N</v>
      </c>
      <c r="N808" t="str">
        <f>IF(E808="","Missing supplier",IF(B808="","Missing site",IF(J808="","Missing spend",IF(COUNTIFS($G$2:G808,G808,$E$2:E808,E808,$J$2:J808,J808)&gt;1,"Duplicate invoice",IF(COUNTIF($G$2:$G$1801,G808)&gt;1,"Duplicate ID - review",IF(AND(P808&lt;&gt;"Unmapped",P808&lt;&gt;F808),"Category mismatch","OK"))))))</f>
        <v>OK</v>
      </c>
      <c r="O808" s="125">
        <f t="shared" si="36"/>
        <v>16406.88</v>
      </c>
      <c r="P808" t="str">
        <f>IF(E808="","Unmapped",IFERROR(INDEX(Supplier_Lookup!$B$2:$B$25,MATCH(E808,Supplier_Lookup!$A$2:$A$25,0)),"Unmapped"))</f>
        <v>IT &amp; Telecoms</v>
      </c>
      <c r="Q808" s="76">
        <f>IFERROR(INDEX(Category_Targets!$B$2:$B$9,MATCH(F808,Category_Targets!$A$2:$A$9,0)),0)</f>
        <v>0.08</v>
      </c>
      <c r="R808" s="125">
        <f t="shared" si="37"/>
        <v>1312.5504000000001</v>
      </c>
      <c r="S808" s="78">
        <f t="shared" si="38"/>
        <v>45748</v>
      </c>
      <c r="T808" t="str">
        <f>IFERROR(VLOOKUP(B808,Sites!$A$2:$D$21,4,FALSE()),"Unknown")</f>
        <v>Cardiff</v>
      </c>
      <c r="U808" t="str">
        <f>IF(N808="OK","",COUNTIF($N$2:N808,"&lt;&gt;OK"))</f>
        <v/>
      </c>
      <c r="V808">
        <f>IF(OR(NOT(EXACT(E808,TRIM(Procurement_Raw!E808))),NOT(EXACT(F808,TRIM(Procurement_Raw!F808)))),1,0)</f>
        <v>0</v>
      </c>
    </row>
    <row r="809" spans="1:22" ht="15" customHeight="1" x14ac:dyDescent="0.25">
      <c r="A809" s="123">
        <f>Procurement_Raw!A809</f>
        <v>45927</v>
      </c>
      <c r="B809" t="str">
        <f>TRIM(Procurement_Raw!B809)</f>
        <v>S020</v>
      </c>
      <c r="C809" t="str">
        <f>Procurement_Raw!C809</f>
        <v>Bangor Care &amp; Education Centre</v>
      </c>
      <c r="D809" t="str">
        <f>Procurement_Raw!D809</f>
        <v>Wales</v>
      </c>
      <c r="E809" t="str">
        <f>IF(TRIM(Procurement_Raw!E809)="","",IFERROR(INDEX(Supplier_Lookup!$A$2:$A$25,MATCH(TRIM(Procurement_Raw!E809),Supplier_Lookup!$A$2:$A$25,0)),TRIM(Procurement_Raw!E809)))</f>
        <v>CleanWorks</v>
      </c>
      <c r="F809" t="str">
        <f>IFERROR(INDEX(Category_Targets!$A$2:$A$9,MATCH(TRIM(Procurement_Raw!F809),Category_Targets!$A$2:$A$9,0)),"Unmapped")</f>
        <v>Facilities</v>
      </c>
      <c r="G809" t="str">
        <f>TRIM(Procurement_Raw!G809)</f>
        <v>INV-2025-00808</v>
      </c>
      <c r="H809" s="77">
        <f>Procurement_Raw!H809</f>
        <v>55</v>
      </c>
      <c r="I809" s="124">
        <f>Procurement_Raw!I809</f>
        <v>138.33000000000001</v>
      </c>
      <c r="J809" s="125">
        <f>IF(Procurement_Raw!J809="","",Procurement_Raw!J809)</f>
        <v>7608.17</v>
      </c>
      <c r="K809" s="77">
        <f>Procurement_Raw!K809</f>
        <v>45</v>
      </c>
      <c r="L809" t="str">
        <f>Procurement_Raw!L809</f>
        <v>Legacy Spend File</v>
      </c>
      <c r="M809" t="str">
        <f>Procurement_Raw!O809</f>
        <v>Y</v>
      </c>
      <c r="N809" t="str">
        <f>IF(E809="","Missing supplier",IF(B809="","Missing site",IF(J809="","Missing spend",IF(COUNTIFS($G$2:G809,G809,$E$2:E809,E809,$J$2:J809,J809)&gt;1,"Duplicate invoice",IF(COUNTIF($G$2:$G$1801,G809)&gt;1,"Duplicate ID - review",IF(AND(P809&lt;&gt;"Unmapped",P809&lt;&gt;F809),"Category mismatch","OK"))))))</f>
        <v>OK</v>
      </c>
      <c r="O809" s="125">
        <f t="shared" si="36"/>
        <v>7608.17</v>
      </c>
      <c r="P809" t="str">
        <f>IF(E809="","Unmapped",IFERROR(INDEX(Supplier_Lookup!$B$2:$B$25,MATCH(E809,Supplier_Lookup!$A$2:$A$25,0)),"Unmapped"))</f>
        <v>Facilities</v>
      </c>
      <c r="Q809" s="76">
        <f>IFERROR(INDEX(Category_Targets!$B$2:$B$9,MATCH(F809,Category_Targets!$A$2:$A$9,0)),0)</f>
        <v>0.05</v>
      </c>
      <c r="R809" s="125">
        <f t="shared" si="37"/>
        <v>380.4085</v>
      </c>
      <c r="S809" s="78">
        <f t="shared" si="38"/>
        <v>45901</v>
      </c>
      <c r="T809" t="str">
        <f>IFERROR(VLOOKUP(B809,Sites!$A$2:$D$21,4,FALSE()),"Unknown")</f>
        <v>Bangor</v>
      </c>
      <c r="U809" t="str">
        <f>IF(N809="OK","",COUNTIF($N$2:N809,"&lt;&gt;OK"))</f>
        <v/>
      </c>
      <c r="V809">
        <f>IF(OR(NOT(EXACT(E809,TRIM(Procurement_Raw!E809))),NOT(EXACT(F809,TRIM(Procurement_Raw!F809)))),1,0)</f>
        <v>0</v>
      </c>
    </row>
    <row r="810" spans="1:22" ht="15" customHeight="1" x14ac:dyDescent="0.25">
      <c r="A810" s="123">
        <f>Procurement_Raw!A810</f>
        <v>46009</v>
      </c>
      <c r="B810" t="str">
        <f>TRIM(Procurement_Raw!B810)</f>
        <v>S020</v>
      </c>
      <c r="C810" t="str">
        <f>Procurement_Raw!C810</f>
        <v>Bangor Care &amp; Education Centre</v>
      </c>
      <c r="D810" t="str">
        <f>Procurement_Raw!D810</f>
        <v>Wales</v>
      </c>
      <c r="E810" t="str">
        <f>IF(TRIM(Procurement_Raw!E810)="","",IFERROR(INDEX(Supplier_Lookup!$A$2:$A$25,MATCH(TRIM(Procurement_Raw!E810),Supplier_Lookup!$A$2:$A$25,0)),TRIM(Procurement_Raw!E810)))</f>
        <v>RoadReady</v>
      </c>
      <c r="F810" t="str">
        <f>IFERROR(INDEX(Category_Targets!$A$2:$A$9,MATCH(TRIM(Procurement_Raw!F810),Category_Targets!$A$2:$A$9,0)),"Unmapped")</f>
        <v>Vehicle &amp; Fuel</v>
      </c>
      <c r="G810" t="str">
        <f>TRIM(Procurement_Raw!G810)</f>
        <v>INV-2025-00809</v>
      </c>
      <c r="H810" s="77">
        <f>Procurement_Raw!H810</f>
        <v>23</v>
      </c>
      <c r="I810" s="124">
        <f>Procurement_Raw!I810</f>
        <v>189.53</v>
      </c>
      <c r="J810" s="125">
        <f>IF(Procurement_Raw!J810="","",Procurement_Raw!J810)</f>
        <v>4359.17</v>
      </c>
      <c r="K810" s="77">
        <f>Procurement_Raw!K810</f>
        <v>45</v>
      </c>
      <c r="L810" t="str">
        <f>Procurement_Raw!L810</f>
        <v>ERP</v>
      </c>
      <c r="M810" t="str">
        <f>Procurement_Raw!O810</f>
        <v>N</v>
      </c>
      <c r="N810" t="str">
        <f>IF(E810="","Missing supplier",IF(B810="","Missing site",IF(J810="","Missing spend",IF(COUNTIFS($G$2:G810,G810,$E$2:E810,E810,$J$2:J810,J810)&gt;1,"Duplicate invoice",IF(COUNTIF($G$2:$G$1801,G810)&gt;1,"Duplicate ID - review",IF(AND(P810&lt;&gt;"Unmapped",P810&lt;&gt;F810),"Category mismatch","OK"))))))</f>
        <v>OK</v>
      </c>
      <c r="O810" s="125">
        <f t="shared" si="36"/>
        <v>4359.17</v>
      </c>
      <c r="P810" t="str">
        <f>IF(E810="","Unmapped",IFERROR(INDEX(Supplier_Lookup!$B$2:$B$25,MATCH(E810,Supplier_Lookup!$A$2:$A$25,0)),"Unmapped"))</f>
        <v>Vehicle &amp; Fuel</v>
      </c>
      <c r="Q810" s="76">
        <f>IFERROR(INDEX(Category_Targets!$B$2:$B$9,MATCH(F810,Category_Targets!$A$2:$A$9,0)),0)</f>
        <v>0.05</v>
      </c>
      <c r="R810" s="125">
        <f t="shared" si="37"/>
        <v>217.95850000000002</v>
      </c>
      <c r="S810" s="78">
        <f t="shared" si="38"/>
        <v>45992</v>
      </c>
      <c r="T810" t="str">
        <f>IFERROR(VLOOKUP(B810,Sites!$A$2:$D$21,4,FALSE()),"Unknown")</f>
        <v>Bangor</v>
      </c>
      <c r="U810" t="str">
        <f>IF(N810="OK","",COUNTIF($N$2:N810,"&lt;&gt;OK"))</f>
        <v/>
      </c>
      <c r="V810">
        <f>IF(OR(NOT(EXACT(E810,TRIM(Procurement_Raw!E810))),NOT(EXACT(F810,TRIM(Procurement_Raw!F810)))),1,0)</f>
        <v>0</v>
      </c>
    </row>
    <row r="811" spans="1:22" ht="15" customHeight="1" x14ac:dyDescent="0.25">
      <c r="A811" s="123">
        <f>Procurement_Raw!A811</f>
        <v>46010</v>
      </c>
      <c r="B811" t="str">
        <f>TRIM(Procurement_Raw!B811)</f>
        <v>S019</v>
      </c>
      <c r="C811" t="str">
        <f>Procurement_Raw!C811</f>
        <v>Wrexham Care &amp; Education Centre</v>
      </c>
      <c r="D811" t="str">
        <f>Procurement_Raw!D811</f>
        <v>Wales</v>
      </c>
      <c r="E811" t="str">
        <f>IF(TRIM(Procurement_Raw!E811)="","",IFERROR(INDEX(Supplier_Lookup!$A$2:$A$25,MATCH(TRIM(Procurement_Raw!E811),Supplier_Lookup!$A$2:$A$25,0)),TRIM(Procurement_Raw!E811)))</f>
        <v>LearnWell</v>
      </c>
      <c r="F811" t="str">
        <f>IFERROR(INDEX(Category_Targets!$A$2:$A$9,MATCH(TRIM(Procurement_Raw!F811),Category_Targets!$A$2:$A$9,0)),"Unmapped")</f>
        <v>Office &amp; Training</v>
      </c>
      <c r="G811" t="str">
        <f>TRIM(Procurement_Raw!G811)</f>
        <v>INV-2025-00810</v>
      </c>
      <c r="H811" s="77">
        <f>Procurement_Raw!H811</f>
        <v>2</v>
      </c>
      <c r="I811" s="124">
        <f>Procurement_Raw!I811</f>
        <v>45.85</v>
      </c>
      <c r="J811" s="125">
        <f>IF(Procurement_Raw!J811="","",Procurement_Raw!J811)</f>
        <v>91.71</v>
      </c>
      <c r="K811" s="77">
        <f>Procurement_Raw!K811</f>
        <v>30</v>
      </c>
      <c r="L811" t="str">
        <f>Procurement_Raw!L811</f>
        <v>Legacy Spend File</v>
      </c>
      <c r="M811" t="str">
        <f>Procurement_Raw!O811</f>
        <v>N</v>
      </c>
      <c r="N811" t="str">
        <f>IF(E811="","Missing supplier",IF(B811="","Missing site",IF(J811="","Missing spend",IF(COUNTIFS($G$2:G811,G811,$E$2:E811,E811,$J$2:J811,J811)&gt;1,"Duplicate invoice",IF(COUNTIF($G$2:$G$1801,G811)&gt;1,"Duplicate ID - review",IF(AND(P811&lt;&gt;"Unmapped",P811&lt;&gt;F811),"Category mismatch","OK"))))))</f>
        <v>OK</v>
      </c>
      <c r="O811" s="125">
        <f t="shared" si="36"/>
        <v>91.71</v>
      </c>
      <c r="P811" t="str">
        <f>IF(E811="","Unmapped",IFERROR(INDEX(Supplier_Lookup!$B$2:$B$25,MATCH(E811,Supplier_Lookup!$A$2:$A$25,0)),"Unmapped"))</f>
        <v>Office &amp; Training</v>
      </c>
      <c r="Q811" s="76">
        <f>IFERROR(INDEX(Category_Targets!$B$2:$B$9,MATCH(F811,Category_Targets!$A$2:$A$9,0)),0)</f>
        <v>0.04</v>
      </c>
      <c r="R811" s="125">
        <f t="shared" si="37"/>
        <v>3.6683999999999997</v>
      </c>
      <c r="S811" s="78">
        <f t="shared" si="38"/>
        <v>45992</v>
      </c>
      <c r="T811" t="str">
        <f>IFERROR(VLOOKUP(B811,Sites!$A$2:$D$21,4,FALSE()),"Unknown")</f>
        <v>Wrexham</v>
      </c>
      <c r="U811" t="str">
        <f>IF(N811="OK","",COUNTIF($N$2:N811,"&lt;&gt;OK"))</f>
        <v/>
      </c>
      <c r="V811">
        <f>IF(OR(NOT(EXACT(E811,TRIM(Procurement_Raw!E811))),NOT(EXACT(F811,TRIM(Procurement_Raw!F811)))),1,0)</f>
        <v>0</v>
      </c>
    </row>
    <row r="812" spans="1:22" ht="15" customHeight="1" x14ac:dyDescent="0.25">
      <c r="A812" s="123">
        <f>Procurement_Raw!A812</f>
        <v>45709</v>
      </c>
      <c r="B812" t="str">
        <f>TRIM(Procurement_Raw!B812)</f>
        <v>S006</v>
      </c>
      <c r="C812" t="str">
        <f>Procurement_Raw!C812</f>
        <v>Birmingham Care &amp; Education Centre</v>
      </c>
      <c r="D812" t="str">
        <f>Procurement_Raw!D812</f>
        <v>Midlands</v>
      </c>
      <c r="E812" t="str">
        <f>IF(TRIM(Procurement_Raw!E812)="","",IFERROR(INDEX(Supplier_Lookup!$A$2:$A$25,MATCH(TRIM(Procurement_Raw!E812),Supplier_Lookup!$A$2:$A$25,0)),TRIM(Procurement_Raw!E812)))</f>
        <v>NurseLink</v>
      </c>
      <c r="F812" t="str">
        <f>IFERROR(INDEX(Category_Targets!$A$2:$A$9,MATCH(TRIM(Procurement_Raw!F812),Category_Targets!$A$2:$A$9,0)),"Unmapped")</f>
        <v>Agency Labour</v>
      </c>
      <c r="G812" t="str">
        <f>TRIM(Procurement_Raw!G812)</f>
        <v>INV-2025-00811</v>
      </c>
      <c r="H812" s="77">
        <f>Procurement_Raw!H812</f>
        <v>42</v>
      </c>
      <c r="I812" s="124">
        <f>Procurement_Raw!I812</f>
        <v>270.7</v>
      </c>
      <c r="J812" s="125">
        <f>IF(Procurement_Raw!J812="","",Procurement_Raw!J812)</f>
        <v>11369.31</v>
      </c>
      <c r="K812" s="77">
        <f>Procurement_Raw!K812</f>
        <v>45</v>
      </c>
      <c r="L812" t="str">
        <f>Procurement_Raw!L812</f>
        <v>Legacy Spend File</v>
      </c>
      <c r="M812" t="str">
        <f>Procurement_Raw!O812</f>
        <v>N</v>
      </c>
      <c r="N812" t="str">
        <f>IF(E812="","Missing supplier",IF(B812="","Missing site",IF(J812="","Missing spend",IF(COUNTIFS($G$2:G812,G812,$E$2:E812,E812,$J$2:J812,J812)&gt;1,"Duplicate invoice",IF(COUNTIF($G$2:$G$1801,G812)&gt;1,"Duplicate ID - review",IF(AND(P812&lt;&gt;"Unmapped",P812&lt;&gt;F812),"Category mismatch","OK"))))))</f>
        <v>OK</v>
      </c>
      <c r="O812" s="125">
        <f t="shared" si="36"/>
        <v>11369.31</v>
      </c>
      <c r="P812" t="str">
        <f>IF(E812="","Unmapped",IFERROR(INDEX(Supplier_Lookup!$B$2:$B$25,MATCH(E812,Supplier_Lookup!$A$2:$A$25,0)),"Unmapped"))</f>
        <v>Agency Labour</v>
      </c>
      <c r="Q812" s="76">
        <f>IFERROR(INDEX(Category_Targets!$B$2:$B$9,MATCH(F812,Category_Targets!$A$2:$A$9,0)),0)</f>
        <v>7.0000000000000007E-2</v>
      </c>
      <c r="R812" s="125">
        <f t="shared" si="37"/>
        <v>795.85170000000005</v>
      </c>
      <c r="S812" s="78">
        <f t="shared" si="38"/>
        <v>45689</v>
      </c>
      <c r="T812" t="str">
        <f>IFERROR(VLOOKUP(B812,Sites!$A$2:$D$21,4,FALSE()),"Unknown")</f>
        <v>Birmingham</v>
      </c>
      <c r="U812" t="str">
        <f>IF(N812="OK","",COUNTIF($N$2:N812,"&lt;&gt;OK"))</f>
        <v/>
      </c>
      <c r="V812">
        <f>IF(OR(NOT(EXACT(E812,TRIM(Procurement_Raw!E812))),NOT(EXACT(F812,TRIM(Procurement_Raw!F812)))),1,0)</f>
        <v>0</v>
      </c>
    </row>
    <row r="813" spans="1:22" ht="15" customHeight="1" x14ac:dyDescent="0.25">
      <c r="A813" s="123">
        <f>Procurement_Raw!A813</f>
        <v>45792</v>
      </c>
      <c r="B813" t="str">
        <f>TRIM(Procurement_Raw!B813)</f>
        <v>S015</v>
      </c>
      <c r="C813" t="str">
        <f>Procurement_Raw!C813</f>
        <v>Brighton Care &amp; Education Centre</v>
      </c>
      <c r="D813" t="str">
        <f>Procurement_Raw!D813</f>
        <v>South</v>
      </c>
      <c r="E813" t="str">
        <f>IF(TRIM(Procurement_Raw!E813)="","",IFERROR(INDEX(Supplier_Lookup!$A$2:$A$25,MATCH(TRIM(Procurement_Raw!E813),Supplier_Lookup!$A$2:$A$25,0)),TRIM(Procurement_Raw!E813)))</f>
        <v>BuildCare</v>
      </c>
      <c r="F813" t="str">
        <f>IFERROR(INDEX(Category_Targets!$A$2:$A$9,MATCH(TRIM(Procurement_Raw!F813),Category_Targets!$A$2:$A$9,0)),"Unmapped")</f>
        <v>Facilities</v>
      </c>
      <c r="G813" t="str">
        <f>TRIM(Procurement_Raw!G813)</f>
        <v>INV-2025-00812</v>
      </c>
      <c r="H813" s="77">
        <f>Procurement_Raw!H813</f>
        <v>31</v>
      </c>
      <c r="I813" s="124">
        <f>Procurement_Raw!I813</f>
        <v>141.33000000000001</v>
      </c>
      <c r="J813" s="125">
        <f>IF(Procurement_Raw!J813="","",Procurement_Raw!J813)</f>
        <v>4381.26</v>
      </c>
      <c r="K813" s="77">
        <f>Procurement_Raw!K813</f>
        <v>45</v>
      </c>
      <c r="L813" t="str">
        <f>Procurement_Raw!L813</f>
        <v>Procurement Portal</v>
      </c>
      <c r="M813" t="str">
        <f>Procurement_Raw!O813</f>
        <v>N</v>
      </c>
      <c r="N813" t="str">
        <f>IF(E813="","Missing supplier",IF(B813="","Missing site",IF(J813="","Missing spend",IF(COUNTIFS($G$2:G813,G813,$E$2:E813,E813,$J$2:J813,J813)&gt;1,"Duplicate invoice",IF(COUNTIF($G$2:$G$1801,G813)&gt;1,"Duplicate ID - review",IF(AND(P813&lt;&gt;"Unmapped",P813&lt;&gt;F813),"Category mismatch","OK"))))))</f>
        <v>OK</v>
      </c>
      <c r="O813" s="125">
        <f t="shared" si="36"/>
        <v>4381.26</v>
      </c>
      <c r="P813" t="str">
        <f>IF(E813="","Unmapped",IFERROR(INDEX(Supplier_Lookup!$B$2:$B$25,MATCH(E813,Supplier_Lookup!$A$2:$A$25,0)),"Unmapped"))</f>
        <v>Facilities</v>
      </c>
      <c r="Q813" s="76">
        <f>IFERROR(INDEX(Category_Targets!$B$2:$B$9,MATCH(F813,Category_Targets!$A$2:$A$9,0)),0)</f>
        <v>0.05</v>
      </c>
      <c r="R813" s="125">
        <f t="shared" si="37"/>
        <v>219.06300000000002</v>
      </c>
      <c r="S813" s="78">
        <f t="shared" si="38"/>
        <v>45778</v>
      </c>
      <c r="T813" t="str">
        <f>IFERROR(VLOOKUP(B813,Sites!$A$2:$D$21,4,FALSE()),"Unknown")</f>
        <v>Brighton</v>
      </c>
      <c r="U813" t="str">
        <f>IF(N813="OK","",COUNTIF($N$2:N813,"&lt;&gt;OK"))</f>
        <v/>
      </c>
      <c r="V813">
        <f>IF(OR(NOT(EXACT(E813,TRIM(Procurement_Raw!E813))),NOT(EXACT(F813,TRIM(Procurement_Raw!F813)))),1,0)</f>
        <v>0</v>
      </c>
    </row>
    <row r="814" spans="1:22" ht="15" customHeight="1" x14ac:dyDescent="0.25">
      <c r="A814" s="123">
        <f>Procurement_Raw!A814</f>
        <v>45752</v>
      </c>
      <c r="B814" t="str">
        <f>TRIM(Procurement_Raw!B814)</f>
        <v>S003</v>
      </c>
      <c r="C814" t="str">
        <f>Procurement_Raw!C814</f>
        <v>Leeds Care &amp; Education Centre</v>
      </c>
      <c r="D814" t="str">
        <f>Procurement_Raw!D814</f>
        <v>North</v>
      </c>
      <c r="E814" t="str">
        <f>IF(TRIM(Procurement_Raw!E814)="","",IFERROR(INDEX(Supplier_Lookup!$A$2:$A$25,MATCH(TRIM(Procurement_Raw!E814),Supplier_Lookup!$A$2:$A$25,0)),TRIM(Procurement_Raw!E814)))</f>
        <v>RoadReady</v>
      </c>
      <c r="F814" t="str">
        <f>IFERROR(INDEX(Category_Targets!$A$2:$A$9,MATCH(TRIM(Procurement_Raw!F814),Category_Targets!$A$2:$A$9,0)),"Unmapped")</f>
        <v>Vehicle &amp; Fuel</v>
      </c>
      <c r="G814" t="str">
        <f>TRIM(Procurement_Raw!G814)</f>
        <v>INV-2025-00813</v>
      </c>
      <c r="H814" s="77">
        <f>Procurement_Raw!H814</f>
        <v>64</v>
      </c>
      <c r="I814" s="124">
        <f>Procurement_Raw!I814</f>
        <v>210.55</v>
      </c>
      <c r="J814" s="125">
        <f>IF(Procurement_Raw!J814="","",Procurement_Raw!J814)</f>
        <v>13475.09</v>
      </c>
      <c r="K814" s="77">
        <f>Procurement_Raw!K814</f>
        <v>45</v>
      </c>
      <c r="L814" t="str">
        <f>Procurement_Raw!L814</f>
        <v>ERP</v>
      </c>
      <c r="M814" t="str">
        <f>Procurement_Raw!O814</f>
        <v>N</v>
      </c>
      <c r="N814" t="str">
        <f>IF(E814="","Missing supplier",IF(B814="","Missing site",IF(J814="","Missing spend",IF(COUNTIFS($G$2:G814,G814,$E$2:E814,E814,$J$2:J814,J814)&gt;1,"Duplicate invoice",IF(COUNTIF($G$2:$G$1801,G814)&gt;1,"Duplicate ID - review",IF(AND(P814&lt;&gt;"Unmapped",P814&lt;&gt;F814),"Category mismatch","OK"))))))</f>
        <v>OK</v>
      </c>
      <c r="O814" s="125">
        <f t="shared" si="36"/>
        <v>13475.09</v>
      </c>
      <c r="P814" t="str">
        <f>IF(E814="","Unmapped",IFERROR(INDEX(Supplier_Lookup!$B$2:$B$25,MATCH(E814,Supplier_Lookup!$A$2:$A$25,0)),"Unmapped"))</f>
        <v>Vehicle &amp; Fuel</v>
      </c>
      <c r="Q814" s="76">
        <f>IFERROR(INDEX(Category_Targets!$B$2:$B$9,MATCH(F814,Category_Targets!$A$2:$A$9,0)),0)</f>
        <v>0.05</v>
      </c>
      <c r="R814" s="125">
        <f t="shared" si="37"/>
        <v>673.75450000000001</v>
      </c>
      <c r="S814" s="78">
        <f t="shared" si="38"/>
        <v>45748</v>
      </c>
      <c r="T814" t="str">
        <f>IFERROR(VLOOKUP(B814,Sites!$A$2:$D$21,4,FALSE()),"Unknown")</f>
        <v>Leeds</v>
      </c>
      <c r="U814" t="str">
        <f>IF(N814="OK","",COUNTIF($N$2:N814,"&lt;&gt;OK"))</f>
        <v/>
      </c>
      <c r="V814">
        <f>IF(OR(NOT(EXACT(E814,TRIM(Procurement_Raw!E814))),NOT(EXACT(F814,TRIM(Procurement_Raw!F814)))),1,0)</f>
        <v>0</v>
      </c>
    </row>
    <row r="815" spans="1:22" ht="15" customHeight="1" x14ac:dyDescent="0.25">
      <c r="A815" s="123">
        <f>Procurement_Raw!A815</f>
        <v>45863</v>
      </c>
      <c r="B815" t="str">
        <f>TRIM(Procurement_Raw!B815)</f>
        <v>S016</v>
      </c>
      <c r="C815" t="str">
        <f>Procurement_Raw!C815</f>
        <v>Cardiff Care &amp; Education Centre</v>
      </c>
      <c r="D815" t="str">
        <f>Procurement_Raw!D815</f>
        <v>Wales</v>
      </c>
      <c r="E815" t="str">
        <f>IF(TRIM(Procurement_Raw!E815)="","",IFERROR(INDEX(Supplier_Lookup!$A$2:$A$25,MATCH(TRIM(Procurement_Raw!E815),Supplier_Lookup!$A$2:$A$25,0)),TRIM(Procurement_Raw!E815)))</f>
        <v>RoadReady</v>
      </c>
      <c r="F815" t="str">
        <f>IFERROR(INDEX(Category_Targets!$A$2:$A$9,MATCH(TRIM(Procurement_Raw!F815),Category_Targets!$A$2:$A$9,0)),"Unmapped")</f>
        <v>Vehicle &amp; Fuel</v>
      </c>
      <c r="G815" t="str">
        <f>TRIM(Procurement_Raw!G815)</f>
        <v>INV-2025-00814</v>
      </c>
      <c r="H815" s="77">
        <f>Procurement_Raw!H815</f>
        <v>36</v>
      </c>
      <c r="I815" s="124">
        <f>Procurement_Raw!I815</f>
        <v>105.85</v>
      </c>
      <c r="J815" s="125">
        <f>IF(Procurement_Raw!J815="","",Procurement_Raw!J815)</f>
        <v>3810.44</v>
      </c>
      <c r="K815" s="77">
        <f>Procurement_Raw!K815</f>
        <v>45</v>
      </c>
      <c r="L815" t="str">
        <f>Procurement_Raw!L815</f>
        <v>ERP</v>
      </c>
      <c r="M815" t="str">
        <f>Procurement_Raw!O815</f>
        <v>N</v>
      </c>
      <c r="N815" t="str">
        <f>IF(E815="","Missing supplier",IF(B815="","Missing site",IF(J815="","Missing spend",IF(COUNTIFS($G$2:G815,G815,$E$2:E815,E815,$J$2:J815,J815)&gt;1,"Duplicate invoice",IF(COUNTIF($G$2:$G$1801,G815)&gt;1,"Duplicate ID - review",IF(AND(P815&lt;&gt;"Unmapped",P815&lt;&gt;F815),"Category mismatch","OK"))))))</f>
        <v>OK</v>
      </c>
      <c r="O815" s="125">
        <f t="shared" si="36"/>
        <v>3810.44</v>
      </c>
      <c r="P815" t="str">
        <f>IF(E815="","Unmapped",IFERROR(INDEX(Supplier_Lookup!$B$2:$B$25,MATCH(E815,Supplier_Lookup!$A$2:$A$25,0)),"Unmapped"))</f>
        <v>Vehicle &amp; Fuel</v>
      </c>
      <c r="Q815" s="76">
        <f>IFERROR(INDEX(Category_Targets!$B$2:$B$9,MATCH(F815,Category_Targets!$A$2:$A$9,0)),0)</f>
        <v>0.05</v>
      </c>
      <c r="R815" s="125">
        <f t="shared" si="37"/>
        <v>190.52200000000002</v>
      </c>
      <c r="S815" s="78">
        <f t="shared" si="38"/>
        <v>45839</v>
      </c>
      <c r="T815" t="str">
        <f>IFERROR(VLOOKUP(B815,Sites!$A$2:$D$21,4,FALSE()),"Unknown")</f>
        <v>Cardiff</v>
      </c>
      <c r="U815" t="str">
        <f>IF(N815="OK","",COUNTIF($N$2:N815,"&lt;&gt;OK"))</f>
        <v/>
      </c>
      <c r="V815">
        <f>IF(OR(NOT(EXACT(E815,TRIM(Procurement_Raw!E815))),NOT(EXACT(F815,TRIM(Procurement_Raw!F815)))),1,0)</f>
        <v>0</v>
      </c>
    </row>
    <row r="816" spans="1:22" ht="15" customHeight="1" x14ac:dyDescent="0.25">
      <c r="A816" s="123">
        <f>Procurement_Raw!A816</f>
        <v>46009</v>
      </c>
      <c r="B816" t="str">
        <f>TRIM(Procurement_Raw!B816)</f>
        <v>S005</v>
      </c>
      <c r="C816" t="str">
        <f>Procurement_Raw!C816</f>
        <v>Sheffield Care &amp; Education Centre</v>
      </c>
      <c r="D816" t="str">
        <f>Procurement_Raw!D816</f>
        <v>North</v>
      </c>
      <c r="E816" t="str">
        <f>IF(TRIM(Procurement_Raw!E816)="","",IFERROR(INDEX(Supplier_Lookup!$A$2:$A$25,MATCH(TRIM(Procurement_Raw!E816),Supplier_Lookup!$A$2:$A$25,0)),TRIM(Procurement_Raw!E816)))</f>
        <v>BuildCare</v>
      </c>
      <c r="F816" t="str">
        <f>IFERROR(INDEX(Category_Targets!$A$2:$A$9,MATCH(TRIM(Procurement_Raw!F816),Category_Targets!$A$2:$A$9,0)),"Unmapped")</f>
        <v>Facilities</v>
      </c>
      <c r="G816" t="str">
        <f>TRIM(Procurement_Raw!G816)</f>
        <v>INV-2025-00815</v>
      </c>
      <c r="H816" s="77">
        <f>Procurement_Raw!H816</f>
        <v>30</v>
      </c>
      <c r="I816" s="124">
        <f>Procurement_Raw!I816</f>
        <v>317.5</v>
      </c>
      <c r="J816" s="125">
        <f>IF(Procurement_Raw!J816="","",Procurement_Raw!J816)</f>
        <v>9524.94</v>
      </c>
      <c r="K816" s="77">
        <f>Procurement_Raw!K816</f>
        <v>30</v>
      </c>
      <c r="L816" t="str">
        <f>Procurement_Raw!L816</f>
        <v>Legacy Spend File</v>
      </c>
      <c r="M816" t="str">
        <f>Procurement_Raw!O816</f>
        <v>N</v>
      </c>
      <c r="N816" t="str">
        <f>IF(E816="","Missing supplier",IF(B816="","Missing site",IF(J816="","Missing spend",IF(COUNTIFS($G$2:G816,G816,$E$2:E816,E816,$J$2:J816,J816)&gt;1,"Duplicate invoice",IF(COUNTIF($G$2:$G$1801,G816)&gt;1,"Duplicate ID - review",IF(AND(P816&lt;&gt;"Unmapped",P816&lt;&gt;F816),"Category mismatch","OK"))))))</f>
        <v>OK</v>
      </c>
      <c r="O816" s="125">
        <f t="shared" si="36"/>
        <v>9524.94</v>
      </c>
      <c r="P816" t="str">
        <f>IF(E816="","Unmapped",IFERROR(INDEX(Supplier_Lookup!$B$2:$B$25,MATCH(E816,Supplier_Lookup!$A$2:$A$25,0)),"Unmapped"))</f>
        <v>Facilities</v>
      </c>
      <c r="Q816" s="76">
        <f>IFERROR(INDEX(Category_Targets!$B$2:$B$9,MATCH(F816,Category_Targets!$A$2:$A$9,0)),0)</f>
        <v>0.05</v>
      </c>
      <c r="R816" s="125">
        <f t="shared" si="37"/>
        <v>476.24700000000007</v>
      </c>
      <c r="S816" s="78">
        <f t="shared" si="38"/>
        <v>45992</v>
      </c>
      <c r="T816" t="str">
        <f>IFERROR(VLOOKUP(B816,Sites!$A$2:$D$21,4,FALSE()),"Unknown")</f>
        <v>Sheffield</v>
      </c>
      <c r="U816" t="str">
        <f>IF(N816="OK","",COUNTIF($N$2:N816,"&lt;&gt;OK"))</f>
        <v/>
      </c>
      <c r="V816">
        <f>IF(OR(NOT(EXACT(E816,TRIM(Procurement_Raw!E816))),NOT(EXACT(F816,TRIM(Procurement_Raw!F816)))),1,0)</f>
        <v>0</v>
      </c>
    </row>
    <row r="817" spans="1:22" ht="15" customHeight="1" x14ac:dyDescent="0.25">
      <c r="A817" s="123">
        <f>Procurement_Raw!A817</f>
        <v>45879</v>
      </c>
      <c r="B817" t="str">
        <f>TRIM(Procurement_Raw!B817)</f>
        <v>S013</v>
      </c>
      <c r="C817" t="str">
        <f>Procurement_Raw!C817</f>
        <v>Reading Care &amp; Education Centre</v>
      </c>
      <c r="D817" t="str">
        <f>Procurement_Raw!D817</f>
        <v>South</v>
      </c>
      <c r="E817" t="str">
        <f>IF(TRIM(Procurement_Raw!E817)="","",IFERROR(INDEX(Supplier_Lookup!$A$2:$A$25,MATCH(TRIM(Procurement_Raw!E817),Supplier_Lookup!$A$2:$A$25,0)),TRIM(Procurement_Raw!E817)))</f>
        <v>PowerDirect</v>
      </c>
      <c r="F817" t="str">
        <f>IFERROR(INDEX(Category_Targets!$A$2:$A$9,MATCH(TRIM(Procurement_Raw!F817),Category_Targets!$A$2:$A$9,0)),"Unmapped")</f>
        <v>Utilities</v>
      </c>
      <c r="G817" t="str">
        <f>TRIM(Procurement_Raw!G817)</f>
        <v>INV-2025-00816</v>
      </c>
      <c r="H817" s="77">
        <f>Procurement_Raw!H817</f>
        <v>49</v>
      </c>
      <c r="I817" s="124">
        <f>Procurement_Raw!I817</f>
        <v>110.43</v>
      </c>
      <c r="J817" s="125">
        <f>IF(Procurement_Raw!J817="","",Procurement_Raw!J817)</f>
        <v>5411.18</v>
      </c>
      <c r="K817" s="77">
        <f>Procurement_Raw!K817</f>
        <v>30</v>
      </c>
      <c r="L817" t="str">
        <f>Procurement_Raw!L817</f>
        <v>ERP</v>
      </c>
      <c r="M817" t="str">
        <f>Procurement_Raw!O817</f>
        <v>N</v>
      </c>
      <c r="N817" t="str">
        <f>IF(E817="","Missing supplier",IF(B817="","Missing site",IF(J817="","Missing spend",IF(COUNTIFS($G$2:G817,G817,$E$2:E817,E817,$J$2:J817,J817)&gt;1,"Duplicate invoice",IF(COUNTIF($G$2:$G$1801,G817)&gt;1,"Duplicate ID - review",IF(AND(P817&lt;&gt;"Unmapped",P817&lt;&gt;F817),"Category mismatch","OK"))))))</f>
        <v>OK</v>
      </c>
      <c r="O817" s="125">
        <f t="shared" si="36"/>
        <v>5411.18</v>
      </c>
      <c r="P817" t="str">
        <f>IF(E817="","Unmapped",IFERROR(INDEX(Supplier_Lookup!$B$2:$B$25,MATCH(E817,Supplier_Lookup!$A$2:$A$25,0)),"Unmapped"))</f>
        <v>Utilities</v>
      </c>
      <c r="Q817" s="76">
        <f>IFERROR(INDEX(Category_Targets!$B$2:$B$9,MATCH(F817,Category_Targets!$A$2:$A$9,0)),0)</f>
        <v>0.03</v>
      </c>
      <c r="R817" s="125">
        <f t="shared" si="37"/>
        <v>162.33539999999999</v>
      </c>
      <c r="S817" s="78">
        <f t="shared" si="38"/>
        <v>45870</v>
      </c>
      <c r="T817" t="str">
        <f>IFERROR(VLOOKUP(B817,Sites!$A$2:$D$21,4,FALSE()),"Unknown")</f>
        <v>Reading</v>
      </c>
      <c r="U817" t="str">
        <f>IF(N817="OK","",COUNTIF($N$2:N817,"&lt;&gt;OK"))</f>
        <v/>
      </c>
      <c r="V817">
        <f>IF(OR(NOT(EXACT(E817,TRIM(Procurement_Raw!E817))),NOT(EXACT(F817,TRIM(Procurement_Raw!F817)))),1,0)</f>
        <v>0</v>
      </c>
    </row>
    <row r="818" spans="1:22" ht="15" customHeight="1" x14ac:dyDescent="0.25">
      <c r="A818" s="123">
        <f>Procurement_Raw!A818</f>
        <v>45662</v>
      </c>
      <c r="B818" t="str">
        <f>TRIM(Procurement_Raw!B818)</f>
        <v>S018</v>
      </c>
      <c r="C818" t="str">
        <f>Procurement_Raw!C818</f>
        <v>Newport Care &amp; Education Centre</v>
      </c>
      <c r="D818" t="str">
        <f>Procurement_Raw!D818</f>
        <v>Wales</v>
      </c>
      <c r="E818" t="str">
        <f>IF(TRIM(Procurement_Raw!E818)="","",IFERROR(INDEX(Supplier_Lookup!$A$2:$A$25,MATCH(TRIM(Procurement_Raw!E818),Supplier_Lookup!$A$2:$A$25,0)),TRIM(Procurement_Raw!E818)))</f>
        <v>SafeGuard FM</v>
      </c>
      <c r="F818" t="str">
        <f>IFERROR(INDEX(Category_Targets!$A$2:$A$9,MATCH(TRIM(Procurement_Raw!F818),Category_Targets!$A$2:$A$9,0)),"Unmapped")</f>
        <v>Facilities</v>
      </c>
      <c r="G818" t="str">
        <f>TRIM(Procurement_Raw!G818)</f>
        <v>INV-2025-00817</v>
      </c>
      <c r="H818" s="77">
        <f>Procurement_Raw!H818</f>
        <v>23</v>
      </c>
      <c r="I818" s="124">
        <f>Procurement_Raw!I818</f>
        <v>208.48</v>
      </c>
      <c r="J818" s="125">
        <f>IF(Procurement_Raw!J818="","",Procurement_Raw!J818)</f>
        <v>4795</v>
      </c>
      <c r="K818" s="77">
        <f>Procurement_Raw!K818</f>
        <v>45</v>
      </c>
      <c r="L818" t="str">
        <f>Procurement_Raw!L818</f>
        <v>Procurement Portal</v>
      </c>
      <c r="M818" t="str">
        <f>Procurement_Raw!O818</f>
        <v>N</v>
      </c>
      <c r="N818" t="str">
        <f>IF(E818="","Missing supplier",IF(B818="","Missing site",IF(J818="","Missing spend",IF(COUNTIFS($G$2:G818,G818,$E$2:E818,E818,$J$2:J818,J818)&gt;1,"Duplicate invoice",IF(COUNTIF($G$2:$G$1801,G818)&gt;1,"Duplicate ID - review",IF(AND(P818&lt;&gt;"Unmapped",P818&lt;&gt;F818),"Category mismatch","OK"))))))</f>
        <v>OK</v>
      </c>
      <c r="O818" s="125">
        <f t="shared" si="36"/>
        <v>4795</v>
      </c>
      <c r="P818" t="str">
        <f>IF(E818="","Unmapped",IFERROR(INDEX(Supplier_Lookup!$B$2:$B$25,MATCH(E818,Supplier_Lookup!$A$2:$A$25,0)),"Unmapped"))</f>
        <v>Facilities</v>
      </c>
      <c r="Q818" s="76">
        <f>IFERROR(INDEX(Category_Targets!$B$2:$B$9,MATCH(F818,Category_Targets!$A$2:$A$9,0)),0)</f>
        <v>0.05</v>
      </c>
      <c r="R818" s="125">
        <f t="shared" si="37"/>
        <v>239.75</v>
      </c>
      <c r="S818" s="78">
        <f t="shared" si="38"/>
        <v>45658</v>
      </c>
      <c r="T818" t="str">
        <f>IFERROR(VLOOKUP(B818,Sites!$A$2:$D$21,4,FALSE()),"Unknown")</f>
        <v>Newport</v>
      </c>
      <c r="U818" t="str">
        <f>IF(N818="OK","",COUNTIF($N$2:N818,"&lt;&gt;OK"))</f>
        <v/>
      </c>
      <c r="V818">
        <f>IF(OR(NOT(EXACT(E818,TRIM(Procurement_Raw!E818))),NOT(EXACT(F818,TRIM(Procurement_Raw!F818)))),1,0)</f>
        <v>0</v>
      </c>
    </row>
    <row r="819" spans="1:22" ht="15" customHeight="1" x14ac:dyDescent="0.25">
      <c r="A819" s="123">
        <f>Procurement_Raw!A819</f>
        <v>45811</v>
      </c>
      <c r="B819" t="str">
        <f>TRIM(Procurement_Raw!B819)</f>
        <v>S012</v>
      </c>
      <c r="C819" t="str">
        <f>Procurement_Raw!C819</f>
        <v>Bristol Care &amp; Education Centre</v>
      </c>
      <c r="D819" t="str">
        <f>Procurement_Raw!D819</f>
        <v>South</v>
      </c>
      <c r="E819" t="str">
        <f>IF(TRIM(Procurement_Raw!E819)="","",IFERROR(INDEX(Supplier_Lookup!$A$2:$A$25,MATCH(TRIM(Procurement_Raw!E819),Supplier_Lookup!$A$2:$A$25,0)),TRIM(Procurement_Raw!E819)))</f>
        <v>RoadReady</v>
      </c>
      <c r="F819" t="str">
        <f>IFERROR(INDEX(Category_Targets!$A$2:$A$9,MATCH(TRIM(Procurement_Raw!F819),Category_Targets!$A$2:$A$9,0)),"Unmapped")</f>
        <v>Vehicle &amp; Fuel</v>
      </c>
      <c r="G819" t="str">
        <f>TRIM(Procurement_Raw!G819)</f>
        <v>INV-2025-00818</v>
      </c>
      <c r="H819" s="77">
        <f>Procurement_Raw!H819</f>
        <v>33</v>
      </c>
      <c r="I819" s="124">
        <f>Procurement_Raw!I819</f>
        <v>154.96</v>
      </c>
      <c r="J819" s="125">
        <f>IF(Procurement_Raw!J819="","",Procurement_Raw!J819)</f>
        <v>5113.71</v>
      </c>
      <c r="K819" s="77">
        <f>Procurement_Raw!K819</f>
        <v>60</v>
      </c>
      <c r="L819" t="str">
        <f>Procurement_Raw!L819</f>
        <v>Legacy Spend File</v>
      </c>
      <c r="M819" t="str">
        <f>Procurement_Raw!O819</f>
        <v>N</v>
      </c>
      <c r="N819" t="str">
        <f>IF(E819="","Missing supplier",IF(B819="","Missing site",IF(J819="","Missing spend",IF(COUNTIFS($G$2:G819,G819,$E$2:E819,E819,$J$2:J819,J819)&gt;1,"Duplicate invoice",IF(COUNTIF($G$2:$G$1801,G819)&gt;1,"Duplicate ID - review",IF(AND(P819&lt;&gt;"Unmapped",P819&lt;&gt;F819),"Category mismatch","OK"))))))</f>
        <v>OK</v>
      </c>
      <c r="O819" s="125">
        <f t="shared" si="36"/>
        <v>5113.71</v>
      </c>
      <c r="P819" t="str">
        <f>IF(E819="","Unmapped",IFERROR(INDEX(Supplier_Lookup!$B$2:$B$25,MATCH(E819,Supplier_Lookup!$A$2:$A$25,0)),"Unmapped"))</f>
        <v>Vehicle &amp; Fuel</v>
      </c>
      <c r="Q819" s="76">
        <f>IFERROR(INDEX(Category_Targets!$B$2:$B$9,MATCH(F819,Category_Targets!$A$2:$A$9,0)),0)</f>
        <v>0.05</v>
      </c>
      <c r="R819" s="125">
        <f t="shared" si="37"/>
        <v>255.68550000000002</v>
      </c>
      <c r="S819" s="78">
        <f t="shared" si="38"/>
        <v>45809</v>
      </c>
      <c r="T819" t="str">
        <f>IFERROR(VLOOKUP(B819,Sites!$A$2:$D$21,4,FALSE()),"Unknown")</f>
        <v>Bristol</v>
      </c>
      <c r="U819" t="str">
        <f>IF(N819="OK","",COUNTIF($N$2:N819,"&lt;&gt;OK"))</f>
        <v/>
      </c>
      <c r="V819">
        <f>IF(OR(NOT(EXACT(E819,TRIM(Procurement_Raw!E819))),NOT(EXACT(F819,TRIM(Procurement_Raw!F819)))),1,0)</f>
        <v>0</v>
      </c>
    </row>
    <row r="820" spans="1:22" ht="15" customHeight="1" x14ac:dyDescent="0.25">
      <c r="A820" s="123">
        <f>Procurement_Raw!A820</f>
        <v>46011</v>
      </c>
      <c r="B820" t="str">
        <f>TRIM(Procurement_Raw!B820)</f>
        <v>S020</v>
      </c>
      <c r="C820" t="str">
        <f>Procurement_Raw!C820</f>
        <v>Bangor Care &amp; Education Centre</v>
      </c>
      <c r="D820" t="str">
        <f>Procurement_Raw!D820</f>
        <v>Wales</v>
      </c>
      <c r="E820" t="str">
        <f>IF(TRIM(Procurement_Raw!E820)="","",IFERROR(INDEX(Supplier_Lookup!$A$2:$A$25,MATCH(TRIM(Procurement_Raw!E820),Supplier_Lookup!$A$2:$A$25,0)),TRIM(Procurement_Raw!E820)))</f>
        <v>HealthStaffing</v>
      </c>
      <c r="F820" t="str">
        <f>IFERROR(INDEX(Category_Targets!$A$2:$A$9,MATCH(TRIM(Procurement_Raw!F820),Category_Targets!$A$2:$A$9,0)),"Unmapped")</f>
        <v>Agency Labour</v>
      </c>
      <c r="G820" t="str">
        <f>TRIM(Procurement_Raw!G820)</f>
        <v>INV-2025-00819</v>
      </c>
      <c r="H820" s="77">
        <f>Procurement_Raw!H820</f>
        <v>21</v>
      </c>
      <c r="I820" s="124">
        <f>Procurement_Raw!I820</f>
        <v>313.89</v>
      </c>
      <c r="J820" s="125">
        <f>IF(Procurement_Raw!J820="","",Procurement_Raw!J820)</f>
        <v>6591.66</v>
      </c>
      <c r="K820" s="77">
        <f>Procurement_Raw!K820</f>
        <v>30</v>
      </c>
      <c r="L820" t="str">
        <f>Procurement_Raw!L820</f>
        <v>ERP</v>
      </c>
      <c r="M820" t="str">
        <f>Procurement_Raw!O820</f>
        <v>N</v>
      </c>
      <c r="N820" t="str">
        <f>IF(E820="","Missing supplier",IF(B820="","Missing site",IF(J820="","Missing spend",IF(COUNTIFS($G$2:G820,G820,$E$2:E820,E820,$J$2:J820,J820)&gt;1,"Duplicate invoice",IF(COUNTIF($G$2:$G$1801,G820)&gt;1,"Duplicate ID - review",IF(AND(P820&lt;&gt;"Unmapped",P820&lt;&gt;F820),"Category mismatch","OK"))))))</f>
        <v>OK</v>
      </c>
      <c r="O820" s="125">
        <f t="shared" si="36"/>
        <v>6591.66</v>
      </c>
      <c r="P820" t="str">
        <f>IF(E820="","Unmapped",IFERROR(INDEX(Supplier_Lookup!$B$2:$B$25,MATCH(E820,Supplier_Lookup!$A$2:$A$25,0)),"Unmapped"))</f>
        <v>Agency Labour</v>
      </c>
      <c r="Q820" s="76">
        <f>IFERROR(INDEX(Category_Targets!$B$2:$B$9,MATCH(F820,Category_Targets!$A$2:$A$9,0)),0)</f>
        <v>7.0000000000000007E-2</v>
      </c>
      <c r="R820" s="125">
        <f t="shared" si="37"/>
        <v>461.41620000000006</v>
      </c>
      <c r="S820" s="78">
        <f t="shared" si="38"/>
        <v>45992</v>
      </c>
      <c r="T820" t="str">
        <f>IFERROR(VLOOKUP(B820,Sites!$A$2:$D$21,4,FALSE()),"Unknown")</f>
        <v>Bangor</v>
      </c>
      <c r="U820" t="str">
        <f>IF(N820="OK","",COUNTIF($N$2:N820,"&lt;&gt;OK"))</f>
        <v/>
      </c>
      <c r="V820">
        <f>IF(OR(NOT(EXACT(E820,TRIM(Procurement_Raw!E820))),NOT(EXACT(F820,TRIM(Procurement_Raw!F820)))),1,0)</f>
        <v>0</v>
      </c>
    </row>
    <row r="821" spans="1:22" ht="15" customHeight="1" x14ac:dyDescent="0.25">
      <c r="A821" s="123">
        <f>Procurement_Raw!A821</f>
        <v>45707</v>
      </c>
      <c r="B821" t="str">
        <f>TRIM(Procurement_Raw!B821)</f>
        <v>S009</v>
      </c>
      <c r="C821" t="str">
        <f>Procurement_Raw!C821</f>
        <v>Derby Care &amp; Education Centre</v>
      </c>
      <c r="D821" t="str">
        <f>Procurement_Raw!D821</f>
        <v>Midlands</v>
      </c>
      <c r="E821" t="str">
        <f>IF(TRIM(Procurement_Raw!E821)="","",IFERROR(INDEX(Supplier_Lookup!$A$2:$A$25,MATCH(TRIM(Procurement_Raw!E821),Supplier_Lookup!$A$2:$A$25,0)),TRIM(Procurement_Raw!E821)))</f>
        <v>PrintCo</v>
      </c>
      <c r="F821" t="str">
        <f>IFERROR(INDEX(Category_Targets!$A$2:$A$9,MATCH(TRIM(Procurement_Raw!F821),Category_Targets!$A$2:$A$9,0)),"Unmapped")</f>
        <v>Office &amp; Training</v>
      </c>
      <c r="G821" t="str">
        <f>TRIM(Procurement_Raw!G821)</f>
        <v>INV-2025-00820</v>
      </c>
      <c r="H821" s="77">
        <f>Procurement_Raw!H821</f>
        <v>58</v>
      </c>
      <c r="I821" s="124">
        <f>Procurement_Raw!I821</f>
        <v>134.76</v>
      </c>
      <c r="J821" s="125">
        <f>IF(Procurement_Raw!J821="","",Procurement_Raw!J821)</f>
        <v>7816.13</v>
      </c>
      <c r="K821" s="77">
        <f>Procurement_Raw!K821</f>
        <v>60</v>
      </c>
      <c r="L821" t="str">
        <f>Procurement_Raw!L821</f>
        <v>Procurement Portal</v>
      </c>
      <c r="M821" t="str">
        <f>Procurement_Raw!O821</f>
        <v>N</v>
      </c>
      <c r="N821" t="str">
        <f>IF(E821="","Missing supplier",IF(B821="","Missing site",IF(J821="","Missing spend",IF(COUNTIFS($G$2:G821,G821,$E$2:E821,E821,$J$2:J821,J821)&gt;1,"Duplicate invoice",IF(COUNTIF($G$2:$G$1801,G821)&gt;1,"Duplicate ID - review",IF(AND(P821&lt;&gt;"Unmapped",P821&lt;&gt;F821),"Category mismatch","OK"))))))</f>
        <v>OK</v>
      </c>
      <c r="O821" s="125">
        <f t="shared" si="36"/>
        <v>7816.13</v>
      </c>
      <c r="P821" t="str">
        <f>IF(E821="","Unmapped",IFERROR(INDEX(Supplier_Lookup!$B$2:$B$25,MATCH(E821,Supplier_Lookup!$A$2:$A$25,0)),"Unmapped"))</f>
        <v>Office &amp; Training</v>
      </c>
      <c r="Q821" s="76">
        <f>IFERROR(INDEX(Category_Targets!$B$2:$B$9,MATCH(F821,Category_Targets!$A$2:$A$9,0)),0)</f>
        <v>0.04</v>
      </c>
      <c r="R821" s="125">
        <f t="shared" si="37"/>
        <v>312.64519999999999</v>
      </c>
      <c r="S821" s="78">
        <f t="shared" si="38"/>
        <v>45689</v>
      </c>
      <c r="T821" t="str">
        <f>IFERROR(VLOOKUP(B821,Sites!$A$2:$D$21,4,FALSE()),"Unknown")</f>
        <v>Derby</v>
      </c>
      <c r="U821" t="str">
        <f>IF(N821="OK","",COUNTIF($N$2:N821,"&lt;&gt;OK"))</f>
        <v/>
      </c>
      <c r="V821">
        <f>IF(OR(NOT(EXACT(E821,TRIM(Procurement_Raw!E821))),NOT(EXACT(F821,TRIM(Procurement_Raw!F821)))),1,0)</f>
        <v>0</v>
      </c>
    </row>
    <row r="822" spans="1:22" ht="15" customHeight="1" x14ac:dyDescent="0.25">
      <c r="A822" s="123">
        <f>Procurement_Raw!A822</f>
        <v>45944</v>
      </c>
      <c r="B822" t="str">
        <f>TRIM(Procurement_Raw!B822)</f>
        <v>S008</v>
      </c>
      <c r="C822" t="str">
        <f>Procurement_Raw!C822</f>
        <v>Leicester Care &amp; Education Centre</v>
      </c>
      <c r="D822" t="str">
        <f>Procurement_Raw!D822</f>
        <v>Midlands</v>
      </c>
      <c r="E822" t="str">
        <f>IF(TRIM(Procurement_Raw!E822)="","",IFERROR(INDEX(Supplier_Lookup!$A$2:$A$25,MATCH(TRIM(Procurement_Raw!E822),Supplier_Lookup!$A$2:$A$25,0)),TRIM(Procurement_Raw!E822)))</f>
        <v>RoadReady</v>
      </c>
      <c r="F822" t="str">
        <f>IFERROR(INDEX(Category_Targets!$A$2:$A$9,MATCH(TRIM(Procurement_Raw!F822),Category_Targets!$A$2:$A$9,0)),"Unmapped")</f>
        <v>Vehicle &amp; Fuel</v>
      </c>
      <c r="G822" t="str">
        <f>TRIM(Procurement_Raw!G822)</f>
        <v>INV-2025-00821</v>
      </c>
      <c r="H822" s="77">
        <f>Procurement_Raw!H822</f>
        <v>72</v>
      </c>
      <c r="I822" s="124">
        <f>Procurement_Raw!I822</f>
        <v>71.48</v>
      </c>
      <c r="J822" s="125">
        <f>IF(Procurement_Raw!J822="","",Procurement_Raw!J822)</f>
        <v>5146.3100000000004</v>
      </c>
      <c r="K822" s="77">
        <f>Procurement_Raw!K822</f>
        <v>45</v>
      </c>
      <c r="L822" t="str">
        <f>Procurement_Raw!L822</f>
        <v>Procurement Portal</v>
      </c>
      <c r="M822" t="str">
        <f>Procurement_Raw!O822</f>
        <v>N</v>
      </c>
      <c r="N822" t="str">
        <f>IF(E822="","Missing supplier",IF(B822="","Missing site",IF(J822="","Missing spend",IF(COUNTIFS($G$2:G822,G822,$E$2:E822,E822,$J$2:J822,J822)&gt;1,"Duplicate invoice",IF(COUNTIF($G$2:$G$1801,G822)&gt;1,"Duplicate ID - review",IF(AND(P822&lt;&gt;"Unmapped",P822&lt;&gt;F822),"Category mismatch","OK"))))))</f>
        <v>OK</v>
      </c>
      <c r="O822" s="125">
        <f t="shared" si="36"/>
        <v>5146.3100000000004</v>
      </c>
      <c r="P822" t="str">
        <f>IF(E822="","Unmapped",IFERROR(INDEX(Supplier_Lookup!$B$2:$B$25,MATCH(E822,Supplier_Lookup!$A$2:$A$25,0)),"Unmapped"))</f>
        <v>Vehicle &amp; Fuel</v>
      </c>
      <c r="Q822" s="76">
        <f>IFERROR(INDEX(Category_Targets!$B$2:$B$9,MATCH(F822,Category_Targets!$A$2:$A$9,0)),0)</f>
        <v>0.05</v>
      </c>
      <c r="R822" s="125">
        <f t="shared" si="37"/>
        <v>257.31550000000004</v>
      </c>
      <c r="S822" s="78">
        <f t="shared" si="38"/>
        <v>45931</v>
      </c>
      <c r="T822" t="str">
        <f>IFERROR(VLOOKUP(B822,Sites!$A$2:$D$21,4,FALSE()),"Unknown")</f>
        <v>Leicester</v>
      </c>
      <c r="U822" t="str">
        <f>IF(N822="OK","",COUNTIF($N$2:N822,"&lt;&gt;OK"))</f>
        <v/>
      </c>
      <c r="V822">
        <f>IF(OR(NOT(EXACT(E822,TRIM(Procurement_Raw!E822))),NOT(EXACT(F822,TRIM(Procurement_Raw!F822)))),1,0)</f>
        <v>0</v>
      </c>
    </row>
    <row r="823" spans="1:22" ht="15" customHeight="1" x14ac:dyDescent="0.25">
      <c r="A823" s="123">
        <f>Procurement_Raw!A823</f>
        <v>45837</v>
      </c>
      <c r="B823" t="str">
        <f>TRIM(Procurement_Raw!B823)</f>
        <v>S002</v>
      </c>
      <c r="C823" t="str">
        <f>Procurement_Raw!C823</f>
        <v>Manchester Care &amp; Education Centre</v>
      </c>
      <c r="D823" t="str">
        <f>Procurement_Raw!D823</f>
        <v>North</v>
      </c>
      <c r="E823" t="str">
        <f>IF(TRIM(Procurement_Raw!E823)="","",IFERROR(INDEX(Supplier_Lookup!$A$2:$A$25,MATCH(TRIM(Procurement_Raw!E823),Supplier_Lookup!$A$2:$A$25,0)),TRIM(Procurement_Raw!E823)))</f>
        <v>HealthStaffing</v>
      </c>
      <c r="F823" t="str">
        <f>IFERROR(INDEX(Category_Targets!$A$2:$A$9,MATCH(TRIM(Procurement_Raw!F823),Category_Targets!$A$2:$A$9,0)),"Unmapped")</f>
        <v>Agency Labour</v>
      </c>
      <c r="G823" t="str">
        <f>TRIM(Procurement_Raw!G823)</f>
        <v>INV-2025-00822</v>
      </c>
      <c r="H823" s="77">
        <f>Procurement_Raw!H823</f>
        <v>78</v>
      </c>
      <c r="I823" s="124">
        <f>Procurement_Raw!I823</f>
        <v>651.27</v>
      </c>
      <c r="J823" s="125">
        <f>IF(Procurement_Raw!J823="","",Procurement_Raw!J823)</f>
        <v>50799.02</v>
      </c>
      <c r="K823" s="77">
        <f>Procurement_Raw!K823</f>
        <v>30</v>
      </c>
      <c r="L823" t="str">
        <f>Procurement_Raw!L823</f>
        <v>Legacy Spend File</v>
      </c>
      <c r="M823" t="str">
        <f>Procurement_Raw!O823</f>
        <v>N</v>
      </c>
      <c r="N823" t="str">
        <f>IF(E823="","Missing supplier",IF(B823="","Missing site",IF(J823="","Missing spend",IF(COUNTIFS($G$2:G823,G823,$E$2:E823,E823,$J$2:J823,J823)&gt;1,"Duplicate invoice",IF(COUNTIF($G$2:$G$1801,G823)&gt;1,"Duplicate ID - review",IF(AND(P823&lt;&gt;"Unmapped",P823&lt;&gt;F823),"Category mismatch","OK"))))))</f>
        <v>OK</v>
      </c>
      <c r="O823" s="125">
        <f t="shared" si="36"/>
        <v>50799.02</v>
      </c>
      <c r="P823" t="str">
        <f>IF(E823="","Unmapped",IFERROR(INDEX(Supplier_Lookup!$B$2:$B$25,MATCH(E823,Supplier_Lookup!$A$2:$A$25,0)),"Unmapped"))</f>
        <v>Agency Labour</v>
      </c>
      <c r="Q823" s="76">
        <f>IFERROR(INDEX(Category_Targets!$B$2:$B$9,MATCH(F823,Category_Targets!$A$2:$A$9,0)),0)</f>
        <v>7.0000000000000007E-2</v>
      </c>
      <c r="R823" s="125">
        <f t="shared" si="37"/>
        <v>3555.9313999999999</v>
      </c>
      <c r="S823" s="78">
        <f t="shared" si="38"/>
        <v>45809</v>
      </c>
      <c r="T823" t="str">
        <f>IFERROR(VLOOKUP(B823,Sites!$A$2:$D$21,4,FALSE()),"Unknown")</f>
        <v>Manchester</v>
      </c>
      <c r="U823" t="str">
        <f>IF(N823="OK","",COUNTIF($N$2:N823,"&lt;&gt;OK"))</f>
        <v/>
      </c>
      <c r="V823">
        <f>IF(OR(NOT(EXACT(E823,TRIM(Procurement_Raw!E823))),NOT(EXACT(F823,TRIM(Procurement_Raw!F823)))),1,0)</f>
        <v>0</v>
      </c>
    </row>
    <row r="824" spans="1:22" ht="15" customHeight="1" x14ac:dyDescent="0.25">
      <c r="A824" s="123">
        <f>Procurement_Raw!A824</f>
        <v>45839</v>
      </c>
      <c r="B824" t="str">
        <f>TRIM(Procurement_Raw!B824)</f>
        <v>S020</v>
      </c>
      <c r="C824" t="str">
        <f>Procurement_Raw!C824</f>
        <v>Bangor Care &amp; Education Centre</v>
      </c>
      <c r="D824" t="str">
        <f>Procurement_Raw!D824</f>
        <v>Wales</v>
      </c>
      <c r="E824" t="str">
        <f>IF(TRIM(Procurement_Raw!E824)="","",IFERROR(INDEX(Supplier_Lookup!$A$2:$A$25,MATCH(TRIM(Procurement_Raw!E824),Supplier_Lookup!$A$2:$A$25,0)),TRIM(Procurement_Raw!E824)))</f>
        <v>SafeGuard FM</v>
      </c>
      <c r="F824" t="str">
        <f>IFERROR(INDEX(Category_Targets!$A$2:$A$9,MATCH(TRIM(Procurement_Raw!F824),Category_Targets!$A$2:$A$9,0)),"Unmapped")</f>
        <v>Facilities</v>
      </c>
      <c r="G824" t="str">
        <f>TRIM(Procurement_Raw!G824)</f>
        <v>INV-2025-00823</v>
      </c>
      <c r="H824" s="77">
        <f>Procurement_Raw!H824</f>
        <v>42</v>
      </c>
      <c r="I824" s="124">
        <f>Procurement_Raw!I824</f>
        <v>637.37</v>
      </c>
      <c r="J824" s="125">
        <f>IF(Procurement_Raw!J824="","",Procurement_Raw!J824)</f>
        <v>26769.55</v>
      </c>
      <c r="K824" s="77">
        <f>Procurement_Raw!K824</f>
        <v>60</v>
      </c>
      <c r="L824" t="str">
        <f>Procurement_Raw!L824</f>
        <v>Legacy Spend File</v>
      </c>
      <c r="M824" t="str">
        <f>Procurement_Raw!O824</f>
        <v>N</v>
      </c>
      <c r="N824" t="str">
        <f>IF(E824="","Missing supplier",IF(B824="","Missing site",IF(J824="","Missing spend",IF(COUNTIFS($G$2:G824,G824,$E$2:E824,E824,$J$2:J824,J824)&gt;1,"Duplicate invoice",IF(COUNTIF($G$2:$G$1801,G824)&gt;1,"Duplicate ID - review",IF(AND(P824&lt;&gt;"Unmapped",P824&lt;&gt;F824),"Category mismatch","OK"))))))</f>
        <v>OK</v>
      </c>
      <c r="O824" s="125">
        <f t="shared" si="36"/>
        <v>26769.55</v>
      </c>
      <c r="P824" t="str">
        <f>IF(E824="","Unmapped",IFERROR(INDEX(Supplier_Lookup!$B$2:$B$25,MATCH(E824,Supplier_Lookup!$A$2:$A$25,0)),"Unmapped"))</f>
        <v>Facilities</v>
      </c>
      <c r="Q824" s="76">
        <f>IFERROR(INDEX(Category_Targets!$B$2:$B$9,MATCH(F824,Category_Targets!$A$2:$A$9,0)),0)</f>
        <v>0.05</v>
      </c>
      <c r="R824" s="125">
        <f t="shared" si="37"/>
        <v>1338.4775</v>
      </c>
      <c r="S824" s="78">
        <f t="shared" si="38"/>
        <v>45839</v>
      </c>
      <c r="T824" t="str">
        <f>IFERROR(VLOOKUP(B824,Sites!$A$2:$D$21,4,FALSE()),"Unknown")</f>
        <v>Bangor</v>
      </c>
      <c r="U824" t="str">
        <f>IF(N824="OK","",COUNTIF($N$2:N824,"&lt;&gt;OK"))</f>
        <v/>
      </c>
      <c r="V824">
        <f>IF(OR(NOT(EXACT(E824,TRIM(Procurement_Raw!E824))),NOT(EXACT(F824,TRIM(Procurement_Raw!F824)))),1,0)</f>
        <v>1</v>
      </c>
    </row>
    <row r="825" spans="1:22" ht="15" customHeight="1" x14ac:dyDescent="0.25">
      <c r="A825" s="123">
        <f>Procurement_Raw!A825</f>
        <v>45853</v>
      </c>
      <c r="B825" t="str">
        <f>TRIM(Procurement_Raw!B825)</f>
        <v>S005</v>
      </c>
      <c r="C825" t="str">
        <f>Procurement_Raw!C825</f>
        <v>Sheffield Care &amp; Education Centre</v>
      </c>
      <c r="D825" t="str">
        <f>Procurement_Raw!D825</f>
        <v>North</v>
      </c>
      <c r="E825" t="str">
        <f>IF(TRIM(Procurement_Raw!E825)="","",IFERROR(INDEX(Supplier_Lookup!$A$2:$A$25,MATCH(TRIM(Procurement_Raw!E825),Supplier_Lookup!$A$2:$A$25,0)),TRIM(Procurement_Raw!E825)))</f>
        <v>OfficePlus</v>
      </c>
      <c r="F825" t="str">
        <f>IFERROR(INDEX(Category_Targets!$A$2:$A$9,MATCH(TRIM(Procurement_Raw!F825),Category_Targets!$A$2:$A$9,0)),"Unmapped")</f>
        <v>Office &amp; Training</v>
      </c>
      <c r="G825" t="str">
        <f>TRIM(Procurement_Raw!G825)</f>
        <v>INV-2025-00824</v>
      </c>
      <c r="H825" s="77">
        <f>Procurement_Raw!H825</f>
        <v>79</v>
      </c>
      <c r="I825" s="124">
        <f>Procurement_Raw!I825</f>
        <v>61.43</v>
      </c>
      <c r="J825" s="125">
        <f>IF(Procurement_Raw!J825="","",Procurement_Raw!J825)</f>
        <v>4853.1099999999997</v>
      </c>
      <c r="K825" s="77">
        <f>Procurement_Raw!K825</f>
        <v>45</v>
      </c>
      <c r="L825" t="str">
        <f>Procurement_Raw!L825</f>
        <v>Procurement Portal</v>
      </c>
      <c r="M825" t="str">
        <f>Procurement_Raw!O825</f>
        <v>N</v>
      </c>
      <c r="N825" t="str">
        <f>IF(E825="","Missing supplier",IF(B825="","Missing site",IF(J825="","Missing spend",IF(COUNTIFS($G$2:G825,G825,$E$2:E825,E825,$J$2:J825,J825)&gt;1,"Duplicate invoice",IF(COUNTIF($G$2:$G$1801,G825)&gt;1,"Duplicate ID - review",IF(AND(P825&lt;&gt;"Unmapped",P825&lt;&gt;F825),"Category mismatch","OK"))))))</f>
        <v>OK</v>
      </c>
      <c r="O825" s="125">
        <f t="shared" si="36"/>
        <v>4853.1099999999997</v>
      </c>
      <c r="P825" t="str">
        <f>IF(E825="","Unmapped",IFERROR(INDEX(Supplier_Lookup!$B$2:$B$25,MATCH(E825,Supplier_Lookup!$A$2:$A$25,0)),"Unmapped"))</f>
        <v>Office &amp; Training</v>
      </c>
      <c r="Q825" s="76">
        <f>IFERROR(INDEX(Category_Targets!$B$2:$B$9,MATCH(F825,Category_Targets!$A$2:$A$9,0)),0)</f>
        <v>0.04</v>
      </c>
      <c r="R825" s="125">
        <f t="shared" si="37"/>
        <v>194.12439999999998</v>
      </c>
      <c r="S825" s="78">
        <f t="shared" si="38"/>
        <v>45839</v>
      </c>
      <c r="T825" t="str">
        <f>IFERROR(VLOOKUP(B825,Sites!$A$2:$D$21,4,FALSE()),"Unknown")</f>
        <v>Sheffield</v>
      </c>
      <c r="U825" t="str">
        <f>IF(N825="OK","",COUNTIF($N$2:N825,"&lt;&gt;OK"))</f>
        <v/>
      </c>
      <c r="V825">
        <f>IF(OR(NOT(EXACT(E825,TRIM(Procurement_Raw!E825))),NOT(EXACT(F825,TRIM(Procurement_Raw!F825)))),1,0)</f>
        <v>0</v>
      </c>
    </row>
    <row r="826" spans="1:22" ht="15" customHeight="1" x14ac:dyDescent="0.25">
      <c r="A826" s="123">
        <f>Procurement_Raw!A826</f>
        <v>45985</v>
      </c>
      <c r="B826" t="str">
        <f>TRIM(Procurement_Raw!B826)</f>
        <v>S004</v>
      </c>
      <c r="C826" t="str">
        <f>Procurement_Raw!C826</f>
        <v>Newcastle Care &amp; Education Centre</v>
      </c>
      <c r="D826" t="str">
        <f>Procurement_Raw!D826</f>
        <v>North</v>
      </c>
      <c r="E826" t="str">
        <f>IF(TRIM(Procurement_Raw!E826)="","",IFERROR(INDEX(Supplier_Lookup!$A$2:$A$25,MATCH(TRIM(Procurement_Raw!E826),Supplier_Lookup!$A$2:$A$25,0)),TRIM(Procurement_Raw!E826)))</f>
        <v>CleanWorks</v>
      </c>
      <c r="F826" t="str">
        <f>IFERROR(INDEX(Category_Targets!$A$2:$A$9,MATCH(TRIM(Procurement_Raw!F826),Category_Targets!$A$2:$A$9,0)),"Unmapped")</f>
        <v>Facilities</v>
      </c>
      <c r="G826" t="str">
        <f>TRIM(Procurement_Raw!G826)</f>
        <v>INV-2025-00825</v>
      </c>
      <c r="H826" s="77">
        <f>Procurement_Raw!H826</f>
        <v>44</v>
      </c>
      <c r="I826" s="124">
        <f>Procurement_Raw!I826</f>
        <v>140.88</v>
      </c>
      <c r="J826" s="125">
        <f>IF(Procurement_Raw!J826="","",Procurement_Raw!J826)</f>
        <v>6198.86</v>
      </c>
      <c r="K826" s="77">
        <f>Procurement_Raw!K826</f>
        <v>45</v>
      </c>
      <c r="L826" t="str">
        <f>Procurement_Raw!L826</f>
        <v>Legacy Spend File</v>
      </c>
      <c r="M826" t="str">
        <f>Procurement_Raw!O826</f>
        <v>Y</v>
      </c>
      <c r="N826" t="str">
        <f>IF(E826="","Missing supplier",IF(B826="","Missing site",IF(J826="","Missing spend",IF(COUNTIFS($G$2:G826,G826,$E$2:E826,E826,$J$2:J826,J826)&gt;1,"Duplicate invoice",IF(COUNTIF($G$2:$G$1801,G826)&gt;1,"Duplicate ID - review",IF(AND(P826&lt;&gt;"Unmapped",P826&lt;&gt;F826),"Category mismatch","OK"))))))</f>
        <v>OK</v>
      </c>
      <c r="O826" s="125">
        <f t="shared" si="36"/>
        <v>6198.86</v>
      </c>
      <c r="P826" t="str">
        <f>IF(E826="","Unmapped",IFERROR(INDEX(Supplier_Lookup!$B$2:$B$25,MATCH(E826,Supplier_Lookup!$A$2:$A$25,0)),"Unmapped"))</f>
        <v>Facilities</v>
      </c>
      <c r="Q826" s="76">
        <f>IFERROR(INDEX(Category_Targets!$B$2:$B$9,MATCH(F826,Category_Targets!$A$2:$A$9,0)),0)</f>
        <v>0.05</v>
      </c>
      <c r="R826" s="125">
        <f t="shared" si="37"/>
        <v>309.94299999999998</v>
      </c>
      <c r="S826" s="78">
        <f t="shared" si="38"/>
        <v>45962</v>
      </c>
      <c r="T826" t="str">
        <f>IFERROR(VLOOKUP(B826,Sites!$A$2:$D$21,4,FALSE()),"Unknown")</f>
        <v>Newcastle</v>
      </c>
      <c r="U826" t="str">
        <f>IF(N826="OK","",COUNTIF($N$2:N826,"&lt;&gt;OK"))</f>
        <v/>
      </c>
      <c r="V826">
        <f>IF(OR(NOT(EXACT(E826,TRIM(Procurement_Raw!E826))),NOT(EXACT(F826,TRIM(Procurement_Raw!F826)))),1,0)</f>
        <v>0</v>
      </c>
    </row>
    <row r="827" spans="1:22" ht="15" customHeight="1" x14ac:dyDescent="0.25">
      <c r="A827" s="123">
        <f>Procurement_Raw!A827</f>
        <v>45698</v>
      </c>
      <c r="B827" t="str">
        <f>TRIM(Procurement_Raw!B827)</f>
        <v>S003</v>
      </c>
      <c r="C827" t="str">
        <f>Procurement_Raw!C827</f>
        <v>Leeds Care &amp; Education Centre</v>
      </c>
      <c r="D827" t="str">
        <f>Procurement_Raw!D827</f>
        <v>North</v>
      </c>
      <c r="E827" t="str">
        <f>IF(TRIM(Procurement_Raw!E827)="","",IFERROR(INDEX(Supplier_Lookup!$A$2:$A$25,MATCH(TRIM(Procurement_Raw!E827),Supplier_Lookup!$A$2:$A$25,0)),TRIM(Procurement_Raw!E827)))</f>
        <v>HealthStaffing</v>
      </c>
      <c r="F827" t="str">
        <f>IFERROR(INDEX(Category_Targets!$A$2:$A$9,MATCH(TRIM(Procurement_Raw!F827),Category_Targets!$A$2:$A$9,0)),"Unmapped")</f>
        <v>Agency Labour</v>
      </c>
      <c r="G827" t="str">
        <f>TRIM(Procurement_Raw!G827)</f>
        <v>INV-2025-00826</v>
      </c>
      <c r="H827" s="77">
        <f>Procurement_Raw!H827</f>
        <v>21</v>
      </c>
      <c r="I827" s="124">
        <f>Procurement_Raw!I827</f>
        <v>667.24</v>
      </c>
      <c r="J827" s="125">
        <f>IF(Procurement_Raw!J827="","",Procurement_Raw!J827)</f>
        <v>14011.96</v>
      </c>
      <c r="K827" s="77">
        <f>Procurement_Raw!K827</f>
        <v>45</v>
      </c>
      <c r="L827" t="str">
        <f>Procurement_Raw!L827</f>
        <v>ERP</v>
      </c>
      <c r="M827" t="str">
        <f>Procurement_Raw!O827</f>
        <v>N</v>
      </c>
      <c r="N827" t="str">
        <f>IF(E827="","Missing supplier",IF(B827="","Missing site",IF(J827="","Missing spend",IF(COUNTIFS($G$2:G827,G827,$E$2:E827,E827,$J$2:J827,J827)&gt;1,"Duplicate invoice",IF(COUNTIF($G$2:$G$1801,G827)&gt;1,"Duplicate ID - review",IF(AND(P827&lt;&gt;"Unmapped",P827&lt;&gt;F827),"Category mismatch","OK"))))))</f>
        <v>OK</v>
      </c>
      <c r="O827" s="125">
        <f t="shared" si="36"/>
        <v>14011.96</v>
      </c>
      <c r="P827" t="str">
        <f>IF(E827="","Unmapped",IFERROR(INDEX(Supplier_Lookup!$B$2:$B$25,MATCH(E827,Supplier_Lookup!$A$2:$A$25,0)),"Unmapped"))</f>
        <v>Agency Labour</v>
      </c>
      <c r="Q827" s="76">
        <f>IFERROR(INDEX(Category_Targets!$B$2:$B$9,MATCH(F827,Category_Targets!$A$2:$A$9,0)),0)</f>
        <v>7.0000000000000007E-2</v>
      </c>
      <c r="R827" s="125">
        <f t="shared" si="37"/>
        <v>980.83720000000005</v>
      </c>
      <c r="S827" s="78">
        <f t="shared" si="38"/>
        <v>45689</v>
      </c>
      <c r="T827" t="str">
        <f>IFERROR(VLOOKUP(B827,Sites!$A$2:$D$21,4,FALSE()),"Unknown")</f>
        <v>Leeds</v>
      </c>
      <c r="U827" t="str">
        <f>IF(N827="OK","",COUNTIF($N$2:N827,"&lt;&gt;OK"))</f>
        <v/>
      </c>
      <c r="V827">
        <f>IF(OR(NOT(EXACT(E827,TRIM(Procurement_Raw!E827))),NOT(EXACT(F827,TRIM(Procurement_Raw!F827)))),1,0)</f>
        <v>0</v>
      </c>
    </row>
    <row r="828" spans="1:22" ht="15" customHeight="1" x14ac:dyDescent="0.25">
      <c r="A828" s="123">
        <f>Procurement_Raw!A828</f>
        <v>45807</v>
      </c>
      <c r="B828" t="str">
        <f>TRIM(Procurement_Raw!B828)</f>
        <v>S020</v>
      </c>
      <c r="C828" t="str">
        <f>Procurement_Raw!C828</f>
        <v>Bangor Care &amp; Education Centre</v>
      </c>
      <c r="D828" t="str">
        <f>Procurement_Raw!D828</f>
        <v>Wales</v>
      </c>
      <c r="E828" t="str">
        <f>IF(TRIM(Procurement_Raw!E828)="","",IFERROR(INDEX(Supplier_Lookup!$A$2:$A$25,MATCH(TRIM(Procurement_Raw!E828),Supplier_Lookup!$A$2:$A$25,0)),TRIM(Procurement_Raw!E828)))</f>
        <v>AutoCare</v>
      </c>
      <c r="F828" t="str">
        <f>IFERROR(INDEX(Category_Targets!$A$2:$A$9,MATCH(TRIM(Procurement_Raw!F828),Category_Targets!$A$2:$A$9,0)),"Unmapped")</f>
        <v>Vehicle &amp; Fuel</v>
      </c>
      <c r="G828" t="str">
        <f>TRIM(Procurement_Raw!G828)</f>
        <v>INV-2025-00827</v>
      </c>
      <c r="H828" s="77">
        <f>Procurement_Raw!H828</f>
        <v>35</v>
      </c>
      <c r="I828" s="124">
        <f>Procurement_Raw!I828</f>
        <v>226.48</v>
      </c>
      <c r="J828" s="125">
        <f>IF(Procurement_Raw!J828="","",Procurement_Raw!J828)</f>
        <v>7926.68</v>
      </c>
      <c r="K828" s="77">
        <f>Procurement_Raw!K828</f>
        <v>60</v>
      </c>
      <c r="L828" t="str">
        <f>Procurement_Raw!L828</f>
        <v>Legacy Spend File</v>
      </c>
      <c r="M828" t="str">
        <f>Procurement_Raw!O828</f>
        <v>N</v>
      </c>
      <c r="N828" t="str">
        <f>IF(E828="","Missing supplier",IF(B828="","Missing site",IF(J828="","Missing spend",IF(COUNTIFS($G$2:G828,G828,$E$2:E828,E828,$J$2:J828,J828)&gt;1,"Duplicate invoice",IF(COUNTIF($G$2:$G$1801,G828)&gt;1,"Duplicate ID - review",IF(AND(P828&lt;&gt;"Unmapped",P828&lt;&gt;F828),"Category mismatch","OK"))))))</f>
        <v>OK</v>
      </c>
      <c r="O828" s="125">
        <f t="shared" si="36"/>
        <v>7926.68</v>
      </c>
      <c r="P828" t="str">
        <f>IF(E828="","Unmapped",IFERROR(INDEX(Supplier_Lookup!$B$2:$B$25,MATCH(E828,Supplier_Lookup!$A$2:$A$25,0)),"Unmapped"))</f>
        <v>Vehicle &amp; Fuel</v>
      </c>
      <c r="Q828" s="76">
        <f>IFERROR(INDEX(Category_Targets!$B$2:$B$9,MATCH(F828,Category_Targets!$A$2:$A$9,0)),0)</f>
        <v>0.05</v>
      </c>
      <c r="R828" s="125">
        <f t="shared" si="37"/>
        <v>396.33400000000006</v>
      </c>
      <c r="S828" s="78">
        <f t="shared" si="38"/>
        <v>45778</v>
      </c>
      <c r="T828" t="str">
        <f>IFERROR(VLOOKUP(B828,Sites!$A$2:$D$21,4,FALSE()),"Unknown")</f>
        <v>Bangor</v>
      </c>
      <c r="U828" t="str">
        <f>IF(N828="OK","",COUNTIF($N$2:N828,"&lt;&gt;OK"))</f>
        <v/>
      </c>
      <c r="V828">
        <f>IF(OR(NOT(EXACT(E828,TRIM(Procurement_Raw!E828))),NOT(EXACT(F828,TRIM(Procurement_Raw!F828)))),1,0)</f>
        <v>0</v>
      </c>
    </row>
    <row r="829" spans="1:22" ht="15" customHeight="1" x14ac:dyDescent="0.25">
      <c r="A829" s="123">
        <f>Procurement_Raw!A829</f>
        <v>45843</v>
      </c>
      <c r="B829" t="str">
        <f>TRIM(Procurement_Raw!B829)</f>
        <v>S018</v>
      </c>
      <c r="C829" t="str">
        <f>Procurement_Raw!C829</f>
        <v>Newport Care &amp; Education Centre</v>
      </c>
      <c r="D829" t="str">
        <f>Procurement_Raw!D829</f>
        <v>Wales</v>
      </c>
      <c r="E829" t="str">
        <f>IF(TRIM(Procurement_Raw!E829)="","",IFERROR(INDEX(Supplier_Lookup!$A$2:$A$25,MATCH(TRIM(Procurement_Raw!E829),Supplier_Lookup!$A$2:$A$25,0)),TRIM(Procurement_Raw!E829)))</f>
        <v>TeleCare IT</v>
      </c>
      <c r="F829" t="str">
        <f>IFERROR(INDEX(Category_Targets!$A$2:$A$9,MATCH(TRIM(Procurement_Raw!F829),Category_Targets!$A$2:$A$9,0)),"Unmapped")</f>
        <v>IT &amp; Telecoms</v>
      </c>
      <c r="G829" t="str">
        <f>TRIM(Procurement_Raw!G829)</f>
        <v>INV-2025-00828</v>
      </c>
      <c r="H829" s="77">
        <f>Procurement_Raw!H829</f>
        <v>76</v>
      </c>
      <c r="I829" s="124">
        <f>Procurement_Raw!I829</f>
        <v>165.02</v>
      </c>
      <c r="J829" s="125">
        <f>IF(Procurement_Raw!J829="","",Procurement_Raw!J829)</f>
        <v>12541.37</v>
      </c>
      <c r="K829" s="77">
        <f>Procurement_Raw!K829</f>
        <v>60</v>
      </c>
      <c r="L829" t="str">
        <f>Procurement_Raw!L829</f>
        <v>Procurement Portal</v>
      </c>
      <c r="M829" t="str">
        <f>Procurement_Raw!O829</f>
        <v>N</v>
      </c>
      <c r="N829" t="str">
        <f>IF(E829="","Missing supplier",IF(B829="","Missing site",IF(J829="","Missing spend",IF(COUNTIFS($G$2:G829,G829,$E$2:E829,E829,$J$2:J829,J829)&gt;1,"Duplicate invoice",IF(COUNTIF($G$2:$G$1801,G829)&gt;1,"Duplicate ID - review",IF(AND(P829&lt;&gt;"Unmapped",P829&lt;&gt;F829),"Category mismatch","OK"))))))</f>
        <v>OK</v>
      </c>
      <c r="O829" s="125">
        <f t="shared" si="36"/>
        <v>12541.37</v>
      </c>
      <c r="P829" t="str">
        <f>IF(E829="","Unmapped",IFERROR(INDEX(Supplier_Lookup!$B$2:$B$25,MATCH(E829,Supplier_Lookup!$A$2:$A$25,0)),"Unmapped"))</f>
        <v>IT &amp; Telecoms</v>
      </c>
      <c r="Q829" s="76">
        <f>IFERROR(INDEX(Category_Targets!$B$2:$B$9,MATCH(F829,Category_Targets!$A$2:$A$9,0)),0)</f>
        <v>0.08</v>
      </c>
      <c r="R829" s="125">
        <f t="shared" si="37"/>
        <v>1003.3096</v>
      </c>
      <c r="S829" s="78">
        <f t="shared" si="38"/>
        <v>45839</v>
      </c>
      <c r="T829" t="str">
        <f>IFERROR(VLOOKUP(B829,Sites!$A$2:$D$21,4,FALSE()),"Unknown")</f>
        <v>Newport</v>
      </c>
      <c r="U829" t="str">
        <f>IF(N829="OK","",COUNTIF($N$2:N829,"&lt;&gt;OK"))</f>
        <v/>
      </c>
      <c r="V829">
        <f>IF(OR(NOT(EXACT(E829,TRIM(Procurement_Raw!E829))),NOT(EXACT(F829,TRIM(Procurement_Raw!F829)))),1,0)</f>
        <v>0</v>
      </c>
    </row>
    <row r="830" spans="1:22" ht="15" customHeight="1" x14ac:dyDescent="0.25">
      <c r="A830" s="123">
        <f>Procurement_Raw!A830</f>
        <v>45669</v>
      </c>
      <c r="B830" t="str">
        <f>TRIM(Procurement_Raw!B830)</f>
        <v>S014</v>
      </c>
      <c r="C830" t="str">
        <f>Procurement_Raw!C830</f>
        <v>Southampton Care &amp; Education Centre</v>
      </c>
      <c r="D830" t="str">
        <f>Procurement_Raw!D830</f>
        <v>South</v>
      </c>
      <c r="E830" t="str">
        <f>IF(TRIM(Procurement_Raw!E830)="","",IFERROR(INDEX(Supplier_Lookup!$A$2:$A$25,MATCH(TRIM(Procurement_Raw!E830),Supplier_Lookup!$A$2:$A$25,0)),TRIM(Procurement_Raw!E830)))</f>
        <v>CleanWorks</v>
      </c>
      <c r="F830" t="str">
        <f>IFERROR(INDEX(Category_Targets!$A$2:$A$9,MATCH(TRIM(Procurement_Raw!F830),Category_Targets!$A$2:$A$9,0)),"Unmapped")</f>
        <v>Facilities</v>
      </c>
      <c r="G830" t="str">
        <f>TRIM(Procurement_Raw!G830)</f>
        <v>INV-2025-00829</v>
      </c>
      <c r="H830" s="77">
        <f>Procurement_Raw!H830</f>
        <v>17</v>
      </c>
      <c r="I830" s="124">
        <f>Procurement_Raw!I830</f>
        <v>142.86000000000001</v>
      </c>
      <c r="J830" s="125">
        <f>IF(Procurement_Raw!J830="","",Procurement_Raw!J830)</f>
        <v>2428.59</v>
      </c>
      <c r="K830" s="77">
        <f>Procurement_Raw!K830</f>
        <v>60</v>
      </c>
      <c r="L830" t="str">
        <f>Procurement_Raw!L830</f>
        <v>ERP</v>
      </c>
      <c r="M830" t="str">
        <f>Procurement_Raw!O830</f>
        <v>Y</v>
      </c>
      <c r="N830" t="str">
        <f>IF(E830="","Missing supplier",IF(B830="","Missing site",IF(J830="","Missing spend",IF(COUNTIFS($G$2:G830,G830,$E$2:E830,E830,$J$2:J830,J830)&gt;1,"Duplicate invoice",IF(COUNTIF($G$2:$G$1801,G830)&gt;1,"Duplicate ID - review",IF(AND(P830&lt;&gt;"Unmapped",P830&lt;&gt;F830),"Category mismatch","OK"))))))</f>
        <v>OK</v>
      </c>
      <c r="O830" s="125">
        <f t="shared" si="36"/>
        <v>2428.59</v>
      </c>
      <c r="P830" t="str">
        <f>IF(E830="","Unmapped",IFERROR(INDEX(Supplier_Lookup!$B$2:$B$25,MATCH(E830,Supplier_Lookup!$A$2:$A$25,0)),"Unmapped"))</f>
        <v>Facilities</v>
      </c>
      <c r="Q830" s="76">
        <f>IFERROR(INDEX(Category_Targets!$B$2:$B$9,MATCH(F830,Category_Targets!$A$2:$A$9,0)),0)</f>
        <v>0.05</v>
      </c>
      <c r="R830" s="125">
        <f t="shared" si="37"/>
        <v>121.42950000000002</v>
      </c>
      <c r="S830" s="78">
        <f t="shared" si="38"/>
        <v>45658</v>
      </c>
      <c r="T830" t="str">
        <f>IFERROR(VLOOKUP(B830,Sites!$A$2:$D$21,4,FALSE()),"Unknown")</f>
        <v>Southampton</v>
      </c>
      <c r="U830" t="str">
        <f>IF(N830="OK","",COUNTIF($N$2:N830,"&lt;&gt;OK"))</f>
        <v/>
      </c>
      <c r="V830">
        <f>IF(OR(NOT(EXACT(E830,TRIM(Procurement_Raw!E830))),NOT(EXACT(F830,TRIM(Procurement_Raw!F830)))),1,0)</f>
        <v>0</v>
      </c>
    </row>
    <row r="831" spans="1:22" ht="15" customHeight="1" x14ac:dyDescent="0.25">
      <c r="A831" s="123">
        <f>Procurement_Raw!A831</f>
        <v>46016</v>
      </c>
      <c r="B831" t="str">
        <f>TRIM(Procurement_Raw!B831)</f>
        <v>S007</v>
      </c>
      <c r="C831" t="str">
        <f>Procurement_Raw!C831</f>
        <v>Nottingham Care &amp; Education Centre</v>
      </c>
      <c r="D831" t="str">
        <f>Procurement_Raw!D831</f>
        <v>Midlands</v>
      </c>
      <c r="E831" t="str">
        <f>IF(TRIM(Procurement_Raw!E831)="","",IFERROR(INDEX(Supplier_Lookup!$A$2:$A$25,MATCH(TRIM(Procurement_Raw!E831),Supplier_Lookup!$A$2:$A$25,0)),TRIM(Procurement_Raw!E831)))</f>
        <v>NetServe</v>
      </c>
      <c r="F831" t="str">
        <f>IFERROR(INDEX(Category_Targets!$A$2:$A$9,MATCH(TRIM(Procurement_Raw!F831),Category_Targets!$A$2:$A$9,0)),"Unmapped")</f>
        <v>IT &amp; Telecoms</v>
      </c>
      <c r="G831" t="str">
        <f>TRIM(Procurement_Raw!G831)</f>
        <v>INV-2025-00830</v>
      </c>
      <c r="H831" s="77">
        <f>Procurement_Raw!H831</f>
        <v>11</v>
      </c>
      <c r="I831" s="124">
        <f>Procurement_Raw!I831</f>
        <v>188.41</v>
      </c>
      <c r="J831" s="125">
        <f>IF(Procurement_Raw!J831="","",Procurement_Raw!J831)</f>
        <v>2072.56</v>
      </c>
      <c r="K831" s="77">
        <f>Procurement_Raw!K831</f>
        <v>30</v>
      </c>
      <c r="L831" t="str">
        <f>Procurement_Raw!L831</f>
        <v>ERP</v>
      </c>
      <c r="M831" t="str">
        <f>Procurement_Raw!O831</f>
        <v>N</v>
      </c>
      <c r="N831" t="str">
        <f>IF(E831="","Missing supplier",IF(B831="","Missing site",IF(J831="","Missing spend",IF(COUNTIFS($G$2:G831,G831,$E$2:E831,E831,$J$2:J831,J831)&gt;1,"Duplicate invoice",IF(COUNTIF($G$2:$G$1801,G831)&gt;1,"Duplicate ID - review",IF(AND(P831&lt;&gt;"Unmapped",P831&lt;&gt;F831),"Category mismatch","OK"))))))</f>
        <v>OK</v>
      </c>
      <c r="O831" s="125">
        <f t="shared" si="36"/>
        <v>2072.56</v>
      </c>
      <c r="P831" t="str">
        <f>IF(E831="","Unmapped",IFERROR(INDEX(Supplier_Lookup!$B$2:$B$25,MATCH(E831,Supplier_Lookup!$A$2:$A$25,0)),"Unmapped"))</f>
        <v>IT &amp; Telecoms</v>
      </c>
      <c r="Q831" s="76">
        <f>IFERROR(INDEX(Category_Targets!$B$2:$B$9,MATCH(F831,Category_Targets!$A$2:$A$9,0)),0)</f>
        <v>0.08</v>
      </c>
      <c r="R831" s="125">
        <f t="shared" si="37"/>
        <v>165.8048</v>
      </c>
      <c r="S831" s="78">
        <f t="shared" si="38"/>
        <v>45992</v>
      </c>
      <c r="T831" t="str">
        <f>IFERROR(VLOOKUP(B831,Sites!$A$2:$D$21,4,FALSE()),"Unknown")</f>
        <v>Nottingham</v>
      </c>
      <c r="U831" t="str">
        <f>IF(N831="OK","",COUNTIF($N$2:N831,"&lt;&gt;OK"))</f>
        <v/>
      </c>
      <c r="V831">
        <f>IF(OR(NOT(EXACT(E831,TRIM(Procurement_Raw!E831))),NOT(EXACT(F831,TRIM(Procurement_Raw!F831)))),1,0)</f>
        <v>0</v>
      </c>
    </row>
    <row r="832" spans="1:22" ht="15" customHeight="1" x14ac:dyDescent="0.25">
      <c r="A832" s="123">
        <f>Procurement_Raw!A832</f>
        <v>45690</v>
      </c>
      <c r="B832" t="str">
        <f>TRIM(Procurement_Raw!B832)</f>
        <v>S002</v>
      </c>
      <c r="C832" t="str">
        <f>Procurement_Raw!C832</f>
        <v>Manchester Care &amp; Education Centre</v>
      </c>
      <c r="D832" t="str">
        <f>Procurement_Raw!D832</f>
        <v>North</v>
      </c>
      <c r="E832" t="str">
        <f>IF(TRIM(Procurement_Raw!E832)="","",IFERROR(INDEX(Supplier_Lookup!$A$2:$A$25,MATCH(TRIM(Procurement_Raw!E832),Supplier_Lookup!$A$2:$A$25,0)),TRIM(Procurement_Raw!E832)))</f>
        <v>FreshServe</v>
      </c>
      <c r="F832" t="str">
        <f>IFERROR(INDEX(Category_Targets!$A$2:$A$9,MATCH(TRIM(Procurement_Raw!F832),Category_Targets!$A$2:$A$9,0)),"Unmapped")</f>
        <v>Food &amp; Catering</v>
      </c>
      <c r="G832" t="str">
        <f>TRIM(Procurement_Raw!G832)</f>
        <v>INV-2025-00831</v>
      </c>
      <c r="H832" s="77">
        <f>Procurement_Raw!H832</f>
        <v>61</v>
      </c>
      <c r="I832" s="124">
        <f>Procurement_Raw!I832</f>
        <v>31.03</v>
      </c>
      <c r="J832" s="125">
        <f>IF(Procurement_Raw!J832="","",Procurement_Raw!J832)</f>
        <v>1892.8</v>
      </c>
      <c r="K832" s="77">
        <f>Procurement_Raw!K832</f>
        <v>60</v>
      </c>
      <c r="L832" t="str">
        <f>Procurement_Raw!L832</f>
        <v>ERP</v>
      </c>
      <c r="M832" t="str">
        <f>Procurement_Raw!O832</f>
        <v>Y</v>
      </c>
      <c r="N832" t="str">
        <f>IF(E832="","Missing supplier",IF(B832="","Missing site",IF(J832="","Missing spend",IF(COUNTIFS($G$2:G832,G832,$E$2:E832,E832,$J$2:J832,J832)&gt;1,"Duplicate invoice",IF(COUNTIF($G$2:$G$1801,G832)&gt;1,"Duplicate ID - review",IF(AND(P832&lt;&gt;"Unmapped",P832&lt;&gt;F832),"Category mismatch","OK"))))))</f>
        <v>OK</v>
      </c>
      <c r="O832" s="125">
        <f t="shared" si="36"/>
        <v>1892.8</v>
      </c>
      <c r="P832" t="str">
        <f>IF(E832="","Unmapped",IFERROR(INDEX(Supplier_Lookup!$B$2:$B$25,MATCH(E832,Supplier_Lookup!$A$2:$A$25,0)),"Unmapped"))</f>
        <v>Food &amp; Catering</v>
      </c>
      <c r="Q832" s="76">
        <f>IFERROR(INDEX(Category_Targets!$B$2:$B$9,MATCH(F832,Category_Targets!$A$2:$A$9,0)),0)</f>
        <v>0.04</v>
      </c>
      <c r="R832" s="125">
        <f t="shared" si="37"/>
        <v>75.712000000000003</v>
      </c>
      <c r="S832" s="78">
        <f t="shared" si="38"/>
        <v>45689</v>
      </c>
      <c r="T832" t="str">
        <f>IFERROR(VLOOKUP(B832,Sites!$A$2:$D$21,4,FALSE()),"Unknown")</f>
        <v>Manchester</v>
      </c>
      <c r="U832" t="str">
        <f>IF(N832="OK","",COUNTIF($N$2:N832,"&lt;&gt;OK"))</f>
        <v/>
      </c>
      <c r="V832">
        <f>IF(OR(NOT(EXACT(E832,TRIM(Procurement_Raw!E832))),NOT(EXACT(F832,TRIM(Procurement_Raw!F832)))),1,0)</f>
        <v>0</v>
      </c>
    </row>
    <row r="833" spans="1:22" ht="15" customHeight="1" x14ac:dyDescent="0.25">
      <c r="A833" s="123">
        <f>Procurement_Raw!A833</f>
        <v>45700</v>
      </c>
      <c r="B833" t="str">
        <f>TRIM(Procurement_Raw!B833)</f>
        <v>S006</v>
      </c>
      <c r="C833" t="str">
        <f>Procurement_Raw!C833</f>
        <v>Birmingham Care &amp; Education Centre</v>
      </c>
      <c r="D833" t="str">
        <f>Procurement_Raw!D833</f>
        <v>Midlands</v>
      </c>
      <c r="E833" t="str">
        <f>IF(TRIM(Procurement_Raw!E833)="","",IFERROR(INDEX(Supplier_Lookup!$A$2:$A$25,MATCH(TRIM(Procurement_Raw!E833),Supplier_Lookup!$A$2:$A$25,0)),TRIM(Procurement_Raw!E833)))</f>
        <v>NurseLink</v>
      </c>
      <c r="F833" t="str">
        <f>IFERROR(INDEX(Category_Targets!$A$2:$A$9,MATCH(TRIM(Procurement_Raw!F833),Category_Targets!$A$2:$A$9,0)),"Unmapped")</f>
        <v>Agency Labour</v>
      </c>
      <c r="G833" t="str">
        <f>TRIM(Procurement_Raw!G833)</f>
        <v>INV-2025-00832</v>
      </c>
      <c r="H833" s="77">
        <f>Procurement_Raw!H833</f>
        <v>14</v>
      </c>
      <c r="I833" s="124">
        <f>Procurement_Raw!I833</f>
        <v>181</v>
      </c>
      <c r="J833" s="125">
        <f>IF(Procurement_Raw!J833="","",Procurement_Raw!J833)</f>
        <v>2534.0700000000002</v>
      </c>
      <c r="K833" s="77">
        <f>Procurement_Raw!K833</f>
        <v>45</v>
      </c>
      <c r="L833" t="str">
        <f>Procurement_Raw!L833</f>
        <v>Legacy Spend File</v>
      </c>
      <c r="M833" t="str">
        <f>Procurement_Raw!O833</f>
        <v>N</v>
      </c>
      <c r="N833" t="str">
        <f>IF(E833="","Missing supplier",IF(B833="","Missing site",IF(J833="","Missing spend",IF(COUNTIFS($G$2:G833,G833,$E$2:E833,E833,$J$2:J833,J833)&gt;1,"Duplicate invoice",IF(COUNTIF($G$2:$G$1801,G833)&gt;1,"Duplicate ID - review",IF(AND(P833&lt;&gt;"Unmapped",P833&lt;&gt;F833),"Category mismatch","OK"))))))</f>
        <v>OK</v>
      </c>
      <c r="O833" s="125">
        <f t="shared" si="36"/>
        <v>2534.0700000000002</v>
      </c>
      <c r="P833" t="str">
        <f>IF(E833="","Unmapped",IFERROR(INDEX(Supplier_Lookup!$B$2:$B$25,MATCH(E833,Supplier_Lookup!$A$2:$A$25,0)),"Unmapped"))</f>
        <v>Agency Labour</v>
      </c>
      <c r="Q833" s="76">
        <f>IFERROR(INDEX(Category_Targets!$B$2:$B$9,MATCH(F833,Category_Targets!$A$2:$A$9,0)),0)</f>
        <v>7.0000000000000007E-2</v>
      </c>
      <c r="R833" s="125">
        <f t="shared" si="37"/>
        <v>177.38490000000002</v>
      </c>
      <c r="S833" s="78">
        <f t="shared" si="38"/>
        <v>45689</v>
      </c>
      <c r="T833" t="str">
        <f>IFERROR(VLOOKUP(B833,Sites!$A$2:$D$21,4,FALSE()),"Unknown")</f>
        <v>Birmingham</v>
      </c>
      <c r="U833" t="str">
        <f>IF(N833="OK","",COUNTIF($N$2:N833,"&lt;&gt;OK"))</f>
        <v/>
      </c>
      <c r="V833">
        <f>IF(OR(NOT(EXACT(E833,TRIM(Procurement_Raw!E833))),NOT(EXACT(F833,TRIM(Procurement_Raw!F833)))),1,0)</f>
        <v>0</v>
      </c>
    </row>
    <row r="834" spans="1:22" ht="15" customHeight="1" x14ac:dyDescent="0.25">
      <c r="A834" s="123">
        <f>Procurement_Raw!A834</f>
        <v>45857</v>
      </c>
      <c r="B834" t="str">
        <f>TRIM(Procurement_Raw!B834)</f>
        <v>S010</v>
      </c>
      <c r="C834" t="str">
        <f>Procurement_Raw!C834</f>
        <v>Coventry Care &amp; Education Centre</v>
      </c>
      <c r="D834" t="str">
        <f>Procurement_Raw!D834</f>
        <v>Midlands</v>
      </c>
      <c r="E834" t="str">
        <f>IF(TRIM(Procurement_Raw!E834)="","",IFERROR(INDEX(Supplier_Lookup!$A$2:$A$25,MATCH(TRIM(Procurement_Raw!E834),Supplier_Lookup!$A$2:$A$25,0)),TRIM(Procurement_Raw!E834)))</f>
        <v>KitchenPro</v>
      </c>
      <c r="F834" t="str">
        <f>IFERROR(INDEX(Category_Targets!$A$2:$A$9,MATCH(TRIM(Procurement_Raw!F834),Category_Targets!$A$2:$A$9,0)),"Unmapped")</f>
        <v>Food &amp; Catering</v>
      </c>
      <c r="G834" t="str">
        <f>TRIM(Procurement_Raw!G834)</f>
        <v>INV-2025-00833</v>
      </c>
      <c r="H834" s="77">
        <f>Procurement_Raw!H834</f>
        <v>40</v>
      </c>
      <c r="I834" s="124">
        <f>Procurement_Raw!I834</f>
        <v>37.42</v>
      </c>
      <c r="J834" s="125">
        <f>IF(Procurement_Raw!J834="","",Procurement_Raw!J834)</f>
        <v>1496.66</v>
      </c>
      <c r="K834" s="77">
        <f>Procurement_Raw!K834</f>
        <v>30</v>
      </c>
      <c r="L834" t="str">
        <f>Procurement_Raw!L834</f>
        <v>ERP</v>
      </c>
      <c r="M834" t="str">
        <f>Procurement_Raw!O834</f>
        <v>N</v>
      </c>
      <c r="N834" t="str">
        <f>IF(E834="","Missing supplier",IF(B834="","Missing site",IF(J834="","Missing spend",IF(COUNTIFS($G$2:G834,G834,$E$2:E834,E834,$J$2:J834,J834)&gt;1,"Duplicate invoice",IF(COUNTIF($G$2:$G$1801,G834)&gt;1,"Duplicate ID - review",IF(AND(P834&lt;&gt;"Unmapped",P834&lt;&gt;F834),"Category mismatch","OK"))))))</f>
        <v>OK</v>
      </c>
      <c r="O834" s="125">
        <f t="shared" ref="O834:O897" si="39">IF(OR(N834="Missing spend",N834="Duplicate invoice"),0,J834)</f>
        <v>1496.66</v>
      </c>
      <c r="P834" t="str">
        <f>IF(E834="","Unmapped",IFERROR(INDEX(Supplier_Lookup!$B$2:$B$25,MATCH(E834,Supplier_Lookup!$A$2:$A$25,0)),"Unmapped"))</f>
        <v>Food &amp; Catering</v>
      </c>
      <c r="Q834" s="76">
        <f>IFERROR(INDEX(Category_Targets!$B$2:$B$9,MATCH(F834,Category_Targets!$A$2:$A$9,0)),0)</f>
        <v>0.04</v>
      </c>
      <c r="R834" s="125">
        <f t="shared" ref="R834:R897" si="40">O834*Q834</f>
        <v>59.866400000000006</v>
      </c>
      <c r="S834" s="78">
        <f t="shared" ref="S834:S897" si="41">DATE(YEAR(A834),MONTH(A834),1)</f>
        <v>45839</v>
      </c>
      <c r="T834" t="str">
        <f>IFERROR(VLOOKUP(B834,Sites!$A$2:$D$21,4,FALSE()),"Unknown")</f>
        <v>Coventry</v>
      </c>
      <c r="U834" t="str">
        <f>IF(N834="OK","",COUNTIF($N$2:N834,"&lt;&gt;OK"))</f>
        <v/>
      </c>
      <c r="V834">
        <f>IF(OR(NOT(EXACT(E834,TRIM(Procurement_Raw!E834))),NOT(EXACT(F834,TRIM(Procurement_Raw!F834)))),1,0)</f>
        <v>0</v>
      </c>
    </row>
    <row r="835" spans="1:22" ht="15" customHeight="1" x14ac:dyDescent="0.25">
      <c r="A835" s="123">
        <f>Procurement_Raw!A835</f>
        <v>45978</v>
      </c>
      <c r="B835" t="str">
        <f>TRIM(Procurement_Raw!B835)</f>
        <v>S010</v>
      </c>
      <c r="C835" t="str">
        <f>Procurement_Raw!C835</f>
        <v>Coventry Care &amp; Education Centre</v>
      </c>
      <c r="D835" t="str">
        <f>Procurement_Raw!D835</f>
        <v>Midlands</v>
      </c>
      <c r="E835" t="str">
        <f>IF(TRIM(Procurement_Raw!E835)="","",IFERROR(INDEX(Supplier_Lookup!$A$2:$A$25,MATCH(TRIM(Procurement_Raw!E835),Supplier_Lookup!$A$2:$A$25,0)),TRIM(Procurement_Raw!E835)))</f>
        <v>TeleCare IT</v>
      </c>
      <c r="F835" t="str">
        <f>IFERROR(INDEX(Category_Targets!$A$2:$A$9,MATCH(TRIM(Procurement_Raw!F835),Category_Targets!$A$2:$A$9,0)),"Unmapped")</f>
        <v>IT &amp; Telecoms</v>
      </c>
      <c r="G835" t="str">
        <f>TRIM(Procurement_Raw!G835)</f>
        <v>INV-2025-00834</v>
      </c>
      <c r="H835" s="77">
        <f>Procurement_Raw!H835</f>
        <v>17</v>
      </c>
      <c r="I835" s="124">
        <f>Procurement_Raw!I835</f>
        <v>144.22</v>
      </c>
      <c r="J835" s="125">
        <f>IF(Procurement_Raw!J835="","",Procurement_Raw!J835)</f>
        <v>2451.7399999999998</v>
      </c>
      <c r="K835" s="77">
        <f>Procurement_Raw!K835</f>
        <v>30</v>
      </c>
      <c r="L835" t="str">
        <f>Procurement_Raw!L835</f>
        <v>Legacy Spend File</v>
      </c>
      <c r="M835" t="str">
        <f>Procurement_Raw!O835</f>
        <v>N</v>
      </c>
      <c r="N835" t="str">
        <f>IF(E835="","Missing supplier",IF(B835="","Missing site",IF(J835="","Missing spend",IF(COUNTIFS($G$2:G835,G835,$E$2:E835,E835,$J$2:J835,J835)&gt;1,"Duplicate invoice",IF(COUNTIF($G$2:$G$1801,G835)&gt;1,"Duplicate ID - review",IF(AND(P835&lt;&gt;"Unmapped",P835&lt;&gt;F835),"Category mismatch","OK"))))))</f>
        <v>OK</v>
      </c>
      <c r="O835" s="125">
        <f t="shared" si="39"/>
        <v>2451.7399999999998</v>
      </c>
      <c r="P835" t="str">
        <f>IF(E835="","Unmapped",IFERROR(INDEX(Supplier_Lookup!$B$2:$B$25,MATCH(E835,Supplier_Lookup!$A$2:$A$25,0)),"Unmapped"))</f>
        <v>IT &amp; Telecoms</v>
      </c>
      <c r="Q835" s="76">
        <f>IFERROR(INDEX(Category_Targets!$B$2:$B$9,MATCH(F835,Category_Targets!$A$2:$A$9,0)),0)</f>
        <v>0.08</v>
      </c>
      <c r="R835" s="125">
        <f t="shared" si="40"/>
        <v>196.13919999999999</v>
      </c>
      <c r="S835" s="78">
        <f t="shared" si="41"/>
        <v>45962</v>
      </c>
      <c r="T835" t="str">
        <f>IFERROR(VLOOKUP(B835,Sites!$A$2:$D$21,4,FALSE()),"Unknown")</f>
        <v>Coventry</v>
      </c>
      <c r="U835" t="str">
        <f>IF(N835="OK","",COUNTIF($N$2:N835,"&lt;&gt;OK"))</f>
        <v/>
      </c>
      <c r="V835">
        <f>IF(OR(NOT(EXACT(E835,TRIM(Procurement_Raw!E835))),NOT(EXACT(F835,TRIM(Procurement_Raw!F835)))),1,0)</f>
        <v>0</v>
      </c>
    </row>
    <row r="836" spans="1:22" ht="15" customHeight="1" x14ac:dyDescent="0.25">
      <c r="A836" s="123">
        <f>Procurement_Raw!A836</f>
        <v>45997</v>
      </c>
      <c r="B836" t="str">
        <f>TRIM(Procurement_Raw!B836)</f>
        <v>S007</v>
      </c>
      <c r="C836" t="str">
        <f>Procurement_Raw!C836</f>
        <v>Nottingham Care &amp; Education Centre</v>
      </c>
      <c r="D836" t="str">
        <f>Procurement_Raw!D836</f>
        <v>Midlands</v>
      </c>
      <c r="E836" t="str">
        <f>IF(TRIM(Procurement_Raw!E836)="","",IFERROR(INDEX(Supplier_Lookup!$A$2:$A$25,MATCH(TRIM(Procurement_Raw!E836),Supplier_Lookup!$A$2:$A$25,0)),TRIM(Procurement_Raw!E836)))</f>
        <v>MediSure</v>
      </c>
      <c r="F836" t="str">
        <f>IFERROR(INDEX(Category_Targets!$A$2:$A$9,MATCH(TRIM(Procurement_Raw!F836),Category_Targets!$A$2:$A$9,0)),"Unmapped")</f>
        <v>Medical Supplies</v>
      </c>
      <c r="G836" t="str">
        <f>TRIM(Procurement_Raw!G836)</f>
        <v>INV-2025-00835</v>
      </c>
      <c r="H836" s="77">
        <f>Procurement_Raw!H836</f>
        <v>46</v>
      </c>
      <c r="I836" s="124">
        <f>Procurement_Raw!I836</f>
        <v>117.73</v>
      </c>
      <c r="J836" s="125">
        <f>IF(Procurement_Raw!J836="","",Procurement_Raw!J836)</f>
        <v>5415.69</v>
      </c>
      <c r="K836" s="77">
        <f>Procurement_Raw!K836</f>
        <v>45</v>
      </c>
      <c r="L836" t="str">
        <f>Procurement_Raw!L836</f>
        <v>Procurement Portal</v>
      </c>
      <c r="M836" t="str">
        <f>Procurement_Raw!O836</f>
        <v>Y</v>
      </c>
      <c r="N836" t="str">
        <f>IF(E836="","Missing supplier",IF(B836="","Missing site",IF(J836="","Missing spend",IF(COUNTIFS($G$2:G836,G836,$E$2:E836,E836,$J$2:J836,J836)&gt;1,"Duplicate invoice",IF(COUNTIF($G$2:$G$1801,G836)&gt;1,"Duplicate ID - review",IF(AND(P836&lt;&gt;"Unmapped",P836&lt;&gt;F836),"Category mismatch","OK"))))))</f>
        <v>OK</v>
      </c>
      <c r="O836" s="125">
        <f t="shared" si="39"/>
        <v>5415.69</v>
      </c>
      <c r="P836" t="str">
        <f>IF(E836="","Unmapped",IFERROR(INDEX(Supplier_Lookup!$B$2:$B$25,MATCH(E836,Supplier_Lookup!$A$2:$A$25,0)),"Unmapped"))</f>
        <v>Medical Supplies</v>
      </c>
      <c r="Q836" s="76">
        <f>IFERROR(INDEX(Category_Targets!$B$2:$B$9,MATCH(F836,Category_Targets!$A$2:$A$9,0)),0)</f>
        <v>0.06</v>
      </c>
      <c r="R836" s="125">
        <f t="shared" si="40"/>
        <v>324.94139999999999</v>
      </c>
      <c r="S836" s="78">
        <f t="shared" si="41"/>
        <v>45992</v>
      </c>
      <c r="T836" t="str">
        <f>IFERROR(VLOOKUP(B836,Sites!$A$2:$D$21,4,FALSE()),"Unknown")</f>
        <v>Nottingham</v>
      </c>
      <c r="U836" t="str">
        <f>IF(N836="OK","",COUNTIF($N$2:N836,"&lt;&gt;OK"))</f>
        <v/>
      </c>
      <c r="V836">
        <f>IF(OR(NOT(EXACT(E836,TRIM(Procurement_Raw!E836))),NOT(EXACT(F836,TRIM(Procurement_Raw!F836)))),1,0)</f>
        <v>0</v>
      </c>
    </row>
    <row r="837" spans="1:22" ht="15" customHeight="1" x14ac:dyDescent="0.25">
      <c r="A837" s="123">
        <f>Procurement_Raw!A837</f>
        <v>45885</v>
      </c>
      <c r="B837" t="str">
        <f>TRIM(Procurement_Raw!B837)</f>
        <v>S018</v>
      </c>
      <c r="C837" t="str">
        <f>Procurement_Raw!C837</f>
        <v>Newport Care &amp; Education Centre</v>
      </c>
      <c r="D837" t="str">
        <f>Procurement_Raw!D837</f>
        <v>Wales</v>
      </c>
      <c r="E837" t="str">
        <f>IF(TRIM(Procurement_Raw!E837)="","",IFERROR(INDEX(Supplier_Lookup!$A$2:$A$25,MATCH(TRIM(Procurement_Raw!E837),Supplier_Lookup!$A$2:$A$25,0)),TRIM(Procurement_Raw!E837)))</f>
        <v>NetServe</v>
      </c>
      <c r="F837" t="str">
        <f>IFERROR(INDEX(Category_Targets!$A$2:$A$9,MATCH(TRIM(Procurement_Raw!F837),Category_Targets!$A$2:$A$9,0)),"Unmapped")</f>
        <v>IT &amp; Telecoms</v>
      </c>
      <c r="G837" t="str">
        <f>TRIM(Procurement_Raw!G837)</f>
        <v>INV-2025-00836</v>
      </c>
      <c r="H837" s="77">
        <f>Procurement_Raw!H837</f>
        <v>18</v>
      </c>
      <c r="I837" s="124">
        <f>Procurement_Raw!I837</f>
        <v>250.25</v>
      </c>
      <c r="J837" s="125">
        <f>IF(Procurement_Raw!J837="","",Procurement_Raw!J837)</f>
        <v>4504.43</v>
      </c>
      <c r="K837" s="77">
        <f>Procurement_Raw!K837</f>
        <v>60</v>
      </c>
      <c r="L837" t="str">
        <f>Procurement_Raw!L837</f>
        <v>Legacy Spend File</v>
      </c>
      <c r="M837" t="str">
        <f>Procurement_Raw!O837</f>
        <v>N</v>
      </c>
      <c r="N837" t="str">
        <f>IF(E837="","Missing supplier",IF(B837="","Missing site",IF(J837="","Missing spend",IF(COUNTIFS($G$2:G837,G837,$E$2:E837,E837,$J$2:J837,J837)&gt;1,"Duplicate invoice",IF(COUNTIF($G$2:$G$1801,G837)&gt;1,"Duplicate ID - review",IF(AND(P837&lt;&gt;"Unmapped",P837&lt;&gt;F837),"Category mismatch","OK"))))))</f>
        <v>OK</v>
      </c>
      <c r="O837" s="125">
        <f t="shared" si="39"/>
        <v>4504.43</v>
      </c>
      <c r="P837" t="str">
        <f>IF(E837="","Unmapped",IFERROR(INDEX(Supplier_Lookup!$B$2:$B$25,MATCH(E837,Supplier_Lookup!$A$2:$A$25,0)),"Unmapped"))</f>
        <v>IT &amp; Telecoms</v>
      </c>
      <c r="Q837" s="76">
        <f>IFERROR(INDEX(Category_Targets!$B$2:$B$9,MATCH(F837,Category_Targets!$A$2:$A$9,0)),0)</f>
        <v>0.08</v>
      </c>
      <c r="R837" s="125">
        <f t="shared" si="40"/>
        <v>360.35440000000006</v>
      </c>
      <c r="S837" s="78">
        <f t="shared" si="41"/>
        <v>45870</v>
      </c>
      <c r="T837" t="str">
        <f>IFERROR(VLOOKUP(B837,Sites!$A$2:$D$21,4,FALSE()),"Unknown")</f>
        <v>Newport</v>
      </c>
      <c r="U837" t="str">
        <f>IF(N837="OK","",COUNTIF($N$2:N837,"&lt;&gt;OK"))</f>
        <v/>
      </c>
      <c r="V837">
        <f>IF(OR(NOT(EXACT(E837,TRIM(Procurement_Raw!E837))),NOT(EXACT(F837,TRIM(Procurement_Raw!F837)))),1,0)</f>
        <v>0</v>
      </c>
    </row>
    <row r="838" spans="1:22" ht="15" customHeight="1" x14ac:dyDescent="0.25">
      <c r="A838" s="123">
        <f>Procurement_Raw!A838</f>
        <v>45983</v>
      </c>
      <c r="B838" t="str">
        <f>TRIM(Procurement_Raw!B838)</f>
        <v>S013</v>
      </c>
      <c r="C838" t="str">
        <f>Procurement_Raw!C838</f>
        <v>Reading Care &amp; Education Centre</v>
      </c>
      <c r="D838" t="str">
        <f>Procurement_Raw!D838</f>
        <v>South</v>
      </c>
      <c r="E838" t="str">
        <f>IF(TRIM(Procurement_Raw!E838)="","",IFERROR(INDEX(Supplier_Lookup!$A$2:$A$25,MATCH(TRIM(Procurement_Raw!E838),Supplier_Lookup!$A$2:$A$25,0)),TRIM(Procurement_Raw!E838)))</f>
        <v>PrintCo</v>
      </c>
      <c r="F838" t="str">
        <f>IFERROR(INDEX(Category_Targets!$A$2:$A$9,MATCH(TRIM(Procurement_Raw!F838),Category_Targets!$A$2:$A$9,0)),"Unmapped")</f>
        <v>Office &amp; Training</v>
      </c>
      <c r="G838" t="str">
        <f>TRIM(Procurement_Raw!G838)</f>
        <v>INV-2025-00837</v>
      </c>
      <c r="H838" s="77">
        <f>Procurement_Raw!H838</f>
        <v>73</v>
      </c>
      <c r="I838" s="124">
        <f>Procurement_Raw!I838</f>
        <v>175.96</v>
      </c>
      <c r="J838" s="125">
        <f>IF(Procurement_Raw!J838="","",Procurement_Raw!J838)</f>
        <v>12845.17</v>
      </c>
      <c r="K838" s="77">
        <f>Procurement_Raw!K838</f>
        <v>45</v>
      </c>
      <c r="L838" t="str">
        <f>Procurement_Raw!L838</f>
        <v>Legacy Spend File</v>
      </c>
      <c r="M838" t="str">
        <f>Procurement_Raw!O838</f>
        <v>N</v>
      </c>
      <c r="N838" t="str">
        <f>IF(E838="","Missing supplier",IF(B838="","Missing site",IF(J838="","Missing spend",IF(COUNTIFS($G$2:G838,G838,$E$2:E838,E838,$J$2:J838,J838)&gt;1,"Duplicate invoice",IF(COUNTIF($G$2:$G$1801,G838)&gt;1,"Duplicate ID - review",IF(AND(P838&lt;&gt;"Unmapped",P838&lt;&gt;F838),"Category mismatch","OK"))))))</f>
        <v>OK</v>
      </c>
      <c r="O838" s="125">
        <f t="shared" si="39"/>
        <v>12845.17</v>
      </c>
      <c r="P838" t="str">
        <f>IF(E838="","Unmapped",IFERROR(INDEX(Supplier_Lookup!$B$2:$B$25,MATCH(E838,Supplier_Lookup!$A$2:$A$25,0)),"Unmapped"))</f>
        <v>Office &amp; Training</v>
      </c>
      <c r="Q838" s="76">
        <f>IFERROR(INDEX(Category_Targets!$B$2:$B$9,MATCH(F838,Category_Targets!$A$2:$A$9,0)),0)</f>
        <v>0.04</v>
      </c>
      <c r="R838" s="125">
        <f t="shared" si="40"/>
        <v>513.80680000000007</v>
      </c>
      <c r="S838" s="78">
        <f t="shared" si="41"/>
        <v>45962</v>
      </c>
      <c r="T838" t="str">
        <f>IFERROR(VLOOKUP(B838,Sites!$A$2:$D$21,4,FALSE()),"Unknown")</f>
        <v>Reading</v>
      </c>
      <c r="U838" t="str">
        <f>IF(N838="OK","",COUNTIF($N$2:N838,"&lt;&gt;OK"))</f>
        <v/>
      </c>
      <c r="V838">
        <f>IF(OR(NOT(EXACT(E838,TRIM(Procurement_Raw!E838))),NOT(EXACT(F838,TRIM(Procurement_Raw!F838)))),1,0)</f>
        <v>0</v>
      </c>
    </row>
    <row r="839" spans="1:22" ht="15" customHeight="1" x14ac:dyDescent="0.25">
      <c r="A839" s="123">
        <f>Procurement_Raw!A839</f>
        <v>45904</v>
      </c>
      <c r="B839" t="str">
        <f>TRIM(Procurement_Raw!B839)</f>
        <v>S018</v>
      </c>
      <c r="C839" t="str">
        <f>Procurement_Raw!C839</f>
        <v>Newport Care &amp; Education Centre</v>
      </c>
      <c r="D839" t="str">
        <f>Procurement_Raw!D839</f>
        <v>Wales</v>
      </c>
      <c r="E839" t="str">
        <f>IF(TRIM(Procurement_Raw!E839)="","",IFERROR(INDEX(Supplier_Lookup!$A$2:$A$25,MATCH(TRIM(Procurement_Raw!E839),Supplier_Lookup!$A$2:$A$25,0)),TRIM(Procurement_Raw!E839)))</f>
        <v>TeleCare IT</v>
      </c>
      <c r="F839" t="str">
        <f>IFERROR(INDEX(Category_Targets!$A$2:$A$9,MATCH(TRIM(Procurement_Raw!F839),Category_Targets!$A$2:$A$9,0)),"Unmapped")</f>
        <v>IT &amp; Telecoms</v>
      </c>
      <c r="G839" t="str">
        <f>TRIM(Procurement_Raw!G839)</f>
        <v>INV-2025-00838</v>
      </c>
      <c r="H839" s="77">
        <f>Procurement_Raw!H839</f>
        <v>70</v>
      </c>
      <c r="I839" s="124">
        <f>Procurement_Raw!I839</f>
        <v>127.04</v>
      </c>
      <c r="J839" s="125">
        <f>IF(Procurement_Raw!J839="","",Procurement_Raw!J839)</f>
        <v>8893.07</v>
      </c>
      <c r="K839" s="77">
        <f>Procurement_Raw!K839</f>
        <v>30</v>
      </c>
      <c r="L839" t="str">
        <f>Procurement_Raw!L839</f>
        <v>ERP</v>
      </c>
      <c r="M839" t="str">
        <f>Procurement_Raw!O839</f>
        <v>N</v>
      </c>
      <c r="N839" t="str">
        <f>IF(E839="","Missing supplier",IF(B839="","Missing site",IF(J839="","Missing spend",IF(COUNTIFS($G$2:G839,G839,$E$2:E839,E839,$J$2:J839,J839)&gt;1,"Duplicate invoice",IF(COUNTIF($G$2:$G$1801,G839)&gt;1,"Duplicate ID - review",IF(AND(P839&lt;&gt;"Unmapped",P839&lt;&gt;F839),"Category mismatch","OK"))))))</f>
        <v>OK</v>
      </c>
      <c r="O839" s="125">
        <f t="shared" si="39"/>
        <v>8893.07</v>
      </c>
      <c r="P839" t="str">
        <f>IF(E839="","Unmapped",IFERROR(INDEX(Supplier_Lookup!$B$2:$B$25,MATCH(E839,Supplier_Lookup!$A$2:$A$25,0)),"Unmapped"))</f>
        <v>IT &amp; Telecoms</v>
      </c>
      <c r="Q839" s="76">
        <f>IFERROR(INDEX(Category_Targets!$B$2:$B$9,MATCH(F839,Category_Targets!$A$2:$A$9,0)),0)</f>
        <v>0.08</v>
      </c>
      <c r="R839" s="125">
        <f t="shared" si="40"/>
        <v>711.44560000000001</v>
      </c>
      <c r="S839" s="78">
        <f t="shared" si="41"/>
        <v>45901</v>
      </c>
      <c r="T839" t="str">
        <f>IFERROR(VLOOKUP(B839,Sites!$A$2:$D$21,4,FALSE()),"Unknown")</f>
        <v>Newport</v>
      </c>
      <c r="U839" t="str">
        <f>IF(N839="OK","",COUNTIF($N$2:N839,"&lt;&gt;OK"))</f>
        <v/>
      </c>
      <c r="V839">
        <f>IF(OR(NOT(EXACT(E839,TRIM(Procurement_Raw!E839))),NOT(EXACT(F839,TRIM(Procurement_Raw!F839)))),1,0)</f>
        <v>0</v>
      </c>
    </row>
    <row r="840" spans="1:22" ht="15" customHeight="1" x14ac:dyDescent="0.25">
      <c r="A840" s="123">
        <f>Procurement_Raw!A840</f>
        <v>45869</v>
      </c>
      <c r="B840" t="str">
        <f>TRIM(Procurement_Raw!B840)</f>
        <v>S020</v>
      </c>
      <c r="C840" t="str">
        <f>Procurement_Raw!C840</f>
        <v>Bangor Care &amp; Education Centre</v>
      </c>
      <c r="D840" t="str">
        <f>Procurement_Raw!D840</f>
        <v>Wales</v>
      </c>
      <c r="E840" t="str">
        <f>IF(TRIM(Procurement_Raw!E840)="","",IFERROR(INDEX(Supplier_Lookup!$A$2:$A$25,MATCH(TRIM(Procurement_Raw!E840),Supplier_Lookup!$A$2:$A$25,0)),TRIM(Procurement_Raw!E840)))</f>
        <v>TeleCare IT</v>
      </c>
      <c r="F840" t="str">
        <f>IFERROR(INDEX(Category_Targets!$A$2:$A$9,MATCH(TRIM(Procurement_Raw!F840),Category_Targets!$A$2:$A$9,0)),"Unmapped")</f>
        <v>IT &amp; Telecoms</v>
      </c>
      <c r="G840" t="str">
        <f>TRIM(Procurement_Raw!G840)</f>
        <v>INV-2025-00839</v>
      </c>
      <c r="H840" s="77">
        <f>Procurement_Raw!H840</f>
        <v>34</v>
      </c>
      <c r="I840" s="124">
        <f>Procurement_Raw!I840</f>
        <v>378.04</v>
      </c>
      <c r="J840" s="125">
        <f>IF(Procurement_Raw!J840="","",Procurement_Raw!J840)</f>
        <v>12853.42</v>
      </c>
      <c r="K840" s="77">
        <f>Procurement_Raw!K840</f>
        <v>30</v>
      </c>
      <c r="L840" t="str">
        <f>Procurement_Raw!L840</f>
        <v>Procurement Portal</v>
      </c>
      <c r="M840" t="str">
        <f>Procurement_Raw!O840</f>
        <v>N</v>
      </c>
      <c r="N840" t="str">
        <f>IF(E840="","Missing supplier",IF(B840="","Missing site",IF(J840="","Missing spend",IF(COUNTIFS($G$2:G840,G840,$E$2:E840,E840,$J$2:J840,J840)&gt;1,"Duplicate invoice",IF(COUNTIF($G$2:$G$1801,G840)&gt;1,"Duplicate ID - review",IF(AND(P840&lt;&gt;"Unmapped",P840&lt;&gt;F840),"Category mismatch","OK"))))))</f>
        <v>OK</v>
      </c>
      <c r="O840" s="125">
        <f t="shared" si="39"/>
        <v>12853.42</v>
      </c>
      <c r="P840" t="str">
        <f>IF(E840="","Unmapped",IFERROR(INDEX(Supplier_Lookup!$B$2:$B$25,MATCH(E840,Supplier_Lookup!$A$2:$A$25,0)),"Unmapped"))</f>
        <v>IT &amp; Telecoms</v>
      </c>
      <c r="Q840" s="76">
        <f>IFERROR(INDEX(Category_Targets!$B$2:$B$9,MATCH(F840,Category_Targets!$A$2:$A$9,0)),0)</f>
        <v>0.08</v>
      </c>
      <c r="R840" s="125">
        <f t="shared" si="40"/>
        <v>1028.2736</v>
      </c>
      <c r="S840" s="78">
        <f t="shared" si="41"/>
        <v>45839</v>
      </c>
      <c r="T840" t="str">
        <f>IFERROR(VLOOKUP(B840,Sites!$A$2:$D$21,4,FALSE()),"Unknown")</f>
        <v>Bangor</v>
      </c>
      <c r="U840" t="str">
        <f>IF(N840="OK","",COUNTIF($N$2:N840,"&lt;&gt;OK"))</f>
        <v/>
      </c>
      <c r="V840">
        <f>IF(OR(NOT(EXACT(E840,TRIM(Procurement_Raw!E840))),NOT(EXACT(F840,TRIM(Procurement_Raw!F840)))),1,0)</f>
        <v>0</v>
      </c>
    </row>
    <row r="841" spans="1:22" ht="15" customHeight="1" x14ac:dyDescent="0.25">
      <c r="A841" s="123">
        <f>Procurement_Raw!A841</f>
        <v>45727</v>
      </c>
      <c r="B841" t="str">
        <f>TRIM(Procurement_Raw!B841)</f>
        <v>S013</v>
      </c>
      <c r="C841" t="str">
        <f>Procurement_Raw!C841</f>
        <v>Reading Care &amp; Education Centre</v>
      </c>
      <c r="D841" t="str">
        <f>Procurement_Raw!D841</f>
        <v>South</v>
      </c>
      <c r="E841" t="str">
        <f>IF(TRIM(Procurement_Raw!E841)="","",IFERROR(INDEX(Supplier_Lookup!$A$2:$A$25,MATCH(TRIM(Procurement_Raw!E841),Supplier_Lookup!$A$2:$A$25,0)),TRIM(Procurement_Raw!E841)))</f>
        <v>ClinEquip</v>
      </c>
      <c r="F841" t="str">
        <f>IFERROR(INDEX(Category_Targets!$A$2:$A$9,MATCH(TRIM(Procurement_Raw!F841),Category_Targets!$A$2:$A$9,0)),"Unmapped")</f>
        <v>Medical Supplies</v>
      </c>
      <c r="G841" t="str">
        <f>TRIM(Procurement_Raw!G841)</f>
        <v>INV-2025-00840</v>
      </c>
      <c r="H841" s="77">
        <f>Procurement_Raw!H841</f>
        <v>45</v>
      </c>
      <c r="I841" s="124">
        <f>Procurement_Raw!I841</f>
        <v>106.68</v>
      </c>
      <c r="J841" s="125">
        <f>IF(Procurement_Raw!J841="","",Procurement_Raw!J841)</f>
        <v>4800.43</v>
      </c>
      <c r="K841" s="77">
        <f>Procurement_Raw!K841</f>
        <v>45</v>
      </c>
      <c r="L841" t="str">
        <f>Procurement_Raw!L841</f>
        <v>Procurement Portal</v>
      </c>
      <c r="M841" t="str">
        <f>Procurement_Raw!O841</f>
        <v>N</v>
      </c>
      <c r="N841" t="str">
        <f>IF(E841="","Missing supplier",IF(B841="","Missing site",IF(J841="","Missing spend",IF(COUNTIFS($G$2:G841,G841,$E$2:E841,E841,$J$2:J841,J841)&gt;1,"Duplicate invoice",IF(COUNTIF($G$2:$G$1801,G841)&gt;1,"Duplicate ID - review",IF(AND(P841&lt;&gt;"Unmapped",P841&lt;&gt;F841),"Category mismatch","OK"))))))</f>
        <v>OK</v>
      </c>
      <c r="O841" s="125">
        <f t="shared" si="39"/>
        <v>4800.43</v>
      </c>
      <c r="P841" t="str">
        <f>IF(E841="","Unmapped",IFERROR(INDEX(Supplier_Lookup!$B$2:$B$25,MATCH(E841,Supplier_Lookup!$A$2:$A$25,0)),"Unmapped"))</f>
        <v>Medical Supplies</v>
      </c>
      <c r="Q841" s="76">
        <f>IFERROR(INDEX(Category_Targets!$B$2:$B$9,MATCH(F841,Category_Targets!$A$2:$A$9,0)),0)</f>
        <v>0.06</v>
      </c>
      <c r="R841" s="125">
        <f t="shared" si="40"/>
        <v>288.0258</v>
      </c>
      <c r="S841" s="78">
        <f t="shared" si="41"/>
        <v>45717</v>
      </c>
      <c r="T841" t="str">
        <f>IFERROR(VLOOKUP(B841,Sites!$A$2:$D$21,4,FALSE()),"Unknown")</f>
        <v>Reading</v>
      </c>
      <c r="U841" t="str">
        <f>IF(N841="OK","",COUNTIF($N$2:N841,"&lt;&gt;OK"))</f>
        <v/>
      </c>
      <c r="V841">
        <f>IF(OR(NOT(EXACT(E841,TRIM(Procurement_Raw!E841))),NOT(EXACT(F841,TRIM(Procurement_Raw!F841)))),1,0)</f>
        <v>0</v>
      </c>
    </row>
    <row r="842" spans="1:22" ht="15" customHeight="1" x14ac:dyDescent="0.25">
      <c r="A842" s="123">
        <f>Procurement_Raw!A842</f>
        <v>45909</v>
      </c>
      <c r="B842" t="str">
        <f>TRIM(Procurement_Raw!B842)</f>
        <v>S002</v>
      </c>
      <c r="C842" t="str">
        <f>Procurement_Raw!C842</f>
        <v>Manchester Care &amp; Education Centre</v>
      </c>
      <c r="D842" t="str">
        <f>Procurement_Raw!D842</f>
        <v>North</v>
      </c>
      <c r="E842" t="str">
        <f>IF(TRIM(Procurement_Raw!E842)="","",IFERROR(INDEX(Supplier_Lookup!$A$2:$A$25,MATCH(TRIM(Procurement_Raw!E842),Supplier_Lookup!$A$2:$A$25,0)),TRIM(Procurement_Raw!E842)))</f>
        <v>ClinEquip</v>
      </c>
      <c r="F842" t="str">
        <f>IFERROR(INDEX(Category_Targets!$A$2:$A$9,MATCH(TRIM(Procurement_Raw!F842),Category_Targets!$A$2:$A$9,0)),"Unmapped")</f>
        <v>Medical Supplies</v>
      </c>
      <c r="G842" t="str">
        <f>TRIM(Procurement_Raw!G842)</f>
        <v>INV-2025-00841</v>
      </c>
      <c r="H842" s="77">
        <f>Procurement_Raw!H842</f>
        <v>62</v>
      </c>
      <c r="I842" s="124">
        <f>Procurement_Raw!I842</f>
        <v>116.78</v>
      </c>
      <c r="J842" s="125">
        <f>IF(Procurement_Raw!J842="","",Procurement_Raw!J842)</f>
        <v>7240.32</v>
      </c>
      <c r="K842" s="77">
        <f>Procurement_Raw!K842</f>
        <v>45</v>
      </c>
      <c r="L842" t="str">
        <f>Procurement_Raw!L842</f>
        <v>ERP</v>
      </c>
      <c r="M842" t="str">
        <f>Procurement_Raw!O842</f>
        <v>N</v>
      </c>
      <c r="N842" t="str">
        <f>IF(E842="","Missing supplier",IF(B842="","Missing site",IF(J842="","Missing spend",IF(COUNTIFS($G$2:G842,G842,$E$2:E842,E842,$J$2:J842,J842)&gt;1,"Duplicate invoice",IF(COUNTIF($G$2:$G$1801,G842)&gt;1,"Duplicate ID - review",IF(AND(P842&lt;&gt;"Unmapped",P842&lt;&gt;F842),"Category mismatch","OK"))))))</f>
        <v>OK</v>
      </c>
      <c r="O842" s="125">
        <f t="shared" si="39"/>
        <v>7240.32</v>
      </c>
      <c r="P842" t="str">
        <f>IF(E842="","Unmapped",IFERROR(INDEX(Supplier_Lookup!$B$2:$B$25,MATCH(E842,Supplier_Lookup!$A$2:$A$25,0)),"Unmapped"))</f>
        <v>Medical Supplies</v>
      </c>
      <c r="Q842" s="76">
        <f>IFERROR(INDEX(Category_Targets!$B$2:$B$9,MATCH(F842,Category_Targets!$A$2:$A$9,0)),0)</f>
        <v>0.06</v>
      </c>
      <c r="R842" s="125">
        <f t="shared" si="40"/>
        <v>434.41919999999999</v>
      </c>
      <c r="S842" s="78">
        <f t="shared" si="41"/>
        <v>45901</v>
      </c>
      <c r="T842" t="str">
        <f>IFERROR(VLOOKUP(B842,Sites!$A$2:$D$21,4,FALSE()),"Unknown")</f>
        <v>Manchester</v>
      </c>
      <c r="U842" t="str">
        <f>IF(N842="OK","",COUNTIF($N$2:N842,"&lt;&gt;OK"))</f>
        <v/>
      </c>
      <c r="V842">
        <f>IF(OR(NOT(EXACT(E842,TRIM(Procurement_Raw!E842))),NOT(EXACT(F842,TRIM(Procurement_Raw!F842)))),1,0)</f>
        <v>0</v>
      </c>
    </row>
    <row r="843" spans="1:22" ht="15" customHeight="1" x14ac:dyDescent="0.25">
      <c r="A843" s="123">
        <f>Procurement_Raw!A843</f>
        <v>45776</v>
      </c>
      <c r="B843" t="str">
        <f>TRIM(Procurement_Raw!B843)</f>
        <v>S020</v>
      </c>
      <c r="C843" t="str">
        <f>Procurement_Raw!C843</f>
        <v>Bangor Care &amp; Education Centre</v>
      </c>
      <c r="D843" t="str">
        <f>Procurement_Raw!D843</f>
        <v>Wales</v>
      </c>
      <c r="E843" t="str">
        <f>IF(TRIM(Procurement_Raw!E843)="","",IFERROR(INDEX(Supplier_Lookup!$A$2:$A$25,MATCH(TRIM(Procurement_Raw!E843),Supplier_Lookup!$A$2:$A$25,0)),TRIM(Procurement_Raw!E843)))</f>
        <v>NetServe</v>
      </c>
      <c r="F843" t="str">
        <f>IFERROR(INDEX(Category_Targets!$A$2:$A$9,MATCH(TRIM(Procurement_Raw!F843),Category_Targets!$A$2:$A$9,0)),"Unmapped")</f>
        <v>IT &amp; Telecoms</v>
      </c>
      <c r="G843" t="str">
        <f>TRIM(Procurement_Raw!G843)</f>
        <v>INV-2025-00842</v>
      </c>
      <c r="H843" s="77">
        <f>Procurement_Raw!H843</f>
        <v>1</v>
      </c>
      <c r="I843" s="124">
        <f>Procurement_Raw!I843</f>
        <v>318.87</v>
      </c>
      <c r="J843" s="125">
        <f>IF(Procurement_Raw!J843="","",Procurement_Raw!J843)</f>
        <v>318.87</v>
      </c>
      <c r="K843" s="77">
        <f>Procurement_Raw!K843</f>
        <v>60</v>
      </c>
      <c r="L843" t="str">
        <f>Procurement_Raw!L843</f>
        <v>Procurement Portal</v>
      </c>
      <c r="M843" t="str">
        <f>Procurement_Raw!O843</f>
        <v>N</v>
      </c>
      <c r="N843" t="str">
        <f>IF(E843="","Missing supplier",IF(B843="","Missing site",IF(J843="","Missing spend",IF(COUNTIFS($G$2:G843,G843,$E$2:E843,E843,$J$2:J843,J843)&gt;1,"Duplicate invoice",IF(COUNTIF($G$2:$G$1801,G843)&gt;1,"Duplicate ID - review",IF(AND(P843&lt;&gt;"Unmapped",P843&lt;&gt;F843),"Category mismatch","OK"))))))</f>
        <v>OK</v>
      </c>
      <c r="O843" s="125">
        <f t="shared" si="39"/>
        <v>318.87</v>
      </c>
      <c r="P843" t="str">
        <f>IF(E843="","Unmapped",IFERROR(INDEX(Supplier_Lookup!$B$2:$B$25,MATCH(E843,Supplier_Lookup!$A$2:$A$25,0)),"Unmapped"))</f>
        <v>IT &amp; Telecoms</v>
      </c>
      <c r="Q843" s="76">
        <f>IFERROR(INDEX(Category_Targets!$B$2:$B$9,MATCH(F843,Category_Targets!$A$2:$A$9,0)),0)</f>
        <v>0.08</v>
      </c>
      <c r="R843" s="125">
        <f t="shared" si="40"/>
        <v>25.509600000000002</v>
      </c>
      <c r="S843" s="78">
        <f t="shared" si="41"/>
        <v>45748</v>
      </c>
      <c r="T843" t="str">
        <f>IFERROR(VLOOKUP(B843,Sites!$A$2:$D$21,4,FALSE()),"Unknown")</f>
        <v>Bangor</v>
      </c>
      <c r="U843" t="str">
        <f>IF(N843="OK","",COUNTIF($N$2:N843,"&lt;&gt;OK"))</f>
        <v/>
      </c>
      <c r="V843">
        <f>IF(OR(NOT(EXACT(E843,TRIM(Procurement_Raw!E843))),NOT(EXACT(F843,TRIM(Procurement_Raw!F843)))),1,0)</f>
        <v>0</v>
      </c>
    </row>
    <row r="844" spans="1:22" ht="15" customHeight="1" x14ac:dyDescent="0.25">
      <c r="A844" s="123">
        <f>Procurement_Raw!A844</f>
        <v>45881</v>
      </c>
      <c r="B844" t="str">
        <f>TRIM(Procurement_Raw!B844)</f>
        <v>S011</v>
      </c>
      <c r="C844" t="str">
        <f>Procurement_Raw!C844</f>
        <v>London Care &amp; Education Centre</v>
      </c>
      <c r="D844" t="str">
        <f>Procurement_Raw!D844</f>
        <v>South</v>
      </c>
      <c r="E844" t="str">
        <f>IF(TRIM(Procurement_Raw!E844)="","",IFERROR(INDEX(Supplier_Lookup!$A$2:$A$25,MATCH(TRIM(Procurement_Raw!E844),Supplier_Lookup!$A$2:$A$25,0)),TRIM(Procurement_Raw!E844)))</f>
        <v>NurseLink</v>
      </c>
      <c r="F844" t="str">
        <f>IFERROR(INDEX(Category_Targets!$A$2:$A$9,MATCH(TRIM(Procurement_Raw!F844),Category_Targets!$A$2:$A$9,0)),"Unmapped")</f>
        <v>Agency Labour</v>
      </c>
      <c r="G844" t="str">
        <f>TRIM(Procurement_Raw!G844)</f>
        <v>INV-2025-00843</v>
      </c>
      <c r="H844" s="77">
        <f>Procurement_Raw!H844</f>
        <v>51</v>
      </c>
      <c r="I844" s="124">
        <f>Procurement_Raw!I844</f>
        <v>161.79</v>
      </c>
      <c r="J844" s="125">
        <f>IF(Procurement_Raw!J844="","",Procurement_Raw!J844)</f>
        <v>8251.18</v>
      </c>
      <c r="K844" s="77">
        <f>Procurement_Raw!K844</f>
        <v>30</v>
      </c>
      <c r="L844" t="str">
        <f>Procurement_Raw!L844</f>
        <v>ERP</v>
      </c>
      <c r="M844" t="str">
        <f>Procurement_Raw!O844</f>
        <v>N</v>
      </c>
      <c r="N844" t="str">
        <f>IF(E844="","Missing supplier",IF(B844="","Missing site",IF(J844="","Missing spend",IF(COUNTIFS($G$2:G844,G844,$E$2:E844,E844,$J$2:J844,J844)&gt;1,"Duplicate invoice",IF(COUNTIF($G$2:$G$1801,G844)&gt;1,"Duplicate ID - review",IF(AND(P844&lt;&gt;"Unmapped",P844&lt;&gt;F844),"Category mismatch","OK"))))))</f>
        <v>OK</v>
      </c>
      <c r="O844" s="125">
        <f t="shared" si="39"/>
        <v>8251.18</v>
      </c>
      <c r="P844" t="str">
        <f>IF(E844="","Unmapped",IFERROR(INDEX(Supplier_Lookup!$B$2:$B$25,MATCH(E844,Supplier_Lookup!$A$2:$A$25,0)),"Unmapped"))</f>
        <v>Agency Labour</v>
      </c>
      <c r="Q844" s="76">
        <f>IFERROR(INDEX(Category_Targets!$B$2:$B$9,MATCH(F844,Category_Targets!$A$2:$A$9,0)),0)</f>
        <v>7.0000000000000007E-2</v>
      </c>
      <c r="R844" s="125">
        <f t="shared" si="40"/>
        <v>577.58260000000007</v>
      </c>
      <c r="S844" s="78">
        <f t="shared" si="41"/>
        <v>45870</v>
      </c>
      <c r="T844" t="str">
        <f>IFERROR(VLOOKUP(B844,Sites!$A$2:$D$21,4,FALSE()),"Unknown")</f>
        <v>London</v>
      </c>
      <c r="U844" t="str">
        <f>IF(N844="OK","",COUNTIF($N$2:N844,"&lt;&gt;OK"))</f>
        <v/>
      </c>
      <c r="V844">
        <f>IF(OR(NOT(EXACT(E844,TRIM(Procurement_Raw!E844))),NOT(EXACT(F844,TRIM(Procurement_Raw!F844)))),1,0)</f>
        <v>0</v>
      </c>
    </row>
    <row r="845" spans="1:22" ht="15" customHeight="1" x14ac:dyDescent="0.25">
      <c r="A845" s="123">
        <f>Procurement_Raw!A845</f>
        <v>45770</v>
      </c>
      <c r="B845" t="str">
        <f>TRIM(Procurement_Raw!B845)</f>
        <v>S008</v>
      </c>
      <c r="C845" t="str">
        <f>Procurement_Raw!C845</f>
        <v>Leicester Care &amp; Education Centre</v>
      </c>
      <c r="D845" t="str">
        <f>Procurement_Raw!D845</f>
        <v>Midlands</v>
      </c>
      <c r="E845" t="str">
        <f>IF(TRIM(Procurement_Raw!E845)="","",IFERROR(INDEX(Supplier_Lookup!$A$2:$A$25,MATCH(TRIM(Procurement_Raw!E845),Supplier_Lookup!$A$2:$A$25,0)),TRIM(Procurement_Raw!E845)))</f>
        <v>CareTemps</v>
      </c>
      <c r="F845" t="str">
        <f>IFERROR(INDEX(Category_Targets!$A$2:$A$9,MATCH(TRIM(Procurement_Raw!F845),Category_Targets!$A$2:$A$9,0)),"Unmapped")</f>
        <v>Agency Labour</v>
      </c>
      <c r="G845" t="str">
        <f>TRIM(Procurement_Raw!G845)</f>
        <v>INV-2025-00844</v>
      </c>
      <c r="H845" s="77">
        <f>Procurement_Raw!H845</f>
        <v>34</v>
      </c>
      <c r="I845" s="124">
        <f>Procurement_Raw!I845</f>
        <v>370.22</v>
      </c>
      <c r="J845" s="125">
        <f>IF(Procurement_Raw!J845="","",Procurement_Raw!J845)</f>
        <v>12587.61</v>
      </c>
      <c r="K845" s="77">
        <f>Procurement_Raw!K845</f>
        <v>30</v>
      </c>
      <c r="L845" t="str">
        <f>Procurement_Raw!L845</f>
        <v>Procurement Portal</v>
      </c>
      <c r="M845" t="str">
        <f>Procurement_Raw!O845</f>
        <v>N</v>
      </c>
      <c r="N845" t="str">
        <f>IF(E845="","Missing supplier",IF(B845="","Missing site",IF(J845="","Missing spend",IF(COUNTIFS($G$2:G845,G845,$E$2:E845,E845,$J$2:J845,J845)&gt;1,"Duplicate invoice",IF(COUNTIF($G$2:$G$1801,G845)&gt;1,"Duplicate ID - review",IF(AND(P845&lt;&gt;"Unmapped",P845&lt;&gt;F845),"Category mismatch","OK"))))))</f>
        <v>OK</v>
      </c>
      <c r="O845" s="125">
        <f t="shared" si="39"/>
        <v>12587.61</v>
      </c>
      <c r="P845" t="str">
        <f>IF(E845="","Unmapped",IFERROR(INDEX(Supplier_Lookup!$B$2:$B$25,MATCH(E845,Supplier_Lookup!$A$2:$A$25,0)),"Unmapped"))</f>
        <v>Agency Labour</v>
      </c>
      <c r="Q845" s="76">
        <f>IFERROR(INDEX(Category_Targets!$B$2:$B$9,MATCH(F845,Category_Targets!$A$2:$A$9,0)),0)</f>
        <v>7.0000000000000007E-2</v>
      </c>
      <c r="R845" s="125">
        <f t="shared" si="40"/>
        <v>881.13270000000011</v>
      </c>
      <c r="S845" s="78">
        <f t="shared" si="41"/>
        <v>45748</v>
      </c>
      <c r="T845" t="str">
        <f>IFERROR(VLOOKUP(B845,Sites!$A$2:$D$21,4,FALSE()),"Unknown")</f>
        <v>Leicester</v>
      </c>
      <c r="U845" t="str">
        <f>IF(N845="OK","",COUNTIF($N$2:N845,"&lt;&gt;OK"))</f>
        <v/>
      </c>
      <c r="V845">
        <f>IF(OR(NOT(EXACT(E845,TRIM(Procurement_Raw!E845))),NOT(EXACT(F845,TRIM(Procurement_Raw!F845)))),1,0)</f>
        <v>0</v>
      </c>
    </row>
    <row r="846" spans="1:22" ht="15" customHeight="1" x14ac:dyDescent="0.25">
      <c r="A846" s="123">
        <f>Procurement_Raw!A846</f>
        <v>45971</v>
      </c>
      <c r="B846" t="str">
        <f>TRIM(Procurement_Raw!B846)</f>
        <v>S008</v>
      </c>
      <c r="C846" t="str">
        <f>Procurement_Raw!C846</f>
        <v>Leicester Care &amp; Education Centre</v>
      </c>
      <c r="D846" t="str">
        <f>Procurement_Raw!D846</f>
        <v>Midlands</v>
      </c>
      <c r="E846" t="str">
        <f>IF(TRIM(Procurement_Raw!E846)="","",IFERROR(INDEX(Supplier_Lookup!$A$2:$A$25,MATCH(TRIM(Procurement_Raw!E846),Supplier_Lookup!$A$2:$A$25,0)),TRIM(Procurement_Raw!E846)))</f>
        <v>PowerDirect</v>
      </c>
      <c r="F846" t="str">
        <f>IFERROR(INDEX(Category_Targets!$A$2:$A$9,MATCH(TRIM(Procurement_Raw!F846),Category_Targets!$A$2:$A$9,0)),"Unmapped")</f>
        <v>Utilities</v>
      </c>
      <c r="G846" t="str">
        <f>TRIM(Procurement_Raw!G846)</f>
        <v>INV-2025-00845</v>
      </c>
      <c r="H846" s="77">
        <f>Procurement_Raw!H846</f>
        <v>35</v>
      </c>
      <c r="I846" s="124">
        <f>Procurement_Raw!I846</f>
        <v>273.97000000000003</v>
      </c>
      <c r="J846" s="125">
        <f>IF(Procurement_Raw!J846="","",Procurement_Raw!J846)</f>
        <v>9588.86</v>
      </c>
      <c r="K846" s="77">
        <f>Procurement_Raw!K846</f>
        <v>45</v>
      </c>
      <c r="L846" t="str">
        <f>Procurement_Raw!L846</f>
        <v>Legacy Spend File</v>
      </c>
      <c r="M846" t="str">
        <f>Procurement_Raw!O846</f>
        <v>N</v>
      </c>
      <c r="N846" t="str">
        <f>IF(E846="","Missing supplier",IF(B846="","Missing site",IF(J846="","Missing spend",IF(COUNTIFS($G$2:G846,G846,$E$2:E846,E846,$J$2:J846,J846)&gt;1,"Duplicate invoice",IF(COUNTIF($G$2:$G$1801,G846)&gt;1,"Duplicate ID - review",IF(AND(P846&lt;&gt;"Unmapped",P846&lt;&gt;F846),"Category mismatch","OK"))))))</f>
        <v>OK</v>
      </c>
      <c r="O846" s="125">
        <f t="shared" si="39"/>
        <v>9588.86</v>
      </c>
      <c r="P846" t="str">
        <f>IF(E846="","Unmapped",IFERROR(INDEX(Supplier_Lookup!$B$2:$B$25,MATCH(E846,Supplier_Lookup!$A$2:$A$25,0)),"Unmapped"))</f>
        <v>Utilities</v>
      </c>
      <c r="Q846" s="76">
        <f>IFERROR(INDEX(Category_Targets!$B$2:$B$9,MATCH(F846,Category_Targets!$A$2:$A$9,0)),0)</f>
        <v>0.03</v>
      </c>
      <c r="R846" s="125">
        <f t="shared" si="40"/>
        <v>287.66579999999999</v>
      </c>
      <c r="S846" s="78">
        <f t="shared" si="41"/>
        <v>45962</v>
      </c>
      <c r="T846" t="str">
        <f>IFERROR(VLOOKUP(B846,Sites!$A$2:$D$21,4,FALSE()),"Unknown")</f>
        <v>Leicester</v>
      </c>
      <c r="U846" t="str">
        <f>IF(N846="OK","",COUNTIF($N$2:N846,"&lt;&gt;OK"))</f>
        <v/>
      </c>
      <c r="V846">
        <f>IF(OR(NOT(EXACT(E846,TRIM(Procurement_Raw!E846))),NOT(EXACT(F846,TRIM(Procurement_Raw!F846)))),1,0)</f>
        <v>0</v>
      </c>
    </row>
    <row r="847" spans="1:22" ht="15" customHeight="1" x14ac:dyDescent="0.25">
      <c r="A847" s="123">
        <f>Procurement_Raw!A847</f>
        <v>45754</v>
      </c>
      <c r="B847" t="str">
        <f>TRIM(Procurement_Raw!B847)</f>
        <v>S002</v>
      </c>
      <c r="C847" t="str">
        <f>Procurement_Raw!C847</f>
        <v>Manchester Care &amp; Education Centre</v>
      </c>
      <c r="D847" t="str">
        <f>Procurement_Raw!D847</f>
        <v>North</v>
      </c>
      <c r="E847" t="str">
        <f>IF(TRIM(Procurement_Raw!E847)="","",IFERROR(INDEX(Supplier_Lookup!$A$2:$A$25,MATCH(TRIM(Procurement_Raw!E847),Supplier_Lookup!$A$2:$A$25,0)),TRIM(Procurement_Raw!E847)))</f>
        <v>TeleCare IT</v>
      </c>
      <c r="F847" t="str">
        <f>IFERROR(INDEX(Category_Targets!$A$2:$A$9,MATCH(TRIM(Procurement_Raw!F847),Category_Targets!$A$2:$A$9,0)),"Unmapped")</f>
        <v>IT &amp; Telecoms</v>
      </c>
      <c r="G847" t="str">
        <f>TRIM(Procurement_Raw!G847)</f>
        <v>INV-2025-00846</v>
      </c>
      <c r="H847" s="77">
        <f>Procurement_Raw!H847</f>
        <v>9</v>
      </c>
      <c r="I847" s="124">
        <f>Procurement_Raw!I847</f>
        <v>288.44</v>
      </c>
      <c r="J847" s="125">
        <f>IF(Procurement_Raw!J847="","",Procurement_Raw!J847)</f>
        <v>2595.9299999999998</v>
      </c>
      <c r="K847" s="77">
        <f>Procurement_Raw!K847</f>
        <v>30</v>
      </c>
      <c r="L847" t="str">
        <f>Procurement_Raw!L847</f>
        <v>ERP</v>
      </c>
      <c r="M847" t="str">
        <f>Procurement_Raw!O847</f>
        <v>N</v>
      </c>
      <c r="N847" t="str">
        <f>IF(E847="","Missing supplier",IF(B847="","Missing site",IF(J847="","Missing spend",IF(COUNTIFS($G$2:G847,G847,$E$2:E847,E847,$J$2:J847,J847)&gt;1,"Duplicate invoice",IF(COUNTIF($G$2:$G$1801,G847)&gt;1,"Duplicate ID - review",IF(AND(P847&lt;&gt;"Unmapped",P847&lt;&gt;F847),"Category mismatch","OK"))))))</f>
        <v>OK</v>
      </c>
      <c r="O847" s="125">
        <f t="shared" si="39"/>
        <v>2595.9299999999998</v>
      </c>
      <c r="P847" t="str">
        <f>IF(E847="","Unmapped",IFERROR(INDEX(Supplier_Lookup!$B$2:$B$25,MATCH(E847,Supplier_Lookup!$A$2:$A$25,0)),"Unmapped"))</f>
        <v>IT &amp; Telecoms</v>
      </c>
      <c r="Q847" s="76">
        <f>IFERROR(INDEX(Category_Targets!$B$2:$B$9,MATCH(F847,Category_Targets!$A$2:$A$9,0)),0)</f>
        <v>0.08</v>
      </c>
      <c r="R847" s="125">
        <f t="shared" si="40"/>
        <v>207.67439999999999</v>
      </c>
      <c r="S847" s="78">
        <f t="shared" si="41"/>
        <v>45748</v>
      </c>
      <c r="T847" t="str">
        <f>IFERROR(VLOOKUP(B847,Sites!$A$2:$D$21,4,FALSE()),"Unknown")</f>
        <v>Manchester</v>
      </c>
      <c r="U847" t="str">
        <f>IF(N847="OK","",COUNTIF($N$2:N847,"&lt;&gt;OK"))</f>
        <v/>
      </c>
      <c r="V847">
        <f>IF(OR(NOT(EXACT(E847,TRIM(Procurement_Raw!E847))),NOT(EXACT(F847,TRIM(Procurement_Raw!F847)))),1,0)</f>
        <v>0</v>
      </c>
    </row>
    <row r="848" spans="1:22" ht="15" customHeight="1" x14ac:dyDescent="0.25">
      <c r="A848" s="123">
        <f>Procurement_Raw!A848</f>
        <v>45891</v>
      </c>
      <c r="B848" t="str">
        <f>TRIM(Procurement_Raw!B848)</f>
        <v>S001</v>
      </c>
      <c r="C848" t="str">
        <f>Procurement_Raw!C848</f>
        <v>Preston Care &amp; Education Centre</v>
      </c>
      <c r="D848" t="str">
        <f>Procurement_Raw!D848</f>
        <v>North</v>
      </c>
      <c r="E848" t="str">
        <f>IF(TRIM(Procurement_Raw!E848)="","",IFERROR(INDEX(Supplier_Lookup!$A$2:$A$25,MATCH(TRIM(Procurement_Raw!E848),Supplier_Lookup!$A$2:$A$25,0)),TRIM(Procurement_Raw!E848)))</f>
        <v>KitchenPro</v>
      </c>
      <c r="F848" t="str">
        <f>IFERROR(INDEX(Category_Targets!$A$2:$A$9,MATCH(TRIM(Procurement_Raw!F848),Category_Targets!$A$2:$A$9,0)),"Unmapped")</f>
        <v>Food &amp; Catering</v>
      </c>
      <c r="G848" t="str">
        <f>TRIM(Procurement_Raw!G848)</f>
        <v>INV-2025-00847</v>
      </c>
      <c r="H848" s="77">
        <f>Procurement_Raw!H848</f>
        <v>80</v>
      </c>
      <c r="I848" s="124">
        <f>Procurement_Raw!I848</f>
        <v>76.209999999999994</v>
      </c>
      <c r="J848" s="125">
        <f>IF(Procurement_Raw!J848="","",Procurement_Raw!J848)</f>
        <v>6096.42</v>
      </c>
      <c r="K848" s="77">
        <f>Procurement_Raw!K848</f>
        <v>45</v>
      </c>
      <c r="L848" t="str">
        <f>Procurement_Raw!L848</f>
        <v>Procurement Portal</v>
      </c>
      <c r="M848" t="str">
        <f>Procurement_Raw!O848</f>
        <v>N</v>
      </c>
      <c r="N848" t="str">
        <f>IF(E848="","Missing supplier",IF(B848="","Missing site",IF(J848="","Missing spend",IF(COUNTIFS($G$2:G848,G848,$E$2:E848,E848,$J$2:J848,J848)&gt;1,"Duplicate invoice",IF(COUNTIF($G$2:$G$1801,G848)&gt;1,"Duplicate ID - review",IF(AND(P848&lt;&gt;"Unmapped",P848&lt;&gt;F848),"Category mismatch","OK"))))))</f>
        <v>OK</v>
      </c>
      <c r="O848" s="125">
        <f t="shared" si="39"/>
        <v>6096.42</v>
      </c>
      <c r="P848" t="str">
        <f>IF(E848="","Unmapped",IFERROR(INDEX(Supplier_Lookup!$B$2:$B$25,MATCH(E848,Supplier_Lookup!$A$2:$A$25,0)),"Unmapped"))</f>
        <v>Food &amp; Catering</v>
      </c>
      <c r="Q848" s="76">
        <f>IFERROR(INDEX(Category_Targets!$B$2:$B$9,MATCH(F848,Category_Targets!$A$2:$A$9,0)),0)</f>
        <v>0.04</v>
      </c>
      <c r="R848" s="125">
        <f t="shared" si="40"/>
        <v>243.85680000000002</v>
      </c>
      <c r="S848" s="78">
        <f t="shared" si="41"/>
        <v>45870</v>
      </c>
      <c r="T848" t="str">
        <f>IFERROR(VLOOKUP(B848,Sites!$A$2:$D$21,4,FALSE()),"Unknown")</f>
        <v>Preston</v>
      </c>
      <c r="U848" t="str">
        <f>IF(N848="OK","",COUNTIF($N$2:N848,"&lt;&gt;OK"))</f>
        <v/>
      </c>
      <c r="V848">
        <f>IF(OR(NOT(EXACT(E848,TRIM(Procurement_Raw!E848))),NOT(EXACT(F848,TRIM(Procurement_Raw!F848)))),1,0)</f>
        <v>0</v>
      </c>
    </row>
    <row r="849" spans="1:22" ht="15" customHeight="1" x14ac:dyDescent="0.25">
      <c r="A849" s="123">
        <f>Procurement_Raw!A849</f>
        <v>45822</v>
      </c>
      <c r="B849" t="str">
        <f>TRIM(Procurement_Raw!B849)</f>
        <v>S009</v>
      </c>
      <c r="C849" t="str">
        <f>Procurement_Raw!C849</f>
        <v>Derby Care &amp; Education Centre</v>
      </c>
      <c r="D849" t="str">
        <f>Procurement_Raw!D849</f>
        <v>Midlands</v>
      </c>
      <c r="E849" t="str">
        <f>IF(TRIM(Procurement_Raw!E849)="","",IFERROR(INDEX(Supplier_Lookup!$A$2:$A$25,MATCH(TRIM(Procurement_Raw!E849),Supplier_Lookup!$A$2:$A$25,0)),TRIM(Procurement_Raw!E849)))</f>
        <v>OfficePlus</v>
      </c>
      <c r="F849" t="str">
        <f>IFERROR(INDEX(Category_Targets!$A$2:$A$9,MATCH(TRIM(Procurement_Raw!F849),Category_Targets!$A$2:$A$9,0)),"Unmapped")</f>
        <v>Office &amp; Training</v>
      </c>
      <c r="G849" t="str">
        <f>TRIM(Procurement_Raw!G849)</f>
        <v>INV-2025-00848</v>
      </c>
      <c r="H849" s="77">
        <f>Procurement_Raw!H849</f>
        <v>3</v>
      </c>
      <c r="I849" s="124">
        <f>Procurement_Raw!I849</f>
        <v>289.43</v>
      </c>
      <c r="J849" s="125">
        <f>IF(Procurement_Raw!J849="","",Procurement_Raw!J849)</f>
        <v>868.28</v>
      </c>
      <c r="K849" s="77">
        <f>Procurement_Raw!K849</f>
        <v>30</v>
      </c>
      <c r="L849" t="str">
        <f>Procurement_Raw!L849</f>
        <v>ERP</v>
      </c>
      <c r="M849" t="str">
        <f>Procurement_Raw!O849</f>
        <v>N</v>
      </c>
      <c r="N849" t="str">
        <f>IF(E849="","Missing supplier",IF(B849="","Missing site",IF(J849="","Missing spend",IF(COUNTIFS($G$2:G849,G849,$E$2:E849,E849,$J$2:J849,J849)&gt;1,"Duplicate invoice",IF(COUNTIF($G$2:$G$1801,G849)&gt;1,"Duplicate ID - review",IF(AND(P849&lt;&gt;"Unmapped",P849&lt;&gt;F849),"Category mismatch","OK"))))))</f>
        <v>OK</v>
      </c>
      <c r="O849" s="125">
        <f t="shared" si="39"/>
        <v>868.28</v>
      </c>
      <c r="P849" t="str">
        <f>IF(E849="","Unmapped",IFERROR(INDEX(Supplier_Lookup!$B$2:$B$25,MATCH(E849,Supplier_Lookup!$A$2:$A$25,0)),"Unmapped"))</f>
        <v>Office &amp; Training</v>
      </c>
      <c r="Q849" s="76">
        <f>IFERROR(INDEX(Category_Targets!$B$2:$B$9,MATCH(F849,Category_Targets!$A$2:$A$9,0)),0)</f>
        <v>0.04</v>
      </c>
      <c r="R849" s="125">
        <f t="shared" si="40"/>
        <v>34.731200000000001</v>
      </c>
      <c r="S849" s="78">
        <f t="shared" si="41"/>
        <v>45809</v>
      </c>
      <c r="T849" t="str">
        <f>IFERROR(VLOOKUP(B849,Sites!$A$2:$D$21,4,FALSE()),"Unknown")</f>
        <v>Derby</v>
      </c>
      <c r="U849" t="str">
        <f>IF(N849="OK","",COUNTIF($N$2:N849,"&lt;&gt;OK"))</f>
        <v/>
      </c>
      <c r="V849">
        <f>IF(OR(NOT(EXACT(E849,TRIM(Procurement_Raw!E849))),NOT(EXACT(F849,TRIM(Procurement_Raw!F849)))),1,0)</f>
        <v>0</v>
      </c>
    </row>
    <row r="850" spans="1:22" ht="15" customHeight="1" x14ac:dyDescent="0.25">
      <c r="A850" s="123">
        <f>Procurement_Raw!A850</f>
        <v>45710</v>
      </c>
      <c r="B850" t="str">
        <f>TRIM(Procurement_Raw!B850)</f>
        <v>S015</v>
      </c>
      <c r="C850" t="str">
        <f>Procurement_Raw!C850</f>
        <v>Brighton Care &amp; Education Centre</v>
      </c>
      <c r="D850" t="str">
        <f>Procurement_Raw!D850</f>
        <v>South</v>
      </c>
      <c r="E850" t="str">
        <f>IF(TRIM(Procurement_Raw!E850)="","",IFERROR(INDEX(Supplier_Lookup!$A$2:$A$25,MATCH(TRIM(Procurement_Raw!E850),Supplier_Lookup!$A$2:$A$25,0)),TRIM(Procurement_Raw!E850)))</f>
        <v>MediSure</v>
      </c>
      <c r="F850" t="str">
        <f>IFERROR(INDEX(Category_Targets!$A$2:$A$9,MATCH(TRIM(Procurement_Raw!F850),Category_Targets!$A$2:$A$9,0)),"Unmapped")</f>
        <v>Medical Supplies</v>
      </c>
      <c r="G850" t="str">
        <f>TRIM(Procurement_Raw!G850)</f>
        <v>INV-2025-00849</v>
      </c>
      <c r="H850" s="77">
        <f>Procurement_Raw!H850</f>
        <v>37</v>
      </c>
      <c r="I850" s="124">
        <f>Procurement_Raw!I850</f>
        <v>84.5</v>
      </c>
      <c r="J850" s="125">
        <f>IF(Procurement_Raw!J850="","",Procurement_Raw!J850)</f>
        <v>3126.45</v>
      </c>
      <c r="K850" s="77">
        <f>Procurement_Raw!K850</f>
        <v>45</v>
      </c>
      <c r="L850" t="str">
        <f>Procurement_Raw!L850</f>
        <v>ERP</v>
      </c>
      <c r="M850" t="str">
        <f>Procurement_Raw!O850</f>
        <v>Y</v>
      </c>
      <c r="N850" t="str">
        <f>IF(E850="","Missing supplier",IF(B850="","Missing site",IF(J850="","Missing spend",IF(COUNTIFS($G$2:G850,G850,$E$2:E850,E850,$J$2:J850,J850)&gt;1,"Duplicate invoice",IF(COUNTIF($G$2:$G$1801,G850)&gt;1,"Duplicate ID - review",IF(AND(P850&lt;&gt;"Unmapped",P850&lt;&gt;F850),"Category mismatch","OK"))))))</f>
        <v>OK</v>
      </c>
      <c r="O850" s="125">
        <f t="shared" si="39"/>
        <v>3126.45</v>
      </c>
      <c r="P850" t="str">
        <f>IF(E850="","Unmapped",IFERROR(INDEX(Supplier_Lookup!$B$2:$B$25,MATCH(E850,Supplier_Lookup!$A$2:$A$25,0)),"Unmapped"))</f>
        <v>Medical Supplies</v>
      </c>
      <c r="Q850" s="76">
        <f>IFERROR(INDEX(Category_Targets!$B$2:$B$9,MATCH(F850,Category_Targets!$A$2:$A$9,0)),0)</f>
        <v>0.06</v>
      </c>
      <c r="R850" s="125">
        <f t="shared" si="40"/>
        <v>187.58699999999999</v>
      </c>
      <c r="S850" s="78">
        <f t="shared" si="41"/>
        <v>45689</v>
      </c>
      <c r="T850" t="str">
        <f>IFERROR(VLOOKUP(B850,Sites!$A$2:$D$21,4,FALSE()),"Unknown")</f>
        <v>Brighton</v>
      </c>
      <c r="U850" t="str">
        <f>IF(N850="OK","",COUNTIF($N$2:N850,"&lt;&gt;OK"))</f>
        <v/>
      </c>
      <c r="V850">
        <f>IF(OR(NOT(EXACT(E850,TRIM(Procurement_Raw!E850))),NOT(EXACT(F850,TRIM(Procurement_Raw!F850)))),1,0)</f>
        <v>0</v>
      </c>
    </row>
    <row r="851" spans="1:22" ht="15" customHeight="1" x14ac:dyDescent="0.25">
      <c r="A851" s="123">
        <f>Procurement_Raw!A851</f>
        <v>45662</v>
      </c>
      <c r="B851" t="str">
        <f>TRIM(Procurement_Raw!B851)</f>
        <v>S019</v>
      </c>
      <c r="C851" t="str">
        <f>Procurement_Raw!C851</f>
        <v>Wrexham Care &amp; Education Centre</v>
      </c>
      <c r="D851" t="str">
        <f>Procurement_Raw!D851</f>
        <v>Wales</v>
      </c>
      <c r="E851" t="str">
        <f>IF(TRIM(Procurement_Raw!E851)="","",IFERROR(INDEX(Supplier_Lookup!$A$2:$A$25,MATCH(TRIM(Procurement_Raw!E851),Supplier_Lookup!$A$2:$A$25,0)),TRIM(Procurement_Raw!E851)))</f>
        <v>PrintCo</v>
      </c>
      <c r="F851" t="str">
        <f>IFERROR(INDEX(Category_Targets!$A$2:$A$9,MATCH(TRIM(Procurement_Raw!F851),Category_Targets!$A$2:$A$9,0)),"Unmapped")</f>
        <v>Office &amp; Training</v>
      </c>
      <c r="G851" t="str">
        <f>TRIM(Procurement_Raw!G851)</f>
        <v>INV-2025-00850</v>
      </c>
      <c r="H851" s="77">
        <f>Procurement_Raw!H851</f>
        <v>30</v>
      </c>
      <c r="I851" s="124">
        <f>Procurement_Raw!I851</f>
        <v>56</v>
      </c>
      <c r="J851" s="125">
        <f>IF(Procurement_Raw!J851="","",Procurement_Raw!J851)</f>
        <v>1680.15</v>
      </c>
      <c r="K851" s="77">
        <f>Procurement_Raw!K851</f>
        <v>30</v>
      </c>
      <c r="L851" t="str">
        <f>Procurement_Raw!L851</f>
        <v>ERP</v>
      </c>
      <c r="M851" t="str">
        <f>Procurement_Raw!O851</f>
        <v>N</v>
      </c>
      <c r="N851" t="str">
        <f>IF(E851="","Missing supplier",IF(B851="","Missing site",IF(J851="","Missing spend",IF(COUNTIFS($G$2:G851,G851,$E$2:E851,E851,$J$2:J851,J851)&gt;1,"Duplicate invoice",IF(COUNTIF($G$2:$G$1801,G851)&gt;1,"Duplicate ID - review",IF(AND(P851&lt;&gt;"Unmapped",P851&lt;&gt;F851),"Category mismatch","OK"))))))</f>
        <v>OK</v>
      </c>
      <c r="O851" s="125">
        <f t="shared" si="39"/>
        <v>1680.15</v>
      </c>
      <c r="P851" t="str">
        <f>IF(E851="","Unmapped",IFERROR(INDEX(Supplier_Lookup!$B$2:$B$25,MATCH(E851,Supplier_Lookup!$A$2:$A$25,0)),"Unmapped"))</f>
        <v>Office &amp; Training</v>
      </c>
      <c r="Q851" s="76">
        <f>IFERROR(INDEX(Category_Targets!$B$2:$B$9,MATCH(F851,Category_Targets!$A$2:$A$9,0)),0)</f>
        <v>0.04</v>
      </c>
      <c r="R851" s="125">
        <f t="shared" si="40"/>
        <v>67.206000000000003</v>
      </c>
      <c r="S851" s="78">
        <f t="shared" si="41"/>
        <v>45658</v>
      </c>
      <c r="T851" t="str">
        <f>IFERROR(VLOOKUP(B851,Sites!$A$2:$D$21,4,FALSE()),"Unknown")</f>
        <v>Wrexham</v>
      </c>
      <c r="U851" t="str">
        <f>IF(N851="OK","",COUNTIF($N$2:N851,"&lt;&gt;OK"))</f>
        <v/>
      </c>
      <c r="V851">
        <f>IF(OR(NOT(EXACT(E851,TRIM(Procurement_Raw!E851))),NOT(EXACT(F851,TRIM(Procurement_Raw!F851)))),1,0)</f>
        <v>0</v>
      </c>
    </row>
    <row r="852" spans="1:22" ht="15" customHeight="1" x14ac:dyDescent="0.25">
      <c r="A852" s="123">
        <f>Procurement_Raw!A852</f>
        <v>45833</v>
      </c>
      <c r="B852" t="str">
        <f>TRIM(Procurement_Raw!B852)</f>
        <v>S009</v>
      </c>
      <c r="C852" t="str">
        <f>Procurement_Raw!C852</f>
        <v>Derby Care &amp; Education Centre</v>
      </c>
      <c r="D852" t="str">
        <f>Procurement_Raw!D852</f>
        <v>Midlands</v>
      </c>
      <c r="E852" t="str">
        <f>IF(TRIM(Procurement_Raw!E852)="","",IFERROR(INDEX(Supplier_Lookup!$A$2:$A$25,MATCH(TRIM(Procurement_Raw!E852),Supplier_Lookup!$A$2:$A$25,0)),TRIM(Procurement_Raw!E852)))</f>
        <v>OfficePlus</v>
      </c>
      <c r="F852" t="str">
        <f>IFERROR(INDEX(Category_Targets!$A$2:$A$9,MATCH(TRIM(Procurement_Raw!F852),Category_Targets!$A$2:$A$9,0)),"Unmapped")</f>
        <v>Office &amp; Training</v>
      </c>
      <c r="G852" t="str">
        <f>TRIM(Procurement_Raw!G852)</f>
        <v>INV-2025-00851</v>
      </c>
      <c r="H852" s="77">
        <f>Procurement_Raw!H852</f>
        <v>54</v>
      </c>
      <c r="I852" s="124">
        <f>Procurement_Raw!I852</f>
        <v>53.24</v>
      </c>
      <c r="J852" s="125">
        <f>IF(Procurement_Raw!J852="","",Procurement_Raw!J852)</f>
        <v>2874.82</v>
      </c>
      <c r="K852" s="77">
        <f>Procurement_Raw!K852</f>
        <v>45</v>
      </c>
      <c r="L852" t="str">
        <f>Procurement_Raw!L852</f>
        <v>Procurement Portal</v>
      </c>
      <c r="M852" t="str">
        <f>Procurement_Raw!O852</f>
        <v>N</v>
      </c>
      <c r="N852" t="str">
        <f>IF(E852="","Missing supplier",IF(B852="","Missing site",IF(J852="","Missing spend",IF(COUNTIFS($G$2:G852,G852,$E$2:E852,E852,$J$2:J852,J852)&gt;1,"Duplicate invoice",IF(COUNTIF($G$2:$G$1801,G852)&gt;1,"Duplicate ID - review",IF(AND(P852&lt;&gt;"Unmapped",P852&lt;&gt;F852),"Category mismatch","OK"))))))</f>
        <v>OK</v>
      </c>
      <c r="O852" s="125">
        <f t="shared" si="39"/>
        <v>2874.82</v>
      </c>
      <c r="P852" t="str">
        <f>IF(E852="","Unmapped",IFERROR(INDEX(Supplier_Lookup!$B$2:$B$25,MATCH(E852,Supplier_Lookup!$A$2:$A$25,0)),"Unmapped"))</f>
        <v>Office &amp; Training</v>
      </c>
      <c r="Q852" s="76">
        <f>IFERROR(INDEX(Category_Targets!$B$2:$B$9,MATCH(F852,Category_Targets!$A$2:$A$9,0)),0)</f>
        <v>0.04</v>
      </c>
      <c r="R852" s="125">
        <f t="shared" si="40"/>
        <v>114.9928</v>
      </c>
      <c r="S852" s="78">
        <f t="shared" si="41"/>
        <v>45809</v>
      </c>
      <c r="T852" t="str">
        <f>IFERROR(VLOOKUP(B852,Sites!$A$2:$D$21,4,FALSE()),"Unknown")</f>
        <v>Derby</v>
      </c>
      <c r="U852" t="str">
        <f>IF(N852="OK","",COUNTIF($N$2:N852,"&lt;&gt;OK"))</f>
        <v/>
      </c>
      <c r="V852">
        <f>IF(OR(NOT(EXACT(E852,TRIM(Procurement_Raw!E852))),NOT(EXACT(F852,TRIM(Procurement_Raw!F852)))),1,0)</f>
        <v>0</v>
      </c>
    </row>
    <row r="853" spans="1:22" ht="15" customHeight="1" x14ac:dyDescent="0.25">
      <c r="A853" s="123">
        <f>Procurement_Raw!A853</f>
        <v>45674</v>
      </c>
      <c r="B853" t="str">
        <f>TRIM(Procurement_Raw!B853)</f>
        <v>S010</v>
      </c>
      <c r="C853" t="str">
        <f>Procurement_Raw!C853</f>
        <v>Coventry Care &amp; Education Centre</v>
      </c>
      <c r="D853" t="str">
        <f>Procurement_Raw!D853</f>
        <v>Midlands</v>
      </c>
      <c r="E853" t="str">
        <f>IF(TRIM(Procurement_Raw!E853)="","",IFERROR(INDEX(Supplier_Lookup!$A$2:$A$25,MATCH(TRIM(Procurement_Raw!E853),Supplier_Lookup!$A$2:$A$25,0)),TRIM(Procurement_Raw!E853)))</f>
        <v>PrintCo</v>
      </c>
      <c r="F853" t="str">
        <f>IFERROR(INDEX(Category_Targets!$A$2:$A$9,MATCH(TRIM(Procurement_Raw!F853),Category_Targets!$A$2:$A$9,0)),"Unmapped")</f>
        <v>Office &amp; Training</v>
      </c>
      <c r="G853" t="str">
        <f>TRIM(Procurement_Raw!G853)</f>
        <v>INV-2025-00852</v>
      </c>
      <c r="H853" s="77">
        <f>Procurement_Raw!H853</f>
        <v>43</v>
      </c>
      <c r="I853" s="124">
        <f>Procurement_Raw!I853</f>
        <v>55.26</v>
      </c>
      <c r="J853" s="125">
        <f>IF(Procurement_Raw!J853="","",Procurement_Raw!J853)</f>
        <v>2376.0100000000002</v>
      </c>
      <c r="K853" s="77">
        <f>Procurement_Raw!K853</f>
        <v>30</v>
      </c>
      <c r="L853" t="str">
        <f>Procurement_Raw!L853</f>
        <v>ERP</v>
      </c>
      <c r="M853" t="str">
        <f>Procurement_Raw!O853</f>
        <v>N</v>
      </c>
      <c r="N853" t="str">
        <f>IF(E853="","Missing supplier",IF(B853="","Missing site",IF(J853="","Missing spend",IF(COUNTIFS($G$2:G853,G853,$E$2:E853,E853,$J$2:J853,J853)&gt;1,"Duplicate invoice",IF(COUNTIF($G$2:$G$1801,G853)&gt;1,"Duplicate ID - review",IF(AND(P853&lt;&gt;"Unmapped",P853&lt;&gt;F853),"Category mismatch","OK"))))))</f>
        <v>OK</v>
      </c>
      <c r="O853" s="125">
        <f t="shared" si="39"/>
        <v>2376.0100000000002</v>
      </c>
      <c r="P853" t="str">
        <f>IF(E853="","Unmapped",IFERROR(INDEX(Supplier_Lookup!$B$2:$B$25,MATCH(E853,Supplier_Lookup!$A$2:$A$25,0)),"Unmapped"))</f>
        <v>Office &amp; Training</v>
      </c>
      <c r="Q853" s="76">
        <f>IFERROR(INDEX(Category_Targets!$B$2:$B$9,MATCH(F853,Category_Targets!$A$2:$A$9,0)),0)</f>
        <v>0.04</v>
      </c>
      <c r="R853" s="125">
        <f t="shared" si="40"/>
        <v>95.040400000000005</v>
      </c>
      <c r="S853" s="78">
        <f t="shared" si="41"/>
        <v>45658</v>
      </c>
      <c r="T853" t="str">
        <f>IFERROR(VLOOKUP(B853,Sites!$A$2:$D$21,4,FALSE()),"Unknown")</f>
        <v>Coventry</v>
      </c>
      <c r="U853" t="str">
        <f>IF(N853="OK","",COUNTIF($N$2:N853,"&lt;&gt;OK"))</f>
        <v/>
      </c>
      <c r="V853">
        <f>IF(OR(NOT(EXACT(E853,TRIM(Procurement_Raw!E853))),NOT(EXACT(F853,TRIM(Procurement_Raw!F853)))),1,0)</f>
        <v>0</v>
      </c>
    </row>
    <row r="854" spans="1:22" ht="15" customHeight="1" x14ac:dyDescent="0.25">
      <c r="A854" s="123">
        <f>Procurement_Raw!A854</f>
        <v>45694</v>
      </c>
      <c r="B854" t="str">
        <f>TRIM(Procurement_Raw!B854)</f>
        <v>S006</v>
      </c>
      <c r="C854" t="str">
        <f>Procurement_Raw!C854</f>
        <v>Birmingham Care &amp; Education Centre</v>
      </c>
      <c r="D854" t="str">
        <f>Procurement_Raw!D854</f>
        <v>Midlands</v>
      </c>
      <c r="E854" t="str">
        <f>IF(TRIM(Procurement_Raw!E854)="","",IFERROR(INDEX(Supplier_Lookup!$A$2:$A$25,MATCH(TRIM(Procurement_Raw!E854),Supplier_Lookup!$A$2:$A$25,0)),TRIM(Procurement_Raw!E854)))</f>
        <v>TeleCare IT</v>
      </c>
      <c r="F854" t="str">
        <f>IFERROR(INDEX(Category_Targets!$A$2:$A$9,MATCH(TRIM(Procurement_Raw!F854),Category_Targets!$A$2:$A$9,0)),"Unmapped")</f>
        <v>IT &amp; Telecoms</v>
      </c>
      <c r="G854" t="str">
        <f>TRIM(Procurement_Raw!G854)</f>
        <v>INV-2025-00853</v>
      </c>
      <c r="H854" s="77">
        <f>Procurement_Raw!H854</f>
        <v>70</v>
      </c>
      <c r="I854" s="124">
        <f>Procurement_Raw!I854</f>
        <v>154.94</v>
      </c>
      <c r="J854" s="125">
        <f>IF(Procurement_Raw!J854="","",Procurement_Raw!J854)</f>
        <v>10846.09</v>
      </c>
      <c r="K854" s="77">
        <f>Procurement_Raw!K854</f>
        <v>45</v>
      </c>
      <c r="L854" t="str">
        <f>Procurement_Raw!L854</f>
        <v>ERP</v>
      </c>
      <c r="M854" t="str">
        <f>Procurement_Raw!O854</f>
        <v>N</v>
      </c>
      <c r="N854" t="str">
        <f>IF(E854="","Missing supplier",IF(B854="","Missing site",IF(J854="","Missing spend",IF(COUNTIFS($G$2:G854,G854,$E$2:E854,E854,$J$2:J854,J854)&gt;1,"Duplicate invoice",IF(COUNTIF($G$2:$G$1801,G854)&gt;1,"Duplicate ID - review",IF(AND(P854&lt;&gt;"Unmapped",P854&lt;&gt;F854),"Category mismatch","OK"))))))</f>
        <v>OK</v>
      </c>
      <c r="O854" s="125">
        <f t="shared" si="39"/>
        <v>10846.09</v>
      </c>
      <c r="P854" t="str">
        <f>IF(E854="","Unmapped",IFERROR(INDEX(Supplier_Lookup!$B$2:$B$25,MATCH(E854,Supplier_Lookup!$A$2:$A$25,0)),"Unmapped"))</f>
        <v>IT &amp; Telecoms</v>
      </c>
      <c r="Q854" s="76">
        <f>IFERROR(INDEX(Category_Targets!$B$2:$B$9,MATCH(F854,Category_Targets!$A$2:$A$9,0)),0)</f>
        <v>0.08</v>
      </c>
      <c r="R854" s="125">
        <f t="shared" si="40"/>
        <v>867.68720000000008</v>
      </c>
      <c r="S854" s="78">
        <f t="shared" si="41"/>
        <v>45689</v>
      </c>
      <c r="T854" t="str">
        <f>IFERROR(VLOOKUP(B854,Sites!$A$2:$D$21,4,FALSE()),"Unknown")</f>
        <v>Birmingham</v>
      </c>
      <c r="U854" t="str">
        <f>IF(N854="OK","",COUNTIF($N$2:N854,"&lt;&gt;OK"))</f>
        <v/>
      </c>
      <c r="V854">
        <f>IF(OR(NOT(EXACT(E854,TRIM(Procurement_Raw!E854))),NOT(EXACT(F854,TRIM(Procurement_Raw!F854)))),1,0)</f>
        <v>0</v>
      </c>
    </row>
    <row r="855" spans="1:22" ht="15" customHeight="1" x14ac:dyDescent="0.25">
      <c r="A855" s="123">
        <f>Procurement_Raw!A855</f>
        <v>45664</v>
      </c>
      <c r="B855" t="str">
        <f>TRIM(Procurement_Raw!B855)</f>
        <v>S015</v>
      </c>
      <c r="C855" t="str">
        <f>Procurement_Raw!C855</f>
        <v>Brighton Care &amp; Education Centre</v>
      </c>
      <c r="D855" t="str">
        <f>Procurement_Raw!D855</f>
        <v>South</v>
      </c>
      <c r="E855" t="str">
        <f>IF(TRIM(Procurement_Raw!E855)="","",IFERROR(INDEX(Supplier_Lookup!$A$2:$A$25,MATCH(TRIM(Procurement_Raw!E855),Supplier_Lookup!$A$2:$A$25,0)),TRIM(Procurement_Raw!E855)))</f>
        <v>TeleCare IT</v>
      </c>
      <c r="F855" t="str">
        <f>IFERROR(INDEX(Category_Targets!$A$2:$A$9,MATCH(TRIM(Procurement_Raw!F855),Category_Targets!$A$2:$A$9,0)),"Unmapped")</f>
        <v>IT &amp; Telecoms</v>
      </c>
      <c r="G855" t="str">
        <f>TRIM(Procurement_Raw!G855)</f>
        <v>INV-2025-00854</v>
      </c>
      <c r="H855" s="77">
        <f>Procurement_Raw!H855</f>
        <v>16</v>
      </c>
      <c r="I855" s="124">
        <f>Procurement_Raw!I855</f>
        <v>423.09</v>
      </c>
      <c r="J855" s="125">
        <f>IF(Procurement_Raw!J855="","",Procurement_Raw!J855)</f>
        <v>6769.45</v>
      </c>
      <c r="K855" s="77">
        <f>Procurement_Raw!K855</f>
        <v>60</v>
      </c>
      <c r="L855" t="str">
        <f>Procurement_Raw!L855</f>
        <v>ERP</v>
      </c>
      <c r="M855" t="str">
        <f>Procurement_Raw!O855</f>
        <v>N</v>
      </c>
      <c r="N855" t="str">
        <f>IF(E855="","Missing supplier",IF(B855="","Missing site",IF(J855="","Missing spend",IF(COUNTIFS($G$2:G855,G855,$E$2:E855,E855,$J$2:J855,J855)&gt;1,"Duplicate invoice",IF(COUNTIF($G$2:$G$1801,G855)&gt;1,"Duplicate ID - review",IF(AND(P855&lt;&gt;"Unmapped",P855&lt;&gt;F855),"Category mismatch","OK"))))))</f>
        <v>OK</v>
      </c>
      <c r="O855" s="125">
        <f t="shared" si="39"/>
        <v>6769.45</v>
      </c>
      <c r="P855" t="str">
        <f>IF(E855="","Unmapped",IFERROR(INDEX(Supplier_Lookup!$B$2:$B$25,MATCH(E855,Supplier_Lookup!$A$2:$A$25,0)),"Unmapped"))</f>
        <v>IT &amp; Telecoms</v>
      </c>
      <c r="Q855" s="76">
        <f>IFERROR(INDEX(Category_Targets!$B$2:$B$9,MATCH(F855,Category_Targets!$A$2:$A$9,0)),0)</f>
        <v>0.08</v>
      </c>
      <c r="R855" s="125">
        <f t="shared" si="40"/>
        <v>541.55600000000004</v>
      </c>
      <c r="S855" s="78">
        <f t="shared" si="41"/>
        <v>45658</v>
      </c>
      <c r="T855" t="str">
        <f>IFERROR(VLOOKUP(B855,Sites!$A$2:$D$21,4,FALSE()),"Unknown")</f>
        <v>Brighton</v>
      </c>
      <c r="U855" t="str">
        <f>IF(N855="OK","",COUNTIF($N$2:N855,"&lt;&gt;OK"))</f>
        <v/>
      </c>
      <c r="V855">
        <f>IF(OR(NOT(EXACT(E855,TRIM(Procurement_Raw!E855))),NOT(EXACT(F855,TRIM(Procurement_Raw!F855)))),1,0)</f>
        <v>0</v>
      </c>
    </row>
    <row r="856" spans="1:22" ht="15" customHeight="1" x14ac:dyDescent="0.25">
      <c r="A856" s="123">
        <f>Procurement_Raw!A856</f>
        <v>45675</v>
      </c>
      <c r="B856" t="str">
        <f>TRIM(Procurement_Raw!B856)</f>
        <v>S010</v>
      </c>
      <c r="C856" t="str">
        <f>Procurement_Raw!C856</f>
        <v>Coventry Care &amp; Education Centre</v>
      </c>
      <c r="D856" t="str">
        <f>Procurement_Raw!D856</f>
        <v>Midlands</v>
      </c>
      <c r="E856" t="str">
        <f>IF(TRIM(Procurement_Raw!E856)="","",IFERROR(INDEX(Supplier_Lookup!$A$2:$A$25,MATCH(TRIM(Procurement_Raw!E856),Supplier_Lookup!$A$2:$A$25,0)),TRIM(Procurement_Raw!E856)))</f>
        <v>OfficePlus</v>
      </c>
      <c r="F856" t="str">
        <f>IFERROR(INDEX(Category_Targets!$A$2:$A$9,MATCH(TRIM(Procurement_Raw!F856),Category_Targets!$A$2:$A$9,0)),"Unmapped")</f>
        <v>Office &amp; Training</v>
      </c>
      <c r="G856" t="str">
        <f>TRIM(Procurement_Raw!G856)</f>
        <v>INV-2025-00855</v>
      </c>
      <c r="H856" s="77">
        <f>Procurement_Raw!H856</f>
        <v>26</v>
      </c>
      <c r="I856" s="124">
        <f>Procurement_Raw!I856</f>
        <v>163.82</v>
      </c>
      <c r="J856" s="125">
        <f>IF(Procurement_Raw!J856="","",Procurement_Raw!J856)</f>
        <v>4259.3100000000004</v>
      </c>
      <c r="K856" s="77">
        <f>Procurement_Raw!K856</f>
        <v>45</v>
      </c>
      <c r="L856" t="str">
        <f>Procurement_Raw!L856</f>
        <v>Legacy Spend File</v>
      </c>
      <c r="M856" t="str">
        <f>Procurement_Raw!O856</f>
        <v>N</v>
      </c>
      <c r="N856" t="str">
        <f>IF(E856="","Missing supplier",IF(B856="","Missing site",IF(J856="","Missing spend",IF(COUNTIFS($G$2:G856,G856,$E$2:E856,E856,$J$2:J856,J856)&gt;1,"Duplicate invoice",IF(COUNTIF($G$2:$G$1801,G856)&gt;1,"Duplicate ID - review",IF(AND(P856&lt;&gt;"Unmapped",P856&lt;&gt;F856),"Category mismatch","OK"))))))</f>
        <v>OK</v>
      </c>
      <c r="O856" s="125">
        <f t="shared" si="39"/>
        <v>4259.3100000000004</v>
      </c>
      <c r="P856" t="str">
        <f>IF(E856="","Unmapped",IFERROR(INDEX(Supplier_Lookup!$B$2:$B$25,MATCH(E856,Supplier_Lookup!$A$2:$A$25,0)),"Unmapped"))</f>
        <v>Office &amp; Training</v>
      </c>
      <c r="Q856" s="76">
        <f>IFERROR(INDEX(Category_Targets!$B$2:$B$9,MATCH(F856,Category_Targets!$A$2:$A$9,0)),0)</f>
        <v>0.04</v>
      </c>
      <c r="R856" s="125">
        <f t="shared" si="40"/>
        <v>170.37240000000003</v>
      </c>
      <c r="S856" s="78">
        <f t="shared" si="41"/>
        <v>45658</v>
      </c>
      <c r="T856" t="str">
        <f>IFERROR(VLOOKUP(B856,Sites!$A$2:$D$21,4,FALSE()),"Unknown")</f>
        <v>Coventry</v>
      </c>
      <c r="U856" t="str">
        <f>IF(N856="OK","",COUNTIF($N$2:N856,"&lt;&gt;OK"))</f>
        <v/>
      </c>
      <c r="V856">
        <f>IF(OR(NOT(EXACT(E856,TRIM(Procurement_Raw!E856))),NOT(EXACT(F856,TRIM(Procurement_Raw!F856)))),1,0)</f>
        <v>0</v>
      </c>
    </row>
    <row r="857" spans="1:22" ht="15" customHeight="1" x14ac:dyDescent="0.25">
      <c r="A857" s="123">
        <f>Procurement_Raw!A857</f>
        <v>45857</v>
      </c>
      <c r="B857" t="str">
        <f>TRIM(Procurement_Raw!B857)</f>
        <v>S016</v>
      </c>
      <c r="C857" t="str">
        <f>Procurement_Raw!C857</f>
        <v>Cardiff Care &amp; Education Centre</v>
      </c>
      <c r="D857" t="str">
        <f>Procurement_Raw!D857</f>
        <v>Wales</v>
      </c>
      <c r="E857" t="str">
        <f>IF(TRIM(Procurement_Raw!E857)="","",IFERROR(INDEX(Supplier_Lookup!$A$2:$A$25,MATCH(TRIM(Procurement_Raw!E857),Supplier_Lookup!$A$2:$A$25,0)),TRIM(Procurement_Raw!E857)))</f>
        <v>WaterGrid</v>
      </c>
      <c r="F857" t="str">
        <f>IFERROR(INDEX(Category_Targets!$A$2:$A$9,MATCH(TRIM(Procurement_Raw!F857),Category_Targets!$A$2:$A$9,0)),"Unmapped")</f>
        <v>Utilities</v>
      </c>
      <c r="G857" t="str">
        <f>TRIM(Procurement_Raw!G857)</f>
        <v>INV-2025-00856</v>
      </c>
      <c r="H857" s="77">
        <f>Procurement_Raw!H857</f>
        <v>40</v>
      </c>
      <c r="I857" s="124">
        <f>Procurement_Raw!I857</f>
        <v>182.65</v>
      </c>
      <c r="J857" s="125">
        <f>IF(Procurement_Raw!J857="","",Procurement_Raw!J857)</f>
        <v>7305.84</v>
      </c>
      <c r="K857" s="77">
        <f>Procurement_Raw!K857</f>
        <v>45</v>
      </c>
      <c r="L857" t="str">
        <f>Procurement_Raw!L857</f>
        <v>ERP</v>
      </c>
      <c r="M857" t="str">
        <f>Procurement_Raw!O857</f>
        <v>N</v>
      </c>
      <c r="N857" t="str">
        <f>IF(E857="","Missing supplier",IF(B857="","Missing site",IF(J857="","Missing spend",IF(COUNTIFS($G$2:G857,G857,$E$2:E857,E857,$J$2:J857,J857)&gt;1,"Duplicate invoice",IF(COUNTIF($G$2:$G$1801,G857)&gt;1,"Duplicate ID - review",IF(AND(P857&lt;&gt;"Unmapped",P857&lt;&gt;F857),"Category mismatch","OK"))))))</f>
        <v>OK</v>
      </c>
      <c r="O857" s="125">
        <f t="shared" si="39"/>
        <v>7305.84</v>
      </c>
      <c r="P857" t="str">
        <f>IF(E857="","Unmapped",IFERROR(INDEX(Supplier_Lookup!$B$2:$B$25,MATCH(E857,Supplier_Lookup!$A$2:$A$25,0)),"Unmapped"))</f>
        <v>Utilities</v>
      </c>
      <c r="Q857" s="76">
        <f>IFERROR(INDEX(Category_Targets!$B$2:$B$9,MATCH(F857,Category_Targets!$A$2:$A$9,0)),0)</f>
        <v>0.03</v>
      </c>
      <c r="R857" s="125">
        <f t="shared" si="40"/>
        <v>219.17519999999999</v>
      </c>
      <c r="S857" s="78">
        <f t="shared" si="41"/>
        <v>45839</v>
      </c>
      <c r="T857" t="str">
        <f>IFERROR(VLOOKUP(B857,Sites!$A$2:$D$21,4,FALSE()),"Unknown")</f>
        <v>Cardiff</v>
      </c>
      <c r="U857" t="str">
        <f>IF(N857="OK","",COUNTIF($N$2:N857,"&lt;&gt;OK"))</f>
        <v/>
      </c>
      <c r="V857">
        <f>IF(OR(NOT(EXACT(E857,TRIM(Procurement_Raw!E857))),NOT(EXACT(F857,TRIM(Procurement_Raw!F857)))),1,0)</f>
        <v>0</v>
      </c>
    </row>
    <row r="858" spans="1:22" ht="15" customHeight="1" x14ac:dyDescent="0.25">
      <c r="A858" s="123">
        <f>Procurement_Raw!A858</f>
        <v>45939</v>
      </c>
      <c r="B858" t="str">
        <f>TRIM(Procurement_Raw!B858)</f>
        <v>S016</v>
      </c>
      <c r="C858" t="str">
        <f>Procurement_Raw!C858</f>
        <v>Cardiff Care &amp; Education Centre</v>
      </c>
      <c r="D858" t="str">
        <f>Procurement_Raw!D858</f>
        <v>Wales</v>
      </c>
      <c r="E858" t="str">
        <f>IF(TRIM(Procurement_Raw!E858)="","",IFERROR(INDEX(Supplier_Lookup!$A$2:$A$25,MATCH(TRIM(Procurement_Raw!E858),Supplier_Lookup!$A$2:$A$25,0)),TRIM(Procurement_Raw!E858)))</f>
        <v>ClinEquip</v>
      </c>
      <c r="F858" t="str">
        <f>IFERROR(INDEX(Category_Targets!$A$2:$A$9,MATCH(TRIM(Procurement_Raw!F858),Category_Targets!$A$2:$A$9,0)),"Unmapped")</f>
        <v>Medical Supplies</v>
      </c>
      <c r="G858" t="str">
        <f>TRIM(Procurement_Raw!G858)</f>
        <v>INV-2025-00857</v>
      </c>
      <c r="H858" s="77">
        <f>Procurement_Raw!H858</f>
        <v>67</v>
      </c>
      <c r="I858" s="124">
        <f>Procurement_Raw!I858</f>
        <v>75.92</v>
      </c>
      <c r="J858" s="125">
        <f>IF(Procurement_Raw!J858="","",Procurement_Raw!J858)</f>
        <v>5086.72</v>
      </c>
      <c r="K858" s="77">
        <f>Procurement_Raw!K858</f>
        <v>30</v>
      </c>
      <c r="L858" t="str">
        <f>Procurement_Raw!L858</f>
        <v>Procurement Portal</v>
      </c>
      <c r="M858" t="str">
        <f>Procurement_Raw!O858</f>
        <v>N</v>
      </c>
      <c r="N858" t="str">
        <f>IF(E858="","Missing supplier",IF(B858="","Missing site",IF(J858="","Missing spend",IF(COUNTIFS($G$2:G858,G858,$E$2:E858,E858,$J$2:J858,J858)&gt;1,"Duplicate invoice",IF(COUNTIF($G$2:$G$1801,G858)&gt;1,"Duplicate ID - review",IF(AND(P858&lt;&gt;"Unmapped",P858&lt;&gt;F858),"Category mismatch","OK"))))))</f>
        <v>OK</v>
      </c>
      <c r="O858" s="125">
        <f t="shared" si="39"/>
        <v>5086.72</v>
      </c>
      <c r="P858" t="str">
        <f>IF(E858="","Unmapped",IFERROR(INDEX(Supplier_Lookup!$B$2:$B$25,MATCH(E858,Supplier_Lookup!$A$2:$A$25,0)),"Unmapped"))</f>
        <v>Medical Supplies</v>
      </c>
      <c r="Q858" s="76">
        <f>IFERROR(INDEX(Category_Targets!$B$2:$B$9,MATCH(F858,Category_Targets!$A$2:$A$9,0)),0)</f>
        <v>0.06</v>
      </c>
      <c r="R858" s="125">
        <f t="shared" si="40"/>
        <v>305.20319999999998</v>
      </c>
      <c r="S858" s="78">
        <f t="shared" si="41"/>
        <v>45931</v>
      </c>
      <c r="T858" t="str">
        <f>IFERROR(VLOOKUP(B858,Sites!$A$2:$D$21,4,FALSE()),"Unknown")</f>
        <v>Cardiff</v>
      </c>
      <c r="U858" t="str">
        <f>IF(N858="OK","",COUNTIF($N$2:N858,"&lt;&gt;OK"))</f>
        <v/>
      </c>
      <c r="V858">
        <f>IF(OR(NOT(EXACT(E858,TRIM(Procurement_Raw!E858))),NOT(EXACT(F858,TRIM(Procurement_Raw!F858)))),1,0)</f>
        <v>0</v>
      </c>
    </row>
    <row r="859" spans="1:22" ht="15" customHeight="1" x14ac:dyDescent="0.25">
      <c r="A859" s="123">
        <f>Procurement_Raw!A859</f>
        <v>45842</v>
      </c>
      <c r="B859" t="str">
        <f>TRIM(Procurement_Raw!B859)</f>
        <v>S003</v>
      </c>
      <c r="C859" t="str">
        <f>Procurement_Raw!C859</f>
        <v>Leeds Care &amp; Education Centre</v>
      </c>
      <c r="D859" t="str">
        <f>Procurement_Raw!D859</f>
        <v>North</v>
      </c>
      <c r="E859" t="str">
        <f>IF(TRIM(Procurement_Raw!E859)="","",IFERROR(INDEX(Supplier_Lookup!$A$2:$A$25,MATCH(TRIM(Procurement_Raw!E859),Supplier_Lookup!$A$2:$A$25,0)),TRIM(Procurement_Raw!E859)))</f>
        <v>CloudLink</v>
      </c>
      <c r="F859" t="str">
        <f>IFERROR(INDEX(Category_Targets!$A$2:$A$9,MATCH(TRIM(Procurement_Raw!F859),Category_Targets!$A$2:$A$9,0)),"Unmapped")</f>
        <v>IT &amp; Telecoms</v>
      </c>
      <c r="G859" t="str">
        <f>TRIM(Procurement_Raw!G859)</f>
        <v>INV-2025-00858</v>
      </c>
      <c r="H859" s="77">
        <f>Procurement_Raw!H859</f>
        <v>7</v>
      </c>
      <c r="I859" s="124">
        <f>Procurement_Raw!I859</f>
        <v>285.12</v>
      </c>
      <c r="J859" s="125">
        <f>IF(Procurement_Raw!J859="","",Procurement_Raw!J859)</f>
        <v>1995.83</v>
      </c>
      <c r="K859" s="77">
        <f>Procurement_Raw!K859</f>
        <v>60</v>
      </c>
      <c r="L859" t="str">
        <f>Procurement_Raw!L859</f>
        <v>ERP</v>
      </c>
      <c r="M859" t="str">
        <f>Procurement_Raw!O859</f>
        <v>Y</v>
      </c>
      <c r="N859" t="str">
        <f>IF(E859="","Missing supplier",IF(B859="","Missing site",IF(J859="","Missing spend",IF(COUNTIFS($G$2:G859,G859,$E$2:E859,E859,$J$2:J859,J859)&gt;1,"Duplicate invoice",IF(COUNTIF($G$2:$G$1801,G859)&gt;1,"Duplicate ID - review",IF(AND(P859&lt;&gt;"Unmapped",P859&lt;&gt;F859),"Category mismatch","OK"))))))</f>
        <v>OK</v>
      </c>
      <c r="O859" s="125">
        <f t="shared" si="39"/>
        <v>1995.83</v>
      </c>
      <c r="P859" t="str">
        <f>IF(E859="","Unmapped",IFERROR(INDEX(Supplier_Lookup!$B$2:$B$25,MATCH(E859,Supplier_Lookup!$A$2:$A$25,0)),"Unmapped"))</f>
        <v>IT &amp; Telecoms</v>
      </c>
      <c r="Q859" s="76">
        <f>IFERROR(INDEX(Category_Targets!$B$2:$B$9,MATCH(F859,Category_Targets!$A$2:$A$9,0)),0)</f>
        <v>0.08</v>
      </c>
      <c r="R859" s="125">
        <f t="shared" si="40"/>
        <v>159.66640000000001</v>
      </c>
      <c r="S859" s="78">
        <f t="shared" si="41"/>
        <v>45839</v>
      </c>
      <c r="T859" t="str">
        <f>IFERROR(VLOOKUP(B859,Sites!$A$2:$D$21,4,FALSE()),"Unknown")</f>
        <v>Leeds</v>
      </c>
      <c r="U859" t="str">
        <f>IF(N859="OK","",COUNTIF($N$2:N859,"&lt;&gt;OK"))</f>
        <v/>
      </c>
      <c r="V859">
        <f>IF(OR(NOT(EXACT(E859,TRIM(Procurement_Raw!E859))),NOT(EXACT(F859,TRIM(Procurement_Raw!F859)))),1,0)</f>
        <v>0</v>
      </c>
    </row>
    <row r="860" spans="1:22" ht="15" customHeight="1" x14ac:dyDescent="0.25">
      <c r="A860" s="123">
        <f>Procurement_Raw!A860</f>
        <v>45880</v>
      </c>
      <c r="B860" t="str">
        <f>TRIM(Procurement_Raw!B860)</f>
        <v>S018</v>
      </c>
      <c r="C860" t="str">
        <f>Procurement_Raw!C860</f>
        <v>Newport Care &amp; Education Centre</v>
      </c>
      <c r="D860" t="str">
        <f>Procurement_Raw!D860</f>
        <v>Wales</v>
      </c>
      <c r="E860" t="str">
        <f>IF(TRIM(Procurement_Raw!E860)="","",IFERROR(INDEX(Supplier_Lookup!$A$2:$A$25,MATCH(TRIM(Procurement_Raw!E860),Supplier_Lookup!$A$2:$A$25,0)),TRIM(Procurement_Raw!E860)))</f>
        <v>PowerDirect</v>
      </c>
      <c r="F860" t="str">
        <f>IFERROR(INDEX(Category_Targets!$A$2:$A$9,MATCH(TRIM(Procurement_Raw!F860),Category_Targets!$A$2:$A$9,0)),"Unmapped")</f>
        <v>Utilities</v>
      </c>
      <c r="G860" t="str">
        <f>TRIM(Procurement_Raw!G860)</f>
        <v>INV-2025-00859</v>
      </c>
      <c r="H860" s="77">
        <f>Procurement_Raw!H860</f>
        <v>42</v>
      </c>
      <c r="I860" s="124">
        <f>Procurement_Raw!I860</f>
        <v>184.52</v>
      </c>
      <c r="J860" s="125">
        <f>IF(Procurement_Raw!J860="","",Procurement_Raw!J860)</f>
        <v>7749.69</v>
      </c>
      <c r="K860" s="77">
        <f>Procurement_Raw!K860</f>
        <v>30</v>
      </c>
      <c r="L860" t="str">
        <f>Procurement_Raw!L860</f>
        <v>ERP</v>
      </c>
      <c r="M860" t="str">
        <f>Procurement_Raw!O860</f>
        <v>N</v>
      </c>
      <c r="N860" t="str">
        <f>IF(E860="","Missing supplier",IF(B860="","Missing site",IF(J860="","Missing spend",IF(COUNTIFS($G$2:G860,G860,$E$2:E860,E860,$J$2:J860,J860)&gt;1,"Duplicate invoice",IF(COUNTIF($G$2:$G$1801,G860)&gt;1,"Duplicate ID - review",IF(AND(P860&lt;&gt;"Unmapped",P860&lt;&gt;F860),"Category mismatch","OK"))))))</f>
        <v>OK</v>
      </c>
      <c r="O860" s="125">
        <f t="shared" si="39"/>
        <v>7749.69</v>
      </c>
      <c r="P860" t="str">
        <f>IF(E860="","Unmapped",IFERROR(INDEX(Supplier_Lookup!$B$2:$B$25,MATCH(E860,Supplier_Lookup!$A$2:$A$25,0)),"Unmapped"))</f>
        <v>Utilities</v>
      </c>
      <c r="Q860" s="76">
        <f>IFERROR(INDEX(Category_Targets!$B$2:$B$9,MATCH(F860,Category_Targets!$A$2:$A$9,0)),0)</f>
        <v>0.03</v>
      </c>
      <c r="R860" s="125">
        <f t="shared" si="40"/>
        <v>232.49069999999998</v>
      </c>
      <c r="S860" s="78">
        <f t="shared" si="41"/>
        <v>45870</v>
      </c>
      <c r="T860" t="str">
        <f>IFERROR(VLOOKUP(B860,Sites!$A$2:$D$21,4,FALSE()),"Unknown")</f>
        <v>Newport</v>
      </c>
      <c r="U860" t="str">
        <f>IF(N860="OK","",COUNTIF($N$2:N860,"&lt;&gt;OK"))</f>
        <v/>
      </c>
      <c r="V860">
        <f>IF(OR(NOT(EXACT(E860,TRIM(Procurement_Raw!E860))),NOT(EXACT(F860,TRIM(Procurement_Raw!F860)))),1,0)</f>
        <v>0</v>
      </c>
    </row>
    <row r="861" spans="1:22" ht="15" customHeight="1" x14ac:dyDescent="0.25">
      <c r="A861" s="123">
        <f>Procurement_Raw!A861</f>
        <v>45782</v>
      </c>
      <c r="B861" t="str">
        <f>TRIM(Procurement_Raw!B861)</f>
        <v>S020</v>
      </c>
      <c r="C861" t="str">
        <f>Procurement_Raw!C861</f>
        <v>Bangor Care &amp; Education Centre</v>
      </c>
      <c r="D861" t="str">
        <f>Procurement_Raw!D861</f>
        <v>Wales</v>
      </c>
      <c r="E861" t="str">
        <f>IF(TRIM(Procurement_Raw!E861)="","",IFERROR(INDEX(Supplier_Lookup!$A$2:$A$25,MATCH(TRIM(Procurement_Raw!E861),Supplier_Lookup!$A$2:$A$25,0)),TRIM(Procurement_Raw!E861)))</f>
        <v>NourishCo</v>
      </c>
      <c r="F861" t="str">
        <f>IFERROR(INDEX(Category_Targets!$A$2:$A$9,MATCH(TRIM(Procurement_Raw!F861),Category_Targets!$A$2:$A$9,0)),"Unmapped")</f>
        <v>Food &amp; Catering</v>
      </c>
      <c r="G861" t="str">
        <f>TRIM(Procurement_Raw!G861)</f>
        <v>INV-2025-00860</v>
      </c>
      <c r="H861" s="77">
        <f>Procurement_Raw!H861</f>
        <v>2</v>
      </c>
      <c r="I861" s="124">
        <f>Procurement_Raw!I861</f>
        <v>92.07</v>
      </c>
      <c r="J861" s="125">
        <f>IF(Procurement_Raw!J861="","",Procurement_Raw!J861)</f>
        <v>184.13</v>
      </c>
      <c r="K861" s="77">
        <f>Procurement_Raw!K861</f>
        <v>30</v>
      </c>
      <c r="L861" t="str">
        <f>Procurement_Raw!L861</f>
        <v>Legacy Spend File</v>
      </c>
      <c r="M861" t="str">
        <f>Procurement_Raw!O861</f>
        <v>N</v>
      </c>
      <c r="N861" t="str">
        <f>IF(E861="","Missing supplier",IF(B861="","Missing site",IF(J861="","Missing spend",IF(COUNTIFS($G$2:G861,G861,$E$2:E861,E861,$J$2:J861,J861)&gt;1,"Duplicate invoice",IF(COUNTIF($G$2:$G$1801,G861)&gt;1,"Duplicate ID - review",IF(AND(P861&lt;&gt;"Unmapped",P861&lt;&gt;F861),"Category mismatch","OK"))))))</f>
        <v>OK</v>
      </c>
      <c r="O861" s="125">
        <f t="shared" si="39"/>
        <v>184.13</v>
      </c>
      <c r="P861" t="str">
        <f>IF(E861="","Unmapped",IFERROR(INDEX(Supplier_Lookup!$B$2:$B$25,MATCH(E861,Supplier_Lookup!$A$2:$A$25,0)),"Unmapped"))</f>
        <v>Food &amp; Catering</v>
      </c>
      <c r="Q861" s="76">
        <f>IFERROR(INDEX(Category_Targets!$B$2:$B$9,MATCH(F861,Category_Targets!$A$2:$A$9,0)),0)</f>
        <v>0.04</v>
      </c>
      <c r="R861" s="125">
        <f t="shared" si="40"/>
        <v>7.3651999999999997</v>
      </c>
      <c r="S861" s="78">
        <f t="shared" si="41"/>
        <v>45778</v>
      </c>
      <c r="T861" t="str">
        <f>IFERROR(VLOOKUP(B861,Sites!$A$2:$D$21,4,FALSE()),"Unknown")</f>
        <v>Bangor</v>
      </c>
      <c r="U861" t="str">
        <f>IF(N861="OK","",COUNTIF($N$2:N861,"&lt;&gt;OK"))</f>
        <v/>
      </c>
      <c r="V861">
        <f>IF(OR(NOT(EXACT(E861,TRIM(Procurement_Raw!E861))),NOT(EXACT(F861,TRIM(Procurement_Raw!F861)))),1,0)</f>
        <v>0</v>
      </c>
    </row>
    <row r="862" spans="1:22" ht="15" customHeight="1" x14ac:dyDescent="0.25">
      <c r="A862" s="123">
        <f>Procurement_Raw!A862</f>
        <v>45963</v>
      </c>
      <c r="B862" t="str">
        <f>TRIM(Procurement_Raw!B862)</f>
        <v>S004</v>
      </c>
      <c r="C862" t="str">
        <f>Procurement_Raw!C862</f>
        <v>Newcastle Care &amp; Education Centre</v>
      </c>
      <c r="D862" t="str">
        <f>Procurement_Raw!D862</f>
        <v>North</v>
      </c>
      <c r="E862" t="str">
        <f>IF(TRIM(Procurement_Raw!E862)="","",IFERROR(INDEX(Supplier_Lookup!$A$2:$A$25,MATCH(TRIM(Procurement_Raw!E862),Supplier_Lookup!$A$2:$A$25,0)),TRIM(Procurement_Raw!E862)))</f>
        <v>PrintCo</v>
      </c>
      <c r="F862" t="str">
        <f>IFERROR(INDEX(Category_Targets!$A$2:$A$9,MATCH(TRIM(Procurement_Raw!F862),Category_Targets!$A$2:$A$9,0)),"Unmapped")</f>
        <v>Office &amp; Training</v>
      </c>
      <c r="G862" t="str">
        <f>TRIM(Procurement_Raw!G862)</f>
        <v>INV-2025-00861</v>
      </c>
      <c r="H862" s="77">
        <f>Procurement_Raw!H862</f>
        <v>20</v>
      </c>
      <c r="I862" s="124">
        <f>Procurement_Raw!I862</f>
        <v>83.86</v>
      </c>
      <c r="J862" s="125">
        <f>IF(Procurement_Raw!J862="","",Procurement_Raw!J862)</f>
        <v>1677.11</v>
      </c>
      <c r="K862" s="77">
        <f>Procurement_Raw!K862</f>
        <v>45</v>
      </c>
      <c r="L862" t="str">
        <f>Procurement_Raw!L862</f>
        <v>ERP</v>
      </c>
      <c r="M862" t="str">
        <f>Procurement_Raw!O862</f>
        <v>N</v>
      </c>
      <c r="N862" t="str">
        <f>IF(E862="","Missing supplier",IF(B862="","Missing site",IF(J862="","Missing spend",IF(COUNTIFS($G$2:G862,G862,$E$2:E862,E862,$J$2:J862,J862)&gt;1,"Duplicate invoice",IF(COUNTIF($G$2:$G$1801,G862)&gt;1,"Duplicate ID - review",IF(AND(P862&lt;&gt;"Unmapped",P862&lt;&gt;F862),"Category mismatch","OK"))))))</f>
        <v>OK</v>
      </c>
      <c r="O862" s="125">
        <f t="shared" si="39"/>
        <v>1677.11</v>
      </c>
      <c r="P862" t="str">
        <f>IF(E862="","Unmapped",IFERROR(INDEX(Supplier_Lookup!$B$2:$B$25,MATCH(E862,Supplier_Lookup!$A$2:$A$25,0)),"Unmapped"))</f>
        <v>Office &amp; Training</v>
      </c>
      <c r="Q862" s="76">
        <f>IFERROR(INDEX(Category_Targets!$B$2:$B$9,MATCH(F862,Category_Targets!$A$2:$A$9,0)),0)</f>
        <v>0.04</v>
      </c>
      <c r="R862" s="125">
        <f t="shared" si="40"/>
        <v>67.084400000000002</v>
      </c>
      <c r="S862" s="78">
        <f t="shared" si="41"/>
        <v>45962</v>
      </c>
      <c r="T862" t="str">
        <f>IFERROR(VLOOKUP(B862,Sites!$A$2:$D$21,4,FALSE()),"Unknown")</f>
        <v>Newcastle</v>
      </c>
      <c r="U862" t="str">
        <f>IF(N862="OK","",COUNTIF($N$2:N862,"&lt;&gt;OK"))</f>
        <v/>
      </c>
      <c r="V862">
        <f>IF(OR(NOT(EXACT(E862,TRIM(Procurement_Raw!E862))),NOT(EXACT(F862,TRIM(Procurement_Raw!F862)))),1,0)</f>
        <v>0</v>
      </c>
    </row>
    <row r="863" spans="1:22" ht="15" customHeight="1" x14ac:dyDescent="0.25">
      <c r="A863" s="123">
        <f>Procurement_Raw!A863</f>
        <v>45704</v>
      </c>
      <c r="B863" t="str">
        <f>TRIM(Procurement_Raw!B863)</f>
        <v>S014</v>
      </c>
      <c r="C863" t="str">
        <f>Procurement_Raw!C863</f>
        <v>Southampton Care &amp; Education Centre</v>
      </c>
      <c r="D863" t="str">
        <f>Procurement_Raw!D863</f>
        <v>South</v>
      </c>
      <c r="E863" t="str">
        <f>IF(TRIM(Procurement_Raw!E863)="","",IFERROR(INDEX(Supplier_Lookup!$A$2:$A$25,MATCH(TRIM(Procurement_Raw!E863),Supplier_Lookup!$A$2:$A$25,0)),TRIM(Procurement_Raw!E863)))</f>
        <v>SafeGuard FM</v>
      </c>
      <c r="F863" t="str">
        <f>IFERROR(INDEX(Category_Targets!$A$2:$A$9,MATCH(TRIM(Procurement_Raw!F863),Category_Targets!$A$2:$A$9,0)),"Unmapped")</f>
        <v>Facilities</v>
      </c>
      <c r="G863" t="str">
        <f>TRIM(Procurement_Raw!G863)</f>
        <v>INV-2025-00862</v>
      </c>
      <c r="H863" s="77">
        <f>Procurement_Raw!H863</f>
        <v>80</v>
      </c>
      <c r="I863" s="124">
        <f>Procurement_Raw!I863</f>
        <v>78.2</v>
      </c>
      <c r="J863" s="125">
        <f>IF(Procurement_Raw!J863="","",Procurement_Raw!J863)</f>
        <v>6256.17</v>
      </c>
      <c r="K863" s="77">
        <f>Procurement_Raw!K863</f>
        <v>45</v>
      </c>
      <c r="L863" t="str">
        <f>Procurement_Raw!L863</f>
        <v>Legacy Spend File</v>
      </c>
      <c r="M863" t="str">
        <f>Procurement_Raw!O863</f>
        <v>N</v>
      </c>
      <c r="N863" t="str">
        <f>IF(E863="","Missing supplier",IF(B863="","Missing site",IF(J863="","Missing spend",IF(COUNTIFS($G$2:G863,G863,$E$2:E863,E863,$J$2:J863,J863)&gt;1,"Duplicate invoice",IF(COUNTIF($G$2:$G$1801,G863)&gt;1,"Duplicate ID - review",IF(AND(P863&lt;&gt;"Unmapped",P863&lt;&gt;F863),"Category mismatch","OK"))))))</f>
        <v>OK</v>
      </c>
      <c r="O863" s="125">
        <f t="shared" si="39"/>
        <v>6256.17</v>
      </c>
      <c r="P863" t="str">
        <f>IF(E863="","Unmapped",IFERROR(INDEX(Supplier_Lookup!$B$2:$B$25,MATCH(E863,Supplier_Lookup!$A$2:$A$25,0)),"Unmapped"))</f>
        <v>Facilities</v>
      </c>
      <c r="Q863" s="76">
        <f>IFERROR(INDEX(Category_Targets!$B$2:$B$9,MATCH(F863,Category_Targets!$A$2:$A$9,0)),0)</f>
        <v>0.05</v>
      </c>
      <c r="R863" s="125">
        <f t="shared" si="40"/>
        <v>312.80850000000004</v>
      </c>
      <c r="S863" s="78">
        <f t="shared" si="41"/>
        <v>45689</v>
      </c>
      <c r="T863" t="str">
        <f>IFERROR(VLOOKUP(B863,Sites!$A$2:$D$21,4,FALSE()),"Unknown")</f>
        <v>Southampton</v>
      </c>
      <c r="U863" t="str">
        <f>IF(N863="OK","",COUNTIF($N$2:N863,"&lt;&gt;OK"))</f>
        <v/>
      </c>
      <c r="V863">
        <f>IF(OR(NOT(EXACT(E863,TRIM(Procurement_Raw!E863))),NOT(EXACT(F863,TRIM(Procurement_Raw!F863)))),1,0)</f>
        <v>0</v>
      </c>
    </row>
    <row r="864" spans="1:22" ht="15" customHeight="1" x14ac:dyDescent="0.25">
      <c r="A864" s="123">
        <f>Procurement_Raw!A864</f>
        <v>45988</v>
      </c>
      <c r="B864" t="str">
        <f>TRIM(Procurement_Raw!B864)</f>
        <v>S015</v>
      </c>
      <c r="C864" t="str">
        <f>Procurement_Raw!C864</f>
        <v>Brighton Care &amp; Education Centre</v>
      </c>
      <c r="D864" t="str">
        <f>Procurement_Raw!D864</f>
        <v>South</v>
      </c>
      <c r="E864" t="str">
        <f>IF(TRIM(Procurement_Raw!E864)="","",IFERROR(INDEX(Supplier_Lookup!$A$2:$A$25,MATCH(TRIM(Procurement_Raw!E864),Supplier_Lookup!$A$2:$A$25,0)),TRIM(Procurement_Raw!E864)))</f>
        <v>CareMed</v>
      </c>
      <c r="F864" t="str">
        <f>IFERROR(INDEX(Category_Targets!$A$2:$A$9,MATCH(TRIM(Procurement_Raw!F864),Category_Targets!$A$2:$A$9,0)),"Unmapped")</f>
        <v>Medical Supplies</v>
      </c>
      <c r="G864" t="str">
        <f>TRIM(Procurement_Raw!G864)</f>
        <v>INV-2025-00863</v>
      </c>
      <c r="H864" s="77">
        <f>Procurement_Raw!H864</f>
        <v>20</v>
      </c>
      <c r="I864" s="124">
        <f>Procurement_Raw!I864</f>
        <v>281.07</v>
      </c>
      <c r="J864" s="125">
        <f>IF(Procurement_Raw!J864="","",Procurement_Raw!J864)</f>
        <v>5621.49</v>
      </c>
      <c r="K864" s="77">
        <f>Procurement_Raw!K864</f>
        <v>60</v>
      </c>
      <c r="L864" t="str">
        <f>Procurement_Raw!L864</f>
        <v>Legacy Spend File</v>
      </c>
      <c r="M864" t="str">
        <f>Procurement_Raw!O864</f>
        <v>N</v>
      </c>
      <c r="N864" t="str">
        <f>IF(E864="","Missing supplier",IF(B864="","Missing site",IF(J864="","Missing spend",IF(COUNTIFS($G$2:G864,G864,$E$2:E864,E864,$J$2:J864,J864)&gt;1,"Duplicate invoice",IF(COUNTIF($G$2:$G$1801,G864)&gt;1,"Duplicate ID - review",IF(AND(P864&lt;&gt;"Unmapped",P864&lt;&gt;F864),"Category mismatch","OK"))))))</f>
        <v>OK</v>
      </c>
      <c r="O864" s="125">
        <f t="shared" si="39"/>
        <v>5621.49</v>
      </c>
      <c r="P864" t="str">
        <f>IF(E864="","Unmapped",IFERROR(INDEX(Supplier_Lookup!$B$2:$B$25,MATCH(E864,Supplier_Lookup!$A$2:$A$25,0)),"Unmapped"))</f>
        <v>Medical Supplies</v>
      </c>
      <c r="Q864" s="76">
        <f>IFERROR(INDEX(Category_Targets!$B$2:$B$9,MATCH(F864,Category_Targets!$A$2:$A$9,0)),0)</f>
        <v>0.06</v>
      </c>
      <c r="R864" s="125">
        <f t="shared" si="40"/>
        <v>337.2894</v>
      </c>
      <c r="S864" s="78">
        <f t="shared" si="41"/>
        <v>45962</v>
      </c>
      <c r="T864" t="str">
        <f>IFERROR(VLOOKUP(B864,Sites!$A$2:$D$21,4,FALSE()),"Unknown")</f>
        <v>Brighton</v>
      </c>
      <c r="U864" t="str">
        <f>IF(N864="OK","",COUNTIF($N$2:N864,"&lt;&gt;OK"))</f>
        <v/>
      </c>
      <c r="V864">
        <f>IF(OR(NOT(EXACT(E864,TRIM(Procurement_Raw!E864))),NOT(EXACT(F864,TRIM(Procurement_Raw!F864)))),1,0)</f>
        <v>0</v>
      </c>
    </row>
    <row r="865" spans="1:22" ht="15" customHeight="1" x14ac:dyDescent="0.25">
      <c r="A865" s="123">
        <f>Procurement_Raw!A865</f>
        <v>45777</v>
      </c>
      <c r="B865" t="str">
        <f>TRIM(Procurement_Raw!B865)</f>
        <v>S006</v>
      </c>
      <c r="C865" t="str">
        <f>Procurement_Raw!C865</f>
        <v>Birmingham Care &amp; Education Centre</v>
      </c>
      <c r="D865" t="str">
        <f>Procurement_Raw!D865</f>
        <v>Midlands</v>
      </c>
      <c r="E865" t="str">
        <f>IF(TRIM(Procurement_Raw!E865)="","",IFERROR(INDEX(Supplier_Lookup!$A$2:$A$25,MATCH(TRIM(Procurement_Raw!E865),Supplier_Lookup!$A$2:$A$25,0)),TRIM(Procurement_Raw!E865)))</f>
        <v>SafeGuard FM</v>
      </c>
      <c r="F865" t="str">
        <f>IFERROR(INDEX(Category_Targets!$A$2:$A$9,MATCH(TRIM(Procurement_Raw!F865),Category_Targets!$A$2:$A$9,0)),"Unmapped")</f>
        <v>Facilities</v>
      </c>
      <c r="G865" t="str">
        <f>TRIM(Procurement_Raw!G865)</f>
        <v>INV-2025-00864</v>
      </c>
      <c r="H865" s="77">
        <f>Procurement_Raw!H865</f>
        <v>41</v>
      </c>
      <c r="I865" s="124">
        <f>Procurement_Raw!I865</f>
        <v>483.33</v>
      </c>
      <c r="J865" s="125">
        <f>IF(Procurement_Raw!J865="","",Procurement_Raw!J865)</f>
        <v>19816.330000000002</v>
      </c>
      <c r="K865" s="77">
        <f>Procurement_Raw!K865</f>
        <v>60</v>
      </c>
      <c r="L865" t="str">
        <f>Procurement_Raw!L865</f>
        <v>Legacy Spend File</v>
      </c>
      <c r="M865" t="str">
        <f>Procurement_Raw!O865</f>
        <v>N</v>
      </c>
      <c r="N865" t="str">
        <f>IF(E865="","Missing supplier",IF(B865="","Missing site",IF(J865="","Missing spend",IF(COUNTIFS($G$2:G865,G865,$E$2:E865,E865,$J$2:J865,J865)&gt;1,"Duplicate invoice",IF(COUNTIF($G$2:$G$1801,G865)&gt;1,"Duplicate ID - review",IF(AND(P865&lt;&gt;"Unmapped",P865&lt;&gt;F865),"Category mismatch","OK"))))))</f>
        <v>OK</v>
      </c>
      <c r="O865" s="125">
        <f t="shared" si="39"/>
        <v>19816.330000000002</v>
      </c>
      <c r="P865" t="str">
        <f>IF(E865="","Unmapped",IFERROR(INDEX(Supplier_Lookup!$B$2:$B$25,MATCH(E865,Supplier_Lookup!$A$2:$A$25,0)),"Unmapped"))</f>
        <v>Facilities</v>
      </c>
      <c r="Q865" s="76">
        <f>IFERROR(INDEX(Category_Targets!$B$2:$B$9,MATCH(F865,Category_Targets!$A$2:$A$9,0)),0)</f>
        <v>0.05</v>
      </c>
      <c r="R865" s="125">
        <f t="shared" si="40"/>
        <v>990.81650000000013</v>
      </c>
      <c r="S865" s="78">
        <f t="shared" si="41"/>
        <v>45748</v>
      </c>
      <c r="T865" t="str">
        <f>IFERROR(VLOOKUP(B865,Sites!$A$2:$D$21,4,FALSE()),"Unknown")</f>
        <v>Birmingham</v>
      </c>
      <c r="U865" t="str">
        <f>IF(N865="OK","",COUNTIF($N$2:N865,"&lt;&gt;OK"))</f>
        <v/>
      </c>
      <c r="V865">
        <f>IF(OR(NOT(EXACT(E865,TRIM(Procurement_Raw!E865))),NOT(EXACT(F865,TRIM(Procurement_Raw!F865)))),1,0)</f>
        <v>0</v>
      </c>
    </row>
    <row r="866" spans="1:22" ht="15" customHeight="1" x14ac:dyDescent="0.25">
      <c r="A866" s="123">
        <f>Procurement_Raw!A866</f>
        <v>45756</v>
      </c>
      <c r="B866" t="str">
        <f>TRIM(Procurement_Raw!B866)</f>
        <v>S015</v>
      </c>
      <c r="C866" t="str">
        <f>Procurement_Raw!C866</f>
        <v>Brighton Care &amp; Education Centre</v>
      </c>
      <c r="D866" t="str">
        <f>Procurement_Raw!D866</f>
        <v>South</v>
      </c>
      <c r="E866" t="str">
        <f>IF(TRIM(Procurement_Raw!E866)="","",IFERROR(INDEX(Supplier_Lookup!$A$2:$A$25,MATCH(TRIM(Procurement_Raw!E866),Supplier_Lookup!$A$2:$A$25,0)),TRIM(Procurement_Raw!E866)))</f>
        <v>RoadReady</v>
      </c>
      <c r="F866" t="str">
        <f>IFERROR(INDEX(Category_Targets!$A$2:$A$9,MATCH(TRIM(Procurement_Raw!F866),Category_Targets!$A$2:$A$9,0)),"Unmapped")</f>
        <v>Vehicle &amp; Fuel</v>
      </c>
      <c r="G866" t="str">
        <f>TRIM(Procurement_Raw!G866)</f>
        <v>INV-2025-00865</v>
      </c>
      <c r="H866" s="77">
        <f>Procurement_Raw!H866</f>
        <v>3</v>
      </c>
      <c r="I866" s="124">
        <f>Procurement_Raw!I866</f>
        <v>67.819999999999993</v>
      </c>
      <c r="J866" s="125">
        <f>IF(Procurement_Raw!J866="","",Procurement_Raw!J866)</f>
        <v>203.46</v>
      </c>
      <c r="K866" s="77">
        <f>Procurement_Raw!K866</f>
        <v>60</v>
      </c>
      <c r="L866" t="str">
        <f>Procurement_Raw!L866</f>
        <v>Procurement Portal</v>
      </c>
      <c r="M866" t="str">
        <f>Procurement_Raw!O866</f>
        <v>N</v>
      </c>
      <c r="N866" t="str">
        <f>IF(E866="","Missing supplier",IF(B866="","Missing site",IF(J866="","Missing spend",IF(COUNTIFS($G$2:G866,G866,$E$2:E866,E866,$J$2:J866,J866)&gt;1,"Duplicate invoice",IF(COUNTIF($G$2:$G$1801,G866)&gt;1,"Duplicate ID - review",IF(AND(P866&lt;&gt;"Unmapped",P866&lt;&gt;F866),"Category mismatch","OK"))))))</f>
        <v>OK</v>
      </c>
      <c r="O866" s="125">
        <f t="shared" si="39"/>
        <v>203.46</v>
      </c>
      <c r="P866" t="str">
        <f>IF(E866="","Unmapped",IFERROR(INDEX(Supplier_Lookup!$B$2:$B$25,MATCH(E866,Supplier_Lookup!$A$2:$A$25,0)),"Unmapped"))</f>
        <v>Vehicle &amp; Fuel</v>
      </c>
      <c r="Q866" s="76">
        <f>IFERROR(INDEX(Category_Targets!$B$2:$B$9,MATCH(F866,Category_Targets!$A$2:$A$9,0)),0)</f>
        <v>0.05</v>
      </c>
      <c r="R866" s="125">
        <f t="shared" si="40"/>
        <v>10.173000000000002</v>
      </c>
      <c r="S866" s="78">
        <f t="shared" si="41"/>
        <v>45748</v>
      </c>
      <c r="T866" t="str">
        <f>IFERROR(VLOOKUP(B866,Sites!$A$2:$D$21,4,FALSE()),"Unknown")</f>
        <v>Brighton</v>
      </c>
      <c r="U866" t="str">
        <f>IF(N866="OK","",COUNTIF($N$2:N866,"&lt;&gt;OK"))</f>
        <v/>
      </c>
      <c r="V866">
        <f>IF(OR(NOT(EXACT(E866,TRIM(Procurement_Raw!E866))),NOT(EXACT(F866,TRIM(Procurement_Raw!F866)))),1,0)</f>
        <v>0</v>
      </c>
    </row>
    <row r="867" spans="1:22" ht="15" customHeight="1" x14ac:dyDescent="0.25">
      <c r="A867" s="123">
        <f>Procurement_Raw!A867</f>
        <v>45678</v>
      </c>
      <c r="B867" t="str">
        <f>TRIM(Procurement_Raw!B867)</f>
        <v>S014</v>
      </c>
      <c r="C867" t="str">
        <f>Procurement_Raw!C867</f>
        <v>Southampton Care &amp; Education Centre</v>
      </c>
      <c r="D867" t="str">
        <f>Procurement_Raw!D867</f>
        <v>South</v>
      </c>
      <c r="E867" t="str">
        <f>IF(TRIM(Procurement_Raw!E867)="","",IFERROR(INDEX(Supplier_Lookup!$A$2:$A$25,MATCH(TRIM(Procurement_Raw!E867),Supplier_Lookup!$A$2:$A$25,0)),TRIM(Procurement_Raw!E867)))</f>
        <v>SafeGuard FM</v>
      </c>
      <c r="F867" t="str">
        <f>IFERROR(INDEX(Category_Targets!$A$2:$A$9,MATCH(TRIM(Procurement_Raw!F867),Category_Targets!$A$2:$A$9,0)),"Unmapped")</f>
        <v>Facilities</v>
      </c>
      <c r="G867" t="str">
        <f>TRIM(Procurement_Raw!G867)</f>
        <v>INV-2025-00866</v>
      </c>
      <c r="H867" s="77">
        <f>Procurement_Raw!H867</f>
        <v>63</v>
      </c>
      <c r="I867" s="124">
        <f>Procurement_Raw!I867</f>
        <v>145.43</v>
      </c>
      <c r="J867" s="125">
        <f>IF(Procurement_Raw!J867="","",Procurement_Raw!J867)</f>
        <v>9162.33</v>
      </c>
      <c r="K867" s="77">
        <f>Procurement_Raw!K867</f>
        <v>60</v>
      </c>
      <c r="L867" t="str">
        <f>Procurement_Raw!L867</f>
        <v>Procurement Portal</v>
      </c>
      <c r="M867" t="str">
        <f>Procurement_Raw!O867</f>
        <v>N</v>
      </c>
      <c r="N867" t="str">
        <f>IF(E867="","Missing supplier",IF(B867="","Missing site",IF(J867="","Missing spend",IF(COUNTIFS($G$2:G867,G867,$E$2:E867,E867,$J$2:J867,J867)&gt;1,"Duplicate invoice",IF(COUNTIF($G$2:$G$1801,G867)&gt;1,"Duplicate ID - review",IF(AND(P867&lt;&gt;"Unmapped",P867&lt;&gt;F867),"Category mismatch","OK"))))))</f>
        <v>OK</v>
      </c>
      <c r="O867" s="125">
        <f t="shared" si="39"/>
        <v>9162.33</v>
      </c>
      <c r="P867" t="str">
        <f>IF(E867="","Unmapped",IFERROR(INDEX(Supplier_Lookup!$B$2:$B$25,MATCH(E867,Supplier_Lookup!$A$2:$A$25,0)),"Unmapped"))</f>
        <v>Facilities</v>
      </c>
      <c r="Q867" s="76">
        <f>IFERROR(INDEX(Category_Targets!$B$2:$B$9,MATCH(F867,Category_Targets!$A$2:$A$9,0)),0)</f>
        <v>0.05</v>
      </c>
      <c r="R867" s="125">
        <f t="shared" si="40"/>
        <v>458.11650000000003</v>
      </c>
      <c r="S867" s="78">
        <f t="shared" si="41"/>
        <v>45658</v>
      </c>
      <c r="T867" t="str">
        <f>IFERROR(VLOOKUP(B867,Sites!$A$2:$D$21,4,FALSE()),"Unknown")</f>
        <v>Southampton</v>
      </c>
      <c r="U867" t="str">
        <f>IF(N867="OK","",COUNTIF($N$2:N867,"&lt;&gt;OK"))</f>
        <v/>
      </c>
      <c r="V867">
        <f>IF(OR(NOT(EXACT(E867,TRIM(Procurement_Raw!E867))),NOT(EXACT(F867,TRIM(Procurement_Raw!F867)))),1,0)</f>
        <v>0</v>
      </c>
    </row>
    <row r="868" spans="1:22" ht="15" customHeight="1" x14ac:dyDescent="0.25">
      <c r="A868" s="123">
        <f>Procurement_Raw!A868</f>
        <v>46014</v>
      </c>
      <c r="B868" t="str">
        <f>TRIM(Procurement_Raw!B868)</f>
        <v>S018</v>
      </c>
      <c r="C868" t="str">
        <f>Procurement_Raw!C868</f>
        <v>Newport Care &amp; Education Centre</v>
      </c>
      <c r="D868" t="str">
        <f>Procurement_Raw!D868</f>
        <v>Wales</v>
      </c>
      <c r="E868" t="str">
        <f>IF(TRIM(Procurement_Raw!E868)="","",IFERROR(INDEX(Supplier_Lookup!$A$2:$A$25,MATCH(TRIM(Procurement_Raw!E868),Supplier_Lookup!$A$2:$A$25,0)),TRIM(Procurement_Raw!E868)))</f>
        <v>NetServe</v>
      </c>
      <c r="F868" t="str">
        <f>IFERROR(INDEX(Category_Targets!$A$2:$A$9,MATCH(TRIM(Procurement_Raw!F868),Category_Targets!$A$2:$A$9,0)),"Unmapped")</f>
        <v>IT &amp; Telecoms</v>
      </c>
      <c r="G868" t="str">
        <f>TRIM(Procurement_Raw!G868)</f>
        <v>INV-2025-00867</v>
      </c>
      <c r="H868" s="77">
        <f>Procurement_Raw!H868</f>
        <v>63</v>
      </c>
      <c r="I868" s="124">
        <f>Procurement_Raw!I868</f>
        <v>257.45999999999998</v>
      </c>
      <c r="J868" s="125">
        <f>IF(Procurement_Raw!J868="","",Procurement_Raw!J868)</f>
        <v>16219.8</v>
      </c>
      <c r="K868" s="77">
        <f>Procurement_Raw!K868</f>
        <v>30</v>
      </c>
      <c r="L868" t="str">
        <f>Procurement_Raw!L868</f>
        <v>Legacy Spend File</v>
      </c>
      <c r="M868" t="str">
        <f>Procurement_Raw!O868</f>
        <v>N</v>
      </c>
      <c r="N868" t="str">
        <f>IF(E868="","Missing supplier",IF(B868="","Missing site",IF(J868="","Missing spend",IF(COUNTIFS($G$2:G868,G868,$E$2:E868,E868,$J$2:J868,J868)&gt;1,"Duplicate invoice",IF(COUNTIF($G$2:$G$1801,G868)&gt;1,"Duplicate ID - review",IF(AND(P868&lt;&gt;"Unmapped",P868&lt;&gt;F868),"Category mismatch","OK"))))))</f>
        <v>OK</v>
      </c>
      <c r="O868" s="125">
        <f t="shared" si="39"/>
        <v>16219.8</v>
      </c>
      <c r="P868" t="str">
        <f>IF(E868="","Unmapped",IFERROR(INDEX(Supplier_Lookup!$B$2:$B$25,MATCH(E868,Supplier_Lookup!$A$2:$A$25,0)),"Unmapped"))</f>
        <v>IT &amp; Telecoms</v>
      </c>
      <c r="Q868" s="76">
        <f>IFERROR(INDEX(Category_Targets!$B$2:$B$9,MATCH(F868,Category_Targets!$A$2:$A$9,0)),0)</f>
        <v>0.08</v>
      </c>
      <c r="R868" s="125">
        <f t="shared" si="40"/>
        <v>1297.5840000000001</v>
      </c>
      <c r="S868" s="78">
        <f t="shared" si="41"/>
        <v>45992</v>
      </c>
      <c r="T868" t="str">
        <f>IFERROR(VLOOKUP(B868,Sites!$A$2:$D$21,4,FALSE()),"Unknown")</f>
        <v>Newport</v>
      </c>
      <c r="U868" t="str">
        <f>IF(N868="OK","",COUNTIF($N$2:N868,"&lt;&gt;OK"))</f>
        <v/>
      </c>
      <c r="V868">
        <f>IF(OR(NOT(EXACT(E868,TRIM(Procurement_Raw!E868))),NOT(EXACT(F868,TRIM(Procurement_Raw!F868)))),1,0)</f>
        <v>0</v>
      </c>
    </row>
    <row r="869" spans="1:22" ht="15" customHeight="1" x14ac:dyDescent="0.25">
      <c r="A869" s="123">
        <f>Procurement_Raw!A869</f>
        <v>45897</v>
      </c>
      <c r="B869" t="str">
        <f>TRIM(Procurement_Raw!B869)</f>
        <v>S019</v>
      </c>
      <c r="C869" t="str">
        <f>Procurement_Raw!C869</f>
        <v>Wrexham Care &amp; Education Centre</v>
      </c>
      <c r="D869" t="str">
        <f>Procurement_Raw!D869</f>
        <v>Wales</v>
      </c>
      <c r="E869" t="str">
        <f>IF(TRIM(Procurement_Raw!E869)="","",IFERROR(INDEX(Supplier_Lookup!$A$2:$A$25,MATCH(TRIM(Procurement_Raw!E869),Supplier_Lookup!$A$2:$A$25,0)),TRIM(Procurement_Raw!E869)))</f>
        <v>RoadReady</v>
      </c>
      <c r="F869" t="str">
        <f>IFERROR(INDEX(Category_Targets!$A$2:$A$9,MATCH(TRIM(Procurement_Raw!F869),Category_Targets!$A$2:$A$9,0)),"Unmapped")</f>
        <v>Vehicle &amp; Fuel</v>
      </c>
      <c r="G869" t="str">
        <f>TRIM(Procurement_Raw!G869)</f>
        <v>INV-2025-00868</v>
      </c>
      <c r="H869" s="77">
        <f>Procurement_Raw!H869</f>
        <v>36</v>
      </c>
      <c r="I869" s="124">
        <f>Procurement_Raw!I869</f>
        <v>114.19</v>
      </c>
      <c r="J869" s="125">
        <f>IF(Procurement_Raw!J869="","",Procurement_Raw!J869)</f>
        <v>4110.6899999999996</v>
      </c>
      <c r="K869" s="77">
        <f>Procurement_Raw!K869</f>
        <v>60</v>
      </c>
      <c r="L869" t="str">
        <f>Procurement_Raw!L869</f>
        <v>Legacy Spend File</v>
      </c>
      <c r="M869" t="str">
        <f>Procurement_Raw!O869</f>
        <v>N</v>
      </c>
      <c r="N869" t="str">
        <f>IF(E869="","Missing supplier",IF(B869="","Missing site",IF(J869="","Missing spend",IF(COUNTIFS($G$2:G869,G869,$E$2:E869,E869,$J$2:J869,J869)&gt;1,"Duplicate invoice",IF(COUNTIF($G$2:$G$1801,G869)&gt;1,"Duplicate ID - review",IF(AND(P869&lt;&gt;"Unmapped",P869&lt;&gt;F869),"Category mismatch","OK"))))))</f>
        <v>OK</v>
      </c>
      <c r="O869" s="125">
        <f t="shared" si="39"/>
        <v>4110.6899999999996</v>
      </c>
      <c r="P869" t="str">
        <f>IF(E869="","Unmapped",IFERROR(INDEX(Supplier_Lookup!$B$2:$B$25,MATCH(E869,Supplier_Lookup!$A$2:$A$25,0)),"Unmapped"))</f>
        <v>Vehicle &amp; Fuel</v>
      </c>
      <c r="Q869" s="76">
        <f>IFERROR(INDEX(Category_Targets!$B$2:$B$9,MATCH(F869,Category_Targets!$A$2:$A$9,0)),0)</f>
        <v>0.05</v>
      </c>
      <c r="R869" s="125">
        <f t="shared" si="40"/>
        <v>205.53449999999998</v>
      </c>
      <c r="S869" s="78">
        <f t="shared" si="41"/>
        <v>45870</v>
      </c>
      <c r="T869" t="str">
        <f>IFERROR(VLOOKUP(B869,Sites!$A$2:$D$21,4,FALSE()),"Unknown")</f>
        <v>Wrexham</v>
      </c>
      <c r="U869" t="str">
        <f>IF(N869="OK","",COUNTIF($N$2:N869,"&lt;&gt;OK"))</f>
        <v/>
      </c>
      <c r="V869">
        <f>IF(OR(NOT(EXACT(E869,TRIM(Procurement_Raw!E869))),NOT(EXACT(F869,TRIM(Procurement_Raw!F869)))),1,0)</f>
        <v>0</v>
      </c>
    </row>
    <row r="870" spans="1:22" ht="15" customHeight="1" x14ac:dyDescent="0.25">
      <c r="A870" s="123">
        <f>Procurement_Raw!A870</f>
        <v>45737</v>
      </c>
      <c r="B870" t="str">
        <f>TRIM(Procurement_Raw!B870)</f>
        <v>S020</v>
      </c>
      <c r="C870" t="str">
        <f>Procurement_Raw!C870</f>
        <v>Bangor Care &amp; Education Centre</v>
      </c>
      <c r="D870" t="str">
        <f>Procurement_Raw!D870</f>
        <v>Wales</v>
      </c>
      <c r="E870" t="str">
        <f>IF(TRIM(Procurement_Raw!E870)="","",IFERROR(INDEX(Supplier_Lookup!$A$2:$A$25,MATCH(TRIM(Procurement_Raw!E870),Supplier_Lookup!$A$2:$A$25,0)),TRIM(Procurement_Raw!E870)))</f>
        <v>KitchenPro</v>
      </c>
      <c r="F870" t="str">
        <f>IFERROR(INDEX(Category_Targets!$A$2:$A$9,MATCH(TRIM(Procurement_Raw!F870),Category_Targets!$A$2:$A$9,0)),"Unmapped")</f>
        <v>Food &amp; Catering</v>
      </c>
      <c r="G870" t="str">
        <f>TRIM(Procurement_Raw!G870)</f>
        <v>INV-2025-00869</v>
      </c>
      <c r="H870" s="77">
        <f>Procurement_Raw!H870</f>
        <v>58</v>
      </c>
      <c r="I870" s="124">
        <f>Procurement_Raw!I870</f>
        <v>93.37</v>
      </c>
      <c r="J870" s="125">
        <f>IF(Procurement_Raw!J870="","",Procurement_Raw!J870)</f>
        <v>5415.55</v>
      </c>
      <c r="K870" s="77">
        <f>Procurement_Raw!K870</f>
        <v>45</v>
      </c>
      <c r="L870" t="str">
        <f>Procurement_Raw!L870</f>
        <v>Procurement Portal</v>
      </c>
      <c r="M870" t="str">
        <f>Procurement_Raw!O870</f>
        <v>N</v>
      </c>
      <c r="N870" t="str">
        <f>IF(E870="","Missing supplier",IF(B870="","Missing site",IF(J870="","Missing spend",IF(COUNTIFS($G$2:G870,G870,$E$2:E870,E870,$J$2:J870,J870)&gt;1,"Duplicate invoice",IF(COUNTIF($G$2:$G$1801,G870)&gt;1,"Duplicate ID - review",IF(AND(P870&lt;&gt;"Unmapped",P870&lt;&gt;F870),"Category mismatch","OK"))))))</f>
        <v>OK</v>
      </c>
      <c r="O870" s="125">
        <f t="shared" si="39"/>
        <v>5415.55</v>
      </c>
      <c r="P870" t="str">
        <f>IF(E870="","Unmapped",IFERROR(INDEX(Supplier_Lookup!$B$2:$B$25,MATCH(E870,Supplier_Lookup!$A$2:$A$25,0)),"Unmapped"))</f>
        <v>Food &amp; Catering</v>
      </c>
      <c r="Q870" s="76">
        <f>IFERROR(INDEX(Category_Targets!$B$2:$B$9,MATCH(F870,Category_Targets!$A$2:$A$9,0)),0)</f>
        <v>0.04</v>
      </c>
      <c r="R870" s="125">
        <f t="shared" si="40"/>
        <v>216.62200000000001</v>
      </c>
      <c r="S870" s="78">
        <f t="shared" si="41"/>
        <v>45717</v>
      </c>
      <c r="T870" t="str">
        <f>IFERROR(VLOOKUP(B870,Sites!$A$2:$D$21,4,FALSE()),"Unknown")</f>
        <v>Bangor</v>
      </c>
      <c r="U870" t="str">
        <f>IF(N870="OK","",COUNTIF($N$2:N870,"&lt;&gt;OK"))</f>
        <v/>
      </c>
      <c r="V870">
        <f>IF(OR(NOT(EXACT(E870,TRIM(Procurement_Raw!E870))),NOT(EXACT(F870,TRIM(Procurement_Raw!F870)))),1,0)</f>
        <v>0</v>
      </c>
    </row>
    <row r="871" spans="1:22" ht="15" customHeight="1" x14ac:dyDescent="0.25">
      <c r="A871" s="123">
        <f>Procurement_Raw!A871</f>
        <v>45658</v>
      </c>
      <c r="B871" t="str">
        <f>TRIM(Procurement_Raw!B871)</f>
        <v>S009</v>
      </c>
      <c r="C871" t="str">
        <f>Procurement_Raw!C871</f>
        <v>Derby Care &amp; Education Centre</v>
      </c>
      <c r="D871" t="str">
        <f>Procurement_Raw!D871</f>
        <v>Midlands</v>
      </c>
      <c r="E871" t="str">
        <f>IF(TRIM(Procurement_Raw!E871)="","",IFERROR(INDEX(Supplier_Lookup!$A$2:$A$25,MATCH(TRIM(Procurement_Raw!E871),Supplier_Lookup!$A$2:$A$25,0)),TRIM(Procurement_Raw!E871)))</f>
        <v>RoadReady</v>
      </c>
      <c r="F871" t="str">
        <f>IFERROR(INDEX(Category_Targets!$A$2:$A$9,MATCH(TRIM(Procurement_Raw!F871),Category_Targets!$A$2:$A$9,0)),"Unmapped")</f>
        <v>Vehicle &amp; Fuel</v>
      </c>
      <c r="G871" t="str">
        <f>TRIM(Procurement_Raw!G871)</f>
        <v>INV-2025-00870</v>
      </c>
      <c r="H871" s="77">
        <f>Procurement_Raw!H871</f>
        <v>65</v>
      </c>
      <c r="I871" s="124">
        <f>Procurement_Raw!I871</f>
        <v>287</v>
      </c>
      <c r="J871" s="125">
        <f>IF(Procurement_Raw!J871="","",Procurement_Raw!J871)</f>
        <v>18655.13</v>
      </c>
      <c r="K871" s="77">
        <f>Procurement_Raw!K871</f>
        <v>45</v>
      </c>
      <c r="L871" t="str">
        <f>Procurement_Raw!L871</f>
        <v>Legacy Spend File</v>
      </c>
      <c r="M871" t="str">
        <f>Procurement_Raw!O871</f>
        <v>N</v>
      </c>
      <c r="N871" t="str">
        <f>IF(E871="","Missing supplier",IF(B871="","Missing site",IF(J871="","Missing spend",IF(COUNTIFS($G$2:G871,G871,$E$2:E871,E871,$J$2:J871,J871)&gt;1,"Duplicate invoice",IF(COUNTIF($G$2:$G$1801,G871)&gt;1,"Duplicate ID - review",IF(AND(P871&lt;&gt;"Unmapped",P871&lt;&gt;F871),"Category mismatch","OK"))))))</f>
        <v>OK</v>
      </c>
      <c r="O871" s="125">
        <f t="shared" si="39"/>
        <v>18655.13</v>
      </c>
      <c r="P871" t="str">
        <f>IF(E871="","Unmapped",IFERROR(INDEX(Supplier_Lookup!$B$2:$B$25,MATCH(E871,Supplier_Lookup!$A$2:$A$25,0)),"Unmapped"))</f>
        <v>Vehicle &amp; Fuel</v>
      </c>
      <c r="Q871" s="76">
        <f>IFERROR(INDEX(Category_Targets!$B$2:$B$9,MATCH(F871,Category_Targets!$A$2:$A$9,0)),0)</f>
        <v>0.05</v>
      </c>
      <c r="R871" s="125">
        <f t="shared" si="40"/>
        <v>932.75650000000007</v>
      </c>
      <c r="S871" s="78">
        <f t="shared" si="41"/>
        <v>45658</v>
      </c>
      <c r="T871" t="str">
        <f>IFERROR(VLOOKUP(B871,Sites!$A$2:$D$21,4,FALSE()),"Unknown")</f>
        <v>Derby</v>
      </c>
      <c r="U871" t="str">
        <f>IF(N871="OK","",COUNTIF($N$2:N871,"&lt;&gt;OK"))</f>
        <v/>
      </c>
      <c r="V871">
        <f>IF(OR(NOT(EXACT(E871,TRIM(Procurement_Raw!E871))),NOT(EXACT(F871,TRIM(Procurement_Raw!F871)))),1,0)</f>
        <v>0</v>
      </c>
    </row>
    <row r="872" spans="1:22" ht="15" customHeight="1" x14ac:dyDescent="0.25">
      <c r="A872" s="123">
        <f>Procurement_Raw!A872</f>
        <v>45844</v>
      </c>
      <c r="B872" t="str">
        <f>TRIM(Procurement_Raw!B872)</f>
        <v>S012</v>
      </c>
      <c r="C872" t="str">
        <f>Procurement_Raw!C872</f>
        <v>Bristol Care &amp; Education Centre</v>
      </c>
      <c r="D872" t="str">
        <f>Procurement_Raw!D872</f>
        <v>South</v>
      </c>
      <c r="E872" t="str">
        <f>IF(TRIM(Procurement_Raw!E872)="","",IFERROR(INDEX(Supplier_Lookup!$A$2:$A$25,MATCH(TRIM(Procurement_Raw!E872),Supplier_Lookup!$A$2:$A$25,0)),TRIM(Procurement_Raw!E872)))</f>
        <v>ClinEquip</v>
      </c>
      <c r="F872" t="str">
        <f>IFERROR(INDEX(Category_Targets!$A$2:$A$9,MATCH(TRIM(Procurement_Raw!F872),Category_Targets!$A$2:$A$9,0)),"Unmapped")</f>
        <v>Medical Supplies</v>
      </c>
      <c r="G872" t="str">
        <f>TRIM(Procurement_Raw!G872)</f>
        <v>INV-2025-00871</v>
      </c>
      <c r="H872" s="77">
        <f>Procurement_Raw!H872</f>
        <v>80</v>
      </c>
      <c r="I872" s="124">
        <f>Procurement_Raw!I872</f>
        <v>108.87</v>
      </c>
      <c r="J872" s="125">
        <f>IF(Procurement_Raw!J872="","",Procurement_Raw!J872)</f>
        <v>8709.74</v>
      </c>
      <c r="K872" s="77">
        <f>Procurement_Raw!K872</f>
        <v>30</v>
      </c>
      <c r="L872" t="str">
        <f>Procurement_Raw!L872</f>
        <v>Procurement Portal</v>
      </c>
      <c r="M872" t="str">
        <f>Procurement_Raw!O872</f>
        <v>N</v>
      </c>
      <c r="N872" t="str">
        <f>IF(E872="","Missing supplier",IF(B872="","Missing site",IF(J872="","Missing spend",IF(COUNTIFS($G$2:G872,G872,$E$2:E872,E872,$J$2:J872,J872)&gt;1,"Duplicate invoice",IF(COUNTIF($G$2:$G$1801,G872)&gt;1,"Duplicate ID - review",IF(AND(P872&lt;&gt;"Unmapped",P872&lt;&gt;F872),"Category mismatch","OK"))))))</f>
        <v>OK</v>
      </c>
      <c r="O872" s="125">
        <f t="shared" si="39"/>
        <v>8709.74</v>
      </c>
      <c r="P872" t="str">
        <f>IF(E872="","Unmapped",IFERROR(INDEX(Supplier_Lookup!$B$2:$B$25,MATCH(E872,Supplier_Lookup!$A$2:$A$25,0)),"Unmapped"))</f>
        <v>Medical Supplies</v>
      </c>
      <c r="Q872" s="76">
        <f>IFERROR(INDEX(Category_Targets!$B$2:$B$9,MATCH(F872,Category_Targets!$A$2:$A$9,0)),0)</f>
        <v>0.06</v>
      </c>
      <c r="R872" s="125">
        <f t="shared" si="40"/>
        <v>522.58439999999996</v>
      </c>
      <c r="S872" s="78">
        <f t="shared" si="41"/>
        <v>45839</v>
      </c>
      <c r="T872" t="str">
        <f>IFERROR(VLOOKUP(B872,Sites!$A$2:$D$21,4,FALSE()),"Unknown")</f>
        <v>Bristol</v>
      </c>
      <c r="U872" t="str">
        <f>IF(N872="OK","",COUNTIF($N$2:N872,"&lt;&gt;OK"))</f>
        <v/>
      </c>
      <c r="V872">
        <f>IF(OR(NOT(EXACT(E872,TRIM(Procurement_Raw!E872))),NOT(EXACT(F872,TRIM(Procurement_Raw!F872)))),1,0)</f>
        <v>0</v>
      </c>
    </row>
    <row r="873" spans="1:22" ht="15" customHeight="1" x14ac:dyDescent="0.25">
      <c r="A873" s="123">
        <f>Procurement_Raw!A873</f>
        <v>45933</v>
      </c>
      <c r="B873" t="str">
        <f>TRIM(Procurement_Raw!B873)</f>
        <v>S015</v>
      </c>
      <c r="C873" t="str">
        <f>Procurement_Raw!C873</f>
        <v>Brighton Care &amp; Education Centre</v>
      </c>
      <c r="D873" t="str">
        <f>Procurement_Raw!D873</f>
        <v>South</v>
      </c>
      <c r="E873" t="str">
        <f>IF(TRIM(Procurement_Raw!E873)="","",IFERROR(INDEX(Supplier_Lookup!$A$2:$A$25,MATCH(TRIM(Procurement_Raw!E873),Supplier_Lookup!$A$2:$A$25,0)),TRIM(Procurement_Raw!E873)))</f>
        <v>KitchenPro</v>
      </c>
      <c r="F873" t="str">
        <f>IFERROR(INDEX(Category_Targets!$A$2:$A$9,MATCH(TRIM(Procurement_Raw!F873),Category_Targets!$A$2:$A$9,0)),"Unmapped")</f>
        <v>Food &amp; Catering</v>
      </c>
      <c r="G873" t="str">
        <f>TRIM(Procurement_Raw!G873)</f>
        <v>INV-2025-00872</v>
      </c>
      <c r="H873" s="77">
        <f>Procurement_Raw!H873</f>
        <v>50</v>
      </c>
      <c r="I873" s="124">
        <f>Procurement_Raw!I873</f>
        <v>41.9</v>
      </c>
      <c r="J873" s="125">
        <f>IF(Procurement_Raw!J873="","",Procurement_Raw!J873)</f>
        <v>2095.08</v>
      </c>
      <c r="K873" s="77">
        <f>Procurement_Raw!K873</f>
        <v>30</v>
      </c>
      <c r="L873" t="str">
        <f>Procurement_Raw!L873</f>
        <v>Legacy Spend File</v>
      </c>
      <c r="M873" t="str">
        <f>Procurement_Raw!O873</f>
        <v>N</v>
      </c>
      <c r="N873" t="str">
        <f>IF(E873="","Missing supplier",IF(B873="","Missing site",IF(J873="","Missing spend",IF(COUNTIFS($G$2:G873,G873,$E$2:E873,E873,$J$2:J873,J873)&gt;1,"Duplicate invoice",IF(COUNTIF($G$2:$G$1801,G873)&gt;1,"Duplicate ID - review",IF(AND(P873&lt;&gt;"Unmapped",P873&lt;&gt;F873),"Category mismatch","OK"))))))</f>
        <v>OK</v>
      </c>
      <c r="O873" s="125">
        <f t="shared" si="39"/>
        <v>2095.08</v>
      </c>
      <c r="P873" t="str">
        <f>IF(E873="","Unmapped",IFERROR(INDEX(Supplier_Lookup!$B$2:$B$25,MATCH(E873,Supplier_Lookup!$A$2:$A$25,0)),"Unmapped"))</f>
        <v>Food &amp; Catering</v>
      </c>
      <c r="Q873" s="76">
        <f>IFERROR(INDEX(Category_Targets!$B$2:$B$9,MATCH(F873,Category_Targets!$A$2:$A$9,0)),0)</f>
        <v>0.04</v>
      </c>
      <c r="R873" s="125">
        <f t="shared" si="40"/>
        <v>83.803200000000004</v>
      </c>
      <c r="S873" s="78">
        <f t="shared" si="41"/>
        <v>45931</v>
      </c>
      <c r="T873" t="str">
        <f>IFERROR(VLOOKUP(B873,Sites!$A$2:$D$21,4,FALSE()),"Unknown")</f>
        <v>Brighton</v>
      </c>
      <c r="U873" t="str">
        <f>IF(N873="OK","",COUNTIF($N$2:N873,"&lt;&gt;OK"))</f>
        <v/>
      </c>
      <c r="V873">
        <f>IF(OR(NOT(EXACT(E873,TRIM(Procurement_Raw!E873))),NOT(EXACT(F873,TRIM(Procurement_Raw!F873)))),1,0)</f>
        <v>0</v>
      </c>
    </row>
    <row r="874" spans="1:22" ht="15" customHeight="1" x14ac:dyDescent="0.25">
      <c r="A874" s="123">
        <f>Procurement_Raw!A874</f>
        <v>45736</v>
      </c>
      <c r="B874" t="str">
        <f>TRIM(Procurement_Raw!B874)</f>
        <v>S005</v>
      </c>
      <c r="C874" t="str">
        <f>Procurement_Raw!C874</f>
        <v>Sheffield Care &amp; Education Centre</v>
      </c>
      <c r="D874" t="str">
        <f>Procurement_Raw!D874</f>
        <v>North</v>
      </c>
      <c r="E874" t="str">
        <f>IF(TRIM(Procurement_Raw!E874)="","",IFERROR(INDEX(Supplier_Lookup!$A$2:$A$25,MATCH(TRIM(Procurement_Raw!E874),Supplier_Lookup!$A$2:$A$25,0)),TRIM(Procurement_Raw!E874)))</f>
        <v>PrintCo</v>
      </c>
      <c r="F874" t="str">
        <f>IFERROR(INDEX(Category_Targets!$A$2:$A$9,MATCH(TRIM(Procurement_Raw!F874),Category_Targets!$A$2:$A$9,0)),"Unmapped")</f>
        <v>Office &amp; Training</v>
      </c>
      <c r="G874" t="str">
        <f>TRIM(Procurement_Raw!G874)</f>
        <v>INV-2025-00873</v>
      </c>
      <c r="H874" s="77">
        <f>Procurement_Raw!H874</f>
        <v>79</v>
      </c>
      <c r="I874" s="124">
        <f>Procurement_Raw!I874</f>
        <v>35.119999999999997</v>
      </c>
      <c r="J874" s="125">
        <f>IF(Procurement_Raw!J874="","",Procurement_Raw!J874)</f>
        <v>2774.73</v>
      </c>
      <c r="K874" s="77">
        <f>Procurement_Raw!K874</f>
        <v>45</v>
      </c>
      <c r="L874" t="str">
        <f>Procurement_Raw!L874</f>
        <v>Procurement Portal</v>
      </c>
      <c r="M874" t="str">
        <f>Procurement_Raw!O874</f>
        <v>N</v>
      </c>
      <c r="N874" t="str">
        <f>IF(E874="","Missing supplier",IF(B874="","Missing site",IF(J874="","Missing spend",IF(COUNTIFS($G$2:G874,G874,$E$2:E874,E874,$J$2:J874,J874)&gt;1,"Duplicate invoice",IF(COUNTIF($G$2:$G$1801,G874)&gt;1,"Duplicate ID - review",IF(AND(P874&lt;&gt;"Unmapped",P874&lt;&gt;F874),"Category mismatch","OK"))))))</f>
        <v>OK</v>
      </c>
      <c r="O874" s="125">
        <f t="shared" si="39"/>
        <v>2774.73</v>
      </c>
      <c r="P874" t="str">
        <f>IF(E874="","Unmapped",IFERROR(INDEX(Supplier_Lookup!$B$2:$B$25,MATCH(E874,Supplier_Lookup!$A$2:$A$25,0)),"Unmapped"))</f>
        <v>Office &amp; Training</v>
      </c>
      <c r="Q874" s="76">
        <f>IFERROR(INDEX(Category_Targets!$B$2:$B$9,MATCH(F874,Category_Targets!$A$2:$A$9,0)),0)</f>
        <v>0.04</v>
      </c>
      <c r="R874" s="125">
        <f t="shared" si="40"/>
        <v>110.9892</v>
      </c>
      <c r="S874" s="78">
        <f t="shared" si="41"/>
        <v>45717</v>
      </c>
      <c r="T874" t="str">
        <f>IFERROR(VLOOKUP(B874,Sites!$A$2:$D$21,4,FALSE()),"Unknown")</f>
        <v>Sheffield</v>
      </c>
      <c r="U874" t="str">
        <f>IF(N874="OK","",COUNTIF($N$2:N874,"&lt;&gt;OK"))</f>
        <v/>
      </c>
      <c r="V874">
        <f>IF(OR(NOT(EXACT(E874,TRIM(Procurement_Raw!E874))),NOT(EXACT(F874,TRIM(Procurement_Raw!F874)))),1,0)</f>
        <v>0</v>
      </c>
    </row>
    <row r="875" spans="1:22" ht="15" customHeight="1" x14ac:dyDescent="0.25">
      <c r="A875" s="123">
        <f>Procurement_Raw!A875</f>
        <v>45707</v>
      </c>
      <c r="B875" t="str">
        <f>TRIM(Procurement_Raw!B875)</f>
        <v>S005</v>
      </c>
      <c r="C875" t="str">
        <f>Procurement_Raw!C875</f>
        <v>Sheffield Care &amp; Education Centre</v>
      </c>
      <c r="D875" t="str">
        <f>Procurement_Raw!D875</f>
        <v>North</v>
      </c>
      <c r="E875" t="str">
        <f>IF(TRIM(Procurement_Raw!E875)="","",IFERROR(INDEX(Supplier_Lookup!$A$2:$A$25,MATCH(TRIM(Procurement_Raw!E875),Supplier_Lookup!$A$2:$A$25,0)),TRIM(Procurement_Raw!E875)))</f>
        <v>FleetFuel</v>
      </c>
      <c r="F875" t="str">
        <f>IFERROR(INDEX(Category_Targets!$A$2:$A$9,MATCH(TRIM(Procurement_Raw!F875),Category_Targets!$A$2:$A$9,0)),"Unmapped")</f>
        <v>Vehicle &amp; Fuel</v>
      </c>
      <c r="G875" t="str">
        <f>TRIM(Procurement_Raw!G875)</f>
        <v>INV-2025-00874</v>
      </c>
      <c r="H875" s="77">
        <f>Procurement_Raw!H875</f>
        <v>67</v>
      </c>
      <c r="I875" s="124">
        <f>Procurement_Raw!I875</f>
        <v>63.55</v>
      </c>
      <c r="J875" s="125">
        <f>IF(Procurement_Raw!J875="","",Procurement_Raw!J875)</f>
        <v>4258.01</v>
      </c>
      <c r="K875" s="77">
        <f>Procurement_Raw!K875</f>
        <v>60</v>
      </c>
      <c r="L875" t="str">
        <f>Procurement_Raw!L875</f>
        <v>ERP</v>
      </c>
      <c r="M875" t="str">
        <f>Procurement_Raw!O875</f>
        <v>Y</v>
      </c>
      <c r="N875" t="str">
        <f>IF(E875="","Missing supplier",IF(B875="","Missing site",IF(J875="","Missing spend",IF(COUNTIFS($G$2:G875,G875,$E$2:E875,E875,$J$2:J875,J875)&gt;1,"Duplicate invoice",IF(COUNTIF($G$2:$G$1801,G875)&gt;1,"Duplicate ID - review",IF(AND(P875&lt;&gt;"Unmapped",P875&lt;&gt;F875),"Category mismatch","OK"))))))</f>
        <v>OK</v>
      </c>
      <c r="O875" s="125">
        <f t="shared" si="39"/>
        <v>4258.01</v>
      </c>
      <c r="P875" t="str">
        <f>IF(E875="","Unmapped",IFERROR(INDEX(Supplier_Lookup!$B$2:$B$25,MATCH(E875,Supplier_Lookup!$A$2:$A$25,0)),"Unmapped"))</f>
        <v>Vehicle &amp; Fuel</v>
      </c>
      <c r="Q875" s="76">
        <f>IFERROR(INDEX(Category_Targets!$B$2:$B$9,MATCH(F875,Category_Targets!$A$2:$A$9,0)),0)</f>
        <v>0.05</v>
      </c>
      <c r="R875" s="125">
        <f t="shared" si="40"/>
        <v>212.90050000000002</v>
      </c>
      <c r="S875" s="78">
        <f t="shared" si="41"/>
        <v>45689</v>
      </c>
      <c r="T875" t="str">
        <f>IFERROR(VLOOKUP(B875,Sites!$A$2:$D$21,4,FALSE()),"Unknown")</f>
        <v>Sheffield</v>
      </c>
      <c r="U875" t="str">
        <f>IF(N875="OK","",COUNTIF($N$2:N875,"&lt;&gt;OK"))</f>
        <v/>
      </c>
      <c r="V875">
        <f>IF(OR(NOT(EXACT(E875,TRIM(Procurement_Raw!E875))),NOT(EXACT(F875,TRIM(Procurement_Raw!F875)))),1,0)</f>
        <v>0</v>
      </c>
    </row>
    <row r="876" spans="1:22" ht="15" customHeight="1" x14ac:dyDescent="0.25">
      <c r="A876" s="123">
        <f>Procurement_Raw!A876</f>
        <v>45674</v>
      </c>
      <c r="B876" t="str">
        <f>TRIM(Procurement_Raw!B876)</f>
        <v>S006</v>
      </c>
      <c r="C876" t="str">
        <f>Procurement_Raw!C876</f>
        <v>Birmingham Care &amp; Education Centre</v>
      </c>
      <c r="D876" t="str">
        <f>Procurement_Raw!D876</f>
        <v>Midlands</v>
      </c>
      <c r="E876" t="str">
        <f>IF(TRIM(Procurement_Raw!E876)="","",IFERROR(INDEX(Supplier_Lookup!$A$2:$A$25,MATCH(TRIM(Procurement_Raw!E876),Supplier_Lookup!$A$2:$A$25,0)),TRIM(Procurement_Raw!E876)))</f>
        <v>CleanWorks</v>
      </c>
      <c r="F876" t="str">
        <f>IFERROR(INDEX(Category_Targets!$A$2:$A$9,MATCH(TRIM(Procurement_Raw!F876),Category_Targets!$A$2:$A$9,0)),"Unmapped")</f>
        <v>Facilities</v>
      </c>
      <c r="G876" t="str">
        <f>TRIM(Procurement_Raw!G876)</f>
        <v>INV-2025-00875</v>
      </c>
      <c r="H876" s="77">
        <f>Procurement_Raw!H876</f>
        <v>26</v>
      </c>
      <c r="I876" s="124">
        <f>Procurement_Raw!I876</f>
        <v>176.75</v>
      </c>
      <c r="J876" s="125">
        <f>IF(Procurement_Raw!J876="","",Procurement_Raw!J876)</f>
        <v>4595.5</v>
      </c>
      <c r="K876" s="77">
        <f>Procurement_Raw!K876</f>
        <v>30</v>
      </c>
      <c r="L876" t="str">
        <f>Procurement_Raw!L876</f>
        <v>Procurement Portal</v>
      </c>
      <c r="M876" t="str">
        <f>Procurement_Raw!O876</f>
        <v>Y</v>
      </c>
      <c r="N876" t="str">
        <f>IF(E876="","Missing supplier",IF(B876="","Missing site",IF(J876="","Missing spend",IF(COUNTIFS($G$2:G876,G876,$E$2:E876,E876,$J$2:J876,J876)&gt;1,"Duplicate invoice",IF(COUNTIF($G$2:$G$1801,G876)&gt;1,"Duplicate ID - review",IF(AND(P876&lt;&gt;"Unmapped",P876&lt;&gt;F876),"Category mismatch","OK"))))))</f>
        <v>OK</v>
      </c>
      <c r="O876" s="125">
        <f t="shared" si="39"/>
        <v>4595.5</v>
      </c>
      <c r="P876" t="str">
        <f>IF(E876="","Unmapped",IFERROR(INDEX(Supplier_Lookup!$B$2:$B$25,MATCH(E876,Supplier_Lookup!$A$2:$A$25,0)),"Unmapped"))</f>
        <v>Facilities</v>
      </c>
      <c r="Q876" s="76">
        <f>IFERROR(INDEX(Category_Targets!$B$2:$B$9,MATCH(F876,Category_Targets!$A$2:$A$9,0)),0)</f>
        <v>0.05</v>
      </c>
      <c r="R876" s="125">
        <f t="shared" si="40"/>
        <v>229.77500000000001</v>
      </c>
      <c r="S876" s="78">
        <f t="shared" si="41"/>
        <v>45658</v>
      </c>
      <c r="T876" t="str">
        <f>IFERROR(VLOOKUP(B876,Sites!$A$2:$D$21,4,FALSE()),"Unknown")</f>
        <v>Birmingham</v>
      </c>
      <c r="U876" t="str">
        <f>IF(N876="OK","",COUNTIF($N$2:N876,"&lt;&gt;OK"))</f>
        <v/>
      </c>
      <c r="V876">
        <f>IF(OR(NOT(EXACT(E876,TRIM(Procurement_Raw!E876))),NOT(EXACT(F876,TRIM(Procurement_Raw!F876)))),1,0)</f>
        <v>0</v>
      </c>
    </row>
    <row r="877" spans="1:22" ht="15" customHeight="1" x14ac:dyDescent="0.25">
      <c r="A877" s="123">
        <f>Procurement_Raw!A877</f>
        <v>45950</v>
      </c>
      <c r="B877" t="str">
        <f>TRIM(Procurement_Raw!B877)</f>
        <v>S004</v>
      </c>
      <c r="C877" t="str">
        <f>Procurement_Raw!C877</f>
        <v>Newcastle Care &amp; Education Centre</v>
      </c>
      <c r="D877" t="str">
        <f>Procurement_Raw!D877</f>
        <v>North</v>
      </c>
      <c r="E877" t="str">
        <f>IF(TRIM(Procurement_Raw!E877)="","",IFERROR(INDEX(Supplier_Lookup!$A$2:$A$25,MATCH(TRIM(Procurement_Raw!E877),Supplier_Lookup!$A$2:$A$25,0)),TRIM(Procurement_Raw!E877)))</f>
        <v>FreshServe</v>
      </c>
      <c r="F877" t="str">
        <f>IFERROR(INDEX(Category_Targets!$A$2:$A$9,MATCH(TRIM(Procurement_Raw!F877),Category_Targets!$A$2:$A$9,0)),"Unmapped")</f>
        <v>Food &amp; Catering</v>
      </c>
      <c r="G877" t="str">
        <f>TRIM(Procurement_Raw!G877)</f>
        <v>INV-2025-00876</v>
      </c>
      <c r="H877" s="77">
        <f>Procurement_Raw!H877</f>
        <v>50</v>
      </c>
      <c r="I877" s="124">
        <f>Procurement_Raw!I877</f>
        <v>174.41</v>
      </c>
      <c r="J877" s="125">
        <f>IF(Procurement_Raw!J877="","",Procurement_Raw!J877)</f>
        <v>8720.3700000000008</v>
      </c>
      <c r="K877" s="77">
        <f>Procurement_Raw!K877</f>
        <v>60</v>
      </c>
      <c r="L877" t="str">
        <f>Procurement_Raw!L877</f>
        <v>Procurement Portal</v>
      </c>
      <c r="M877" t="str">
        <f>Procurement_Raw!O877</f>
        <v>Y</v>
      </c>
      <c r="N877" t="str">
        <f>IF(E877="","Missing supplier",IF(B877="","Missing site",IF(J877="","Missing spend",IF(COUNTIFS($G$2:G877,G877,$E$2:E877,E877,$J$2:J877,J877)&gt;1,"Duplicate invoice",IF(COUNTIF($G$2:$G$1801,G877)&gt;1,"Duplicate ID - review",IF(AND(P877&lt;&gt;"Unmapped",P877&lt;&gt;F877),"Category mismatch","OK"))))))</f>
        <v>OK</v>
      </c>
      <c r="O877" s="125">
        <f t="shared" si="39"/>
        <v>8720.3700000000008</v>
      </c>
      <c r="P877" t="str">
        <f>IF(E877="","Unmapped",IFERROR(INDEX(Supplier_Lookup!$B$2:$B$25,MATCH(E877,Supplier_Lookup!$A$2:$A$25,0)),"Unmapped"))</f>
        <v>Food &amp; Catering</v>
      </c>
      <c r="Q877" s="76">
        <f>IFERROR(INDEX(Category_Targets!$B$2:$B$9,MATCH(F877,Category_Targets!$A$2:$A$9,0)),0)</f>
        <v>0.04</v>
      </c>
      <c r="R877" s="125">
        <f t="shared" si="40"/>
        <v>348.81480000000005</v>
      </c>
      <c r="S877" s="78">
        <f t="shared" si="41"/>
        <v>45931</v>
      </c>
      <c r="T877" t="str">
        <f>IFERROR(VLOOKUP(B877,Sites!$A$2:$D$21,4,FALSE()),"Unknown")</f>
        <v>Newcastle</v>
      </c>
      <c r="U877" t="str">
        <f>IF(N877="OK","",COUNTIF($N$2:N877,"&lt;&gt;OK"))</f>
        <v/>
      </c>
      <c r="V877">
        <f>IF(OR(NOT(EXACT(E877,TRIM(Procurement_Raw!E877))),NOT(EXACT(F877,TRIM(Procurement_Raw!F877)))),1,0)</f>
        <v>0</v>
      </c>
    </row>
    <row r="878" spans="1:22" ht="15" customHeight="1" x14ac:dyDescent="0.25">
      <c r="A878" s="123">
        <f>Procurement_Raw!A878</f>
        <v>45845</v>
      </c>
      <c r="B878" t="str">
        <f>TRIM(Procurement_Raw!B878)</f>
        <v>S011</v>
      </c>
      <c r="C878" t="str">
        <f>Procurement_Raw!C878</f>
        <v>London Care &amp; Education Centre</v>
      </c>
      <c r="D878" t="str">
        <f>Procurement_Raw!D878</f>
        <v>South</v>
      </c>
      <c r="E878" t="str">
        <f>IF(TRIM(Procurement_Raw!E878)="","",IFERROR(INDEX(Supplier_Lookup!$A$2:$A$25,MATCH(TRIM(Procurement_Raw!E878),Supplier_Lookup!$A$2:$A$25,0)),TRIM(Procurement_Raw!E878)))</f>
        <v>CloudLink</v>
      </c>
      <c r="F878" t="str">
        <f>IFERROR(INDEX(Category_Targets!$A$2:$A$9,MATCH(TRIM(Procurement_Raw!F878),Category_Targets!$A$2:$A$9,0)),"Unmapped")</f>
        <v>IT &amp; Telecoms</v>
      </c>
      <c r="G878" t="str">
        <f>TRIM(Procurement_Raw!G878)</f>
        <v>INV-2025-00877</v>
      </c>
      <c r="H878" s="77">
        <f>Procurement_Raw!H878</f>
        <v>29</v>
      </c>
      <c r="I878" s="124">
        <f>Procurement_Raw!I878</f>
        <v>165.5</v>
      </c>
      <c r="J878" s="125">
        <f>IF(Procurement_Raw!J878="","",Procurement_Raw!J878)</f>
        <v>4799.3599999999997</v>
      </c>
      <c r="K878" s="77">
        <f>Procurement_Raw!K878</f>
        <v>60</v>
      </c>
      <c r="L878" t="str">
        <f>Procurement_Raw!L878</f>
        <v>Legacy Spend File</v>
      </c>
      <c r="M878" t="str">
        <f>Procurement_Raw!O878</f>
        <v>Y</v>
      </c>
      <c r="N878" t="str">
        <f>IF(E878="","Missing supplier",IF(B878="","Missing site",IF(J878="","Missing spend",IF(COUNTIFS($G$2:G878,G878,$E$2:E878,E878,$J$2:J878,J878)&gt;1,"Duplicate invoice",IF(COUNTIF($G$2:$G$1801,G878)&gt;1,"Duplicate ID - review",IF(AND(P878&lt;&gt;"Unmapped",P878&lt;&gt;F878),"Category mismatch","OK"))))))</f>
        <v>OK</v>
      </c>
      <c r="O878" s="125">
        <f t="shared" si="39"/>
        <v>4799.3599999999997</v>
      </c>
      <c r="P878" t="str">
        <f>IF(E878="","Unmapped",IFERROR(INDEX(Supplier_Lookup!$B$2:$B$25,MATCH(E878,Supplier_Lookup!$A$2:$A$25,0)),"Unmapped"))</f>
        <v>IT &amp; Telecoms</v>
      </c>
      <c r="Q878" s="76">
        <f>IFERROR(INDEX(Category_Targets!$B$2:$B$9,MATCH(F878,Category_Targets!$A$2:$A$9,0)),0)</f>
        <v>0.08</v>
      </c>
      <c r="R878" s="125">
        <f t="shared" si="40"/>
        <v>383.94880000000001</v>
      </c>
      <c r="S878" s="78">
        <f t="shared" si="41"/>
        <v>45839</v>
      </c>
      <c r="T878" t="str">
        <f>IFERROR(VLOOKUP(B878,Sites!$A$2:$D$21,4,FALSE()),"Unknown")</f>
        <v>London</v>
      </c>
      <c r="U878" t="str">
        <f>IF(N878="OK","",COUNTIF($N$2:N878,"&lt;&gt;OK"))</f>
        <v/>
      </c>
      <c r="V878">
        <f>IF(OR(NOT(EXACT(E878,TRIM(Procurement_Raw!E878))),NOT(EXACT(F878,TRIM(Procurement_Raw!F878)))),1,0)</f>
        <v>0</v>
      </c>
    </row>
    <row r="879" spans="1:22" ht="15" customHeight="1" x14ac:dyDescent="0.25">
      <c r="A879" s="123">
        <f>Procurement_Raw!A879</f>
        <v>45993</v>
      </c>
      <c r="B879" t="str">
        <f>TRIM(Procurement_Raw!B879)</f>
        <v>S019</v>
      </c>
      <c r="C879" t="str">
        <f>Procurement_Raw!C879</f>
        <v>Wrexham Care &amp; Education Centre</v>
      </c>
      <c r="D879" t="str">
        <f>Procurement_Raw!D879</f>
        <v>Wales</v>
      </c>
      <c r="E879" t="str">
        <f>IF(TRIM(Procurement_Raw!E879)="","",IFERROR(INDEX(Supplier_Lookup!$A$2:$A$25,MATCH(TRIM(Procurement_Raw!E879),Supplier_Lookup!$A$2:$A$25,0)),TRIM(Procurement_Raw!E879)))</f>
        <v>MediSure</v>
      </c>
      <c r="F879" t="str">
        <f>IFERROR(INDEX(Category_Targets!$A$2:$A$9,MATCH(TRIM(Procurement_Raw!F879),Category_Targets!$A$2:$A$9,0)),"Unmapped")</f>
        <v>Medical Supplies</v>
      </c>
      <c r="G879" t="str">
        <f>TRIM(Procurement_Raw!G879)</f>
        <v>INV-2025-00878</v>
      </c>
      <c r="H879" s="77">
        <f>Procurement_Raw!H879</f>
        <v>63</v>
      </c>
      <c r="I879" s="124">
        <f>Procurement_Raw!I879</f>
        <v>135.72</v>
      </c>
      <c r="J879" s="125">
        <f>IF(Procurement_Raw!J879="","",Procurement_Raw!J879)</f>
        <v>8550.2000000000007</v>
      </c>
      <c r="K879" s="77">
        <f>Procurement_Raw!K879</f>
        <v>30</v>
      </c>
      <c r="L879" t="str">
        <f>Procurement_Raw!L879</f>
        <v>Procurement Portal</v>
      </c>
      <c r="M879" t="str">
        <f>Procurement_Raw!O879</f>
        <v>Y</v>
      </c>
      <c r="N879" t="str">
        <f>IF(E879="","Missing supplier",IF(B879="","Missing site",IF(J879="","Missing spend",IF(COUNTIFS($G$2:G879,G879,$E$2:E879,E879,$J$2:J879,J879)&gt;1,"Duplicate invoice",IF(COUNTIF($G$2:$G$1801,G879)&gt;1,"Duplicate ID - review",IF(AND(P879&lt;&gt;"Unmapped",P879&lt;&gt;F879),"Category mismatch","OK"))))))</f>
        <v>OK</v>
      </c>
      <c r="O879" s="125">
        <f t="shared" si="39"/>
        <v>8550.2000000000007</v>
      </c>
      <c r="P879" t="str">
        <f>IF(E879="","Unmapped",IFERROR(INDEX(Supplier_Lookup!$B$2:$B$25,MATCH(E879,Supplier_Lookup!$A$2:$A$25,0)),"Unmapped"))</f>
        <v>Medical Supplies</v>
      </c>
      <c r="Q879" s="76">
        <f>IFERROR(INDEX(Category_Targets!$B$2:$B$9,MATCH(F879,Category_Targets!$A$2:$A$9,0)),0)</f>
        <v>0.06</v>
      </c>
      <c r="R879" s="125">
        <f t="shared" si="40"/>
        <v>513.01200000000006</v>
      </c>
      <c r="S879" s="78">
        <f t="shared" si="41"/>
        <v>45992</v>
      </c>
      <c r="T879" t="str">
        <f>IFERROR(VLOOKUP(B879,Sites!$A$2:$D$21,4,FALSE()),"Unknown")</f>
        <v>Wrexham</v>
      </c>
      <c r="U879" t="str">
        <f>IF(N879="OK","",COUNTIF($N$2:N879,"&lt;&gt;OK"))</f>
        <v/>
      </c>
      <c r="V879">
        <f>IF(OR(NOT(EXACT(E879,TRIM(Procurement_Raw!E879))),NOT(EXACT(F879,TRIM(Procurement_Raw!F879)))),1,0)</f>
        <v>0</v>
      </c>
    </row>
    <row r="880" spans="1:22" ht="15" customHeight="1" x14ac:dyDescent="0.25">
      <c r="A880" s="123">
        <f>Procurement_Raw!A880</f>
        <v>45943</v>
      </c>
      <c r="B880" t="str">
        <f>TRIM(Procurement_Raw!B880)</f>
        <v>S008</v>
      </c>
      <c r="C880" t="str">
        <f>Procurement_Raw!C880</f>
        <v>Leicester Care &amp; Education Centre</v>
      </c>
      <c r="D880" t="str">
        <f>Procurement_Raw!D880</f>
        <v>Midlands</v>
      </c>
      <c r="E880" t="str">
        <f>IF(TRIM(Procurement_Raw!E880)="","",IFERROR(INDEX(Supplier_Lookup!$A$2:$A$25,MATCH(TRIM(Procurement_Raw!E880),Supplier_Lookup!$A$2:$A$25,0)),TRIM(Procurement_Raw!E880)))</f>
        <v>CareMed</v>
      </c>
      <c r="F880" t="str">
        <f>IFERROR(INDEX(Category_Targets!$A$2:$A$9,MATCH(TRIM(Procurement_Raw!F880),Category_Targets!$A$2:$A$9,0)),"Unmapped")</f>
        <v>Medical Supplies</v>
      </c>
      <c r="G880" t="str">
        <f>TRIM(Procurement_Raw!G880)</f>
        <v>INV-2025-00879</v>
      </c>
      <c r="H880" s="77">
        <f>Procurement_Raw!H880</f>
        <v>54</v>
      </c>
      <c r="I880" s="124">
        <f>Procurement_Raw!I880</f>
        <v>118.92</v>
      </c>
      <c r="J880" s="125">
        <f>IF(Procurement_Raw!J880="","",Procurement_Raw!J880)</f>
        <v>6421.73</v>
      </c>
      <c r="K880" s="77">
        <f>Procurement_Raw!K880</f>
        <v>45</v>
      </c>
      <c r="L880" t="str">
        <f>Procurement_Raw!L880</f>
        <v>Legacy Spend File</v>
      </c>
      <c r="M880" t="str">
        <f>Procurement_Raw!O880</f>
        <v>N</v>
      </c>
      <c r="N880" t="str">
        <f>IF(E880="","Missing supplier",IF(B880="","Missing site",IF(J880="","Missing spend",IF(COUNTIFS($G$2:G880,G880,$E$2:E880,E880,$J$2:J880,J880)&gt;1,"Duplicate invoice",IF(COUNTIF($G$2:$G$1801,G880)&gt;1,"Duplicate ID - review",IF(AND(P880&lt;&gt;"Unmapped",P880&lt;&gt;F880),"Category mismatch","OK"))))))</f>
        <v>OK</v>
      </c>
      <c r="O880" s="125">
        <f t="shared" si="39"/>
        <v>6421.73</v>
      </c>
      <c r="P880" t="str">
        <f>IF(E880="","Unmapped",IFERROR(INDEX(Supplier_Lookup!$B$2:$B$25,MATCH(E880,Supplier_Lookup!$A$2:$A$25,0)),"Unmapped"))</f>
        <v>Medical Supplies</v>
      </c>
      <c r="Q880" s="76">
        <f>IFERROR(INDEX(Category_Targets!$B$2:$B$9,MATCH(F880,Category_Targets!$A$2:$A$9,0)),0)</f>
        <v>0.06</v>
      </c>
      <c r="R880" s="125">
        <f t="shared" si="40"/>
        <v>385.30379999999997</v>
      </c>
      <c r="S880" s="78">
        <f t="shared" si="41"/>
        <v>45931</v>
      </c>
      <c r="T880" t="str">
        <f>IFERROR(VLOOKUP(B880,Sites!$A$2:$D$21,4,FALSE()),"Unknown")</f>
        <v>Leicester</v>
      </c>
      <c r="U880" t="str">
        <f>IF(N880="OK","",COUNTIF($N$2:N880,"&lt;&gt;OK"))</f>
        <v/>
      </c>
      <c r="V880">
        <f>IF(OR(NOT(EXACT(E880,TRIM(Procurement_Raw!E880))),NOT(EXACT(F880,TRIM(Procurement_Raw!F880)))),1,0)</f>
        <v>0</v>
      </c>
    </row>
    <row r="881" spans="1:22" ht="15" customHeight="1" x14ac:dyDescent="0.25">
      <c r="A881" s="123">
        <f>Procurement_Raw!A881</f>
        <v>45678</v>
      </c>
      <c r="B881" t="str">
        <f>TRIM(Procurement_Raw!B881)</f>
        <v>S012</v>
      </c>
      <c r="C881" t="str">
        <f>Procurement_Raw!C881</f>
        <v>Bristol Care &amp; Education Centre</v>
      </c>
      <c r="D881" t="str">
        <f>Procurement_Raw!D881</f>
        <v>South</v>
      </c>
      <c r="E881" t="str">
        <f>IF(TRIM(Procurement_Raw!E881)="","",IFERROR(INDEX(Supplier_Lookup!$A$2:$A$25,MATCH(TRIM(Procurement_Raw!E881),Supplier_Lookup!$A$2:$A$25,0)),TRIM(Procurement_Raw!E881)))</f>
        <v>NetServe</v>
      </c>
      <c r="F881" t="str">
        <f>IFERROR(INDEX(Category_Targets!$A$2:$A$9,MATCH(TRIM(Procurement_Raw!F881),Category_Targets!$A$2:$A$9,0)),"Unmapped")</f>
        <v>IT &amp; Telecoms</v>
      </c>
      <c r="G881" t="str">
        <f>TRIM(Procurement_Raw!G881)</f>
        <v>INV-2025-00880</v>
      </c>
      <c r="H881" s="77">
        <f>Procurement_Raw!H881</f>
        <v>10</v>
      </c>
      <c r="I881" s="124">
        <f>Procurement_Raw!I881</f>
        <v>422.95</v>
      </c>
      <c r="J881" s="125">
        <f>IF(Procurement_Raw!J881="","",Procurement_Raw!J881)</f>
        <v>4229.46</v>
      </c>
      <c r="K881" s="77">
        <f>Procurement_Raw!K881</f>
        <v>45</v>
      </c>
      <c r="L881" t="str">
        <f>Procurement_Raw!L881</f>
        <v>ERP</v>
      </c>
      <c r="M881" t="str">
        <f>Procurement_Raw!O881</f>
        <v>N</v>
      </c>
      <c r="N881" t="str">
        <f>IF(E881="","Missing supplier",IF(B881="","Missing site",IF(J881="","Missing spend",IF(COUNTIFS($G$2:G881,G881,$E$2:E881,E881,$J$2:J881,J881)&gt;1,"Duplicate invoice",IF(COUNTIF($G$2:$G$1801,G881)&gt;1,"Duplicate ID - review",IF(AND(P881&lt;&gt;"Unmapped",P881&lt;&gt;F881),"Category mismatch","OK"))))))</f>
        <v>OK</v>
      </c>
      <c r="O881" s="125">
        <f t="shared" si="39"/>
        <v>4229.46</v>
      </c>
      <c r="P881" t="str">
        <f>IF(E881="","Unmapped",IFERROR(INDEX(Supplier_Lookup!$B$2:$B$25,MATCH(E881,Supplier_Lookup!$A$2:$A$25,0)),"Unmapped"))</f>
        <v>IT &amp; Telecoms</v>
      </c>
      <c r="Q881" s="76">
        <f>IFERROR(INDEX(Category_Targets!$B$2:$B$9,MATCH(F881,Category_Targets!$A$2:$A$9,0)),0)</f>
        <v>0.08</v>
      </c>
      <c r="R881" s="125">
        <f t="shared" si="40"/>
        <v>338.35680000000002</v>
      </c>
      <c r="S881" s="78">
        <f t="shared" si="41"/>
        <v>45658</v>
      </c>
      <c r="T881" t="str">
        <f>IFERROR(VLOOKUP(B881,Sites!$A$2:$D$21,4,FALSE()),"Unknown")</f>
        <v>Bristol</v>
      </c>
      <c r="U881" t="str">
        <f>IF(N881="OK","",COUNTIF($N$2:N881,"&lt;&gt;OK"))</f>
        <v/>
      </c>
      <c r="V881">
        <f>IF(OR(NOT(EXACT(E881,TRIM(Procurement_Raw!E881))),NOT(EXACT(F881,TRIM(Procurement_Raw!F881)))),1,0)</f>
        <v>0</v>
      </c>
    </row>
    <row r="882" spans="1:22" ht="15" customHeight="1" x14ac:dyDescent="0.25">
      <c r="A882" s="123">
        <f>Procurement_Raw!A882</f>
        <v>45776</v>
      </c>
      <c r="B882" t="str">
        <f>TRIM(Procurement_Raw!B882)</f>
        <v>S003</v>
      </c>
      <c r="C882" t="str">
        <f>Procurement_Raw!C882</f>
        <v>Leeds Care &amp; Education Centre</v>
      </c>
      <c r="D882" t="str">
        <f>Procurement_Raw!D882</f>
        <v>North</v>
      </c>
      <c r="E882" t="str">
        <f>IF(TRIM(Procurement_Raw!E882)="","",IFERROR(INDEX(Supplier_Lookup!$A$2:$A$25,MATCH(TRIM(Procurement_Raw!E882),Supplier_Lookup!$A$2:$A$25,0)),TRIM(Procurement_Raw!E882)))</f>
        <v>FreshServe</v>
      </c>
      <c r="F882" t="str">
        <f>IFERROR(INDEX(Category_Targets!$A$2:$A$9,MATCH(TRIM(Procurement_Raw!F882),Category_Targets!$A$2:$A$9,0)),"Unmapped")</f>
        <v>Food &amp; Catering</v>
      </c>
      <c r="G882" t="str">
        <f>TRIM(Procurement_Raw!G882)</f>
        <v>INV-2025-00881</v>
      </c>
      <c r="H882" s="77">
        <f>Procurement_Raw!H882</f>
        <v>69</v>
      </c>
      <c r="I882" s="124">
        <f>Procurement_Raw!I882</f>
        <v>260.92</v>
      </c>
      <c r="J882" s="125">
        <f>IF(Procurement_Raw!J882="","",Procurement_Raw!J882)</f>
        <v>18003.23</v>
      </c>
      <c r="K882" s="77">
        <f>Procurement_Raw!K882</f>
        <v>45</v>
      </c>
      <c r="L882" t="str">
        <f>Procurement_Raw!L882</f>
        <v>ERP</v>
      </c>
      <c r="M882" t="str">
        <f>Procurement_Raw!O882</f>
        <v>Y</v>
      </c>
      <c r="N882" t="str">
        <f>IF(E882="","Missing supplier",IF(B882="","Missing site",IF(J882="","Missing spend",IF(COUNTIFS($G$2:G882,G882,$E$2:E882,E882,$J$2:J882,J882)&gt;1,"Duplicate invoice",IF(COUNTIF($G$2:$G$1801,G882)&gt;1,"Duplicate ID - review",IF(AND(P882&lt;&gt;"Unmapped",P882&lt;&gt;F882),"Category mismatch","OK"))))))</f>
        <v>OK</v>
      </c>
      <c r="O882" s="125">
        <f t="shared" si="39"/>
        <v>18003.23</v>
      </c>
      <c r="P882" t="str">
        <f>IF(E882="","Unmapped",IFERROR(INDEX(Supplier_Lookup!$B$2:$B$25,MATCH(E882,Supplier_Lookup!$A$2:$A$25,0)),"Unmapped"))</f>
        <v>Food &amp; Catering</v>
      </c>
      <c r="Q882" s="76">
        <f>IFERROR(INDEX(Category_Targets!$B$2:$B$9,MATCH(F882,Category_Targets!$A$2:$A$9,0)),0)</f>
        <v>0.04</v>
      </c>
      <c r="R882" s="125">
        <f t="shared" si="40"/>
        <v>720.12919999999997</v>
      </c>
      <c r="S882" s="78">
        <f t="shared" si="41"/>
        <v>45748</v>
      </c>
      <c r="T882" t="str">
        <f>IFERROR(VLOOKUP(B882,Sites!$A$2:$D$21,4,FALSE()),"Unknown")</f>
        <v>Leeds</v>
      </c>
      <c r="U882" t="str">
        <f>IF(N882="OK","",COUNTIF($N$2:N882,"&lt;&gt;OK"))</f>
        <v/>
      </c>
      <c r="V882">
        <f>IF(OR(NOT(EXACT(E882,TRIM(Procurement_Raw!E882))),NOT(EXACT(F882,TRIM(Procurement_Raw!F882)))),1,0)</f>
        <v>0</v>
      </c>
    </row>
    <row r="883" spans="1:22" ht="15" customHeight="1" x14ac:dyDescent="0.25">
      <c r="A883" s="123">
        <f>Procurement_Raw!A883</f>
        <v>45978</v>
      </c>
      <c r="B883" t="str">
        <f>TRIM(Procurement_Raw!B883)</f>
        <v>S009</v>
      </c>
      <c r="C883" t="str">
        <f>Procurement_Raw!C883</f>
        <v>Derby Care &amp; Education Centre</v>
      </c>
      <c r="D883" t="str">
        <f>Procurement_Raw!D883</f>
        <v>Midlands</v>
      </c>
      <c r="E883" t="str">
        <f>IF(TRIM(Procurement_Raw!E883)="","",IFERROR(INDEX(Supplier_Lookup!$A$2:$A$25,MATCH(TRIM(Procurement_Raw!E883),Supplier_Lookup!$A$2:$A$25,0)),TRIM(Procurement_Raw!E883)))</f>
        <v>PowerDirect</v>
      </c>
      <c r="F883" t="str">
        <f>IFERROR(INDEX(Category_Targets!$A$2:$A$9,MATCH(TRIM(Procurement_Raw!F883),Category_Targets!$A$2:$A$9,0)),"Unmapped")</f>
        <v>Utilities</v>
      </c>
      <c r="G883" t="str">
        <f>TRIM(Procurement_Raw!G883)</f>
        <v>INV-2025-00882</v>
      </c>
      <c r="H883" s="77">
        <f>Procurement_Raw!H883</f>
        <v>23</v>
      </c>
      <c r="I883" s="124">
        <f>Procurement_Raw!I883</f>
        <v>186.7</v>
      </c>
      <c r="J883" s="125">
        <f>IF(Procurement_Raw!J883="","",Procurement_Raw!J883)</f>
        <v>4294.01</v>
      </c>
      <c r="K883" s="77">
        <f>Procurement_Raw!K883</f>
        <v>60</v>
      </c>
      <c r="L883" t="str">
        <f>Procurement_Raw!L883</f>
        <v>Legacy Spend File</v>
      </c>
      <c r="M883" t="str">
        <f>Procurement_Raw!O883</f>
        <v>N</v>
      </c>
      <c r="N883" t="str">
        <f>IF(E883="","Missing supplier",IF(B883="","Missing site",IF(J883="","Missing spend",IF(COUNTIFS($G$2:G883,G883,$E$2:E883,E883,$J$2:J883,J883)&gt;1,"Duplicate invoice",IF(COUNTIF($G$2:$G$1801,G883)&gt;1,"Duplicate ID - review",IF(AND(P883&lt;&gt;"Unmapped",P883&lt;&gt;F883),"Category mismatch","OK"))))))</f>
        <v>OK</v>
      </c>
      <c r="O883" s="125">
        <f t="shared" si="39"/>
        <v>4294.01</v>
      </c>
      <c r="P883" t="str">
        <f>IF(E883="","Unmapped",IFERROR(INDEX(Supplier_Lookup!$B$2:$B$25,MATCH(E883,Supplier_Lookup!$A$2:$A$25,0)),"Unmapped"))</f>
        <v>Utilities</v>
      </c>
      <c r="Q883" s="76">
        <f>IFERROR(INDEX(Category_Targets!$B$2:$B$9,MATCH(F883,Category_Targets!$A$2:$A$9,0)),0)</f>
        <v>0.03</v>
      </c>
      <c r="R883" s="125">
        <f t="shared" si="40"/>
        <v>128.8203</v>
      </c>
      <c r="S883" s="78">
        <f t="shared" si="41"/>
        <v>45962</v>
      </c>
      <c r="T883" t="str">
        <f>IFERROR(VLOOKUP(B883,Sites!$A$2:$D$21,4,FALSE()),"Unknown")</f>
        <v>Derby</v>
      </c>
      <c r="U883" t="str">
        <f>IF(N883="OK","",COUNTIF($N$2:N883,"&lt;&gt;OK"))</f>
        <v/>
      </c>
      <c r="V883">
        <f>IF(OR(NOT(EXACT(E883,TRIM(Procurement_Raw!E883))),NOT(EXACT(F883,TRIM(Procurement_Raw!F883)))),1,0)</f>
        <v>0</v>
      </c>
    </row>
    <row r="884" spans="1:22" ht="15" customHeight="1" x14ac:dyDescent="0.25">
      <c r="A884" s="123">
        <f>Procurement_Raw!A884</f>
        <v>45712</v>
      </c>
      <c r="B884" t="str">
        <f>TRIM(Procurement_Raw!B884)</f>
        <v>S013</v>
      </c>
      <c r="C884" t="str">
        <f>Procurement_Raw!C884</f>
        <v>Reading Care &amp; Education Centre</v>
      </c>
      <c r="D884" t="str">
        <f>Procurement_Raw!D884</f>
        <v>South</v>
      </c>
      <c r="E884" t="str">
        <f>IF(TRIM(Procurement_Raw!E884)="","",IFERROR(INDEX(Supplier_Lookup!$A$2:$A$25,MATCH(TRIM(Procurement_Raw!E884),Supplier_Lookup!$A$2:$A$25,0)),TRIM(Procurement_Raw!E884)))</f>
        <v>NurseLink</v>
      </c>
      <c r="F884" t="str">
        <f>IFERROR(INDEX(Category_Targets!$A$2:$A$9,MATCH(TRIM(Procurement_Raw!F884),Category_Targets!$A$2:$A$9,0)),"Unmapped")</f>
        <v>Agency Labour</v>
      </c>
      <c r="G884" t="str">
        <f>TRIM(Procurement_Raw!G884)</f>
        <v>INV-2025-00883</v>
      </c>
      <c r="H884" s="77">
        <f>Procurement_Raw!H884</f>
        <v>74</v>
      </c>
      <c r="I884" s="124">
        <f>Procurement_Raw!I884</f>
        <v>229.2</v>
      </c>
      <c r="J884" s="125">
        <f>IF(Procurement_Raw!J884="","",Procurement_Raw!J884)</f>
        <v>16960.73</v>
      </c>
      <c r="K884" s="77">
        <f>Procurement_Raw!K884</f>
        <v>45</v>
      </c>
      <c r="L884" t="str">
        <f>Procurement_Raw!L884</f>
        <v>Legacy Spend File</v>
      </c>
      <c r="M884" t="str">
        <f>Procurement_Raw!O884</f>
        <v>N</v>
      </c>
      <c r="N884" t="str">
        <f>IF(E884="","Missing supplier",IF(B884="","Missing site",IF(J884="","Missing spend",IF(COUNTIFS($G$2:G884,G884,$E$2:E884,E884,$J$2:J884,J884)&gt;1,"Duplicate invoice",IF(COUNTIF($G$2:$G$1801,G884)&gt;1,"Duplicate ID - review",IF(AND(P884&lt;&gt;"Unmapped",P884&lt;&gt;F884),"Category mismatch","OK"))))))</f>
        <v>OK</v>
      </c>
      <c r="O884" s="125">
        <f t="shared" si="39"/>
        <v>16960.73</v>
      </c>
      <c r="P884" t="str">
        <f>IF(E884="","Unmapped",IFERROR(INDEX(Supplier_Lookup!$B$2:$B$25,MATCH(E884,Supplier_Lookup!$A$2:$A$25,0)),"Unmapped"))</f>
        <v>Agency Labour</v>
      </c>
      <c r="Q884" s="76">
        <f>IFERROR(INDEX(Category_Targets!$B$2:$B$9,MATCH(F884,Category_Targets!$A$2:$A$9,0)),0)</f>
        <v>7.0000000000000007E-2</v>
      </c>
      <c r="R884" s="125">
        <f t="shared" si="40"/>
        <v>1187.2511000000002</v>
      </c>
      <c r="S884" s="78">
        <f t="shared" si="41"/>
        <v>45689</v>
      </c>
      <c r="T884" t="str">
        <f>IFERROR(VLOOKUP(B884,Sites!$A$2:$D$21,4,FALSE()),"Unknown")</f>
        <v>Reading</v>
      </c>
      <c r="U884" t="str">
        <f>IF(N884="OK","",COUNTIF($N$2:N884,"&lt;&gt;OK"))</f>
        <v/>
      </c>
      <c r="V884">
        <f>IF(OR(NOT(EXACT(E884,TRIM(Procurement_Raw!E884))),NOT(EXACT(F884,TRIM(Procurement_Raw!F884)))),1,0)</f>
        <v>0</v>
      </c>
    </row>
    <row r="885" spans="1:22" ht="15" customHeight="1" x14ac:dyDescent="0.25">
      <c r="A885" s="123">
        <f>Procurement_Raw!A885</f>
        <v>45743</v>
      </c>
      <c r="B885" t="str">
        <f>TRIM(Procurement_Raw!B885)</f>
        <v>S001</v>
      </c>
      <c r="C885" t="str">
        <f>Procurement_Raw!C885</f>
        <v>Preston Care &amp; Education Centre</v>
      </c>
      <c r="D885" t="str">
        <f>Procurement_Raw!D885</f>
        <v>North</v>
      </c>
      <c r="E885" t="str">
        <f>IF(TRIM(Procurement_Raw!E885)="","",IFERROR(INDEX(Supplier_Lookup!$A$2:$A$25,MATCH(TRIM(Procurement_Raw!E885),Supplier_Lookup!$A$2:$A$25,0)),TRIM(Procurement_Raw!E885)))</f>
        <v>HealthStaffing</v>
      </c>
      <c r="F885" t="str">
        <f>IFERROR(INDEX(Category_Targets!$A$2:$A$9,MATCH(TRIM(Procurement_Raw!F885),Category_Targets!$A$2:$A$9,0)),"Unmapped")</f>
        <v>Agency Labour</v>
      </c>
      <c r="G885" t="str">
        <f>TRIM(Procurement_Raw!G885)</f>
        <v>INV-2025-00884</v>
      </c>
      <c r="H885" s="77">
        <f>Procurement_Raw!H885</f>
        <v>24</v>
      </c>
      <c r="I885" s="124">
        <f>Procurement_Raw!I885</f>
        <v>532.76</v>
      </c>
      <c r="J885" s="125">
        <f>IF(Procurement_Raw!J885="","",Procurement_Raw!J885)</f>
        <v>12786.24</v>
      </c>
      <c r="K885" s="77">
        <f>Procurement_Raw!K885</f>
        <v>60</v>
      </c>
      <c r="L885" t="str">
        <f>Procurement_Raw!L885</f>
        <v>Procurement Portal</v>
      </c>
      <c r="M885" t="str">
        <f>Procurement_Raw!O885</f>
        <v>N</v>
      </c>
      <c r="N885" t="str">
        <f>IF(E885="","Missing supplier",IF(B885="","Missing site",IF(J885="","Missing spend",IF(COUNTIFS($G$2:G885,G885,$E$2:E885,E885,$J$2:J885,J885)&gt;1,"Duplicate invoice",IF(COUNTIF($G$2:$G$1801,G885)&gt;1,"Duplicate ID - review",IF(AND(P885&lt;&gt;"Unmapped",P885&lt;&gt;F885),"Category mismatch","OK"))))))</f>
        <v>OK</v>
      </c>
      <c r="O885" s="125">
        <f t="shared" si="39"/>
        <v>12786.24</v>
      </c>
      <c r="P885" t="str">
        <f>IF(E885="","Unmapped",IFERROR(INDEX(Supplier_Lookup!$B$2:$B$25,MATCH(E885,Supplier_Lookup!$A$2:$A$25,0)),"Unmapped"))</f>
        <v>Agency Labour</v>
      </c>
      <c r="Q885" s="76">
        <f>IFERROR(INDEX(Category_Targets!$B$2:$B$9,MATCH(F885,Category_Targets!$A$2:$A$9,0)),0)</f>
        <v>7.0000000000000007E-2</v>
      </c>
      <c r="R885" s="125">
        <f t="shared" si="40"/>
        <v>895.03680000000008</v>
      </c>
      <c r="S885" s="78">
        <f t="shared" si="41"/>
        <v>45717</v>
      </c>
      <c r="T885" t="str">
        <f>IFERROR(VLOOKUP(B885,Sites!$A$2:$D$21,4,FALSE()),"Unknown")</f>
        <v>Preston</v>
      </c>
      <c r="U885" t="str">
        <f>IF(N885="OK","",COUNTIF($N$2:N885,"&lt;&gt;OK"))</f>
        <v/>
      </c>
      <c r="V885">
        <f>IF(OR(NOT(EXACT(E885,TRIM(Procurement_Raw!E885))),NOT(EXACT(F885,TRIM(Procurement_Raw!F885)))),1,0)</f>
        <v>0</v>
      </c>
    </row>
    <row r="886" spans="1:22" ht="15" customHeight="1" x14ac:dyDescent="0.25">
      <c r="A886" s="123">
        <f>Procurement_Raw!A886</f>
        <v>45738</v>
      </c>
      <c r="B886" t="str">
        <f>TRIM(Procurement_Raw!B886)</f>
        <v>S014</v>
      </c>
      <c r="C886" t="str">
        <f>Procurement_Raw!C886</f>
        <v>Southampton Care &amp; Education Centre</v>
      </c>
      <c r="D886" t="str">
        <f>Procurement_Raw!D886</f>
        <v>South</v>
      </c>
      <c r="E886" t="str">
        <f>IF(TRIM(Procurement_Raw!E886)="","",IFERROR(INDEX(Supplier_Lookup!$A$2:$A$25,MATCH(TRIM(Procurement_Raw!E886),Supplier_Lookup!$A$2:$A$25,0)),TRIM(Procurement_Raw!E886)))</f>
        <v>AutoCare</v>
      </c>
      <c r="F886" t="str">
        <f>IFERROR(INDEX(Category_Targets!$A$2:$A$9,MATCH(TRIM(Procurement_Raw!F886),Category_Targets!$A$2:$A$9,0)),"Unmapped")</f>
        <v>Vehicle &amp; Fuel</v>
      </c>
      <c r="G886" t="str">
        <f>TRIM(Procurement_Raw!G886)</f>
        <v>INV-2025-00885</v>
      </c>
      <c r="H886" s="77">
        <f>Procurement_Raw!H886</f>
        <v>69</v>
      </c>
      <c r="I886" s="124">
        <f>Procurement_Raw!I886</f>
        <v>138.22999999999999</v>
      </c>
      <c r="J886" s="125">
        <f>IF(Procurement_Raw!J886="","",Procurement_Raw!J886)</f>
        <v>9537.85</v>
      </c>
      <c r="K886" s="77">
        <f>Procurement_Raw!K886</f>
        <v>60</v>
      </c>
      <c r="L886" t="str">
        <f>Procurement_Raw!L886</f>
        <v>Procurement Portal</v>
      </c>
      <c r="M886" t="str">
        <f>Procurement_Raw!O886</f>
        <v>N</v>
      </c>
      <c r="N886" t="str">
        <f>IF(E886="","Missing supplier",IF(B886="","Missing site",IF(J886="","Missing spend",IF(COUNTIFS($G$2:G886,G886,$E$2:E886,E886,$J$2:J886,J886)&gt;1,"Duplicate invoice",IF(COUNTIF($G$2:$G$1801,G886)&gt;1,"Duplicate ID - review",IF(AND(P886&lt;&gt;"Unmapped",P886&lt;&gt;F886),"Category mismatch","OK"))))))</f>
        <v>OK</v>
      </c>
      <c r="O886" s="125">
        <f t="shared" si="39"/>
        <v>9537.85</v>
      </c>
      <c r="P886" t="str">
        <f>IF(E886="","Unmapped",IFERROR(INDEX(Supplier_Lookup!$B$2:$B$25,MATCH(E886,Supplier_Lookup!$A$2:$A$25,0)),"Unmapped"))</f>
        <v>Vehicle &amp; Fuel</v>
      </c>
      <c r="Q886" s="76">
        <f>IFERROR(INDEX(Category_Targets!$B$2:$B$9,MATCH(F886,Category_Targets!$A$2:$A$9,0)),0)</f>
        <v>0.05</v>
      </c>
      <c r="R886" s="125">
        <f t="shared" si="40"/>
        <v>476.89250000000004</v>
      </c>
      <c r="S886" s="78">
        <f t="shared" si="41"/>
        <v>45717</v>
      </c>
      <c r="T886" t="str">
        <f>IFERROR(VLOOKUP(B886,Sites!$A$2:$D$21,4,FALSE()),"Unknown")</f>
        <v>Southampton</v>
      </c>
      <c r="U886" t="str">
        <f>IF(N886="OK","",COUNTIF($N$2:N886,"&lt;&gt;OK"))</f>
        <v/>
      </c>
      <c r="V886">
        <f>IF(OR(NOT(EXACT(E886,TRIM(Procurement_Raw!E886))),NOT(EXACT(F886,TRIM(Procurement_Raw!F886)))),1,0)</f>
        <v>0</v>
      </c>
    </row>
    <row r="887" spans="1:22" ht="15" customHeight="1" x14ac:dyDescent="0.25">
      <c r="A887" s="123">
        <f>Procurement_Raw!A887</f>
        <v>45824</v>
      </c>
      <c r="B887" t="str">
        <f>TRIM(Procurement_Raw!B887)</f>
        <v>S009</v>
      </c>
      <c r="C887" t="str">
        <f>Procurement_Raw!C887</f>
        <v>Derby Care &amp; Education Centre</v>
      </c>
      <c r="D887" t="str">
        <f>Procurement_Raw!D887</f>
        <v>Midlands</v>
      </c>
      <c r="E887" t="str">
        <f>IF(TRIM(Procurement_Raw!E887)="","",IFERROR(INDEX(Supplier_Lookup!$A$2:$A$25,MATCH(TRIM(Procurement_Raw!E887),Supplier_Lookup!$A$2:$A$25,0)),TRIM(Procurement_Raw!E887)))</f>
        <v>AutoCare</v>
      </c>
      <c r="F887" t="str">
        <f>IFERROR(INDEX(Category_Targets!$A$2:$A$9,MATCH(TRIM(Procurement_Raw!F887),Category_Targets!$A$2:$A$9,0)),"Unmapped")</f>
        <v>Vehicle &amp; Fuel</v>
      </c>
      <c r="G887" t="str">
        <f>TRIM(Procurement_Raw!G887)</f>
        <v>INV-2025-00886</v>
      </c>
      <c r="H887" s="77">
        <f>Procurement_Raw!H887</f>
        <v>48</v>
      </c>
      <c r="I887" s="124">
        <f>Procurement_Raw!I887</f>
        <v>262.32</v>
      </c>
      <c r="J887" s="125">
        <f>IF(Procurement_Raw!J887="","",Procurement_Raw!J887)</f>
        <v>12591.37</v>
      </c>
      <c r="K887" s="77">
        <f>Procurement_Raw!K887</f>
        <v>45</v>
      </c>
      <c r="L887" t="str">
        <f>Procurement_Raw!L887</f>
        <v>Legacy Spend File</v>
      </c>
      <c r="M887" t="str">
        <f>Procurement_Raw!O887</f>
        <v>N</v>
      </c>
      <c r="N887" t="str">
        <f>IF(E887="","Missing supplier",IF(B887="","Missing site",IF(J887="","Missing spend",IF(COUNTIFS($G$2:G887,G887,$E$2:E887,E887,$J$2:J887,J887)&gt;1,"Duplicate invoice",IF(COUNTIF($G$2:$G$1801,G887)&gt;1,"Duplicate ID - review",IF(AND(P887&lt;&gt;"Unmapped",P887&lt;&gt;F887),"Category mismatch","OK"))))))</f>
        <v>OK</v>
      </c>
      <c r="O887" s="125">
        <f t="shared" si="39"/>
        <v>12591.37</v>
      </c>
      <c r="P887" t="str">
        <f>IF(E887="","Unmapped",IFERROR(INDEX(Supplier_Lookup!$B$2:$B$25,MATCH(E887,Supplier_Lookup!$A$2:$A$25,0)),"Unmapped"))</f>
        <v>Vehicle &amp; Fuel</v>
      </c>
      <c r="Q887" s="76">
        <f>IFERROR(INDEX(Category_Targets!$B$2:$B$9,MATCH(F887,Category_Targets!$A$2:$A$9,0)),0)</f>
        <v>0.05</v>
      </c>
      <c r="R887" s="125">
        <f t="shared" si="40"/>
        <v>629.56850000000009</v>
      </c>
      <c r="S887" s="78">
        <f t="shared" si="41"/>
        <v>45809</v>
      </c>
      <c r="T887" t="str">
        <f>IFERROR(VLOOKUP(B887,Sites!$A$2:$D$21,4,FALSE()),"Unknown")</f>
        <v>Derby</v>
      </c>
      <c r="U887" t="str">
        <f>IF(N887="OK","",COUNTIF($N$2:N887,"&lt;&gt;OK"))</f>
        <v/>
      </c>
      <c r="V887">
        <f>IF(OR(NOT(EXACT(E887,TRIM(Procurement_Raw!E887))),NOT(EXACT(F887,TRIM(Procurement_Raw!F887)))),1,0)</f>
        <v>0</v>
      </c>
    </row>
    <row r="888" spans="1:22" ht="15" customHeight="1" x14ac:dyDescent="0.25">
      <c r="A888" s="123">
        <f>Procurement_Raw!A888</f>
        <v>45781</v>
      </c>
      <c r="B888" t="str">
        <f>TRIM(Procurement_Raw!B888)</f>
        <v>S007</v>
      </c>
      <c r="C888" t="str">
        <f>Procurement_Raw!C888</f>
        <v>Nottingham Care &amp; Education Centre</v>
      </c>
      <c r="D888" t="str">
        <f>Procurement_Raw!D888</f>
        <v>Midlands</v>
      </c>
      <c r="E888" t="str">
        <f>IF(TRIM(Procurement_Raw!E888)="","",IFERROR(INDEX(Supplier_Lookup!$A$2:$A$25,MATCH(TRIM(Procurement_Raw!E888),Supplier_Lookup!$A$2:$A$25,0)),TRIM(Procurement_Raw!E888)))</f>
        <v>AutoCare</v>
      </c>
      <c r="F888" t="str">
        <f>IFERROR(INDEX(Category_Targets!$A$2:$A$9,MATCH(TRIM(Procurement_Raw!F888),Category_Targets!$A$2:$A$9,0)),"Unmapped")</f>
        <v>Vehicle &amp; Fuel</v>
      </c>
      <c r="G888" t="str">
        <f>TRIM(Procurement_Raw!G888)</f>
        <v>INV-2025-00887</v>
      </c>
      <c r="H888" s="77">
        <f>Procurement_Raw!H888</f>
        <v>73</v>
      </c>
      <c r="I888" s="124">
        <f>Procurement_Raw!I888</f>
        <v>130.97999999999999</v>
      </c>
      <c r="J888" s="125">
        <f>IF(Procurement_Raw!J888="","",Procurement_Raw!J888)</f>
        <v>9561.4699999999993</v>
      </c>
      <c r="K888" s="77">
        <f>Procurement_Raw!K888</f>
        <v>60</v>
      </c>
      <c r="L888" t="str">
        <f>Procurement_Raw!L888</f>
        <v>ERP</v>
      </c>
      <c r="M888" t="str">
        <f>Procurement_Raw!O888</f>
        <v>N</v>
      </c>
      <c r="N888" t="str">
        <f>IF(E888="","Missing supplier",IF(B888="","Missing site",IF(J888="","Missing spend",IF(COUNTIFS($G$2:G888,G888,$E$2:E888,E888,$J$2:J888,J888)&gt;1,"Duplicate invoice",IF(COUNTIF($G$2:$G$1801,G888)&gt;1,"Duplicate ID - review",IF(AND(P888&lt;&gt;"Unmapped",P888&lt;&gt;F888),"Category mismatch","OK"))))))</f>
        <v>OK</v>
      </c>
      <c r="O888" s="125">
        <f t="shared" si="39"/>
        <v>9561.4699999999993</v>
      </c>
      <c r="P888" t="str">
        <f>IF(E888="","Unmapped",IFERROR(INDEX(Supplier_Lookup!$B$2:$B$25,MATCH(E888,Supplier_Lookup!$A$2:$A$25,0)),"Unmapped"))</f>
        <v>Vehicle &amp; Fuel</v>
      </c>
      <c r="Q888" s="76">
        <f>IFERROR(INDEX(Category_Targets!$B$2:$B$9,MATCH(F888,Category_Targets!$A$2:$A$9,0)),0)</f>
        <v>0.05</v>
      </c>
      <c r="R888" s="125">
        <f t="shared" si="40"/>
        <v>478.07349999999997</v>
      </c>
      <c r="S888" s="78">
        <f t="shared" si="41"/>
        <v>45778</v>
      </c>
      <c r="T888" t="str">
        <f>IFERROR(VLOOKUP(B888,Sites!$A$2:$D$21,4,FALSE()),"Unknown")</f>
        <v>Nottingham</v>
      </c>
      <c r="U888" t="str">
        <f>IF(N888="OK","",COUNTIF($N$2:N888,"&lt;&gt;OK"))</f>
        <v/>
      </c>
      <c r="V888">
        <f>IF(OR(NOT(EXACT(E888,TRIM(Procurement_Raw!E888))),NOT(EXACT(F888,TRIM(Procurement_Raw!F888)))),1,0)</f>
        <v>0</v>
      </c>
    </row>
    <row r="889" spans="1:22" ht="15" customHeight="1" x14ac:dyDescent="0.25">
      <c r="A889" s="123">
        <f>Procurement_Raw!A889</f>
        <v>45889</v>
      </c>
      <c r="B889" t="str">
        <f>TRIM(Procurement_Raw!B889)</f>
        <v>S014</v>
      </c>
      <c r="C889" t="str">
        <f>Procurement_Raw!C889</f>
        <v>Southampton Care &amp; Education Centre</v>
      </c>
      <c r="D889" t="str">
        <f>Procurement_Raw!D889</f>
        <v>South</v>
      </c>
      <c r="E889" t="str">
        <f>IF(TRIM(Procurement_Raw!E889)="","",IFERROR(INDEX(Supplier_Lookup!$A$2:$A$25,MATCH(TRIM(Procurement_Raw!E889),Supplier_Lookup!$A$2:$A$25,0)),TRIM(Procurement_Raw!E889)))</f>
        <v>TeleCare IT</v>
      </c>
      <c r="F889" t="str">
        <f>IFERROR(INDEX(Category_Targets!$A$2:$A$9,MATCH(TRIM(Procurement_Raw!F889),Category_Targets!$A$2:$A$9,0)),"Unmapped")</f>
        <v>IT &amp; Telecoms</v>
      </c>
      <c r="G889" t="str">
        <f>TRIM(Procurement_Raw!G889)</f>
        <v>INV-2025-00888</v>
      </c>
      <c r="H889" s="77">
        <f>Procurement_Raw!H889</f>
        <v>58</v>
      </c>
      <c r="I889" s="124">
        <f>Procurement_Raw!I889</f>
        <v>180.55</v>
      </c>
      <c r="J889" s="125">
        <f>IF(Procurement_Raw!J889="","",Procurement_Raw!J889)</f>
        <v>10472</v>
      </c>
      <c r="K889" s="77">
        <f>Procurement_Raw!K889</f>
        <v>45</v>
      </c>
      <c r="L889" t="str">
        <f>Procurement_Raw!L889</f>
        <v>ERP</v>
      </c>
      <c r="M889" t="str">
        <f>Procurement_Raw!O889</f>
        <v>N</v>
      </c>
      <c r="N889" t="str">
        <f>IF(E889="","Missing supplier",IF(B889="","Missing site",IF(J889="","Missing spend",IF(COUNTIFS($G$2:G889,G889,$E$2:E889,E889,$J$2:J889,J889)&gt;1,"Duplicate invoice",IF(COUNTIF($G$2:$G$1801,G889)&gt;1,"Duplicate ID - review",IF(AND(P889&lt;&gt;"Unmapped",P889&lt;&gt;F889),"Category mismatch","OK"))))))</f>
        <v>OK</v>
      </c>
      <c r="O889" s="125">
        <f t="shared" si="39"/>
        <v>10472</v>
      </c>
      <c r="P889" t="str">
        <f>IF(E889="","Unmapped",IFERROR(INDEX(Supplier_Lookup!$B$2:$B$25,MATCH(E889,Supplier_Lookup!$A$2:$A$25,0)),"Unmapped"))</f>
        <v>IT &amp; Telecoms</v>
      </c>
      <c r="Q889" s="76">
        <f>IFERROR(INDEX(Category_Targets!$B$2:$B$9,MATCH(F889,Category_Targets!$A$2:$A$9,0)),0)</f>
        <v>0.08</v>
      </c>
      <c r="R889" s="125">
        <f t="shared" si="40"/>
        <v>837.76</v>
      </c>
      <c r="S889" s="78">
        <f t="shared" si="41"/>
        <v>45870</v>
      </c>
      <c r="T889" t="str">
        <f>IFERROR(VLOOKUP(B889,Sites!$A$2:$D$21,4,FALSE()),"Unknown")</f>
        <v>Southampton</v>
      </c>
      <c r="U889" t="str">
        <f>IF(N889="OK","",COUNTIF($N$2:N889,"&lt;&gt;OK"))</f>
        <v/>
      </c>
      <c r="V889">
        <f>IF(OR(NOT(EXACT(E889,TRIM(Procurement_Raw!E889))),NOT(EXACT(F889,TRIM(Procurement_Raw!F889)))),1,0)</f>
        <v>0</v>
      </c>
    </row>
    <row r="890" spans="1:22" ht="15" customHeight="1" x14ac:dyDescent="0.25">
      <c r="A890" s="123">
        <f>Procurement_Raw!A890</f>
        <v>45963</v>
      </c>
      <c r="B890" t="str">
        <f>TRIM(Procurement_Raw!B890)</f>
        <v>S011</v>
      </c>
      <c r="C890" t="str">
        <f>Procurement_Raw!C890</f>
        <v>London Care &amp; Education Centre</v>
      </c>
      <c r="D890" t="str">
        <f>Procurement_Raw!D890</f>
        <v>South</v>
      </c>
      <c r="E890" t="str">
        <f>IF(TRIM(Procurement_Raw!E890)="","",IFERROR(INDEX(Supplier_Lookup!$A$2:$A$25,MATCH(TRIM(Procurement_Raw!E890),Supplier_Lookup!$A$2:$A$25,0)),TRIM(Procurement_Raw!E890)))</f>
        <v>CareMed</v>
      </c>
      <c r="F890" t="str">
        <f>IFERROR(INDEX(Category_Targets!$A$2:$A$9,MATCH(TRIM(Procurement_Raw!F890),Category_Targets!$A$2:$A$9,0)),"Unmapped")</f>
        <v>Medical Supplies</v>
      </c>
      <c r="G890" t="str">
        <f>TRIM(Procurement_Raw!G890)</f>
        <v>INV-2025-00889</v>
      </c>
      <c r="H890" s="77">
        <f>Procurement_Raw!H890</f>
        <v>3</v>
      </c>
      <c r="I890" s="124">
        <f>Procurement_Raw!I890</f>
        <v>166.06</v>
      </c>
      <c r="J890" s="125">
        <f>IF(Procurement_Raw!J890="","",Procurement_Raw!J890)</f>
        <v>498.18</v>
      </c>
      <c r="K890" s="77">
        <f>Procurement_Raw!K890</f>
        <v>60</v>
      </c>
      <c r="L890" t="str">
        <f>Procurement_Raw!L890</f>
        <v>ERP</v>
      </c>
      <c r="M890" t="str">
        <f>Procurement_Raw!O890</f>
        <v>N</v>
      </c>
      <c r="N890" t="str">
        <f>IF(E890="","Missing supplier",IF(B890="","Missing site",IF(J890="","Missing spend",IF(COUNTIFS($G$2:G890,G890,$E$2:E890,E890,$J$2:J890,J890)&gt;1,"Duplicate invoice",IF(COUNTIF($G$2:$G$1801,G890)&gt;1,"Duplicate ID - review",IF(AND(P890&lt;&gt;"Unmapped",P890&lt;&gt;F890),"Category mismatch","OK"))))))</f>
        <v>OK</v>
      </c>
      <c r="O890" s="125">
        <f t="shared" si="39"/>
        <v>498.18</v>
      </c>
      <c r="P890" t="str">
        <f>IF(E890="","Unmapped",IFERROR(INDEX(Supplier_Lookup!$B$2:$B$25,MATCH(E890,Supplier_Lookup!$A$2:$A$25,0)),"Unmapped"))</f>
        <v>Medical Supplies</v>
      </c>
      <c r="Q890" s="76">
        <f>IFERROR(INDEX(Category_Targets!$B$2:$B$9,MATCH(F890,Category_Targets!$A$2:$A$9,0)),0)</f>
        <v>0.06</v>
      </c>
      <c r="R890" s="125">
        <f t="shared" si="40"/>
        <v>29.890799999999999</v>
      </c>
      <c r="S890" s="78">
        <f t="shared" si="41"/>
        <v>45962</v>
      </c>
      <c r="T890" t="str">
        <f>IFERROR(VLOOKUP(B890,Sites!$A$2:$D$21,4,FALSE()),"Unknown")</f>
        <v>London</v>
      </c>
      <c r="U890" t="str">
        <f>IF(N890="OK","",COUNTIF($N$2:N890,"&lt;&gt;OK"))</f>
        <v/>
      </c>
      <c r="V890">
        <f>IF(OR(NOT(EXACT(E890,TRIM(Procurement_Raw!E890))),NOT(EXACT(F890,TRIM(Procurement_Raw!F890)))),1,0)</f>
        <v>0</v>
      </c>
    </row>
    <row r="891" spans="1:22" ht="15" customHeight="1" x14ac:dyDescent="0.25">
      <c r="A891" s="123">
        <f>Procurement_Raw!A891</f>
        <v>45771</v>
      </c>
      <c r="B891" t="str">
        <f>TRIM(Procurement_Raw!B891)</f>
        <v>S013</v>
      </c>
      <c r="C891" t="str">
        <f>Procurement_Raw!C891</f>
        <v>Reading Care &amp; Education Centre</v>
      </c>
      <c r="D891" t="str">
        <f>Procurement_Raw!D891</f>
        <v>South</v>
      </c>
      <c r="E891" t="str">
        <f>IF(TRIM(Procurement_Raw!E891)="","",IFERROR(INDEX(Supplier_Lookup!$A$2:$A$25,MATCH(TRIM(Procurement_Raw!E891),Supplier_Lookup!$A$2:$A$25,0)),TRIM(Procurement_Raw!E891)))</f>
        <v>CareMed</v>
      </c>
      <c r="F891" t="str">
        <f>IFERROR(INDEX(Category_Targets!$A$2:$A$9,MATCH(TRIM(Procurement_Raw!F891),Category_Targets!$A$2:$A$9,0)),"Unmapped")</f>
        <v>Medical Supplies</v>
      </c>
      <c r="G891" t="str">
        <f>TRIM(Procurement_Raw!G891)</f>
        <v>INV-2025-00890</v>
      </c>
      <c r="H891" s="77">
        <f>Procurement_Raw!H891</f>
        <v>28</v>
      </c>
      <c r="I891" s="124">
        <f>Procurement_Raw!I891</f>
        <v>220.8</v>
      </c>
      <c r="J891" s="125">
        <f>IF(Procurement_Raw!J891="","",Procurement_Raw!J891)</f>
        <v>6182.53</v>
      </c>
      <c r="K891" s="77">
        <f>Procurement_Raw!K891</f>
        <v>45</v>
      </c>
      <c r="L891" t="str">
        <f>Procurement_Raw!L891</f>
        <v>ERP</v>
      </c>
      <c r="M891" t="str">
        <f>Procurement_Raw!O891</f>
        <v>N</v>
      </c>
      <c r="N891" t="str">
        <f>IF(E891="","Missing supplier",IF(B891="","Missing site",IF(J891="","Missing spend",IF(COUNTIFS($G$2:G891,G891,$E$2:E891,E891,$J$2:J891,J891)&gt;1,"Duplicate invoice",IF(COUNTIF($G$2:$G$1801,G891)&gt;1,"Duplicate ID - review",IF(AND(P891&lt;&gt;"Unmapped",P891&lt;&gt;F891),"Category mismatch","OK"))))))</f>
        <v>OK</v>
      </c>
      <c r="O891" s="125">
        <f t="shared" si="39"/>
        <v>6182.53</v>
      </c>
      <c r="P891" t="str">
        <f>IF(E891="","Unmapped",IFERROR(INDEX(Supplier_Lookup!$B$2:$B$25,MATCH(E891,Supplier_Lookup!$A$2:$A$25,0)),"Unmapped"))</f>
        <v>Medical Supplies</v>
      </c>
      <c r="Q891" s="76">
        <f>IFERROR(INDEX(Category_Targets!$B$2:$B$9,MATCH(F891,Category_Targets!$A$2:$A$9,0)),0)</f>
        <v>0.06</v>
      </c>
      <c r="R891" s="125">
        <f t="shared" si="40"/>
        <v>370.95179999999999</v>
      </c>
      <c r="S891" s="78">
        <f t="shared" si="41"/>
        <v>45748</v>
      </c>
      <c r="T891" t="str">
        <f>IFERROR(VLOOKUP(B891,Sites!$A$2:$D$21,4,FALSE()),"Unknown")</f>
        <v>Reading</v>
      </c>
      <c r="U891" t="str">
        <f>IF(N891="OK","",COUNTIF($N$2:N891,"&lt;&gt;OK"))</f>
        <v/>
      </c>
      <c r="V891">
        <f>IF(OR(NOT(EXACT(E891,TRIM(Procurement_Raw!E891))),NOT(EXACT(F891,TRIM(Procurement_Raw!F891)))),1,0)</f>
        <v>0</v>
      </c>
    </row>
    <row r="892" spans="1:22" ht="15" customHeight="1" x14ac:dyDescent="0.25">
      <c r="A892" s="123">
        <f>Procurement_Raw!A892</f>
        <v>45919</v>
      </c>
      <c r="B892" t="str">
        <f>TRIM(Procurement_Raw!B892)</f>
        <v>S018</v>
      </c>
      <c r="C892" t="str">
        <f>Procurement_Raw!C892</f>
        <v>Newport Care &amp; Education Centre</v>
      </c>
      <c r="D892" t="str">
        <f>Procurement_Raw!D892</f>
        <v>Wales</v>
      </c>
      <c r="E892" t="str">
        <f>IF(TRIM(Procurement_Raw!E892)="","",IFERROR(INDEX(Supplier_Lookup!$A$2:$A$25,MATCH(TRIM(Procurement_Raw!E892),Supplier_Lookup!$A$2:$A$25,0)),TRIM(Procurement_Raw!E892)))</f>
        <v>NetServe</v>
      </c>
      <c r="F892" t="str">
        <f>IFERROR(INDEX(Category_Targets!$A$2:$A$9,MATCH(TRIM(Procurement_Raw!F892),Category_Targets!$A$2:$A$9,0)),"Unmapped")</f>
        <v>IT &amp; Telecoms</v>
      </c>
      <c r="G892" t="str">
        <f>TRIM(Procurement_Raw!G892)</f>
        <v>INV-2025-00891</v>
      </c>
      <c r="H892" s="77">
        <f>Procurement_Raw!H892</f>
        <v>72</v>
      </c>
      <c r="I892" s="124">
        <f>Procurement_Raw!I892</f>
        <v>345.47</v>
      </c>
      <c r="J892" s="125">
        <f>IF(Procurement_Raw!J892="","",Procurement_Raw!J892)</f>
        <v>24873.52</v>
      </c>
      <c r="K892" s="77">
        <f>Procurement_Raw!K892</f>
        <v>60</v>
      </c>
      <c r="L892" t="str">
        <f>Procurement_Raw!L892</f>
        <v>Legacy Spend File</v>
      </c>
      <c r="M892" t="str">
        <f>Procurement_Raw!O892</f>
        <v>N</v>
      </c>
      <c r="N892" t="str">
        <f>IF(E892="","Missing supplier",IF(B892="","Missing site",IF(J892="","Missing spend",IF(COUNTIFS($G$2:G892,G892,$E$2:E892,E892,$J$2:J892,J892)&gt;1,"Duplicate invoice",IF(COUNTIF($G$2:$G$1801,G892)&gt;1,"Duplicate ID - review",IF(AND(P892&lt;&gt;"Unmapped",P892&lt;&gt;F892),"Category mismatch","OK"))))))</f>
        <v>OK</v>
      </c>
      <c r="O892" s="125">
        <f t="shared" si="39"/>
        <v>24873.52</v>
      </c>
      <c r="P892" t="str">
        <f>IF(E892="","Unmapped",IFERROR(INDEX(Supplier_Lookup!$B$2:$B$25,MATCH(E892,Supplier_Lookup!$A$2:$A$25,0)),"Unmapped"))</f>
        <v>IT &amp; Telecoms</v>
      </c>
      <c r="Q892" s="76">
        <f>IFERROR(INDEX(Category_Targets!$B$2:$B$9,MATCH(F892,Category_Targets!$A$2:$A$9,0)),0)</f>
        <v>0.08</v>
      </c>
      <c r="R892" s="125">
        <f t="shared" si="40"/>
        <v>1989.8816000000002</v>
      </c>
      <c r="S892" s="78">
        <f t="shared" si="41"/>
        <v>45901</v>
      </c>
      <c r="T892" t="str">
        <f>IFERROR(VLOOKUP(B892,Sites!$A$2:$D$21,4,FALSE()),"Unknown")</f>
        <v>Newport</v>
      </c>
      <c r="U892" t="str">
        <f>IF(N892="OK","",COUNTIF($N$2:N892,"&lt;&gt;OK"))</f>
        <v/>
      </c>
      <c r="V892">
        <f>IF(OR(NOT(EXACT(E892,TRIM(Procurement_Raw!E892))),NOT(EXACT(F892,TRIM(Procurement_Raw!F892)))),1,0)</f>
        <v>0</v>
      </c>
    </row>
    <row r="893" spans="1:22" ht="15" customHeight="1" x14ac:dyDescent="0.25">
      <c r="A893" s="123">
        <f>Procurement_Raw!A893</f>
        <v>45893</v>
      </c>
      <c r="B893" t="str">
        <f>TRIM(Procurement_Raw!B893)</f>
        <v>S008</v>
      </c>
      <c r="C893" t="str">
        <f>Procurement_Raw!C893</f>
        <v>Leicester Care &amp; Education Centre</v>
      </c>
      <c r="D893" t="str">
        <f>Procurement_Raw!D893</f>
        <v>Midlands</v>
      </c>
      <c r="E893" t="str">
        <f>IF(TRIM(Procurement_Raw!E893)="","",IFERROR(INDEX(Supplier_Lookup!$A$2:$A$25,MATCH(TRIM(Procurement_Raw!E893),Supplier_Lookup!$A$2:$A$25,0)),TRIM(Procurement_Raw!E893)))</f>
        <v>FreshServe</v>
      </c>
      <c r="F893" t="str">
        <f>IFERROR(INDEX(Category_Targets!$A$2:$A$9,MATCH(TRIM(Procurement_Raw!F893),Category_Targets!$A$2:$A$9,0)),"Unmapped")</f>
        <v>Food &amp; Catering</v>
      </c>
      <c r="G893" t="str">
        <f>TRIM(Procurement_Raw!G893)</f>
        <v>INV-2025-00892</v>
      </c>
      <c r="H893" s="77">
        <f>Procurement_Raw!H893</f>
        <v>46</v>
      </c>
      <c r="I893" s="124">
        <f>Procurement_Raw!I893</f>
        <v>85.92</v>
      </c>
      <c r="J893" s="125">
        <f>IF(Procurement_Raw!J893="","",Procurement_Raw!J893)</f>
        <v>3952.21</v>
      </c>
      <c r="K893" s="77">
        <f>Procurement_Raw!K893</f>
        <v>30</v>
      </c>
      <c r="L893" t="str">
        <f>Procurement_Raw!L893</f>
        <v>ERP</v>
      </c>
      <c r="M893" t="str">
        <f>Procurement_Raw!O893</f>
        <v>Y</v>
      </c>
      <c r="N893" t="str">
        <f>IF(E893="","Missing supplier",IF(B893="","Missing site",IF(J893="","Missing spend",IF(COUNTIFS($G$2:G893,G893,$E$2:E893,E893,$J$2:J893,J893)&gt;1,"Duplicate invoice",IF(COUNTIF($G$2:$G$1801,G893)&gt;1,"Duplicate ID - review",IF(AND(P893&lt;&gt;"Unmapped",P893&lt;&gt;F893),"Category mismatch","OK"))))))</f>
        <v>OK</v>
      </c>
      <c r="O893" s="125">
        <f t="shared" si="39"/>
        <v>3952.21</v>
      </c>
      <c r="P893" t="str">
        <f>IF(E893="","Unmapped",IFERROR(INDEX(Supplier_Lookup!$B$2:$B$25,MATCH(E893,Supplier_Lookup!$A$2:$A$25,0)),"Unmapped"))</f>
        <v>Food &amp; Catering</v>
      </c>
      <c r="Q893" s="76">
        <f>IFERROR(INDEX(Category_Targets!$B$2:$B$9,MATCH(F893,Category_Targets!$A$2:$A$9,0)),0)</f>
        <v>0.04</v>
      </c>
      <c r="R893" s="125">
        <f t="shared" si="40"/>
        <v>158.08840000000001</v>
      </c>
      <c r="S893" s="78">
        <f t="shared" si="41"/>
        <v>45870</v>
      </c>
      <c r="T893" t="str">
        <f>IFERROR(VLOOKUP(B893,Sites!$A$2:$D$21,4,FALSE()),"Unknown")</f>
        <v>Leicester</v>
      </c>
      <c r="U893" t="str">
        <f>IF(N893="OK","",COUNTIF($N$2:N893,"&lt;&gt;OK"))</f>
        <v/>
      </c>
      <c r="V893">
        <f>IF(OR(NOT(EXACT(E893,TRIM(Procurement_Raw!E893))),NOT(EXACT(F893,TRIM(Procurement_Raw!F893)))),1,0)</f>
        <v>0</v>
      </c>
    </row>
    <row r="894" spans="1:22" ht="15" customHeight="1" x14ac:dyDescent="0.25">
      <c r="A894" s="123">
        <f>Procurement_Raw!A894</f>
        <v>45785</v>
      </c>
      <c r="B894" t="str">
        <f>TRIM(Procurement_Raw!B894)</f>
        <v>S013</v>
      </c>
      <c r="C894" t="str">
        <f>Procurement_Raw!C894</f>
        <v>Reading Care &amp; Education Centre</v>
      </c>
      <c r="D894" t="str">
        <f>Procurement_Raw!D894</f>
        <v>South</v>
      </c>
      <c r="E894" t="str">
        <f>IF(TRIM(Procurement_Raw!E894)="","",IFERROR(INDEX(Supplier_Lookup!$A$2:$A$25,MATCH(TRIM(Procurement_Raw!E894),Supplier_Lookup!$A$2:$A$25,0)),TRIM(Procurement_Raw!E894)))</f>
        <v>AutoCare</v>
      </c>
      <c r="F894" t="str">
        <f>IFERROR(INDEX(Category_Targets!$A$2:$A$9,MATCH(TRIM(Procurement_Raw!F894),Category_Targets!$A$2:$A$9,0)),"Unmapped")</f>
        <v>Vehicle &amp; Fuel</v>
      </c>
      <c r="G894" t="str">
        <f>TRIM(Procurement_Raw!G894)</f>
        <v>INV-2025-00893</v>
      </c>
      <c r="H894" s="77">
        <f>Procurement_Raw!H894</f>
        <v>30</v>
      </c>
      <c r="I894" s="124">
        <f>Procurement_Raw!I894</f>
        <v>170.81</v>
      </c>
      <c r="J894" s="125">
        <f>IF(Procurement_Raw!J894="","",Procurement_Raw!J894)</f>
        <v>5124.28</v>
      </c>
      <c r="K894" s="77">
        <f>Procurement_Raw!K894</f>
        <v>45</v>
      </c>
      <c r="L894" t="str">
        <f>Procurement_Raw!L894</f>
        <v>Procurement Portal</v>
      </c>
      <c r="M894" t="str">
        <f>Procurement_Raw!O894</f>
        <v>N</v>
      </c>
      <c r="N894" t="str">
        <f>IF(E894="","Missing supplier",IF(B894="","Missing site",IF(J894="","Missing spend",IF(COUNTIFS($G$2:G894,G894,$E$2:E894,E894,$J$2:J894,J894)&gt;1,"Duplicate invoice",IF(COUNTIF($G$2:$G$1801,G894)&gt;1,"Duplicate ID - review",IF(AND(P894&lt;&gt;"Unmapped",P894&lt;&gt;F894),"Category mismatch","OK"))))))</f>
        <v>OK</v>
      </c>
      <c r="O894" s="125">
        <f t="shared" si="39"/>
        <v>5124.28</v>
      </c>
      <c r="P894" t="str">
        <f>IF(E894="","Unmapped",IFERROR(INDEX(Supplier_Lookup!$B$2:$B$25,MATCH(E894,Supplier_Lookup!$A$2:$A$25,0)),"Unmapped"))</f>
        <v>Vehicle &amp; Fuel</v>
      </c>
      <c r="Q894" s="76">
        <f>IFERROR(INDEX(Category_Targets!$B$2:$B$9,MATCH(F894,Category_Targets!$A$2:$A$9,0)),0)</f>
        <v>0.05</v>
      </c>
      <c r="R894" s="125">
        <f t="shared" si="40"/>
        <v>256.214</v>
      </c>
      <c r="S894" s="78">
        <f t="shared" si="41"/>
        <v>45778</v>
      </c>
      <c r="T894" t="str">
        <f>IFERROR(VLOOKUP(B894,Sites!$A$2:$D$21,4,FALSE()),"Unknown")</f>
        <v>Reading</v>
      </c>
      <c r="U894" t="str">
        <f>IF(N894="OK","",COUNTIF($N$2:N894,"&lt;&gt;OK"))</f>
        <v/>
      </c>
      <c r="V894">
        <f>IF(OR(NOT(EXACT(E894,TRIM(Procurement_Raw!E894))),NOT(EXACT(F894,TRIM(Procurement_Raw!F894)))),1,0)</f>
        <v>0</v>
      </c>
    </row>
    <row r="895" spans="1:22" ht="15" customHeight="1" x14ac:dyDescent="0.25">
      <c r="A895" s="123">
        <f>Procurement_Raw!A895</f>
        <v>45769</v>
      </c>
      <c r="B895" t="str">
        <f>TRIM(Procurement_Raw!B895)</f>
        <v>S009</v>
      </c>
      <c r="C895" t="str">
        <f>Procurement_Raw!C895</f>
        <v>Derby Care &amp; Education Centre</v>
      </c>
      <c r="D895" t="str">
        <f>Procurement_Raw!D895</f>
        <v>Midlands</v>
      </c>
      <c r="E895" t="str">
        <f>IF(TRIM(Procurement_Raw!E895)="","",IFERROR(INDEX(Supplier_Lookup!$A$2:$A$25,MATCH(TRIM(Procurement_Raw!E895),Supplier_Lookup!$A$2:$A$25,0)),TRIM(Procurement_Raw!E895)))</f>
        <v>NurseLink</v>
      </c>
      <c r="F895" t="str">
        <f>IFERROR(INDEX(Category_Targets!$A$2:$A$9,MATCH(TRIM(Procurement_Raw!F895),Category_Targets!$A$2:$A$9,0)),"Unmapped")</f>
        <v>Agency Labour</v>
      </c>
      <c r="G895" t="str">
        <f>TRIM(Procurement_Raw!G895)</f>
        <v>INV-2025-00894</v>
      </c>
      <c r="H895" s="77">
        <f>Procurement_Raw!H895</f>
        <v>10</v>
      </c>
      <c r="I895" s="124">
        <f>Procurement_Raw!I895</f>
        <v>570.72</v>
      </c>
      <c r="J895" s="125">
        <f>IF(Procurement_Raw!J895="","",Procurement_Raw!J895)</f>
        <v>5707.18</v>
      </c>
      <c r="K895" s="77">
        <f>Procurement_Raw!K895</f>
        <v>60</v>
      </c>
      <c r="L895" t="str">
        <f>Procurement_Raw!L895</f>
        <v>Procurement Portal</v>
      </c>
      <c r="M895" t="str">
        <f>Procurement_Raw!O895</f>
        <v>N</v>
      </c>
      <c r="N895" t="str">
        <f>IF(E895="","Missing supplier",IF(B895="","Missing site",IF(J895="","Missing spend",IF(COUNTIFS($G$2:G895,G895,$E$2:E895,E895,$J$2:J895,J895)&gt;1,"Duplicate invoice",IF(COUNTIF($G$2:$G$1801,G895)&gt;1,"Duplicate ID - review",IF(AND(P895&lt;&gt;"Unmapped",P895&lt;&gt;F895),"Category mismatch","OK"))))))</f>
        <v>OK</v>
      </c>
      <c r="O895" s="125">
        <f t="shared" si="39"/>
        <v>5707.18</v>
      </c>
      <c r="P895" t="str">
        <f>IF(E895="","Unmapped",IFERROR(INDEX(Supplier_Lookup!$B$2:$B$25,MATCH(E895,Supplier_Lookup!$A$2:$A$25,0)),"Unmapped"))</f>
        <v>Agency Labour</v>
      </c>
      <c r="Q895" s="76">
        <f>IFERROR(INDEX(Category_Targets!$B$2:$B$9,MATCH(F895,Category_Targets!$A$2:$A$9,0)),0)</f>
        <v>7.0000000000000007E-2</v>
      </c>
      <c r="R895" s="125">
        <f t="shared" si="40"/>
        <v>399.50260000000009</v>
      </c>
      <c r="S895" s="78">
        <f t="shared" si="41"/>
        <v>45748</v>
      </c>
      <c r="T895" t="str">
        <f>IFERROR(VLOOKUP(B895,Sites!$A$2:$D$21,4,FALSE()),"Unknown")</f>
        <v>Derby</v>
      </c>
      <c r="U895" t="str">
        <f>IF(N895="OK","",COUNTIF($N$2:N895,"&lt;&gt;OK"))</f>
        <v/>
      </c>
      <c r="V895">
        <f>IF(OR(NOT(EXACT(E895,TRIM(Procurement_Raw!E895))),NOT(EXACT(F895,TRIM(Procurement_Raw!F895)))),1,0)</f>
        <v>0</v>
      </c>
    </row>
    <row r="896" spans="1:22" ht="15" customHeight="1" x14ac:dyDescent="0.25">
      <c r="A896" s="123">
        <f>Procurement_Raw!A896</f>
        <v>46011</v>
      </c>
      <c r="B896" t="str">
        <f>TRIM(Procurement_Raw!B896)</f>
        <v>S013</v>
      </c>
      <c r="C896" t="str">
        <f>Procurement_Raw!C896</f>
        <v>Reading Care &amp; Education Centre</v>
      </c>
      <c r="D896" t="str">
        <f>Procurement_Raw!D896</f>
        <v>South</v>
      </c>
      <c r="E896" t="str">
        <f>IF(TRIM(Procurement_Raw!E896)="","",IFERROR(INDEX(Supplier_Lookup!$A$2:$A$25,MATCH(TRIM(Procurement_Raw!E896),Supplier_Lookup!$A$2:$A$25,0)),TRIM(Procurement_Raw!E896)))</f>
        <v>SafeGuard FM</v>
      </c>
      <c r="F896" t="str">
        <f>IFERROR(INDEX(Category_Targets!$A$2:$A$9,MATCH(TRIM(Procurement_Raw!F896),Category_Targets!$A$2:$A$9,0)),"Unmapped")</f>
        <v>Facilities</v>
      </c>
      <c r="G896" t="str">
        <f>TRIM(Procurement_Raw!G896)</f>
        <v>INV-2025-00895</v>
      </c>
      <c r="H896" s="77">
        <f>Procurement_Raw!H896</f>
        <v>74</v>
      </c>
      <c r="I896" s="124">
        <f>Procurement_Raw!I896</f>
        <v>384.96</v>
      </c>
      <c r="J896" s="125">
        <f>IF(Procurement_Raw!J896="","",Procurement_Raw!J896)</f>
        <v>28487.18</v>
      </c>
      <c r="K896" s="77">
        <f>Procurement_Raw!K896</f>
        <v>30</v>
      </c>
      <c r="L896" t="str">
        <f>Procurement_Raw!L896</f>
        <v>Legacy Spend File</v>
      </c>
      <c r="M896" t="str">
        <f>Procurement_Raw!O896</f>
        <v>N</v>
      </c>
      <c r="N896" t="str">
        <f>IF(E896="","Missing supplier",IF(B896="","Missing site",IF(J896="","Missing spend",IF(COUNTIFS($G$2:G896,G896,$E$2:E896,E896,$J$2:J896,J896)&gt;1,"Duplicate invoice",IF(COUNTIF($G$2:$G$1801,G896)&gt;1,"Duplicate ID - review",IF(AND(P896&lt;&gt;"Unmapped",P896&lt;&gt;F896),"Category mismatch","OK"))))))</f>
        <v>OK</v>
      </c>
      <c r="O896" s="125">
        <f t="shared" si="39"/>
        <v>28487.18</v>
      </c>
      <c r="P896" t="str">
        <f>IF(E896="","Unmapped",IFERROR(INDEX(Supplier_Lookup!$B$2:$B$25,MATCH(E896,Supplier_Lookup!$A$2:$A$25,0)),"Unmapped"))</f>
        <v>Facilities</v>
      </c>
      <c r="Q896" s="76">
        <f>IFERROR(INDEX(Category_Targets!$B$2:$B$9,MATCH(F896,Category_Targets!$A$2:$A$9,0)),0)</f>
        <v>0.05</v>
      </c>
      <c r="R896" s="125">
        <f t="shared" si="40"/>
        <v>1424.3590000000002</v>
      </c>
      <c r="S896" s="78">
        <f t="shared" si="41"/>
        <v>45992</v>
      </c>
      <c r="T896" t="str">
        <f>IFERROR(VLOOKUP(B896,Sites!$A$2:$D$21,4,FALSE()),"Unknown")</f>
        <v>Reading</v>
      </c>
      <c r="U896" t="str">
        <f>IF(N896="OK","",COUNTIF($N$2:N896,"&lt;&gt;OK"))</f>
        <v/>
      </c>
      <c r="V896">
        <f>IF(OR(NOT(EXACT(E896,TRIM(Procurement_Raw!E896))),NOT(EXACT(F896,TRIM(Procurement_Raw!F896)))),1,0)</f>
        <v>0</v>
      </c>
    </row>
    <row r="897" spans="1:22" ht="15" customHeight="1" x14ac:dyDescent="0.25">
      <c r="A897" s="123">
        <f>Procurement_Raw!A897</f>
        <v>45953</v>
      </c>
      <c r="B897" t="str">
        <f>TRIM(Procurement_Raw!B897)</f>
        <v>S001</v>
      </c>
      <c r="C897" t="str">
        <f>Procurement_Raw!C897</f>
        <v>Preston Care &amp; Education Centre</v>
      </c>
      <c r="D897" t="str">
        <f>Procurement_Raw!D897</f>
        <v>North</v>
      </c>
      <c r="E897" t="str">
        <f>IF(TRIM(Procurement_Raw!E897)="","",IFERROR(INDEX(Supplier_Lookup!$A$2:$A$25,MATCH(TRIM(Procurement_Raw!E897),Supplier_Lookup!$A$2:$A$25,0)),TRIM(Procurement_Raw!E897)))</f>
        <v>CloudLink</v>
      </c>
      <c r="F897" t="str">
        <f>IFERROR(INDEX(Category_Targets!$A$2:$A$9,MATCH(TRIM(Procurement_Raw!F897),Category_Targets!$A$2:$A$9,0)),"Unmapped")</f>
        <v>IT &amp; Telecoms</v>
      </c>
      <c r="G897" t="str">
        <f>TRIM(Procurement_Raw!G897)</f>
        <v>INV-2025-00896</v>
      </c>
      <c r="H897" s="77">
        <f>Procurement_Raw!H897</f>
        <v>49</v>
      </c>
      <c r="I897" s="124">
        <f>Procurement_Raw!I897</f>
        <v>314.32</v>
      </c>
      <c r="J897" s="125">
        <f>IF(Procurement_Raw!J897="","",Procurement_Raw!J897)</f>
        <v>15401.78</v>
      </c>
      <c r="K897" s="77">
        <f>Procurement_Raw!K897</f>
        <v>30</v>
      </c>
      <c r="L897" t="str">
        <f>Procurement_Raw!L897</f>
        <v>ERP</v>
      </c>
      <c r="M897" t="str">
        <f>Procurement_Raw!O897</f>
        <v>Y</v>
      </c>
      <c r="N897" t="str">
        <f>IF(E897="","Missing supplier",IF(B897="","Missing site",IF(J897="","Missing spend",IF(COUNTIFS($G$2:G897,G897,$E$2:E897,E897,$J$2:J897,J897)&gt;1,"Duplicate invoice",IF(COUNTIF($G$2:$G$1801,G897)&gt;1,"Duplicate ID - review",IF(AND(P897&lt;&gt;"Unmapped",P897&lt;&gt;F897),"Category mismatch","OK"))))))</f>
        <v>OK</v>
      </c>
      <c r="O897" s="125">
        <f t="shared" si="39"/>
        <v>15401.78</v>
      </c>
      <c r="P897" t="str">
        <f>IF(E897="","Unmapped",IFERROR(INDEX(Supplier_Lookup!$B$2:$B$25,MATCH(E897,Supplier_Lookup!$A$2:$A$25,0)),"Unmapped"))</f>
        <v>IT &amp; Telecoms</v>
      </c>
      <c r="Q897" s="76">
        <f>IFERROR(INDEX(Category_Targets!$B$2:$B$9,MATCH(F897,Category_Targets!$A$2:$A$9,0)),0)</f>
        <v>0.08</v>
      </c>
      <c r="R897" s="125">
        <f t="shared" si="40"/>
        <v>1232.1424000000002</v>
      </c>
      <c r="S897" s="78">
        <f t="shared" si="41"/>
        <v>45931</v>
      </c>
      <c r="T897" t="str">
        <f>IFERROR(VLOOKUP(B897,Sites!$A$2:$D$21,4,FALSE()),"Unknown")</f>
        <v>Preston</v>
      </c>
      <c r="U897" t="str">
        <f>IF(N897="OK","",COUNTIF($N$2:N897,"&lt;&gt;OK"))</f>
        <v/>
      </c>
      <c r="V897">
        <f>IF(OR(NOT(EXACT(E897,TRIM(Procurement_Raw!E897))),NOT(EXACT(F897,TRIM(Procurement_Raw!F897)))),1,0)</f>
        <v>0</v>
      </c>
    </row>
    <row r="898" spans="1:22" ht="15" customHeight="1" x14ac:dyDescent="0.25">
      <c r="A898" s="123">
        <f>Procurement_Raw!A898</f>
        <v>45871</v>
      </c>
      <c r="B898" t="str">
        <f>TRIM(Procurement_Raw!B898)</f>
        <v>S002</v>
      </c>
      <c r="C898" t="str">
        <f>Procurement_Raw!C898</f>
        <v>Manchester Care &amp; Education Centre</v>
      </c>
      <c r="D898" t="str">
        <f>Procurement_Raw!D898</f>
        <v>North</v>
      </c>
      <c r="E898" t="str">
        <f>IF(TRIM(Procurement_Raw!E898)="","",IFERROR(INDEX(Supplier_Lookup!$A$2:$A$25,MATCH(TRIM(Procurement_Raw!E898),Supplier_Lookup!$A$2:$A$25,0)),TRIM(Procurement_Raw!E898)))</f>
        <v>RoadReady</v>
      </c>
      <c r="F898" t="str">
        <f>IFERROR(INDEX(Category_Targets!$A$2:$A$9,MATCH(TRIM(Procurement_Raw!F898),Category_Targets!$A$2:$A$9,0)),"Unmapped")</f>
        <v>Vehicle &amp; Fuel</v>
      </c>
      <c r="G898" t="str">
        <f>TRIM(Procurement_Raw!G898)</f>
        <v>INV-2025-00897</v>
      </c>
      <c r="H898" s="77">
        <f>Procurement_Raw!H898</f>
        <v>16</v>
      </c>
      <c r="I898" s="124">
        <f>Procurement_Raw!I898</f>
        <v>86.66</v>
      </c>
      <c r="J898" s="125">
        <f>IF(Procurement_Raw!J898="","",Procurement_Raw!J898)</f>
        <v>1386.52</v>
      </c>
      <c r="K898" s="77">
        <f>Procurement_Raw!K898</f>
        <v>30</v>
      </c>
      <c r="L898" t="str">
        <f>Procurement_Raw!L898</f>
        <v>Legacy Spend File</v>
      </c>
      <c r="M898" t="str">
        <f>Procurement_Raw!O898</f>
        <v>N</v>
      </c>
      <c r="N898" t="str">
        <f>IF(E898="","Missing supplier",IF(B898="","Missing site",IF(J898="","Missing spend",IF(COUNTIFS($G$2:G898,G898,$E$2:E898,E898,$J$2:J898,J898)&gt;1,"Duplicate invoice",IF(COUNTIF($G$2:$G$1801,G898)&gt;1,"Duplicate ID - review",IF(AND(P898&lt;&gt;"Unmapped",P898&lt;&gt;F898),"Category mismatch","OK"))))))</f>
        <v>OK</v>
      </c>
      <c r="O898" s="125">
        <f t="shared" ref="O898:O961" si="42">IF(OR(N898="Missing spend",N898="Duplicate invoice"),0,J898)</f>
        <v>1386.52</v>
      </c>
      <c r="P898" t="str">
        <f>IF(E898="","Unmapped",IFERROR(INDEX(Supplier_Lookup!$B$2:$B$25,MATCH(E898,Supplier_Lookup!$A$2:$A$25,0)),"Unmapped"))</f>
        <v>Vehicle &amp; Fuel</v>
      </c>
      <c r="Q898" s="76">
        <f>IFERROR(INDEX(Category_Targets!$B$2:$B$9,MATCH(F898,Category_Targets!$A$2:$A$9,0)),0)</f>
        <v>0.05</v>
      </c>
      <c r="R898" s="125">
        <f t="shared" ref="R898:R961" si="43">O898*Q898</f>
        <v>69.326000000000008</v>
      </c>
      <c r="S898" s="78">
        <f t="shared" ref="S898:S961" si="44">DATE(YEAR(A898),MONTH(A898),1)</f>
        <v>45870</v>
      </c>
      <c r="T898" t="str">
        <f>IFERROR(VLOOKUP(B898,Sites!$A$2:$D$21,4,FALSE()),"Unknown")</f>
        <v>Manchester</v>
      </c>
      <c r="U898" t="str">
        <f>IF(N898="OK","",COUNTIF($N$2:N898,"&lt;&gt;OK"))</f>
        <v/>
      </c>
      <c r="V898">
        <f>IF(OR(NOT(EXACT(E898,TRIM(Procurement_Raw!E898))),NOT(EXACT(F898,TRIM(Procurement_Raw!F898)))),1,0)</f>
        <v>0</v>
      </c>
    </row>
    <row r="899" spans="1:22" ht="15" customHeight="1" x14ac:dyDescent="0.25">
      <c r="A899" s="123">
        <f>Procurement_Raw!A899</f>
        <v>45981</v>
      </c>
      <c r="B899" t="str">
        <f>TRIM(Procurement_Raw!B899)</f>
        <v>S015</v>
      </c>
      <c r="C899" t="str">
        <f>Procurement_Raw!C899</f>
        <v>Brighton Care &amp; Education Centre</v>
      </c>
      <c r="D899" t="str">
        <f>Procurement_Raw!D899</f>
        <v>South</v>
      </c>
      <c r="E899" t="str">
        <f>IF(TRIM(Procurement_Raw!E899)="","",IFERROR(INDEX(Supplier_Lookup!$A$2:$A$25,MATCH(TRIM(Procurement_Raw!E899),Supplier_Lookup!$A$2:$A$25,0)),TRIM(Procurement_Raw!E899)))</f>
        <v>ClinEquip</v>
      </c>
      <c r="F899" t="str">
        <f>IFERROR(INDEX(Category_Targets!$A$2:$A$9,MATCH(TRIM(Procurement_Raw!F899),Category_Targets!$A$2:$A$9,0)),"Unmapped")</f>
        <v>Medical Supplies</v>
      </c>
      <c r="G899" t="str">
        <f>TRIM(Procurement_Raw!G899)</f>
        <v>INV-2025-00898</v>
      </c>
      <c r="H899" s="77">
        <f>Procurement_Raw!H899</f>
        <v>49</v>
      </c>
      <c r="I899" s="124">
        <f>Procurement_Raw!I899</f>
        <v>130.08000000000001</v>
      </c>
      <c r="J899" s="125">
        <f>IF(Procurement_Raw!J899="","",Procurement_Raw!J899)</f>
        <v>6374.14</v>
      </c>
      <c r="K899" s="77">
        <f>Procurement_Raw!K899</f>
        <v>30</v>
      </c>
      <c r="L899" t="str">
        <f>Procurement_Raw!L899</f>
        <v>Procurement Portal</v>
      </c>
      <c r="M899" t="str">
        <f>Procurement_Raw!O899</f>
        <v>N</v>
      </c>
      <c r="N899" t="str">
        <f>IF(E899="","Missing supplier",IF(B899="","Missing site",IF(J899="","Missing spend",IF(COUNTIFS($G$2:G899,G899,$E$2:E899,E899,$J$2:J899,J899)&gt;1,"Duplicate invoice",IF(COUNTIF($G$2:$G$1801,G899)&gt;1,"Duplicate ID - review",IF(AND(P899&lt;&gt;"Unmapped",P899&lt;&gt;F899),"Category mismatch","OK"))))))</f>
        <v>OK</v>
      </c>
      <c r="O899" s="125">
        <f t="shared" si="42"/>
        <v>6374.14</v>
      </c>
      <c r="P899" t="str">
        <f>IF(E899="","Unmapped",IFERROR(INDEX(Supplier_Lookup!$B$2:$B$25,MATCH(E899,Supplier_Lookup!$A$2:$A$25,0)),"Unmapped"))</f>
        <v>Medical Supplies</v>
      </c>
      <c r="Q899" s="76">
        <f>IFERROR(INDEX(Category_Targets!$B$2:$B$9,MATCH(F899,Category_Targets!$A$2:$A$9,0)),0)</f>
        <v>0.06</v>
      </c>
      <c r="R899" s="125">
        <f t="shared" si="43"/>
        <v>382.44839999999999</v>
      </c>
      <c r="S899" s="78">
        <f t="shared" si="44"/>
        <v>45962</v>
      </c>
      <c r="T899" t="str">
        <f>IFERROR(VLOOKUP(B899,Sites!$A$2:$D$21,4,FALSE()),"Unknown")</f>
        <v>Brighton</v>
      </c>
      <c r="U899" t="str">
        <f>IF(N899="OK","",COUNTIF($N$2:N899,"&lt;&gt;OK"))</f>
        <v/>
      </c>
      <c r="V899">
        <f>IF(OR(NOT(EXACT(E899,TRIM(Procurement_Raw!E899))),NOT(EXACT(F899,TRIM(Procurement_Raw!F899)))),1,0)</f>
        <v>0</v>
      </c>
    </row>
    <row r="900" spans="1:22" ht="15" customHeight="1" x14ac:dyDescent="0.25">
      <c r="A900" s="123">
        <f>Procurement_Raw!A900</f>
        <v>45934</v>
      </c>
      <c r="B900" t="str">
        <f>TRIM(Procurement_Raw!B900)</f>
        <v>S006</v>
      </c>
      <c r="C900" t="str">
        <f>Procurement_Raw!C900</f>
        <v>Birmingham Care &amp; Education Centre</v>
      </c>
      <c r="D900" t="str">
        <f>Procurement_Raw!D900</f>
        <v>Midlands</v>
      </c>
      <c r="E900" t="str">
        <f>IF(TRIM(Procurement_Raw!E900)="","",IFERROR(INDEX(Supplier_Lookup!$A$2:$A$25,MATCH(TRIM(Procurement_Raw!E900),Supplier_Lookup!$A$2:$A$25,0)),TRIM(Procurement_Raw!E900)))</f>
        <v>CareMed</v>
      </c>
      <c r="F900" t="str">
        <f>IFERROR(INDEX(Category_Targets!$A$2:$A$9,MATCH(TRIM(Procurement_Raw!F900),Category_Targets!$A$2:$A$9,0)),"Unmapped")</f>
        <v>Medical Supplies</v>
      </c>
      <c r="G900" t="str">
        <f>TRIM(Procurement_Raw!G900)</f>
        <v>INV-2025-00899</v>
      </c>
      <c r="H900" s="77">
        <f>Procurement_Raw!H900</f>
        <v>73</v>
      </c>
      <c r="I900" s="124">
        <f>Procurement_Raw!I900</f>
        <v>233.01</v>
      </c>
      <c r="J900" s="125">
        <f>IF(Procurement_Raw!J900="","",Procurement_Raw!J900)</f>
        <v>17009.57</v>
      </c>
      <c r="K900" s="77">
        <f>Procurement_Raw!K900</f>
        <v>30</v>
      </c>
      <c r="L900" t="str">
        <f>Procurement_Raw!L900</f>
        <v>Procurement Portal</v>
      </c>
      <c r="M900" t="str">
        <f>Procurement_Raw!O900</f>
        <v>N</v>
      </c>
      <c r="N900" t="str">
        <f>IF(E900="","Missing supplier",IF(B900="","Missing site",IF(J900="","Missing spend",IF(COUNTIFS($G$2:G900,G900,$E$2:E900,E900,$J$2:J900,J900)&gt;1,"Duplicate invoice",IF(COUNTIF($G$2:$G$1801,G900)&gt;1,"Duplicate ID - review",IF(AND(P900&lt;&gt;"Unmapped",P900&lt;&gt;F900),"Category mismatch","OK"))))))</f>
        <v>OK</v>
      </c>
      <c r="O900" s="125">
        <f t="shared" si="42"/>
        <v>17009.57</v>
      </c>
      <c r="P900" t="str">
        <f>IF(E900="","Unmapped",IFERROR(INDEX(Supplier_Lookup!$B$2:$B$25,MATCH(E900,Supplier_Lookup!$A$2:$A$25,0)),"Unmapped"))</f>
        <v>Medical Supplies</v>
      </c>
      <c r="Q900" s="76">
        <f>IFERROR(INDEX(Category_Targets!$B$2:$B$9,MATCH(F900,Category_Targets!$A$2:$A$9,0)),0)</f>
        <v>0.06</v>
      </c>
      <c r="R900" s="125">
        <f t="shared" si="43"/>
        <v>1020.5741999999999</v>
      </c>
      <c r="S900" s="78">
        <f t="shared" si="44"/>
        <v>45931</v>
      </c>
      <c r="T900" t="str">
        <f>IFERROR(VLOOKUP(B900,Sites!$A$2:$D$21,4,FALSE()),"Unknown")</f>
        <v>Birmingham</v>
      </c>
      <c r="U900" t="str">
        <f>IF(N900="OK","",COUNTIF($N$2:N900,"&lt;&gt;OK"))</f>
        <v/>
      </c>
      <c r="V900">
        <f>IF(OR(NOT(EXACT(E900,TRIM(Procurement_Raw!E900))),NOT(EXACT(F900,TRIM(Procurement_Raw!F900)))),1,0)</f>
        <v>0</v>
      </c>
    </row>
    <row r="901" spans="1:22" ht="15" customHeight="1" x14ac:dyDescent="0.25">
      <c r="A901" s="123">
        <f>Procurement_Raw!A901</f>
        <v>45683</v>
      </c>
      <c r="B901" t="str">
        <f>TRIM(Procurement_Raw!B901)</f>
        <v>S006</v>
      </c>
      <c r="C901" t="str">
        <f>Procurement_Raw!C901</f>
        <v>Birmingham Care &amp; Education Centre</v>
      </c>
      <c r="D901" t="str">
        <f>Procurement_Raw!D901</f>
        <v>Midlands</v>
      </c>
      <c r="E901" t="str">
        <f>IF(TRIM(Procurement_Raw!E901)="","",IFERROR(INDEX(Supplier_Lookup!$A$2:$A$25,MATCH(TRIM(Procurement_Raw!E901),Supplier_Lookup!$A$2:$A$25,0)),TRIM(Procurement_Raw!E901)))</f>
        <v>UK Energy Partners</v>
      </c>
      <c r="F901" t="str">
        <f>IFERROR(INDEX(Category_Targets!$A$2:$A$9,MATCH(TRIM(Procurement_Raw!F901),Category_Targets!$A$2:$A$9,0)),"Unmapped")</f>
        <v>Utilities</v>
      </c>
      <c r="G901" t="str">
        <f>TRIM(Procurement_Raw!G901)</f>
        <v>INV-2025-00900</v>
      </c>
      <c r="H901" s="77">
        <f>Procurement_Raw!H901</f>
        <v>51</v>
      </c>
      <c r="I901" s="124">
        <f>Procurement_Raw!I901</f>
        <v>159.52000000000001</v>
      </c>
      <c r="J901" s="125">
        <f>IF(Procurement_Raw!J901="","",Procurement_Raw!J901)</f>
        <v>8135.33</v>
      </c>
      <c r="K901" s="77">
        <f>Procurement_Raw!K901</f>
        <v>45</v>
      </c>
      <c r="L901" t="str">
        <f>Procurement_Raw!L901</f>
        <v>Legacy Spend File</v>
      </c>
      <c r="M901" t="str">
        <f>Procurement_Raw!O901</f>
        <v>N</v>
      </c>
      <c r="N901" t="str">
        <f>IF(E901="","Missing supplier",IF(B901="","Missing site",IF(J901="","Missing spend",IF(COUNTIFS($G$2:G901,G901,$E$2:E901,E901,$J$2:J901,J901)&gt;1,"Duplicate invoice",IF(COUNTIF($G$2:$G$1801,G901)&gt;1,"Duplicate ID - review",IF(AND(P901&lt;&gt;"Unmapped",P901&lt;&gt;F901),"Category mismatch","OK"))))))</f>
        <v>OK</v>
      </c>
      <c r="O901" s="125">
        <f t="shared" si="42"/>
        <v>8135.33</v>
      </c>
      <c r="P901" t="str">
        <f>IF(E901="","Unmapped",IFERROR(INDEX(Supplier_Lookup!$B$2:$B$25,MATCH(E901,Supplier_Lookup!$A$2:$A$25,0)),"Unmapped"))</f>
        <v>Utilities</v>
      </c>
      <c r="Q901" s="76">
        <f>IFERROR(INDEX(Category_Targets!$B$2:$B$9,MATCH(F901,Category_Targets!$A$2:$A$9,0)),0)</f>
        <v>0.03</v>
      </c>
      <c r="R901" s="125">
        <f t="shared" si="43"/>
        <v>244.0599</v>
      </c>
      <c r="S901" s="78">
        <f t="shared" si="44"/>
        <v>45658</v>
      </c>
      <c r="T901" t="str">
        <f>IFERROR(VLOOKUP(B901,Sites!$A$2:$D$21,4,FALSE()),"Unknown")</f>
        <v>Birmingham</v>
      </c>
      <c r="U901" t="str">
        <f>IF(N901="OK","",COUNTIF($N$2:N901,"&lt;&gt;OK"))</f>
        <v/>
      </c>
      <c r="V901">
        <f>IF(OR(NOT(EXACT(E901,TRIM(Procurement_Raw!E901))),NOT(EXACT(F901,TRIM(Procurement_Raw!F901)))),1,0)</f>
        <v>0</v>
      </c>
    </row>
    <row r="902" spans="1:22" ht="15" customHeight="1" x14ac:dyDescent="0.25">
      <c r="A902" s="123">
        <f>Procurement_Raw!A902</f>
        <v>45879</v>
      </c>
      <c r="B902" t="str">
        <f>TRIM(Procurement_Raw!B902)</f>
        <v>S009</v>
      </c>
      <c r="C902" t="str">
        <f>Procurement_Raw!C902</f>
        <v>Derby Care &amp; Education Centre</v>
      </c>
      <c r="D902" t="str">
        <f>Procurement_Raw!D902</f>
        <v>Midlands</v>
      </c>
      <c r="E902" t="str">
        <f>IF(TRIM(Procurement_Raw!E902)="","",IFERROR(INDEX(Supplier_Lookup!$A$2:$A$25,MATCH(TRIM(Procurement_Raw!E902),Supplier_Lookup!$A$2:$A$25,0)),TRIM(Procurement_Raw!E902)))</f>
        <v>FreshServe</v>
      </c>
      <c r="F902" t="str">
        <f>IFERROR(INDEX(Category_Targets!$A$2:$A$9,MATCH(TRIM(Procurement_Raw!F902),Category_Targets!$A$2:$A$9,0)),"Unmapped")</f>
        <v>Food &amp; Catering</v>
      </c>
      <c r="G902" t="str">
        <f>TRIM(Procurement_Raw!G902)</f>
        <v>INV-2025-00901</v>
      </c>
      <c r="H902" s="77">
        <f>Procurement_Raw!H902</f>
        <v>38</v>
      </c>
      <c r="I902" s="124">
        <f>Procurement_Raw!I902</f>
        <v>79.61</v>
      </c>
      <c r="J902" s="125">
        <f>IF(Procurement_Raw!J902="","",Procurement_Raw!J902)</f>
        <v>3025.23</v>
      </c>
      <c r="K902" s="77">
        <f>Procurement_Raw!K902</f>
        <v>45</v>
      </c>
      <c r="L902" t="str">
        <f>Procurement_Raw!L902</f>
        <v>ERP</v>
      </c>
      <c r="M902" t="str">
        <f>Procurement_Raw!O902</f>
        <v>Y</v>
      </c>
      <c r="N902" t="str">
        <f>IF(E902="","Missing supplier",IF(B902="","Missing site",IF(J902="","Missing spend",IF(COUNTIFS($G$2:G902,G902,$E$2:E902,E902,$J$2:J902,J902)&gt;1,"Duplicate invoice",IF(COUNTIF($G$2:$G$1801,G902)&gt;1,"Duplicate ID - review",IF(AND(P902&lt;&gt;"Unmapped",P902&lt;&gt;F902),"Category mismatch","OK"))))))</f>
        <v>OK</v>
      </c>
      <c r="O902" s="125">
        <f t="shared" si="42"/>
        <v>3025.23</v>
      </c>
      <c r="P902" t="str">
        <f>IF(E902="","Unmapped",IFERROR(INDEX(Supplier_Lookup!$B$2:$B$25,MATCH(E902,Supplier_Lookup!$A$2:$A$25,0)),"Unmapped"))</f>
        <v>Food &amp; Catering</v>
      </c>
      <c r="Q902" s="76">
        <f>IFERROR(INDEX(Category_Targets!$B$2:$B$9,MATCH(F902,Category_Targets!$A$2:$A$9,0)),0)</f>
        <v>0.04</v>
      </c>
      <c r="R902" s="125">
        <f t="shared" si="43"/>
        <v>121.00920000000001</v>
      </c>
      <c r="S902" s="78">
        <f t="shared" si="44"/>
        <v>45870</v>
      </c>
      <c r="T902" t="str">
        <f>IFERROR(VLOOKUP(B902,Sites!$A$2:$D$21,4,FALSE()),"Unknown")</f>
        <v>Derby</v>
      </c>
      <c r="U902" t="str">
        <f>IF(N902="OK","",COUNTIF($N$2:N902,"&lt;&gt;OK"))</f>
        <v/>
      </c>
      <c r="V902">
        <f>IF(OR(NOT(EXACT(E902,TRIM(Procurement_Raw!E902))),NOT(EXACT(F902,TRIM(Procurement_Raw!F902)))),1,0)</f>
        <v>0</v>
      </c>
    </row>
    <row r="903" spans="1:22" ht="15" customHeight="1" x14ac:dyDescent="0.25">
      <c r="A903" s="123">
        <f>Procurement_Raw!A903</f>
        <v>45901</v>
      </c>
      <c r="B903" t="str">
        <f>TRIM(Procurement_Raw!B903)</f>
        <v/>
      </c>
      <c r="C903" t="str">
        <f>Procurement_Raw!C903</f>
        <v>Preston Care &amp; Education Centre</v>
      </c>
      <c r="D903" t="str">
        <f>Procurement_Raw!D903</f>
        <v>North</v>
      </c>
      <c r="E903" t="str">
        <f>IF(TRIM(Procurement_Raw!E903)="","",IFERROR(INDEX(Supplier_Lookup!$A$2:$A$25,MATCH(TRIM(Procurement_Raw!E903),Supplier_Lookup!$A$2:$A$25,0)),TRIM(Procurement_Raw!E903)))</f>
        <v>FleetFuel</v>
      </c>
      <c r="F903" t="str">
        <f>IFERROR(INDEX(Category_Targets!$A$2:$A$9,MATCH(TRIM(Procurement_Raw!F903),Category_Targets!$A$2:$A$9,0)),"Unmapped")</f>
        <v>Vehicle &amp; Fuel</v>
      </c>
      <c r="G903" t="str">
        <f>TRIM(Procurement_Raw!G903)</f>
        <v>INV-2025-00902</v>
      </c>
      <c r="H903" s="77">
        <f>Procurement_Raw!H903</f>
        <v>74</v>
      </c>
      <c r="I903" s="124">
        <f>Procurement_Raw!I903</f>
        <v>76.52</v>
      </c>
      <c r="J903" s="125">
        <f>IF(Procurement_Raw!J903="","",Procurement_Raw!J903)</f>
        <v>5662.41</v>
      </c>
      <c r="K903" s="77">
        <f>Procurement_Raw!K903</f>
        <v>60</v>
      </c>
      <c r="L903" t="str">
        <f>Procurement_Raw!L903</f>
        <v>ERP</v>
      </c>
      <c r="M903" t="str">
        <f>Procurement_Raw!O903</f>
        <v>Y</v>
      </c>
      <c r="N903" t="str">
        <f>IF(E903="","Missing supplier",IF(B903="","Missing site",IF(J903="","Missing spend",IF(COUNTIFS($G$2:G903,G903,$E$2:E903,E903,$J$2:J903,J903)&gt;1,"Duplicate invoice",IF(COUNTIF($G$2:$G$1801,G903)&gt;1,"Duplicate ID - review",IF(AND(P903&lt;&gt;"Unmapped",P903&lt;&gt;F903),"Category mismatch","OK"))))))</f>
        <v>Missing site</v>
      </c>
      <c r="O903" s="125">
        <f t="shared" si="42"/>
        <v>5662.41</v>
      </c>
      <c r="P903" t="str">
        <f>IF(E903="","Unmapped",IFERROR(INDEX(Supplier_Lookup!$B$2:$B$25,MATCH(E903,Supplier_Lookup!$A$2:$A$25,0)),"Unmapped"))</f>
        <v>Vehicle &amp; Fuel</v>
      </c>
      <c r="Q903" s="76">
        <f>IFERROR(INDEX(Category_Targets!$B$2:$B$9,MATCH(F903,Category_Targets!$A$2:$A$9,0)),0)</f>
        <v>0.05</v>
      </c>
      <c r="R903" s="125">
        <f t="shared" si="43"/>
        <v>283.12049999999999</v>
      </c>
      <c r="S903" s="78">
        <f t="shared" si="44"/>
        <v>45901</v>
      </c>
      <c r="T903" t="str">
        <f>IFERROR(VLOOKUP(B903,Sites!$A$2:$D$21,4,FALSE()),"Unknown")</f>
        <v>Unknown</v>
      </c>
      <c r="U903">
        <f>IF(N903="OK","",COUNTIF($N$2:N903,"&lt;&gt;OK"))</f>
        <v>5</v>
      </c>
      <c r="V903">
        <f>IF(OR(NOT(EXACT(E903,TRIM(Procurement_Raw!E903))),NOT(EXACT(F903,TRIM(Procurement_Raw!F903)))),1,0)</f>
        <v>0</v>
      </c>
    </row>
    <row r="904" spans="1:22" ht="15" customHeight="1" x14ac:dyDescent="0.25">
      <c r="A904" s="123">
        <f>Procurement_Raw!A904</f>
        <v>45701</v>
      </c>
      <c r="B904" t="str">
        <f>TRIM(Procurement_Raw!B904)</f>
        <v>S005</v>
      </c>
      <c r="C904" t="str">
        <f>Procurement_Raw!C904</f>
        <v>Sheffield Care &amp; Education Centre</v>
      </c>
      <c r="D904" t="str">
        <f>Procurement_Raw!D904</f>
        <v>North</v>
      </c>
      <c r="E904" t="str">
        <f>IF(TRIM(Procurement_Raw!E904)="","",IFERROR(INDEX(Supplier_Lookup!$A$2:$A$25,MATCH(TRIM(Procurement_Raw!E904),Supplier_Lookup!$A$2:$A$25,0)),TRIM(Procurement_Raw!E904)))</f>
        <v>CareTemps</v>
      </c>
      <c r="F904" t="str">
        <f>IFERROR(INDEX(Category_Targets!$A$2:$A$9,MATCH(TRIM(Procurement_Raw!F904),Category_Targets!$A$2:$A$9,0)),"Unmapped")</f>
        <v>Agency Labour</v>
      </c>
      <c r="G904" t="str">
        <f>TRIM(Procurement_Raw!G904)</f>
        <v>INV-2025-00903</v>
      </c>
      <c r="H904" s="77">
        <f>Procurement_Raw!H904</f>
        <v>52</v>
      </c>
      <c r="I904" s="124">
        <f>Procurement_Raw!I904</f>
        <v>304.77999999999997</v>
      </c>
      <c r="J904" s="125">
        <f>IF(Procurement_Raw!J904="","",Procurement_Raw!J904)</f>
        <v>15848.59</v>
      </c>
      <c r="K904" s="77">
        <f>Procurement_Raw!K904</f>
        <v>60</v>
      </c>
      <c r="L904" t="str">
        <f>Procurement_Raw!L904</f>
        <v>Procurement Portal</v>
      </c>
      <c r="M904" t="str">
        <f>Procurement_Raw!O904</f>
        <v>N</v>
      </c>
      <c r="N904" t="str">
        <f>IF(E904="","Missing supplier",IF(B904="","Missing site",IF(J904="","Missing spend",IF(COUNTIFS($G$2:G904,G904,$E$2:E904,E904,$J$2:J904,J904)&gt;1,"Duplicate invoice",IF(COUNTIF($G$2:$G$1801,G904)&gt;1,"Duplicate ID - review",IF(AND(P904&lt;&gt;"Unmapped",P904&lt;&gt;F904),"Category mismatch","OK"))))))</f>
        <v>OK</v>
      </c>
      <c r="O904" s="125">
        <f t="shared" si="42"/>
        <v>15848.59</v>
      </c>
      <c r="P904" t="str">
        <f>IF(E904="","Unmapped",IFERROR(INDEX(Supplier_Lookup!$B$2:$B$25,MATCH(E904,Supplier_Lookup!$A$2:$A$25,0)),"Unmapped"))</f>
        <v>Agency Labour</v>
      </c>
      <c r="Q904" s="76">
        <f>IFERROR(INDEX(Category_Targets!$B$2:$B$9,MATCH(F904,Category_Targets!$A$2:$A$9,0)),0)</f>
        <v>7.0000000000000007E-2</v>
      </c>
      <c r="R904" s="125">
        <f t="shared" si="43"/>
        <v>1109.4013000000002</v>
      </c>
      <c r="S904" s="78">
        <f t="shared" si="44"/>
        <v>45689</v>
      </c>
      <c r="T904" t="str">
        <f>IFERROR(VLOOKUP(B904,Sites!$A$2:$D$21,4,FALSE()),"Unknown")</f>
        <v>Sheffield</v>
      </c>
      <c r="U904" t="str">
        <f>IF(N904="OK","",COUNTIF($N$2:N904,"&lt;&gt;OK"))</f>
        <v/>
      </c>
      <c r="V904">
        <f>IF(OR(NOT(EXACT(E904,TRIM(Procurement_Raw!E904))),NOT(EXACT(F904,TRIM(Procurement_Raw!F904)))),1,0)</f>
        <v>0</v>
      </c>
    </row>
    <row r="905" spans="1:22" ht="15" customHeight="1" x14ac:dyDescent="0.25">
      <c r="A905" s="123">
        <f>Procurement_Raw!A905</f>
        <v>45904</v>
      </c>
      <c r="B905" t="str">
        <f>TRIM(Procurement_Raw!B905)</f>
        <v>S016</v>
      </c>
      <c r="C905" t="str">
        <f>Procurement_Raw!C905</f>
        <v>Cardiff Care &amp; Education Centre</v>
      </c>
      <c r="D905" t="str">
        <f>Procurement_Raw!D905</f>
        <v>Wales</v>
      </c>
      <c r="E905" t="str">
        <f>IF(TRIM(Procurement_Raw!E905)="","",IFERROR(INDEX(Supplier_Lookup!$A$2:$A$25,MATCH(TRIM(Procurement_Raw!E905),Supplier_Lookup!$A$2:$A$25,0)),TRIM(Procurement_Raw!E905)))</f>
        <v>CleanWorks</v>
      </c>
      <c r="F905" t="str">
        <f>IFERROR(INDEX(Category_Targets!$A$2:$A$9,MATCH(TRIM(Procurement_Raw!F905),Category_Targets!$A$2:$A$9,0)),"Unmapped")</f>
        <v>Facilities</v>
      </c>
      <c r="G905" t="str">
        <f>TRIM(Procurement_Raw!G905)</f>
        <v>INV-2025-00904</v>
      </c>
      <c r="H905" s="77">
        <f>Procurement_Raw!H905</f>
        <v>72</v>
      </c>
      <c r="I905" s="124">
        <f>Procurement_Raw!I905</f>
        <v>363.62</v>
      </c>
      <c r="J905" s="125">
        <f>IF(Procurement_Raw!J905="","",Procurement_Raw!J905)</f>
        <v>26180.54</v>
      </c>
      <c r="K905" s="77">
        <f>Procurement_Raw!K905</f>
        <v>30</v>
      </c>
      <c r="L905" t="str">
        <f>Procurement_Raw!L905</f>
        <v>Procurement Portal</v>
      </c>
      <c r="M905" t="str">
        <f>Procurement_Raw!O905</f>
        <v>Y</v>
      </c>
      <c r="N905" t="str">
        <f>IF(E905="","Missing supplier",IF(B905="","Missing site",IF(J905="","Missing spend",IF(COUNTIFS($G$2:G905,G905,$E$2:E905,E905,$J$2:J905,J905)&gt;1,"Duplicate invoice",IF(COUNTIF($G$2:$G$1801,G905)&gt;1,"Duplicate ID - review",IF(AND(P905&lt;&gt;"Unmapped",P905&lt;&gt;F905),"Category mismatch","OK"))))))</f>
        <v>OK</v>
      </c>
      <c r="O905" s="125">
        <f t="shared" si="42"/>
        <v>26180.54</v>
      </c>
      <c r="P905" t="str">
        <f>IF(E905="","Unmapped",IFERROR(INDEX(Supplier_Lookup!$B$2:$B$25,MATCH(E905,Supplier_Lookup!$A$2:$A$25,0)),"Unmapped"))</f>
        <v>Facilities</v>
      </c>
      <c r="Q905" s="76">
        <f>IFERROR(INDEX(Category_Targets!$B$2:$B$9,MATCH(F905,Category_Targets!$A$2:$A$9,0)),0)</f>
        <v>0.05</v>
      </c>
      <c r="R905" s="125">
        <f t="shared" si="43"/>
        <v>1309.027</v>
      </c>
      <c r="S905" s="78">
        <f t="shared" si="44"/>
        <v>45901</v>
      </c>
      <c r="T905" t="str">
        <f>IFERROR(VLOOKUP(B905,Sites!$A$2:$D$21,4,FALSE()),"Unknown")</f>
        <v>Cardiff</v>
      </c>
      <c r="U905" t="str">
        <f>IF(N905="OK","",COUNTIF($N$2:N905,"&lt;&gt;OK"))</f>
        <v/>
      </c>
      <c r="V905">
        <f>IF(OR(NOT(EXACT(E905,TRIM(Procurement_Raw!E905))),NOT(EXACT(F905,TRIM(Procurement_Raw!F905)))),1,0)</f>
        <v>0</v>
      </c>
    </row>
    <row r="906" spans="1:22" ht="15" customHeight="1" x14ac:dyDescent="0.25">
      <c r="A906" s="123">
        <f>Procurement_Raw!A906</f>
        <v>45973</v>
      </c>
      <c r="B906" t="str">
        <f>TRIM(Procurement_Raw!B906)</f>
        <v>S009</v>
      </c>
      <c r="C906" t="str">
        <f>Procurement_Raw!C906</f>
        <v>Derby Care &amp; Education Centre</v>
      </c>
      <c r="D906" t="str">
        <f>Procurement_Raw!D906</f>
        <v>Midlands</v>
      </c>
      <c r="E906" t="str">
        <f>IF(TRIM(Procurement_Raw!E906)="","",IFERROR(INDEX(Supplier_Lookup!$A$2:$A$25,MATCH(TRIM(Procurement_Raw!E906),Supplier_Lookup!$A$2:$A$25,0)),TRIM(Procurement_Raw!E906)))</f>
        <v>PowerDirect</v>
      </c>
      <c r="F906" t="str">
        <f>IFERROR(INDEX(Category_Targets!$A$2:$A$9,MATCH(TRIM(Procurement_Raw!F906),Category_Targets!$A$2:$A$9,0)),"Unmapped")</f>
        <v>Utilities</v>
      </c>
      <c r="G906" t="str">
        <f>TRIM(Procurement_Raw!G906)</f>
        <v>INV-2025-00905</v>
      </c>
      <c r="H906" s="77">
        <f>Procurement_Raw!H906</f>
        <v>68</v>
      </c>
      <c r="I906" s="124">
        <f>Procurement_Raw!I906</f>
        <v>277.70999999999998</v>
      </c>
      <c r="J906" s="125">
        <f>IF(Procurement_Raw!J906="","",Procurement_Raw!J906)</f>
        <v>18884.05</v>
      </c>
      <c r="K906" s="77">
        <f>Procurement_Raw!K906</f>
        <v>30</v>
      </c>
      <c r="L906" t="str">
        <f>Procurement_Raw!L906</f>
        <v>ERP</v>
      </c>
      <c r="M906" t="str">
        <f>Procurement_Raw!O906</f>
        <v>N</v>
      </c>
      <c r="N906" t="str">
        <f>IF(E906="","Missing supplier",IF(B906="","Missing site",IF(J906="","Missing spend",IF(COUNTIFS($G$2:G906,G906,$E$2:E906,E906,$J$2:J906,J906)&gt;1,"Duplicate invoice",IF(COUNTIF($G$2:$G$1801,G906)&gt;1,"Duplicate ID - review",IF(AND(P906&lt;&gt;"Unmapped",P906&lt;&gt;F906),"Category mismatch","OK"))))))</f>
        <v>OK</v>
      </c>
      <c r="O906" s="125">
        <f t="shared" si="42"/>
        <v>18884.05</v>
      </c>
      <c r="P906" t="str">
        <f>IF(E906="","Unmapped",IFERROR(INDEX(Supplier_Lookup!$B$2:$B$25,MATCH(E906,Supplier_Lookup!$A$2:$A$25,0)),"Unmapped"))</f>
        <v>Utilities</v>
      </c>
      <c r="Q906" s="76">
        <f>IFERROR(INDEX(Category_Targets!$B$2:$B$9,MATCH(F906,Category_Targets!$A$2:$A$9,0)),0)</f>
        <v>0.03</v>
      </c>
      <c r="R906" s="125">
        <f t="shared" si="43"/>
        <v>566.52149999999995</v>
      </c>
      <c r="S906" s="78">
        <f t="shared" si="44"/>
        <v>45962</v>
      </c>
      <c r="T906" t="str">
        <f>IFERROR(VLOOKUP(B906,Sites!$A$2:$D$21,4,FALSE()),"Unknown")</f>
        <v>Derby</v>
      </c>
      <c r="U906" t="str">
        <f>IF(N906="OK","",COUNTIF($N$2:N906,"&lt;&gt;OK"))</f>
        <v/>
      </c>
      <c r="V906">
        <f>IF(OR(NOT(EXACT(E906,TRIM(Procurement_Raw!E906))),NOT(EXACT(F906,TRIM(Procurement_Raw!F906)))),1,0)</f>
        <v>0</v>
      </c>
    </row>
    <row r="907" spans="1:22" ht="15" customHeight="1" x14ac:dyDescent="0.25">
      <c r="A907" s="123">
        <f>Procurement_Raw!A907</f>
        <v>45823</v>
      </c>
      <c r="B907" t="str">
        <f>TRIM(Procurement_Raw!B907)</f>
        <v>S011</v>
      </c>
      <c r="C907" t="str">
        <f>Procurement_Raw!C907</f>
        <v>London Care &amp; Education Centre</v>
      </c>
      <c r="D907" t="str">
        <f>Procurement_Raw!D907</f>
        <v>South</v>
      </c>
      <c r="E907" t="str">
        <f>IF(TRIM(Procurement_Raw!E907)="","",IFERROR(INDEX(Supplier_Lookup!$A$2:$A$25,MATCH(TRIM(Procurement_Raw!E907),Supplier_Lookup!$A$2:$A$25,0)),TRIM(Procurement_Raw!E907)))</f>
        <v>TeleCare IT</v>
      </c>
      <c r="F907" t="str">
        <f>IFERROR(INDEX(Category_Targets!$A$2:$A$9,MATCH(TRIM(Procurement_Raw!F907),Category_Targets!$A$2:$A$9,0)),"Unmapped")</f>
        <v>IT &amp; Telecoms</v>
      </c>
      <c r="G907" t="str">
        <f>TRIM(Procurement_Raw!G907)</f>
        <v>INV-2025-00906</v>
      </c>
      <c r="H907" s="77">
        <f>Procurement_Raw!H907</f>
        <v>74</v>
      </c>
      <c r="I907" s="124">
        <f>Procurement_Raw!I907</f>
        <v>225.69</v>
      </c>
      <c r="J907" s="125">
        <f>IF(Procurement_Raw!J907="","",Procurement_Raw!J907)</f>
        <v>16701.150000000001</v>
      </c>
      <c r="K907" s="77">
        <f>Procurement_Raw!K907</f>
        <v>30</v>
      </c>
      <c r="L907" t="str">
        <f>Procurement_Raw!L907</f>
        <v>ERP</v>
      </c>
      <c r="M907" t="str">
        <f>Procurement_Raw!O907</f>
        <v>N</v>
      </c>
      <c r="N907" t="str">
        <f>IF(E907="","Missing supplier",IF(B907="","Missing site",IF(J907="","Missing spend",IF(COUNTIFS($G$2:G907,G907,$E$2:E907,E907,$J$2:J907,J907)&gt;1,"Duplicate invoice",IF(COUNTIF($G$2:$G$1801,G907)&gt;1,"Duplicate ID - review",IF(AND(P907&lt;&gt;"Unmapped",P907&lt;&gt;F907),"Category mismatch","OK"))))))</f>
        <v>OK</v>
      </c>
      <c r="O907" s="125">
        <f t="shared" si="42"/>
        <v>16701.150000000001</v>
      </c>
      <c r="P907" t="str">
        <f>IF(E907="","Unmapped",IFERROR(INDEX(Supplier_Lookup!$B$2:$B$25,MATCH(E907,Supplier_Lookup!$A$2:$A$25,0)),"Unmapped"))</f>
        <v>IT &amp; Telecoms</v>
      </c>
      <c r="Q907" s="76">
        <f>IFERROR(INDEX(Category_Targets!$B$2:$B$9,MATCH(F907,Category_Targets!$A$2:$A$9,0)),0)</f>
        <v>0.08</v>
      </c>
      <c r="R907" s="125">
        <f t="shared" si="43"/>
        <v>1336.0920000000001</v>
      </c>
      <c r="S907" s="78">
        <f t="shared" si="44"/>
        <v>45809</v>
      </c>
      <c r="T907" t="str">
        <f>IFERROR(VLOOKUP(B907,Sites!$A$2:$D$21,4,FALSE()),"Unknown")</f>
        <v>London</v>
      </c>
      <c r="U907" t="str">
        <f>IF(N907="OK","",COUNTIF($N$2:N907,"&lt;&gt;OK"))</f>
        <v/>
      </c>
      <c r="V907">
        <f>IF(OR(NOT(EXACT(E907,TRIM(Procurement_Raw!E907))),NOT(EXACT(F907,TRIM(Procurement_Raw!F907)))),1,0)</f>
        <v>0</v>
      </c>
    </row>
    <row r="908" spans="1:22" ht="15" customHeight="1" x14ac:dyDescent="0.25">
      <c r="A908" s="123">
        <f>Procurement_Raw!A908</f>
        <v>45845</v>
      </c>
      <c r="B908" t="str">
        <f>TRIM(Procurement_Raw!B908)</f>
        <v>S010</v>
      </c>
      <c r="C908" t="str">
        <f>Procurement_Raw!C908</f>
        <v>Coventry Care &amp; Education Centre</v>
      </c>
      <c r="D908" t="str">
        <f>Procurement_Raw!D908</f>
        <v>Midlands</v>
      </c>
      <c r="E908" t="str">
        <f>IF(TRIM(Procurement_Raw!E908)="","",IFERROR(INDEX(Supplier_Lookup!$A$2:$A$25,MATCH(TRIM(Procurement_Raw!E908),Supplier_Lookup!$A$2:$A$25,0)),TRIM(Procurement_Raw!E908)))</f>
        <v>CareTemps</v>
      </c>
      <c r="F908" t="str">
        <f>IFERROR(INDEX(Category_Targets!$A$2:$A$9,MATCH(TRIM(Procurement_Raw!F908),Category_Targets!$A$2:$A$9,0)),"Unmapped")</f>
        <v>Agency Labour</v>
      </c>
      <c r="G908" t="str">
        <f>TRIM(Procurement_Raw!G908)</f>
        <v>INV-2025-00907</v>
      </c>
      <c r="H908" s="77">
        <f>Procurement_Raw!H908</f>
        <v>45</v>
      </c>
      <c r="I908" s="124">
        <f>Procurement_Raw!I908</f>
        <v>142</v>
      </c>
      <c r="J908" s="125">
        <f>IF(Procurement_Raw!J908="","",Procurement_Raw!J908)</f>
        <v>6390.22</v>
      </c>
      <c r="K908" s="77">
        <f>Procurement_Raw!K908</f>
        <v>30</v>
      </c>
      <c r="L908" t="str">
        <f>Procurement_Raw!L908</f>
        <v>Procurement Portal</v>
      </c>
      <c r="M908" t="str">
        <f>Procurement_Raw!O908</f>
        <v>N</v>
      </c>
      <c r="N908" t="str">
        <f>IF(E908="","Missing supplier",IF(B908="","Missing site",IF(J908="","Missing spend",IF(COUNTIFS($G$2:G908,G908,$E$2:E908,E908,$J$2:J908,J908)&gt;1,"Duplicate invoice",IF(COUNTIF($G$2:$G$1801,G908)&gt;1,"Duplicate ID - review",IF(AND(P908&lt;&gt;"Unmapped",P908&lt;&gt;F908),"Category mismatch","OK"))))))</f>
        <v>OK</v>
      </c>
      <c r="O908" s="125">
        <f t="shared" si="42"/>
        <v>6390.22</v>
      </c>
      <c r="P908" t="str">
        <f>IF(E908="","Unmapped",IFERROR(INDEX(Supplier_Lookup!$B$2:$B$25,MATCH(E908,Supplier_Lookup!$A$2:$A$25,0)),"Unmapped"))</f>
        <v>Agency Labour</v>
      </c>
      <c r="Q908" s="76">
        <f>IFERROR(INDEX(Category_Targets!$B$2:$B$9,MATCH(F908,Category_Targets!$A$2:$A$9,0)),0)</f>
        <v>7.0000000000000007E-2</v>
      </c>
      <c r="R908" s="125">
        <f t="shared" si="43"/>
        <v>447.31540000000007</v>
      </c>
      <c r="S908" s="78">
        <f t="shared" si="44"/>
        <v>45839</v>
      </c>
      <c r="T908" t="str">
        <f>IFERROR(VLOOKUP(B908,Sites!$A$2:$D$21,4,FALSE()),"Unknown")</f>
        <v>Coventry</v>
      </c>
      <c r="U908" t="str">
        <f>IF(N908="OK","",COUNTIF($N$2:N908,"&lt;&gt;OK"))</f>
        <v/>
      </c>
      <c r="V908">
        <f>IF(OR(NOT(EXACT(E908,TRIM(Procurement_Raw!E908))),NOT(EXACT(F908,TRIM(Procurement_Raw!F908)))),1,0)</f>
        <v>0</v>
      </c>
    </row>
    <row r="909" spans="1:22" ht="15" customHeight="1" x14ac:dyDescent="0.25">
      <c r="A909" s="123">
        <f>Procurement_Raw!A909</f>
        <v>45744</v>
      </c>
      <c r="B909" t="str">
        <f>TRIM(Procurement_Raw!B909)</f>
        <v>S008</v>
      </c>
      <c r="C909" t="str">
        <f>Procurement_Raw!C909</f>
        <v>Leicester Care &amp; Education Centre</v>
      </c>
      <c r="D909" t="str">
        <f>Procurement_Raw!D909</f>
        <v>Midlands</v>
      </c>
      <c r="E909" t="str">
        <f>IF(TRIM(Procurement_Raw!E909)="","",IFERROR(INDEX(Supplier_Lookup!$A$2:$A$25,MATCH(TRIM(Procurement_Raw!E909),Supplier_Lookup!$A$2:$A$25,0)),TRIM(Procurement_Raw!E909)))</f>
        <v>CareMed</v>
      </c>
      <c r="F909" t="str">
        <f>IFERROR(INDEX(Category_Targets!$A$2:$A$9,MATCH(TRIM(Procurement_Raw!F909),Category_Targets!$A$2:$A$9,0)),"Unmapped")</f>
        <v>Medical Supplies</v>
      </c>
      <c r="G909" t="str">
        <f>TRIM(Procurement_Raw!G909)</f>
        <v>INV-2025-00908</v>
      </c>
      <c r="H909" s="77">
        <f>Procurement_Raw!H909</f>
        <v>45</v>
      </c>
      <c r="I909" s="124">
        <f>Procurement_Raw!I909</f>
        <v>180.9</v>
      </c>
      <c r="J909" s="125">
        <f>IF(Procurement_Raw!J909="","",Procurement_Raw!J909)</f>
        <v>8140.39</v>
      </c>
      <c r="K909" s="77">
        <f>Procurement_Raw!K909</f>
        <v>60</v>
      </c>
      <c r="L909" t="str">
        <f>Procurement_Raw!L909</f>
        <v>Procurement Portal</v>
      </c>
      <c r="M909" t="str">
        <f>Procurement_Raw!O909</f>
        <v>N</v>
      </c>
      <c r="N909" t="str">
        <f>IF(E909="","Missing supplier",IF(B909="","Missing site",IF(J909="","Missing spend",IF(COUNTIFS($G$2:G909,G909,$E$2:E909,E909,$J$2:J909,J909)&gt;1,"Duplicate invoice",IF(COUNTIF($G$2:$G$1801,G909)&gt;1,"Duplicate ID - review",IF(AND(P909&lt;&gt;"Unmapped",P909&lt;&gt;F909),"Category mismatch","OK"))))))</f>
        <v>OK</v>
      </c>
      <c r="O909" s="125">
        <f t="shared" si="42"/>
        <v>8140.39</v>
      </c>
      <c r="P909" t="str">
        <f>IF(E909="","Unmapped",IFERROR(INDEX(Supplier_Lookup!$B$2:$B$25,MATCH(E909,Supplier_Lookup!$A$2:$A$25,0)),"Unmapped"))</f>
        <v>Medical Supplies</v>
      </c>
      <c r="Q909" s="76">
        <f>IFERROR(INDEX(Category_Targets!$B$2:$B$9,MATCH(F909,Category_Targets!$A$2:$A$9,0)),0)</f>
        <v>0.06</v>
      </c>
      <c r="R909" s="125">
        <f t="shared" si="43"/>
        <v>488.42340000000002</v>
      </c>
      <c r="S909" s="78">
        <f t="shared" si="44"/>
        <v>45717</v>
      </c>
      <c r="T909" t="str">
        <f>IFERROR(VLOOKUP(B909,Sites!$A$2:$D$21,4,FALSE()),"Unknown")</f>
        <v>Leicester</v>
      </c>
      <c r="U909" t="str">
        <f>IF(N909="OK","",COUNTIF($N$2:N909,"&lt;&gt;OK"))</f>
        <v/>
      </c>
      <c r="V909">
        <f>IF(OR(NOT(EXACT(E909,TRIM(Procurement_Raw!E909))),NOT(EXACT(F909,TRIM(Procurement_Raw!F909)))),1,0)</f>
        <v>0</v>
      </c>
    </row>
    <row r="910" spans="1:22" ht="15" customHeight="1" x14ac:dyDescent="0.25">
      <c r="A910" s="123">
        <f>Procurement_Raw!A910</f>
        <v>45680</v>
      </c>
      <c r="B910" t="str">
        <f>TRIM(Procurement_Raw!B910)</f>
        <v>S016</v>
      </c>
      <c r="C910" t="str">
        <f>Procurement_Raw!C910</f>
        <v>Cardiff Care &amp; Education Centre</v>
      </c>
      <c r="D910" t="str">
        <f>Procurement_Raw!D910</f>
        <v>Wales</v>
      </c>
      <c r="E910" t="str">
        <f>IF(TRIM(Procurement_Raw!E910)="","",IFERROR(INDEX(Supplier_Lookup!$A$2:$A$25,MATCH(TRIM(Procurement_Raw!E910),Supplier_Lookup!$A$2:$A$25,0)),TRIM(Procurement_Raw!E910)))</f>
        <v>SafeGuard FM</v>
      </c>
      <c r="F910" t="str">
        <f>IFERROR(INDEX(Category_Targets!$A$2:$A$9,MATCH(TRIM(Procurement_Raw!F910),Category_Targets!$A$2:$A$9,0)),"Unmapped")</f>
        <v>Facilities</v>
      </c>
      <c r="G910" t="str">
        <f>TRIM(Procurement_Raw!G910)</f>
        <v>INV-2025-00909</v>
      </c>
      <c r="H910" s="77">
        <f>Procurement_Raw!H910</f>
        <v>30</v>
      </c>
      <c r="I910" s="124">
        <f>Procurement_Raw!I910</f>
        <v>256.72000000000003</v>
      </c>
      <c r="J910" s="125">
        <f>IF(Procurement_Raw!J910="","",Procurement_Raw!J910)</f>
        <v>7701.5</v>
      </c>
      <c r="K910" s="77">
        <f>Procurement_Raw!K910</f>
        <v>30</v>
      </c>
      <c r="L910" t="str">
        <f>Procurement_Raw!L910</f>
        <v>Legacy Spend File</v>
      </c>
      <c r="M910" t="str">
        <f>Procurement_Raw!O910</f>
        <v>N</v>
      </c>
      <c r="N910" t="str">
        <f>IF(E910="","Missing supplier",IF(B910="","Missing site",IF(J910="","Missing spend",IF(COUNTIFS($G$2:G910,G910,$E$2:E910,E910,$J$2:J910,J910)&gt;1,"Duplicate invoice",IF(COUNTIF($G$2:$G$1801,G910)&gt;1,"Duplicate ID - review",IF(AND(P910&lt;&gt;"Unmapped",P910&lt;&gt;F910),"Category mismatch","OK"))))))</f>
        <v>OK</v>
      </c>
      <c r="O910" s="125">
        <f t="shared" si="42"/>
        <v>7701.5</v>
      </c>
      <c r="P910" t="str">
        <f>IF(E910="","Unmapped",IFERROR(INDEX(Supplier_Lookup!$B$2:$B$25,MATCH(E910,Supplier_Lookup!$A$2:$A$25,0)),"Unmapped"))</f>
        <v>Facilities</v>
      </c>
      <c r="Q910" s="76">
        <f>IFERROR(INDEX(Category_Targets!$B$2:$B$9,MATCH(F910,Category_Targets!$A$2:$A$9,0)),0)</f>
        <v>0.05</v>
      </c>
      <c r="R910" s="125">
        <f t="shared" si="43"/>
        <v>385.07500000000005</v>
      </c>
      <c r="S910" s="78">
        <f t="shared" si="44"/>
        <v>45658</v>
      </c>
      <c r="T910" t="str">
        <f>IFERROR(VLOOKUP(B910,Sites!$A$2:$D$21,4,FALSE()),"Unknown")</f>
        <v>Cardiff</v>
      </c>
      <c r="U910" t="str">
        <f>IF(N910="OK","",COUNTIF($N$2:N910,"&lt;&gt;OK"))</f>
        <v/>
      </c>
      <c r="V910">
        <f>IF(OR(NOT(EXACT(E910,TRIM(Procurement_Raw!E910))),NOT(EXACT(F910,TRIM(Procurement_Raw!F910)))),1,0)</f>
        <v>0</v>
      </c>
    </row>
    <row r="911" spans="1:22" ht="15" customHeight="1" x14ac:dyDescent="0.25">
      <c r="A911" s="123">
        <f>Procurement_Raw!A911</f>
        <v>45701</v>
      </c>
      <c r="B911" t="str">
        <f>TRIM(Procurement_Raw!B911)</f>
        <v>S001</v>
      </c>
      <c r="C911" t="str">
        <f>Procurement_Raw!C911</f>
        <v>Preston Care &amp; Education Centre</v>
      </c>
      <c r="D911" t="str">
        <f>Procurement_Raw!D911</f>
        <v>North</v>
      </c>
      <c r="E911" t="str">
        <f>IF(TRIM(Procurement_Raw!E911)="","",IFERROR(INDEX(Supplier_Lookup!$A$2:$A$25,MATCH(TRIM(Procurement_Raw!E911),Supplier_Lookup!$A$2:$A$25,0)),TRIM(Procurement_Raw!E911)))</f>
        <v>BuildCare</v>
      </c>
      <c r="F911" t="str">
        <f>IFERROR(INDEX(Category_Targets!$A$2:$A$9,MATCH(TRIM(Procurement_Raw!F911),Category_Targets!$A$2:$A$9,0)),"Unmapped")</f>
        <v>Facilities</v>
      </c>
      <c r="G911" t="str">
        <f>TRIM(Procurement_Raw!G911)</f>
        <v>INV-2025-00910</v>
      </c>
      <c r="H911" s="77">
        <f>Procurement_Raw!H911</f>
        <v>15</v>
      </c>
      <c r="I911" s="124">
        <f>Procurement_Raw!I911</f>
        <v>591.54999999999995</v>
      </c>
      <c r="J911" s="125">
        <f>IF(Procurement_Raw!J911="","",Procurement_Raw!J911)</f>
        <v>8873.26</v>
      </c>
      <c r="K911" s="77">
        <f>Procurement_Raw!K911</f>
        <v>60</v>
      </c>
      <c r="L911" t="str">
        <f>Procurement_Raw!L911</f>
        <v>ERP</v>
      </c>
      <c r="M911" t="str">
        <f>Procurement_Raw!O911</f>
        <v>N</v>
      </c>
      <c r="N911" t="str">
        <f>IF(E911="","Missing supplier",IF(B911="","Missing site",IF(J911="","Missing spend",IF(COUNTIFS($G$2:G911,G911,$E$2:E911,E911,$J$2:J911,J911)&gt;1,"Duplicate invoice",IF(COUNTIF($G$2:$G$1801,G911)&gt;1,"Duplicate ID - review",IF(AND(P911&lt;&gt;"Unmapped",P911&lt;&gt;F911),"Category mismatch","OK"))))))</f>
        <v>OK</v>
      </c>
      <c r="O911" s="125">
        <f t="shared" si="42"/>
        <v>8873.26</v>
      </c>
      <c r="P911" t="str">
        <f>IF(E911="","Unmapped",IFERROR(INDEX(Supplier_Lookup!$B$2:$B$25,MATCH(E911,Supplier_Lookup!$A$2:$A$25,0)),"Unmapped"))</f>
        <v>Facilities</v>
      </c>
      <c r="Q911" s="76">
        <f>IFERROR(INDEX(Category_Targets!$B$2:$B$9,MATCH(F911,Category_Targets!$A$2:$A$9,0)),0)</f>
        <v>0.05</v>
      </c>
      <c r="R911" s="125">
        <f t="shared" si="43"/>
        <v>443.66300000000001</v>
      </c>
      <c r="S911" s="78">
        <f t="shared" si="44"/>
        <v>45689</v>
      </c>
      <c r="T911" t="str">
        <f>IFERROR(VLOOKUP(B911,Sites!$A$2:$D$21,4,FALSE()),"Unknown")</f>
        <v>Preston</v>
      </c>
      <c r="U911" t="str">
        <f>IF(N911="OK","",COUNTIF($N$2:N911,"&lt;&gt;OK"))</f>
        <v/>
      </c>
      <c r="V911">
        <f>IF(OR(NOT(EXACT(E911,TRIM(Procurement_Raw!E911))),NOT(EXACT(F911,TRIM(Procurement_Raw!F911)))),1,0)</f>
        <v>0</v>
      </c>
    </row>
    <row r="912" spans="1:22" ht="15" customHeight="1" x14ac:dyDescent="0.25">
      <c r="A912" s="123">
        <f>Procurement_Raw!A912</f>
        <v>45665</v>
      </c>
      <c r="B912" t="str">
        <f>TRIM(Procurement_Raw!B912)</f>
        <v>S015</v>
      </c>
      <c r="C912" t="str">
        <f>Procurement_Raw!C912</f>
        <v>Brighton Care &amp; Education Centre</v>
      </c>
      <c r="D912" t="str">
        <f>Procurement_Raw!D912</f>
        <v>South</v>
      </c>
      <c r="E912" t="str">
        <f>IF(TRIM(Procurement_Raw!E912)="","",IFERROR(INDEX(Supplier_Lookup!$A$2:$A$25,MATCH(TRIM(Procurement_Raw!E912),Supplier_Lookup!$A$2:$A$25,0)),TRIM(Procurement_Raw!E912)))</f>
        <v>SafeGuard FM</v>
      </c>
      <c r="F912" t="str">
        <f>IFERROR(INDEX(Category_Targets!$A$2:$A$9,MATCH(TRIM(Procurement_Raw!F912),Category_Targets!$A$2:$A$9,0)),"Unmapped")</f>
        <v>Facilities</v>
      </c>
      <c r="G912" t="str">
        <f>TRIM(Procurement_Raw!G912)</f>
        <v>INV-2025-00911</v>
      </c>
      <c r="H912" s="77">
        <f>Procurement_Raw!H912</f>
        <v>44</v>
      </c>
      <c r="I912" s="124">
        <f>Procurement_Raw!I912</f>
        <v>151.97</v>
      </c>
      <c r="J912" s="125">
        <f>IF(Procurement_Raw!J912="","",Procurement_Raw!J912)</f>
        <v>6686.65</v>
      </c>
      <c r="K912" s="77">
        <f>Procurement_Raw!K912</f>
        <v>60</v>
      </c>
      <c r="L912" t="str">
        <f>Procurement_Raw!L912</f>
        <v>ERP</v>
      </c>
      <c r="M912" t="str">
        <f>Procurement_Raw!O912</f>
        <v>N</v>
      </c>
      <c r="N912" t="str">
        <f>IF(E912="","Missing supplier",IF(B912="","Missing site",IF(J912="","Missing spend",IF(COUNTIFS($G$2:G912,G912,$E$2:E912,E912,$J$2:J912,J912)&gt;1,"Duplicate invoice",IF(COUNTIF($G$2:$G$1801,G912)&gt;1,"Duplicate ID - review",IF(AND(P912&lt;&gt;"Unmapped",P912&lt;&gt;F912),"Category mismatch","OK"))))))</f>
        <v>OK</v>
      </c>
      <c r="O912" s="125">
        <f t="shared" si="42"/>
        <v>6686.65</v>
      </c>
      <c r="P912" t="str">
        <f>IF(E912="","Unmapped",IFERROR(INDEX(Supplier_Lookup!$B$2:$B$25,MATCH(E912,Supplier_Lookup!$A$2:$A$25,0)),"Unmapped"))</f>
        <v>Facilities</v>
      </c>
      <c r="Q912" s="76">
        <f>IFERROR(INDEX(Category_Targets!$B$2:$B$9,MATCH(F912,Category_Targets!$A$2:$A$9,0)),0)</f>
        <v>0.05</v>
      </c>
      <c r="R912" s="125">
        <f t="shared" si="43"/>
        <v>334.33249999999998</v>
      </c>
      <c r="S912" s="78">
        <f t="shared" si="44"/>
        <v>45658</v>
      </c>
      <c r="T912" t="str">
        <f>IFERROR(VLOOKUP(B912,Sites!$A$2:$D$21,4,FALSE()),"Unknown")</f>
        <v>Brighton</v>
      </c>
      <c r="U912" t="str">
        <f>IF(N912="OK","",COUNTIF($N$2:N912,"&lt;&gt;OK"))</f>
        <v/>
      </c>
      <c r="V912">
        <f>IF(OR(NOT(EXACT(E912,TRIM(Procurement_Raw!E912))),NOT(EXACT(F912,TRIM(Procurement_Raw!F912)))),1,0)</f>
        <v>0</v>
      </c>
    </row>
    <row r="913" spans="1:22" ht="15" customHeight="1" x14ac:dyDescent="0.25">
      <c r="A913" s="123">
        <f>Procurement_Raw!A913</f>
        <v>45669</v>
      </c>
      <c r="B913" t="str">
        <f>TRIM(Procurement_Raw!B913)</f>
        <v>S019</v>
      </c>
      <c r="C913" t="str">
        <f>Procurement_Raw!C913</f>
        <v>Wrexham Care &amp; Education Centre</v>
      </c>
      <c r="D913" t="str">
        <f>Procurement_Raw!D913</f>
        <v>Wales</v>
      </c>
      <c r="E913" t="str">
        <f>IF(TRIM(Procurement_Raw!E913)="","",IFERROR(INDEX(Supplier_Lookup!$A$2:$A$25,MATCH(TRIM(Procurement_Raw!E913),Supplier_Lookup!$A$2:$A$25,0)),TRIM(Procurement_Raw!E913)))</f>
        <v>LearnWell</v>
      </c>
      <c r="F913" t="str">
        <f>IFERROR(INDEX(Category_Targets!$A$2:$A$9,MATCH(TRIM(Procurement_Raw!F913),Category_Targets!$A$2:$A$9,0)),"Unmapped")</f>
        <v>Office &amp; Training</v>
      </c>
      <c r="G913" t="str">
        <f>TRIM(Procurement_Raw!G913)</f>
        <v>INV-2025-00912</v>
      </c>
      <c r="H913" s="77">
        <f>Procurement_Raw!H913</f>
        <v>43</v>
      </c>
      <c r="I913" s="124">
        <f>Procurement_Raw!I913</f>
        <v>84.61</v>
      </c>
      <c r="J913" s="125">
        <f>IF(Procurement_Raw!J913="","",Procurement_Raw!J913)</f>
        <v>3638.11</v>
      </c>
      <c r="K913" s="77">
        <f>Procurement_Raw!K913</f>
        <v>30</v>
      </c>
      <c r="L913" t="str">
        <f>Procurement_Raw!L913</f>
        <v>Legacy Spend File</v>
      </c>
      <c r="M913" t="str">
        <f>Procurement_Raw!O913</f>
        <v>N</v>
      </c>
      <c r="N913" t="str">
        <f>IF(E913="","Missing supplier",IF(B913="","Missing site",IF(J913="","Missing spend",IF(COUNTIFS($G$2:G913,G913,$E$2:E913,E913,$J$2:J913,J913)&gt;1,"Duplicate invoice",IF(COUNTIF($G$2:$G$1801,G913)&gt;1,"Duplicate ID - review",IF(AND(P913&lt;&gt;"Unmapped",P913&lt;&gt;F913),"Category mismatch","OK"))))))</f>
        <v>OK</v>
      </c>
      <c r="O913" s="125">
        <f t="shared" si="42"/>
        <v>3638.11</v>
      </c>
      <c r="P913" t="str">
        <f>IF(E913="","Unmapped",IFERROR(INDEX(Supplier_Lookup!$B$2:$B$25,MATCH(E913,Supplier_Lookup!$A$2:$A$25,0)),"Unmapped"))</f>
        <v>Office &amp; Training</v>
      </c>
      <c r="Q913" s="76">
        <f>IFERROR(INDEX(Category_Targets!$B$2:$B$9,MATCH(F913,Category_Targets!$A$2:$A$9,0)),0)</f>
        <v>0.04</v>
      </c>
      <c r="R913" s="125">
        <f t="shared" si="43"/>
        <v>145.52440000000001</v>
      </c>
      <c r="S913" s="78">
        <f t="shared" si="44"/>
        <v>45658</v>
      </c>
      <c r="T913" t="str">
        <f>IFERROR(VLOOKUP(B913,Sites!$A$2:$D$21,4,FALSE()),"Unknown")</f>
        <v>Wrexham</v>
      </c>
      <c r="U913" t="str">
        <f>IF(N913="OK","",COUNTIF($N$2:N913,"&lt;&gt;OK"))</f>
        <v/>
      </c>
      <c r="V913">
        <f>IF(OR(NOT(EXACT(E913,TRIM(Procurement_Raw!E913))),NOT(EXACT(F913,TRIM(Procurement_Raw!F913)))),1,0)</f>
        <v>0</v>
      </c>
    </row>
    <row r="914" spans="1:22" ht="15" customHeight="1" x14ac:dyDescent="0.25">
      <c r="A914" s="123">
        <f>Procurement_Raw!A914</f>
        <v>45937</v>
      </c>
      <c r="B914" t="str">
        <f>TRIM(Procurement_Raw!B914)</f>
        <v>S015</v>
      </c>
      <c r="C914" t="str">
        <f>Procurement_Raw!C914</f>
        <v>Brighton Care &amp; Education Centre</v>
      </c>
      <c r="D914" t="str">
        <f>Procurement_Raw!D914</f>
        <v>South</v>
      </c>
      <c r="E914" t="str">
        <f>IF(TRIM(Procurement_Raw!E914)="","",IFERROR(INDEX(Supplier_Lookup!$A$2:$A$25,MATCH(TRIM(Procurement_Raw!E914),Supplier_Lookup!$A$2:$A$25,0)),TRIM(Procurement_Raw!E914)))</f>
        <v>UK Energy Partners</v>
      </c>
      <c r="F914" t="str">
        <f>IFERROR(INDEX(Category_Targets!$A$2:$A$9,MATCH(TRIM(Procurement_Raw!F914),Category_Targets!$A$2:$A$9,0)),"Unmapped")</f>
        <v>Utilities</v>
      </c>
      <c r="G914" t="str">
        <f>TRIM(Procurement_Raw!G914)</f>
        <v>INV-2025-00913</v>
      </c>
      <c r="H914" s="77">
        <f>Procurement_Raw!H914</f>
        <v>67</v>
      </c>
      <c r="I914" s="124">
        <f>Procurement_Raw!I914</f>
        <v>286.75</v>
      </c>
      <c r="J914" s="125">
        <f>IF(Procurement_Raw!J914="","",Procurement_Raw!J914)</f>
        <v>19212.46</v>
      </c>
      <c r="K914" s="77">
        <f>Procurement_Raw!K914</f>
        <v>45</v>
      </c>
      <c r="L914" t="str">
        <f>Procurement_Raw!L914</f>
        <v>Legacy Spend File</v>
      </c>
      <c r="M914" t="str">
        <f>Procurement_Raw!O914</f>
        <v>N</v>
      </c>
      <c r="N914" t="str">
        <f>IF(E914="","Missing supplier",IF(B914="","Missing site",IF(J914="","Missing spend",IF(COUNTIFS($G$2:G914,G914,$E$2:E914,E914,$J$2:J914,J914)&gt;1,"Duplicate invoice",IF(COUNTIF($G$2:$G$1801,G914)&gt;1,"Duplicate ID - review",IF(AND(P914&lt;&gt;"Unmapped",P914&lt;&gt;F914),"Category mismatch","OK"))))))</f>
        <v>OK</v>
      </c>
      <c r="O914" s="125">
        <f t="shared" si="42"/>
        <v>19212.46</v>
      </c>
      <c r="P914" t="str">
        <f>IF(E914="","Unmapped",IFERROR(INDEX(Supplier_Lookup!$B$2:$B$25,MATCH(E914,Supplier_Lookup!$A$2:$A$25,0)),"Unmapped"))</f>
        <v>Utilities</v>
      </c>
      <c r="Q914" s="76">
        <f>IFERROR(INDEX(Category_Targets!$B$2:$B$9,MATCH(F914,Category_Targets!$A$2:$A$9,0)),0)</f>
        <v>0.03</v>
      </c>
      <c r="R914" s="125">
        <f t="shared" si="43"/>
        <v>576.37379999999996</v>
      </c>
      <c r="S914" s="78">
        <f t="shared" si="44"/>
        <v>45931</v>
      </c>
      <c r="T914" t="str">
        <f>IFERROR(VLOOKUP(B914,Sites!$A$2:$D$21,4,FALSE()),"Unknown")</f>
        <v>Brighton</v>
      </c>
      <c r="U914" t="str">
        <f>IF(N914="OK","",COUNTIF($N$2:N914,"&lt;&gt;OK"))</f>
        <v/>
      </c>
      <c r="V914">
        <f>IF(OR(NOT(EXACT(E914,TRIM(Procurement_Raw!E914))),NOT(EXACT(F914,TRIM(Procurement_Raw!F914)))),1,0)</f>
        <v>0</v>
      </c>
    </row>
    <row r="915" spans="1:22" ht="15" customHeight="1" x14ac:dyDescent="0.25">
      <c r="A915" s="123">
        <f>Procurement_Raw!A915</f>
        <v>46015</v>
      </c>
      <c r="B915" t="str">
        <f>TRIM(Procurement_Raw!B915)</f>
        <v>S013</v>
      </c>
      <c r="C915" t="str">
        <f>Procurement_Raw!C915</f>
        <v>Reading Care &amp; Education Centre</v>
      </c>
      <c r="D915" t="str">
        <f>Procurement_Raw!D915</f>
        <v>South</v>
      </c>
      <c r="E915" t="str">
        <f>IF(TRIM(Procurement_Raw!E915)="","",IFERROR(INDEX(Supplier_Lookup!$A$2:$A$25,MATCH(TRIM(Procurement_Raw!E915),Supplier_Lookup!$A$2:$A$25,0)),TRIM(Procurement_Raw!E915)))</f>
        <v>BuildCare</v>
      </c>
      <c r="F915" t="str">
        <f>IFERROR(INDEX(Category_Targets!$A$2:$A$9,MATCH(TRIM(Procurement_Raw!F915),Category_Targets!$A$2:$A$9,0)),"Unmapped")</f>
        <v>Facilities</v>
      </c>
      <c r="G915" t="str">
        <f>TRIM(Procurement_Raw!G915)</f>
        <v>INV-2025-00914</v>
      </c>
      <c r="H915" s="77">
        <f>Procurement_Raw!H915</f>
        <v>3</v>
      </c>
      <c r="I915" s="124">
        <f>Procurement_Raw!I915</f>
        <v>428.61</v>
      </c>
      <c r="J915" s="125">
        <f>IF(Procurement_Raw!J915="","",Procurement_Raw!J915)</f>
        <v>1285.8399999999999</v>
      </c>
      <c r="K915" s="77">
        <f>Procurement_Raw!K915</f>
        <v>45</v>
      </c>
      <c r="L915" t="str">
        <f>Procurement_Raw!L915</f>
        <v>Legacy Spend File</v>
      </c>
      <c r="M915" t="str">
        <f>Procurement_Raw!O915</f>
        <v>N</v>
      </c>
      <c r="N915" t="str">
        <f>IF(E915="","Missing supplier",IF(B915="","Missing site",IF(J915="","Missing spend",IF(COUNTIFS($G$2:G915,G915,$E$2:E915,E915,$J$2:J915,J915)&gt;1,"Duplicate invoice",IF(COUNTIF($G$2:$G$1801,G915)&gt;1,"Duplicate ID - review",IF(AND(P915&lt;&gt;"Unmapped",P915&lt;&gt;F915),"Category mismatch","OK"))))))</f>
        <v>OK</v>
      </c>
      <c r="O915" s="125">
        <f t="shared" si="42"/>
        <v>1285.8399999999999</v>
      </c>
      <c r="P915" t="str">
        <f>IF(E915="","Unmapped",IFERROR(INDEX(Supplier_Lookup!$B$2:$B$25,MATCH(E915,Supplier_Lookup!$A$2:$A$25,0)),"Unmapped"))</f>
        <v>Facilities</v>
      </c>
      <c r="Q915" s="76">
        <f>IFERROR(INDEX(Category_Targets!$B$2:$B$9,MATCH(F915,Category_Targets!$A$2:$A$9,0)),0)</f>
        <v>0.05</v>
      </c>
      <c r="R915" s="125">
        <f t="shared" si="43"/>
        <v>64.292000000000002</v>
      </c>
      <c r="S915" s="78">
        <f t="shared" si="44"/>
        <v>45992</v>
      </c>
      <c r="T915" t="str">
        <f>IFERROR(VLOOKUP(B915,Sites!$A$2:$D$21,4,FALSE()),"Unknown")</f>
        <v>Reading</v>
      </c>
      <c r="U915" t="str">
        <f>IF(N915="OK","",COUNTIF($N$2:N915,"&lt;&gt;OK"))</f>
        <v/>
      </c>
      <c r="V915">
        <f>IF(OR(NOT(EXACT(E915,TRIM(Procurement_Raw!E915))),NOT(EXACT(F915,TRIM(Procurement_Raw!F915)))),1,0)</f>
        <v>0</v>
      </c>
    </row>
    <row r="916" spans="1:22" ht="15" customHeight="1" x14ac:dyDescent="0.25">
      <c r="A916" s="123">
        <f>Procurement_Raw!A916</f>
        <v>45745</v>
      </c>
      <c r="B916" t="str">
        <f>TRIM(Procurement_Raw!B916)</f>
        <v>S020</v>
      </c>
      <c r="C916" t="str">
        <f>Procurement_Raw!C916</f>
        <v>Bangor Care &amp; Education Centre</v>
      </c>
      <c r="D916" t="str">
        <f>Procurement_Raw!D916</f>
        <v>Wales</v>
      </c>
      <c r="E916" t="str">
        <f>IF(TRIM(Procurement_Raw!E916)="","",IFERROR(INDEX(Supplier_Lookup!$A$2:$A$25,MATCH(TRIM(Procurement_Raw!E916),Supplier_Lookup!$A$2:$A$25,0)),TRIM(Procurement_Raw!E916)))</f>
        <v>CareMed</v>
      </c>
      <c r="F916" t="str">
        <f>IFERROR(INDEX(Category_Targets!$A$2:$A$9,MATCH(TRIM(Procurement_Raw!F916),Category_Targets!$A$2:$A$9,0)),"Unmapped")</f>
        <v>Medical Supplies</v>
      </c>
      <c r="G916" t="str">
        <f>TRIM(Procurement_Raw!G916)</f>
        <v>INV-2025-00915</v>
      </c>
      <c r="H916" s="77">
        <f>Procurement_Raw!H916</f>
        <v>8</v>
      </c>
      <c r="I916" s="124">
        <f>Procurement_Raw!I916</f>
        <v>113.87</v>
      </c>
      <c r="J916" s="125">
        <f>IF(Procurement_Raw!J916="","",Procurement_Raw!J916)</f>
        <v>910.98</v>
      </c>
      <c r="K916" s="77">
        <f>Procurement_Raw!K916</f>
        <v>45</v>
      </c>
      <c r="L916" t="str">
        <f>Procurement_Raw!L916</f>
        <v>ERP</v>
      </c>
      <c r="M916" t="str">
        <f>Procurement_Raw!O916</f>
        <v>N</v>
      </c>
      <c r="N916" t="str">
        <f>IF(E916="","Missing supplier",IF(B916="","Missing site",IF(J916="","Missing spend",IF(COUNTIFS($G$2:G916,G916,$E$2:E916,E916,$J$2:J916,J916)&gt;1,"Duplicate invoice",IF(COUNTIF($G$2:$G$1801,G916)&gt;1,"Duplicate ID - review",IF(AND(P916&lt;&gt;"Unmapped",P916&lt;&gt;F916),"Category mismatch","OK"))))))</f>
        <v>OK</v>
      </c>
      <c r="O916" s="125">
        <f t="shared" si="42"/>
        <v>910.98</v>
      </c>
      <c r="P916" t="str">
        <f>IF(E916="","Unmapped",IFERROR(INDEX(Supplier_Lookup!$B$2:$B$25,MATCH(E916,Supplier_Lookup!$A$2:$A$25,0)),"Unmapped"))</f>
        <v>Medical Supplies</v>
      </c>
      <c r="Q916" s="76">
        <f>IFERROR(INDEX(Category_Targets!$B$2:$B$9,MATCH(F916,Category_Targets!$A$2:$A$9,0)),0)</f>
        <v>0.06</v>
      </c>
      <c r="R916" s="125">
        <f t="shared" si="43"/>
        <v>54.658799999999999</v>
      </c>
      <c r="S916" s="78">
        <f t="shared" si="44"/>
        <v>45717</v>
      </c>
      <c r="T916" t="str">
        <f>IFERROR(VLOOKUP(B916,Sites!$A$2:$D$21,4,FALSE()),"Unknown")</f>
        <v>Bangor</v>
      </c>
      <c r="U916" t="str">
        <f>IF(N916="OK","",COUNTIF($N$2:N916,"&lt;&gt;OK"))</f>
        <v/>
      </c>
      <c r="V916">
        <f>IF(OR(NOT(EXACT(E916,TRIM(Procurement_Raw!E916))),NOT(EXACT(F916,TRIM(Procurement_Raw!F916)))),1,0)</f>
        <v>0</v>
      </c>
    </row>
    <row r="917" spans="1:22" ht="15" customHeight="1" x14ac:dyDescent="0.25">
      <c r="A917" s="123">
        <f>Procurement_Raw!A917</f>
        <v>45896</v>
      </c>
      <c r="B917" t="str">
        <f>TRIM(Procurement_Raw!B917)</f>
        <v>S019</v>
      </c>
      <c r="C917" t="str">
        <f>Procurement_Raw!C917</f>
        <v>Wrexham Care &amp; Education Centre</v>
      </c>
      <c r="D917" t="str">
        <f>Procurement_Raw!D917</f>
        <v>Wales</v>
      </c>
      <c r="E917" t="str">
        <f>IF(TRIM(Procurement_Raw!E917)="","",IFERROR(INDEX(Supplier_Lookup!$A$2:$A$25,MATCH(TRIM(Procurement_Raw!E917),Supplier_Lookup!$A$2:$A$25,0)),TRIM(Procurement_Raw!E917)))</f>
        <v>CloudLink</v>
      </c>
      <c r="F917" t="str">
        <f>IFERROR(INDEX(Category_Targets!$A$2:$A$9,MATCH(TRIM(Procurement_Raw!F917),Category_Targets!$A$2:$A$9,0)),"Unmapped")</f>
        <v>IT &amp; Telecoms</v>
      </c>
      <c r="G917" t="str">
        <f>TRIM(Procurement_Raw!G917)</f>
        <v>INV-2025-00916</v>
      </c>
      <c r="H917" s="77">
        <f>Procurement_Raw!H917</f>
        <v>2</v>
      </c>
      <c r="I917" s="124">
        <f>Procurement_Raw!I917</f>
        <v>256.49</v>
      </c>
      <c r="J917" s="125">
        <f>IF(Procurement_Raw!J917="","",Procurement_Raw!J917)</f>
        <v>512.98</v>
      </c>
      <c r="K917" s="77">
        <f>Procurement_Raw!K917</f>
        <v>30</v>
      </c>
      <c r="L917" t="str">
        <f>Procurement_Raw!L917</f>
        <v>Procurement Portal</v>
      </c>
      <c r="M917" t="str">
        <f>Procurement_Raw!O917</f>
        <v>Y</v>
      </c>
      <c r="N917" t="str">
        <f>IF(E917="","Missing supplier",IF(B917="","Missing site",IF(J917="","Missing spend",IF(COUNTIFS($G$2:G917,G917,$E$2:E917,E917,$J$2:J917,J917)&gt;1,"Duplicate invoice",IF(COUNTIF($G$2:$G$1801,G917)&gt;1,"Duplicate ID - review",IF(AND(P917&lt;&gt;"Unmapped",P917&lt;&gt;F917),"Category mismatch","OK"))))))</f>
        <v>OK</v>
      </c>
      <c r="O917" s="125">
        <f t="shared" si="42"/>
        <v>512.98</v>
      </c>
      <c r="P917" t="str">
        <f>IF(E917="","Unmapped",IFERROR(INDEX(Supplier_Lookup!$B$2:$B$25,MATCH(E917,Supplier_Lookup!$A$2:$A$25,0)),"Unmapped"))</f>
        <v>IT &amp; Telecoms</v>
      </c>
      <c r="Q917" s="76">
        <f>IFERROR(INDEX(Category_Targets!$B$2:$B$9,MATCH(F917,Category_Targets!$A$2:$A$9,0)),0)</f>
        <v>0.08</v>
      </c>
      <c r="R917" s="125">
        <f t="shared" si="43"/>
        <v>41.038400000000003</v>
      </c>
      <c r="S917" s="78">
        <f t="shared" si="44"/>
        <v>45870</v>
      </c>
      <c r="T917" t="str">
        <f>IFERROR(VLOOKUP(B917,Sites!$A$2:$D$21,4,FALSE()),"Unknown")</f>
        <v>Wrexham</v>
      </c>
      <c r="U917" t="str">
        <f>IF(N917="OK","",COUNTIF($N$2:N917,"&lt;&gt;OK"))</f>
        <v/>
      </c>
      <c r="V917">
        <f>IF(OR(NOT(EXACT(E917,TRIM(Procurement_Raw!E917))),NOT(EXACT(F917,TRIM(Procurement_Raw!F917)))),1,0)</f>
        <v>0</v>
      </c>
    </row>
    <row r="918" spans="1:22" ht="15" customHeight="1" x14ac:dyDescent="0.25">
      <c r="A918" s="123">
        <f>Procurement_Raw!A918</f>
        <v>45995</v>
      </c>
      <c r="B918" t="str">
        <f>TRIM(Procurement_Raw!B918)</f>
        <v>S017</v>
      </c>
      <c r="C918" t="str">
        <f>Procurement_Raw!C918</f>
        <v>Swansea Care &amp; Education Centre</v>
      </c>
      <c r="D918" t="str">
        <f>Procurement_Raw!D918</f>
        <v>Wales</v>
      </c>
      <c r="E918" t="str">
        <f>IF(TRIM(Procurement_Raw!E918)="","",IFERROR(INDEX(Supplier_Lookup!$A$2:$A$25,MATCH(TRIM(Procurement_Raw!E918),Supplier_Lookup!$A$2:$A$25,0)),TRIM(Procurement_Raw!E918)))</f>
        <v>NetServe</v>
      </c>
      <c r="F918" t="str">
        <f>IFERROR(INDEX(Category_Targets!$A$2:$A$9,MATCH(TRIM(Procurement_Raw!F918),Category_Targets!$A$2:$A$9,0)),"Unmapped")</f>
        <v>IT &amp; Telecoms</v>
      </c>
      <c r="G918" t="str">
        <f>TRIM(Procurement_Raw!G918)</f>
        <v>INV-2025-00917</v>
      </c>
      <c r="H918" s="77">
        <f>Procurement_Raw!H918</f>
        <v>47</v>
      </c>
      <c r="I918" s="124">
        <f>Procurement_Raw!I918</f>
        <v>307.33999999999997</v>
      </c>
      <c r="J918" s="125">
        <f>IF(Procurement_Raw!J918="","",Procurement_Raw!J918)</f>
        <v>14445.21</v>
      </c>
      <c r="K918" s="77">
        <f>Procurement_Raw!K918</f>
        <v>30</v>
      </c>
      <c r="L918" t="str">
        <f>Procurement_Raw!L918</f>
        <v>ERP</v>
      </c>
      <c r="M918" t="str">
        <f>Procurement_Raw!O918</f>
        <v>N</v>
      </c>
      <c r="N918" t="str">
        <f>IF(E918="","Missing supplier",IF(B918="","Missing site",IF(J918="","Missing spend",IF(COUNTIFS($G$2:G918,G918,$E$2:E918,E918,$J$2:J918,J918)&gt;1,"Duplicate invoice",IF(COUNTIF($G$2:$G$1801,G918)&gt;1,"Duplicate ID - review",IF(AND(P918&lt;&gt;"Unmapped",P918&lt;&gt;F918),"Category mismatch","OK"))))))</f>
        <v>OK</v>
      </c>
      <c r="O918" s="125">
        <f t="shared" si="42"/>
        <v>14445.21</v>
      </c>
      <c r="P918" t="str">
        <f>IF(E918="","Unmapped",IFERROR(INDEX(Supplier_Lookup!$B$2:$B$25,MATCH(E918,Supplier_Lookup!$A$2:$A$25,0)),"Unmapped"))</f>
        <v>IT &amp; Telecoms</v>
      </c>
      <c r="Q918" s="76">
        <f>IFERROR(INDEX(Category_Targets!$B$2:$B$9,MATCH(F918,Category_Targets!$A$2:$A$9,0)),0)</f>
        <v>0.08</v>
      </c>
      <c r="R918" s="125">
        <f t="shared" si="43"/>
        <v>1155.6168</v>
      </c>
      <c r="S918" s="78">
        <f t="shared" si="44"/>
        <v>45992</v>
      </c>
      <c r="T918" t="str">
        <f>IFERROR(VLOOKUP(B918,Sites!$A$2:$D$21,4,FALSE()),"Unknown")</f>
        <v>Swansea</v>
      </c>
      <c r="U918" t="str">
        <f>IF(N918="OK","",COUNTIF($N$2:N918,"&lt;&gt;OK"))</f>
        <v/>
      </c>
      <c r="V918">
        <f>IF(OR(NOT(EXACT(E918,TRIM(Procurement_Raw!E918))),NOT(EXACT(F918,TRIM(Procurement_Raw!F918)))),1,0)</f>
        <v>0</v>
      </c>
    </row>
    <row r="919" spans="1:22" ht="15" customHeight="1" x14ac:dyDescent="0.25">
      <c r="A919" s="123">
        <f>Procurement_Raw!A919</f>
        <v>45852</v>
      </c>
      <c r="B919" t="str">
        <f>TRIM(Procurement_Raw!B919)</f>
        <v>S004</v>
      </c>
      <c r="C919" t="str">
        <f>Procurement_Raw!C919</f>
        <v>Newcastle Care &amp; Education Centre</v>
      </c>
      <c r="D919" t="str">
        <f>Procurement_Raw!D919</f>
        <v>North</v>
      </c>
      <c r="E919" t="str">
        <f>IF(TRIM(Procurement_Raw!E919)="","",IFERROR(INDEX(Supplier_Lookup!$A$2:$A$25,MATCH(TRIM(Procurement_Raw!E919),Supplier_Lookup!$A$2:$A$25,0)),TRIM(Procurement_Raw!E919)))</f>
        <v>HealthStaffing</v>
      </c>
      <c r="F919" t="str">
        <f>IFERROR(INDEX(Category_Targets!$A$2:$A$9,MATCH(TRIM(Procurement_Raw!F919),Category_Targets!$A$2:$A$9,0)),"Unmapped")</f>
        <v>Agency Labour</v>
      </c>
      <c r="G919" t="str">
        <f>TRIM(Procurement_Raw!G919)</f>
        <v>INV-2025-00918</v>
      </c>
      <c r="H919" s="77">
        <f>Procurement_Raw!H919</f>
        <v>66</v>
      </c>
      <c r="I919" s="124">
        <f>Procurement_Raw!I919</f>
        <v>332.43</v>
      </c>
      <c r="J919" s="125">
        <f>IF(Procurement_Raw!J919="","",Procurement_Raw!J919)</f>
        <v>21940.12</v>
      </c>
      <c r="K919" s="77">
        <f>Procurement_Raw!K919</f>
        <v>60</v>
      </c>
      <c r="L919" t="str">
        <f>Procurement_Raw!L919</f>
        <v>ERP</v>
      </c>
      <c r="M919" t="str">
        <f>Procurement_Raw!O919</f>
        <v>N</v>
      </c>
      <c r="N919" t="str">
        <f>IF(E919="","Missing supplier",IF(B919="","Missing site",IF(J919="","Missing spend",IF(COUNTIFS($G$2:G919,G919,$E$2:E919,E919,$J$2:J919,J919)&gt;1,"Duplicate invoice",IF(COUNTIF($G$2:$G$1801,G919)&gt;1,"Duplicate ID - review",IF(AND(P919&lt;&gt;"Unmapped",P919&lt;&gt;F919),"Category mismatch","OK"))))))</f>
        <v>OK</v>
      </c>
      <c r="O919" s="125">
        <f t="shared" si="42"/>
        <v>21940.12</v>
      </c>
      <c r="P919" t="str">
        <f>IF(E919="","Unmapped",IFERROR(INDEX(Supplier_Lookup!$B$2:$B$25,MATCH(E919,Supplier_Lookup!$A$2:$A$25,0)),"Unmapped"))</f>
        <v>Agency Labour</v>
      </c>
      <c r="Q919" s="76">
        <f>IFERROR(INDEX(Category_Targets!$B$2:$B$9,MATCH(F919,Category_Targets!$A$2:$A$9,0)),0)</f>
        <v>7.0000000000000007E-2</v>
      </c>
      <c r="R919" s="125">
        <f t="shared" si="43"/>
        <v>1535.8084000000001</v>
      </c>
      <c r="S919" s="78">
        <f t="shared" si="44"/>
        <v>45839</v>
      </c>
      <c r="T919" t="str">
        <f>IFERROR(VLOOKUP(B919,Sites!$A$2:$D$21,4,FALSE()),"Unknown")</f>
        <v>Newcastle</v>
      </c>
      <c r="U919" t="str">
        <f>IF(N919="OK","",COUNTIF($N$2:N919,"&lt;&gt;OK"))</f>
        <v/>
      </c>
      <c r="V919">
        <f>IF(OR(NOT(EXACT(E919,TRIM(Procurement_Raw!E919))),NOT(EXACT(F919,TRIM(Procurement_Raw!F919)))),1,0)</f>
        <v>0</v>
      </c>
    </row>
    <row r="920" spans="1:22" ht="15" customHeight="1" x14ac:dyDescent="0.25">
      <c r="A920" s="123">
        <f>Procurement_Raw!A920</f>
        <v>45930</v>
      </c>
      <c r="B920" t="str">
        <f>TRIM(Procurement_Raw!B920)</f>
        <v>S007</v>
      </c>
      <c r="C920" t="str">
        <f>Procurement_Raw!C920</f>
        <v>Nottingham Care &amp; Education Centre</v>
      </c>
      <c r="D920" t="str">
        <f>Procurement_Raw!D920</f>
        <v>Midlands</v>
      </c>
      <c r="E920" t="str">
        <f>IF(TRIM(Procurement_Raw!E920)="","",IFERROR(INDEX(Supplier_Lookup!$A$2:$A$25,MATCH(TRIM(Procurement_Raw!E920),Supplier_Lookup!$A$2:$A$25,0)),TRIM(Procurement_Raw!E920)))</f>
        <v>PrintCo</v>
      </c>
      <c r="F920" t="str">
        <f>IFERROR(INDEX(Category_Targets!$A$2:$A$9,MATCH(TRIM(Procurement_Raw!F920),Category_Targets!$A$2:$A$9,0)),"Unmapped")</f>
        <v>Office &amp; Training</v>
      </c>
      <c r="G920" t="str">
        <f>TRIM(Procurement_Raw!G920)</f>
        <v>INV-2025-00919</v>
      </c>
      <c r="H920" s="77">
        <f>Procurement_Raw!H920</f>
        <v>12</v>
      </c>
      <c r="I920" s="124">
        <f>Procurement_Raw!I920</f>
        <v>58.67</v>
      </c>
      <c r="J920" s="125">
        <f>IF(Procurement_Raw!J920="","",Procurement_Raw!J920)</f>
        <v>704.05</v>
      </c>
      <c r="K920" s="77">
        <f>Procurement_Raw!K920</f>
        <v>30</v>
      </c>
      <c r="L920" t="str">
        <f>Procurement_Raw!L920</f>
        <v>ERP</v>
      </c>
      <c r="M920" t="str">
        <f>Procurement_Raw!O920</f>
        <v>N</v>
      </c>
      <c r="N920" t="str">
        <f>IF(E920="","Missing supplier",IF(B920="","Missing site",IF(J920="","Missing spend",IF(COUNTIFS($G$2:G920,G920,$E$2:E920,E920,$J$2:J920,J920)&gt;1,"Duplicate invoice",IF(COUNTIF($G$2:$G$1801,G920)&gt;1,"Duplicate ID - review",IF(AND(P920&lt;&gt;"Unmapped",P920&lt;&gt;F920),"Category mismatch","OK"))))))</f>
        <v>OK</v>
      </c>
      <c r="O920" s="125">
        <f t="shared" si="42"/>
        <v>704.05</v>
      </c>
      <c r="P920" t="str">
        <f>IF(E920="","Unmapped",IFERROR(INDEX(Supplier_Lookup!$B$2:$B$25,MATCH(E920,Supplier_Lookup!$A$2:$A$25,0)),"Unmapped"))</f>
        <v>Office &amp; Training</v>
      </c>
      <c r="Q920" s="76">
        <f>IFERROR(INDEX(Category_Targets!$B$2:$B$9,MATCH(F920,Category_Targets!$A$2:$A$9,0)),0)</f>
        <v>0.04</v>
      </c>
      <c r="R920" s="125">
        <f t="shared" si="43"/>
        <v>28.161999999999999</v>
      </c>
      <c r="S920" s="78">
        <f t="shared" si="44"/>
        <v>45901</v>
      </c>
      <c r="T920" t="str">
        <f>IFERROR(VLOOKUP(B920,Sites!$A$2:$D$21,4,FALSE()),"Unknown")</f>
        <v>Nottingham</v>
      </c>
      <c r="U920" t="str">
        <f>IF(N920="OK","",COUNTIF($N$2:N920,"&lt;&gt;OK"))</f>
        <v/>
      </c>
      <c r="V920">
        <f>IF(OR(NOT(EXACT(E920,TRIM(Procurement_Raw!E920))),NOT(EXACT(F920,TRIM(Procurement_Raw!F920)))),1,0)</f>
        <v>0</v>
      </c>
    </row>
    <row r="921" spans="1:22" ht="15" customHeight="1" x14ac:dyDescent="0.25">
      <c r="A921" s="123">
        <f>Procurement_Raw!A921</f>
        <v>46022</v>
      </c>
      <c r="B921" t="str">
        <f>TRIM(Procurement_Raw!B921)</f>
        <v>S008</v>
      </c>
      <c r="C921" t="str">
        <f>Procurement_Raw!C921</f>
        <v>Leicester Care &amp; Education Centre</v>
      </c>
      <c r="D921" t="str">
        <f>Procurement_Raw!D921</f>
        <v>Midlands</v>
      </c>
      <c r="E921" t="str">
        <f>IF(TRIM(Procurement_Raw!E921)="","",IFERROR(INDEX(Supplier_Lookup!$A$2:$A$25,MATCH(TRIM(Procurement_Raw!E921),Supplier_Lookup!$A$2:$A$25,0)),TRIM(Procurement_Raw!E921)))</f>
        <v>PrintCo</v>
      </c>
      <c r="F921" t="str">
        <f>IFERROR(INDEX(Category_Targets!$A$2:$A$9,MATCH(TRIM(Procurement_Raw!F921),Category_Targets!$A$2:$A$9,0)),"Unmapped")</f>
        <v>Office &amp; Training</v>
      </c>
      <c r="G921" t="str">
        <f>TRIM(Procurement_Raw!G921)</f>
        <v>INV-2025-00920</v>
      </c>
      <c r="H921" s="77">
        <f>Procurement_Raw!H921</f>
        <v>3</v>
      </c>
      <c r="I921" s="124">
        <f>Procurement_Raw!I921</f>
        <v>83.45</v>
      </c>
      <c r="J921" s="125">
        <f>IF(Procurement_Raw!J921="","",Procurement_Raw!J921)</f>
        <v>250.35</v>
      </c>
      <c r="K921" s="77">
        <f>Procurement_Raw!K921</f>
        <v>30</v>
      </c>
      <c r="L921" t="str">
        <f>Procurement_Raw!L921</f>
        <v>ERP</v>
      </c>
      <c r="M921" t="str">
        <f>Procurement_Raw!O921</f>
        <v>N</v>
      </c>
      <c r="N921" t="str">
        <f>IF(E921="","Missing supplier",IF(B921="","Missing site",IF(J921="","Missing spend",IF(COUNTIFS($G$2:G921,G921,$E$2:E921,E921,$J$2:J921,J921)&gt;1,"Duplicate invoice",IF(COUNTIF($G$2:$G$1801,G921)&gt;1,"Duplicate ID - review",IF(AND(P921&lt;&gt;"Unmapped",P921&lt;&gt;F921),"Category mismatch","OK"))))))</f>
        <v>OK</v>
      </c>
      <c r="O921" s="125">
        <f t="shared" si="42"/>
        <v>250.35</v>
      </c>
      <c r="P921" t="str">
        <f>IF(E921="","Unmapped",IFERROR(INDEX(Supplier_Lookup!$B$2:$B$25,MATCH(E921,Supplier_Lookup!$A$2:$A$25,0)),"Unmapped"))</f>
        <v>Office &amp; Training</v>
      </c>
      <c r="Q921" s="76">
        <f>IFERROR(INDEX(Category_Targets!$B$2:$B$9,MATCH(F921,Category_Targets!$A$2:$A$9,0)),0)</f>
        <v>0.04</v>
      </c>
      <c r="R921" s="125">
        <f t="shared" si="43"/>
        <v>10.013999999999999</v>
      </c>
      <c r="S921" s="78">
        <f t="shared" si="44"/>
        <v>45992</v>
      </c>
      <c r="T921" t="str">
        <f>IFERROR(VLOOKUP(B921,Sites!$A$2:$D$21,4,FALSE()),"Unknown")</f>
        <v>Leicester</v>
      </c>
      <c r="U921" t="str">
        <f>IF(N921="OK","",COUNTIF($N$2:N921,"&lt;&gt;OK"))</f>
        <v/>
      </c>
      <c r="V921">
        <f>IF(OR(NOT(EXACT(E921,TRIM(Procurement_Raw!E921))),NOT(EXACT(F921,TRIM(Procurement_Raw!F921)))),1,0)</f>
        <v>0</v>
      </c>
    </row>
    <row r="922" spans="1:22" ht="15" customHeight="1" x14ac:dyDescent="0.25">
      <c r="A922" s="123">
        <f>Procurement_Raw!A922</f>
        <v>45908</v>
      </c>
      <c r="B922" t="str">
        <f>TRIM(Procurement_Raw!B922)</f>
        <v>S006</v>
      </c>
      <c r="C922" t="str">
        <f>Procurement_Raw!C922</f>
        <v>Birmingham Care &amp; Education Centre</v>
      </c>
      <c r="D922" t="str">
        <f>Procurement_Raw!D922</f>
        <v>Midlands</v>
      </c>
      <c r="E922" t="str">
        <f>IF(TRIM(Procurement_Raw!E922)="","",IFERROR(INDEX(Supplier_Lookup!$A$2:$A$25,MATCH(TRIM(Procurement_Raw!E922),Supplier_Lookup!$A$2:$A$25,0)),TRIM(Procurement_Raw!E922)))</f>
        <v>TeleCare IT</v>
      </c>
      <c r="F922" t="str">
        <f>IFERROR(INDEX(Category_Targets!$A$2:$A$9,MATCH(TRIM(Procurement_Raw!F922),Category_Targets!$A$2:$A$9,0)),"Unmapped")</f>
        <v>IT &amp; Telecoms</v>
      </c>
      <c r="G922" t="str">
        <f>TRIM(Procurement_Raw!G922)</f>
        <v>INV-2025-00921</v>
      </c>
      <c r="H922" s="77">
        <f>Procurement_Raw!H922</f>
        <v>51</v>
      </c>
      <c r="I922" s="124">
        <f>Procurement_Raw!I922</f>
        <v>397.07</v>
      </c>
      <c r="J922" s="125">
        <f>IF(Procurement_Raw!J922="","",Procurement_Raw!J922)</f>
        <v>20250.82</v>
      </c>
      <c r="K922" s="77">
        <f>Procurement_Raw!K922</f>
        <v>60</v>
      </c>
      <c r="L922" t="str">
        <f>Procurement_Raw!L922</f>
        <v>ERP</v>
      </c>
      <c r="M922" t="str">
        <f>Procurement_Raw!O922</f>
        <v>N</v>
      </c>
      <c r="N922" t="str">
        <f>IF(E922="","Missing supplier",IF(B922="","Missing site",IF(J922="","Missing spend",IF(COUNTIFS($G$2:G922,G922,$E$2:E922,E922,$J$2:J922,J922)&gt;1,"Duplicate invoice",IF(COUNTIF($G$2:$G$1801,G922)&gt;1,"Duplicate ID - review",IF(AND(P922&lt;&gt;"Unmapped",P922&lt;&gt;F922),"Category mismatch","OK"))))))</f>
        <v>OK</v>
      </c>
      <c r="O922" s="125">
        <f t="shared" si="42"/>
        <v>20250.82</v>
      </c>
      <c r="P922" t="str">
        <f>IF(E922="","Unmapped",IFERROR(INDEX(Supplier_Lookup!$B$2:$B$25,MATCH(E922,Supplier_Lookup!$A$2:$A$25,0)),"Unmapped"))</f>
        <v>IT &amp; Telecoms</v>
      </c>
      <c r="Q922" s="76">
        <f>IFERROR(INDEX(Category_Targets!$B$2:$B$9,MATCH(F922,Category_Targets!$A$2:$A$9,0)),0)</f>
        <v>0.08</v>
      </c>
      <c r="R922" s="125">
        <f t="shared" si="43"/>
        <v>1620.0655999999999</v>
      </c>
      <c r="S922" s="78">
        <f t="shared" si="44"/>
        <v>45901</v>
      </c>
      <c r="T922" t="str">
        <f>IFERROR(VLOOKUP(B922,Sites!$A$2:$D$21,4,FALSE()),"Unknown")</f>
        <v>Birmingham</v>
      </c>
      <c r="U922" t="str">
        <f>IF(N922="OK","",COUNTIF($N$2:N922,"&lt;&gt;OK"))</f>
        <v/>
      </c>
      <c r="V922">
        <f>IF(OR(NOT(EXACT(E922,TRIM(Procurement_Raw!E922))),NOT(EXACT(F922,TRIM(Procurement_Raw!F922)))),1,0)</f>
        <v>0</v>
      </c>
    </row>
    <row r="923" spans="1:22" ht="15" customHeight="1" x14ac:dyDescent="0.25">
      <c r="A923" s="123">
        <f>Procurement_Raw!A923</f>
        <v>45838</v>
      </c>
      <c r="B923" t="str">
        <f>TRIM(Procurement_Raw!B923)</f>
        <v>S001</v>
      </c>
      <c r="C923" t="str">
        <f>Procurement_Raw!C923</f>
        <v>Preston Care &amp; Education Centre</v>
      </c>
      <c r="D923" t="str">
        <f>Procurement_Raw!D923</f>
        <v>North</v>
      </c>
      <c r="E923" t="str">
        <f>IF(TRIM(Procurement_Raw!E923)="","",IFERROR(INDEX(Supplier_Lookup!$A$2:$A$25,MATCH(TRIM(Procurement_Raw!E923),Supplier_Lookup!$A$2:$A$25,0)),TRIM(Procurement_Raw!E923)))</f>
        <v>AutoCare</v>
      </c>
      <c r="F923" t="str">
        <f>IFERROR(INDEX(Category_Targets!$A$2:$A$9,MATCH(TRIM(Procurement_Raw!F923),Category_Targets!$A$2:$A$9,0)),"Unmapped")</f>
        <v>Vehicle &amp; Fuel</v>
      </c>
      <c r="G923" t="str">
        <f>TRIM(Procurement_Raw!G923)</f>
        <v>INV-2025-00922</v>
      </c>
      <c r="H923" s="77">
        <f>Procurement_Raw!H923</f>
        <v>46</v>
      </c>
      <c r="I923" s="124">
        <f>Procurement_Raw!I923</f>
        <v>54.02</v>
      </c>
      <c r="J923" s="125">
        <f>IF(Procurement_Raw!J923="","",Procurement_Raw!J923)</f>
        <v>2484.77</v>
      </c>
      <c r="K923" s="77">
        <f>Procurement_Raw!K923</f>
        <v>60</v>
      </c>
      <c r="L923" t="str">
        <f>Procurement_Raw!L923</f>
        <v>Procurement Portal</v>
      </c>
      <c r="M923" t="str">
        <f>Procurement_Raw!O923</f>
        <v>N</v>
      </c>
      <c r="N923" t="str">
        <f>IF(E923="","Missing supplier",IF(B923="","Missing site",IF(J923="","Missing spend",IF(COUNTIFS($G$2:G923,G923,$E$2:E923,E923,$J$2:J923,J923)&gt;1,"Duplicate invoice",IF(COUNTIF($G$2:$G$1801,G923)&gt;1,"Duplicate ID - review",IF(AND(P923&lt;&gt;"Unmapped",P923&lt;&gt;F923),"Category mismatch","OK"))))))</f>
        <v>OK</v>
      </c>
      <c r="O923" s="125">
        <f t="shared" si="42"/>
        <v>2484.77</v>
      </c>
      <c r="P923" t="str">
        <f>IF(E923="","Unmapped",IFERROR(INDEX(Supplier_Lookup!$B$2:$B$25,MATCH(E923,Supplier_Lookup!$A$2:$A$25,0)),"Unmapped"))</f>
        <v>Vehicle &amp; Fuel</v>
      </c>
      <c r="Q923" s="76">
        <f>IFERROR(INDEX(Category_Targets!$B$2:$B$9,MATCH(F923,Category_Targets!$A$2:$A$9,0)),0)</f>
        <v>0.05</v>
      </c>
      <c r="R923" s="125">
        <f t="shared" si="43"/>
        <v>124.2385</v>
      </c>
      <c r="S923" s="78">
        <f t="shared" si="44"/>
        <v>45809</v>
      </c>
      <c r="T923" t="str">
        <f>IFERROR(VLOOKUP(B923,Sites!$A$2:$D$21,4,FALSE()),"Unknown")</f>
        <v>Preston</v>
      </c>
      <c r="U923" t="str">
        <f>IF(N923="OK","",COUNTIF($N$2:N923,"&lt;&gt;OK"))</f>
        <v/>
      </c>
      <c r="V923">
        <f>IF(OR(NOT(EXACT(E923,TRIM(Procurement_Raw!E923))),NOT(EXACT(F923,TRIM(Procurement_Raw!F923)))),1,0)</f>
        <v>0</v>
      </c>
    </row>
    <row r="924" spans="1:22" ht="15" customHeight="1" x14ac:dyDescent="0.25">
      <c r="A924" s="123">
        <f>Procurement_Raw!A924</f>
        <v>45978</v>
      </c>
      <c r="B924" t="str">
        <f>TRIM(Procurement_Raw!B924)</f>
        <v>S011</v>
      </c>
      <c r="C924" t="str">
        <f>Procurement_Raw!C924</f>
        <v>London Care &amp; Education Centre</v>
      </c>
      <c r="D924" t="str">
        <f>Procurement_Raw!D924</f>
        <v>South</v>
      </c>
      <c r="E924" t="str">
        <f>IF(TRIM(Procurement_Raw!E924)="","",IFERROR(INDEX(Supplier_Lookup!$A$2:$A$25,MATCH(TRIM(Procurement_Raw!E924),Supplier_Lookup!$A$2:$A$25,0)),TRIM(Procurement_Raw!E924)))</f>
        <v>CloudLink</v>
      </c>
      <c r="F924" t="str">
        <f>IFERROR(INDEX(Category_Targets!$A$2:$A$9,MATCH(TRIM(Procurement_Raw!F924),Category_Targets!$A$2:$A$9,0)),"Unmapped")</f>
        <v>IT &amp; Telecoms</v>
      </c>
      <c r="G924" t="str">
        <f>TRIM(Procurement_Raw!G924)</f>
        <v>INV-2025-00923</v>
      </c>
      <c r="H924" s="77">
        <f>Procurement_Raw!H924</f>
        <v>33</v>
      </c>
      <c r="I924" s="124">
        <f>Procurement_Raw!I924</f>
        <v>236.69</v>
      </c>
      <c r="J924" s="125">
        <f>IF(Procurement_Raw!J924="","",Procurement_Raw!J924)</f>
        <v>7810.84</v>
      </c>
      <c r="K924" s="77">
        <f>Procurement_Raw!K924</f>
        <v>45</v>
      </c>
      <c r="L924" t="str">
        <f>Procurement_Raw!L924</f>
        <v>ERP</v>
      </c>
      <c r="M924" t="str">
        <f>Procurement_Raw!O924</f>
        <v>Y</v>
      </c>
      <c r="N924" t="str">
        <f>IF(E924="","Missing supplier",IF(B924="","Missing site",IF(J924="","Missing spend",IF(COUNTIFS($G$2:G924,G924,$E$2:E924,E924,$J$2:J924,J924)&gt;1,"Duplicate invoice",IF(COUNTIF($G$2:$G$1801,G924)&gt;1,"Duplicate ID - review",IF(AND(P924&lt;&gt;"Unmapped",P924&lt;&gt;F924),"Category mismatch","OK"))))))</f>
        <v>OK</v>
      </c>
      <c r="O924" s="125">
        <f t="shared" si="42"/>
        <v>7810.84</v>
      </c>
      <c r="P924" t="str">
        <f>IF(E924="","Unmapped",IFERROR(INDEX(Supplier_Lookup!$B$2:$B$25,MATCH(E924,Supplier_Lookup!$A$2:$A$25,0)),"Unmapped"))</f>
        <v>IT &amp; Telecoms</v>
      </c>
      <c r="Q924" s="76">
        <f>IFERROR(INDEX(Category_Targets!$B$2:$B$9,MATCH(F924,Category_Targets!$A$2:$A$9,0)),0)</f>
        <v>0.08</v>
      </c>
      <c r="R924" s="125">
        <f t="shared" si="43"/>
        <v>624.86720000000003</v>
      </c>
      <c r="S924" s="78">
        <f t="shared" si="44"/>
        <v>45962</v>
      </c>
      <c r="T924" t="str">
        <f>IFERROR(VLOOKUP(B924,Sites!$A$2:$D$21,4,FALSE()),"Unknown")</f>
        <v>London</v>
      </c>
      <c r="U924" t="str">
        <f>IF(N924="OK","",COUNTIF($N$2:N924,"&lt;&gt;OK"))</f>
        <v/>
      </c>
      <c r="V924">
        <f>IF(OR(NOT(EXACT(E924,TRIM(Procurement_Raw!E924))),NOT(EXACT(F924,TRIM(Procurement_Raw!F924)))),1,0)</f>
        <v>0</v>
      </c>
    </row>
    <row r="925" spans="1:22" ht="15" customHeight="1" x14ac:dyDescent="0.25">
      <c r="A925" s="123">
        <f>Procurement_Raw!A925</f>
        <v>45735</v>
      </c>
      <c r="B925" t="str">
        <f>TRIM(Procurement_Raw!B925)</f>
        <v>S012</v>
      </c>
      <c r="C925" t="str">
        <f>Procurement_Raw!C925</f>
        <v>Bristol Care &amp; Education Centre</v>
      </c>
      <c r="D925" t="str">
        <f>Procurement_Raw!D925</f>
        <v>South</v>
      </c>
      <c r="E925" t="str">
        <f>IF(TRIM(Procurement_Raw!E925)="","",IFERROR(INDEX(Supplier_Lookup!$A$2:$A$25,MATCH(TRIM(Procurement_Raw!E925),Supplier_Lookup!$A$2:$A$25,0)),TRIM(Procurement_Raw!E925)))</f>
        <v>CloudLink</v>
      </c>
      <c r="F925" t="str">
        <f>IFERROR(INDEX(Category_Targets!$A$2:$A$9,MATCH(TRIM(Procurement_Raw!F925),Category_Targets!$A$2:$A$9,0)),"Unmapped")</f>
        <v>IT &amp; Telecoms</v>
      </c>
      <c r="G925" t="str">
        <f>TRIM(Procurement_Raw!G925)</f>
        <v>INV-2025-00924</v>
      </c>
      <c r="H925" s="77">
        <f>Procurement_Raw!H925</f>
        <v>44</v>
      </c>
      <c r="I925" s="124">
        <f>Procurement_Raw!I925</f>
        <v>149.69</v>
      </c>
      <c r="J925" s="125">
        <f>IF(Procurement_Raw!J925="","",Procurement_Raw!J925)</f>
        <v>6586.32</v>
      </c>
      <c r="K925" s="77">
        <f>Procurement_Raw!K925</f>
        <v>45</v>
      </c>
      <c r="L925" t="str">
        <f>Procurement_Raw!L925</f>
        <v>Legacy Spend File</v>
      </c>
      <c r="M925" t="str">
        <f>Procurement_Raw!O925</f>
        <v>Y</v>
      </c>
      <c r="N925" t="str">
        <f>IF(E925="","Missing supplier",IF(B925="","Missing site",IF(J925="","Missing spend",IF(COUNTIFS($G$2:G925,G925,$E$2:E925,E925,$J$2:J925,J925)&gt;1,"Duplicate invoice",IF(COUNTIF($G$2:$G$1801,G925)&gt;1,"Duplicate ID - review",IF(AND(P925&lt;&gt;"Unmapped",P925&lt;&gt;F925),"Category mismatch","OK"))))))</f>
        <v>OK</v>
      </c>
      <c r="O925" s="125">
        <f t="shared" si="42"/>
        <v>6586.32</v>
      </c>
      <c r="P925" t="str">
        <f>IF(E925="","Unmapped",IFERROR(INDEX(Supplier_Lookup!$B$2:$B$25,MATCH(E925,Supplier_Lookup!$A$2:$A$25,0)),"Unmapped"))</f>
        <v>IT &amp; Telecoms</v>
      </c>
      <c r="Q925" s="76">
        <f>IFERROR(INDEX(Category_Targets!$B$2:$B$9,MATCH(F925,Category_Targets!$A$2:$A$9,0)),0)</f>
        <v>0.08</v>
      </c>
      <c r="R925" s="125">
        <f t="shared" si="43"/>
        <v>526.90559999999994</v>
      </c>
      <c r="S925" s="78">
        <f t="shared" si="44"/>
        <v>45717</v>
      </c>
      <c r="T925" t="str">
        <f>IFERROR(VLOOKUP(B925,Sites!$A$2:$D$21,4,FALSE()),"Unknown")</f>
        <v>Bristol</v>
      </c>
      <c r="U925" t="str">
        <f>IF(N925="OK","",COUNTIF($N$2:N925,"&lt;&gt;OK"))</f>
        <v/>
      </c>
      <c r="V925">
        <f>IF(OR(NOT(EXACT(E925,TRIM(Procurement_Raw!E925))),NOT(EXACT(F925,TRIM(Procurement_Raw!F925)))),1,0)</f>
        <v>0</v>
      </c>
    </row>
    <row r="926" spans="1:22" ht="15" customHeight="1" x14ac:dyDescent="0.25">
      <c r="A926" s="123">
        <f>Procurement_Raw!A926</f>
        <v>45853</v>
      </c>
      <c r="B926" t="str">
        <f>TRIM(Procurement_Raw!B926)</f>
        <v>S009</v>
      </c>
      <c r="C926" t="str">
        <f>Procurement_Raw!C926</f>
        <v>Derby Care &amp; Education Centre</v>
      </c>
      <c r="D926" t="str">
        <f>Procurement_Raw!D926</f>
        <v>Midlands</v>
      </c>
      <c r="E926" t="str">
        <f>IF(TRIM(Procurement_Raw!E926)="","",IFERROR(INDEX(Supplier_Lookup!$A$2:$A$25,MATCH(TRIM(Procurement_Raw!E926),Supplier_Lookup!$A$2:$A$25,0)),TRIM(Procurement_Raw!E926)))</f>
        <v>KitchenPro</v>
      </c>
      <c r="F926" t="str">
        <f>IFERROR(INDEX(Category_Targets!$A$2:$A$9,MATCH(TRIM(Procurement_Raw!F926),Category_Targets!$A$2:$A$9,0)),"Unmapped")</f>
        <v>Food &amp; Catering</v>
      </c>
      <c r="G926" t="str">
        <f>TRIM(Procurement_Raw!G926)</f>
        <v>INV-2025-00925</v>
      </c>
      <c r="H926" s="77">
        <f>Procurement_Raw!H926</f>
        <v>67</v>
      </c>
      <c r="I926" s="124">
        <f>Procurement_Raw!I926</f>
        <v>125.42</v>
      </c>
      <c r="J926" s="125">
        <f>IF(Procurement_Raw!J926="","",Procurement_Raw!J926)</f>
        <v>8403.1</v>
      </c>
      <c r="K926" s="77">
        <f>Procurement_Raw!K926</f>
        <v>60</v>
      </c>
      <c r="L926" t="str">
        <f>Procurement_Raw!L926</f>
        <v>Legacy Spend File</v>
      </c>
      <c r="M926" t="str">
        <f>Procurement_Raw!O926</f>
        <v>N</v>
      </c>
      <c r="N926" t="str">
        <f>IF(E926="","Missing supplier",IF(B926="","Missing site",IF(J926="","Missing spend",IF(COUNTIFS($G$2:G926,G926,$E$2:E926,E926,$J$2:J926,J926)&gt;1,"Duplicate invoice",IF(COUNTIF($G$2:$G$1801,G926)&gt;1,"Duplicate ID - review",IF(AND(P926&lt;&gt;"Unmapped",P926&lt;&gt;F926),"Category mismatch","OK"))))))</f>
        <v>OK</v>
      </c>
      <c r="O926" s="125">
        <f t="shared" si="42"/>
        <v>8403.1</v>
      </c>
      <c r="P926" t="str">
        <f>IF(E926="","Unmapped",IFERROR(INDEX(Supplier_Lookup!$B$2:$B$25,MATCH(E926,Supplier_Lookup!$A$2:$A$25,0)),"Unmapped"))</f>
        <v>Food &amp; Catering</v>
      </c>
      <c r="Q926" s="76">
        <f>IFERROR(INDEX(Category_Targets!$B$2:$B$9,MATCH(F926,Category_Targets!$A$2:$A$9,0)),0)</f>
        <v>0.04</v>
      </c>
      <c r="R926" s="125">
        <f t="shared" si="43"/>
        <v>336.12400000000002</v>
      </c>
      <c r="S926" s="78">
        <f t="shared" si="44"/>
        <v>45839</v>
      </c>
      <c r="T926" t="str">
        <f>IFERROR(VLOOKUP(B926,Sites!$A$2:$D$21,4,FALSE()),"Unknown")</f>
        <v>Derby</v>
      </c>
      <c r="U926" t="str">
        <f>IF(N926="OK","",COUNTIF($N$2:N926,"&lt;&gt;OK"))</f>
        <v/>
      </c>
      <c r="V926">
        <f>IF(OR(NOT(EXACT(E926,TRIM(Procurement_Raw!E926))),NOT(EXACT(F926,TRIM(Procurement_Raw!F926)))),1,0)</f>
        <v>0</v>
      </c>
    </row>
    <row r="927" spans="1:22" ht="15" customHeight="1" x14ac:dyDescent="0.25">
      <c r="A927" s="123">
        <f>Procurement_Raw!A927</f>
        <v>45781</v>
      </c>
      <c r="B927" t="str">
        <f>TRIM(Procurement_Raw!B927)</f>
        <v>S005</v>
      </c>
      <c r="C927" t="str">
        <f>Procurement_Raw!C927</f>
        <v>Sheffield Care &amp; Education Centre</v>
      </c>
      <c r="D927" t="str">
        <f>Procurement_Raw!D927</f>
        <v>North</v>
      </c>
      <c r="E927" t="str">
        <f>IF(TRIM(Procurement_Raw!E927)="","",IFERROR(INDEX(Supplier_Lookup!$A$2:$A$25,MATCH(TRIM(Procurement_Raw!E927),Supplier_Lookup!$A$2:$A$25,0)),TRIM(Procurement_Raw!E927)))</f>
        <v>WaterGrid</v>
      </c>
      <c r="F927" t="str">
        <f>IFERROR(INDEX(Category_Targets!$A$2:$A$9,MATCH(TRIM(Procurement_Raw!F927),Category_Targets!$A$2:$A$9,0)),"Unmapped")</f>
        <v>Utilities</v>
      </c>
      <c r="G927" t="str">
        <f>TRIM(Procurement_Raw!G927)</f>
        <v>INV-2025-00926</v>
      </c>
      <c r="H927" s="77">
        <f>Procurement_Raw!H927</f>
        <v>74</v>
      </c>
      <c r="I927" s="124">
        <f>Procurement_Raw!I927</f>
        <v>108.17</v>
      </c>
      <c r="J927" s="125">
        <f>IF(Procurement_Raw!J927="","",Procurement_Raw!J927)</f>
        <v>8004.61</v>
      </c>
      <c r="K927" s="77">
        <f>Procurement_Raw!K927</f>
        <v>30</v>
      </c>
      <c r="L927" t="str">
        <f>Procurement_Raw!L927</f>
        <v>Procurement Portal</v>
      </c>
      <c r="M927" t="str">
        <f>Procurement_Raw!O927</f>
        <v>N</v>
      </c>
      <c r="N927" t="str">
        <f>IF(E927="","Missing supplier",IF(B927="","Missing site",IF(J927="","Missing spend",IF(COUNTIFS($G$2:G927,G927,$E$2:E927,E927,$J$2:J927,J927)&gt;1,"Duplicate invoice",IF(COUNTIF($G$2:$G$1801,G927)&gt;1,"Duplicate ID - review",IF(AND(P927&lt;&gt;"Unmapped",P927&lt;&gt;F927),"Category mismatch","OK"))))))</f>
        <v>OK</v>
      </c>
      <c r="O927" s="125">
        <f t="shared" si="42"/>
        <v>8004.61</v>
      </c>
      <c r="P927" t="str">
        <f>IF(E927="","Unmapped",IFERROR(INDEX(Supplier_Lookup!$B$2:$B$25,MATCH(E927,Supplier_Lookup!$A$2:$A$25,0)),"Unmapped"))</f>
        <v>Utilities</v>
      </c>
      <c r="Q927" s="76">
        <f>IFERROR(INDEX(Category_Targets!$B$2:$B$9,MATCH(F927,Category_Targets!$A$2:$A$9,0)),0)</f>
        <v>0.03</v>
      </c>
      <c r="R927" s="125">
        <f t="shared" si="43"/>
        <v>240.13829999999999</v>
      </c>
      <c r="S927" s="78">
        <f t="shared" si="44"/>
        <v>45778</v>
      </c>
      <c r="T927" t="str">
        <f>IFERROR(VLOOKUP(B927,Sites!$A$2:$D$21,4,FALSE()),"Unknown")</f>
        <v>Sheffield</v>
      </c>
      <c r="U927" t="str">
        <f>IF(N927="OK","",COUNTIF($N$2:N927,"&lt;&gt;OK"))</f>
        <v/>
      </c>
      <c r="V927">
        <f>IF(OR(NOT(EXACT(E927,TRIM(Procurement_Raw!E927))),NOT(EXACT(F927,TRIM(Procurement_Raw!F927)))),1,0)</f>
        <v>0</v>
      </c>
    </row>
    <row r="928" spans="1:22" ht="15" customHeight="1" x14ac:dyDescent="0.25">
      <c r="A928" s="123">
        <f>Procurement_Raw!A928</f>
        <v>45935</v>
      </c>
      <c r="B928" t="str">
        <f>TRIM(Procurement_Raw!B928)</f>
        <v>S001</v>
      </c>
      <c r="C928" t="str">
        <f>Procurement_Raw!C928</f>
        <v>Preston Care &amp; Education Centre</v>
      </c>
      <c r="D928" t="str">
        <f>Procurement_Raw!D928</f>
        <v>North</v>
      </c>
      <c r="E928" t="str">
        <f>IF(TRIM(Procurement_Raw!E928)="","",IFERROR(INDEX(Supplier_Lookup!$A$2:$A$25,MATCH(TRIM(Procurement_Raw!E928),Supplier_Lookup!$A$2:$A$25,0)),TRIM(Procurement_Raw!E928)))</f>
        <v>RoadReady</v>
      </c>
      <c r="F928" t="str">
        <f>IFERROR(INDEX(Category_Targets!$A$2:$A$9,MATCH(TRIM(Procurement_Raw!F928),Category_Targets!$A$2:$A$9,0)),"Unmapped")</f>
        <v>Vehicle &amp; Fuel</v>
      </c>
      <c r="G928" t="str">
        <f>TRIM(Procurement_Raw!G928)</f>
        <v>INV-2025-00927</v>
      </c>
      <c r="H928" s="77">
        <f>Procurement_Raw!H928</f>
        <v>17</v>
      </c>
      <c r="I928" s="124">
        <f>Procurement_Raw!I928</f>
        <v>69.86</v>
      </c>
      <c r="J928" s="125">
        <f>IF(Procurement_Raw!J928="","",Procurement_Raw!J928)</f>
        <v>1187.5899999999999</v>
      </c>
      <c r="K928" s="77">
        <f>Procurement_Raw!K928</f>
        <v>30</v>
      </c>
      <c r="L928" t="str">
        <f>Procurement_Raw!L928</f>
        <v>Legacy Spend File</v>
      </c>
      <c r="M928" t="str">
        <f>Procurement_Raw!O928</f>
        <v>N</v>
      </c>
      <c r="N928" t="str">
        <f>IF(E928="","Missing supplier",IF(B928="","Missing site",IF(J928="","Missing spend",IF(COUNTIFS($G$2:G928,G928,$E$2:E928,E928,$J$2:J928,J928)&gt;1,"Duplicate invoice",IF(COUNTIF($G$2:$G$1801,G928)&gt;1,"Duplicate ID - review",IF(AND(P928&lt;&gt;"Unmapped",P928&lt;&gt;F928),"Category mismatch","OK"))))))</f>
        <v>OK</v>
      </c>
      <c r="O928" s="125">
        <f t="shared" si="42"/>
        <v>1187.5899999999999</v>
      </c>
      <c r="P928" t="str">
        <f>IF(E928="","Unmapped",IFERROR(INDEX(Supplier_Lookup!$B$2:$B$25,MATCH(E928,Supplier_Lookup!$A$2:$A$25,0)),"Unmapped"))</f>
        <v>Vehicle &amp; Fuel</v>
      </c>
      <c r="Q928" s="76">
        <f>IFERROR(INDEX(Category_Targets!$B$2:$B$9,MATCH(F928,Category_Targets!$A$2:$A$9,0)),0)</f>
        <v>0.05</v>
      </c>
      <c r="R928" s="125">
        <f t="shared" si="43"/>
        <v>59.3795</v>
      </c>
      <c r="S928" s="78">
        <f t="shared" si="44"/>
        <v>45931</v>
      </c>
      <c r="T928" t="str">
        <f>IFERROR(VLOOKUP(B928,Sites!$A$2:$D$21,4,FALSE()),"Unknown")</f>
        <v>Preston</v>
      </c>
      <c r="U928" t="str">
        <f>IF(N928="OK","",COUNTIF($N$2:N928,"&lt;&gt;OK"))</f>
        <v/>
      </c>
      <c r="V928">
        <f>IF(OR(NOT(EXACT(E928,TRIM(Procurement_Raw!E928))),NOT(EXACT(F928,TRIM(Procurement_Raw!F928)))),1,0)</f>
        <v>0</v>
      </c>
    </row>
    <row r="929" spans="1:22" ht="15" customHeight="1" x14ac:dyDescent="0.25">
      <c r="A929" s="123">
        <f>Procurement_Raw!A929</f>
        <v>45816</v>
      </c>
      <c r="B929" t="str">
        <f>TRIM(Procurement_Raw!B929)</f>
        <v>S017</v>
      </c>
      <c r="C929" t="str">
        <f>Procurement_Raw!C929</f>
        <v>Swansea Care &amp; Education Centre</v>
      </c>
      <c r="D929" t="str">
        <f>Procurement_Raw!D929</f>
        <v>Wales</v>
      </c>
      <c r="E929" t="str">
        <f>IF(TRIM(Procurement_Raw!E929)="","",IFERROR(INDEX(Supplier_Lookup!$A$2:$A$25,MATCH(TRIM(Procurement_Raw!E929),Supplier_Lookup!$A$2:$A$25,0)),TRIM(Procurement_Raw!E929)))</f>
        <v>UK Energy Partners</v>
      </c>
      <c r="F929" t="str">
        <f>IFERROR(INDEX(Category_Targets!$A$2:$A$9,MATCH(TRIM(Procurement_Raw!F929),Category_Targets!$A$2:$A$9,0)),"Unmapped")</f>
        <v>Utilities</v>
      </c>
      <c r="G929" t="str">
        <f>TRIM(Procurement_Raw!G929)</f>
        <v>INV-2025-00928</v>
      </c>
      <c r="H929" s="77">
        <f>Procurement_Raw!H929</f>
        <v>68</v>
      </c>
      <c r="I929" s="124">
        <f>Procurement_Raw!I929</f>
        <v>307.64</v>
      </c>
      <c r="J929" s="125">
        <f>IF(Procurement_Raw!J929="","",Procurement_Raw!J929)</f>
        <v>20919.46</v>
      </c>
      <c r="K929" s="77">
        <f>Procurement_Raw!K929</f>
        <v>30</v>
      </c>
      <c r="L929" t="str">
        <f>Procurement_Raw!L929</f>
        <v>Procurement Portal</v>
      </c>
      <c r="M929" t="str">
        <f>Procurement_Raw!O929</f>
        <v>N</v>
      </c>
      <c r="N929" t="str">
        <f>IF(E929="","Missing supplier",IF(B929="","Missing site",IF(J929="","Missing spend",IF(COUNTIFS($G$2:G929,G929,$E$2:E929,E929,$J$2:J929,J929)&gt;1,"Duplicate invoice",IF(COUNTIF($G$2:$G$1801,G929)&gt;1,"Duplicate ID - review",IF(AND(P929&lt;&gt;"Unmapped",P929&lt;&gt;F929),"Category mismatch","OK"))))))</f>
        <v>OK</v>
      </c>
      <c r="O929" s="125">
        <f t="shared" si="42"/>
        <v>20919.46</v>
      </c>
      <c r="P929" t="str">
        <f>IF(E929="","Unmapped",IFERROR(INDEX(Supplier_Lookup!$B$2:$B$25,MATCH(E929,Supplier_Lookup!$A$2:$A$25,0)),"Unmapped"))</f>
        <v>Utilities</v>
      </c>
      <c r="Q929" s="76">
        <f>IFERROR(INDEX(Category_Targets!$B$2:$B$9,MATCH(F929,Category_Targets!$A$2:$A$9,0)),0)</f>
        <v>0.03</v>
      </c>
      <c r="R929" s="125">
        <f t="shared" si="43"/>
        <v>627.5838</v>
      </c>
      <c r="S929" s="78">
        <f t="shared" si="44"/>
        <v>45809</v>
      </c>
      <c r="T929" t="str">
        <f>IFERROR(VLOOKUP(B929,Sites!$A$2:$D$21,4,FALSE()),"Unknown")</f>
        <v>Swansea</v>
      </c>
      <c r="U929" t="str">
        <f>IF(N929="OK","",COUNTIF($N$2:N929,"&lt;&gt;OK"))</f>
        <v/>
      </c>
      <c r="V929">
        <f>IF(OR(NOT(EXACT(E929,TRIM(Procurement_Raw!E929))),NOT(EXACT(F929,TRIM(Procurement_Raw!F929)))),1,0)</f>
        <v>0</v>
      </c>
    </row>
    <row r="930" spans="1:22" ht="15" customHeight="1" x14ac:dyDescent="0.25">
      <c r="A930" s="123">
        <f>Procurement_Raw!A930</f>
        <v>45692</v>
      </c>
      <c r="B930" t="str">
        <f>TRIM(Procurement_Raw!B930)</f>
        <v>S003</v>
      </c>
      <c r="C930" t="str">
        <f>Procurement_Raw!C930</f>
        <v>Leeds Care &amp; Education Centre</v>
      </c>
      <c r="D930" t="str">
        <f>Procurement_Raw!D930</f>
        <v>North</v>
      </c>
      <c r="E930" t="str">
        <f>IF(TRIM(Procurement_Raw!E930)="","",IFERROR(INDEX(Supplier_Lookup!$A$2:$A$25,MATCH(TRIM(Procurement_Raw!E930),Supplier_Lookup!$A$2:$A$25,0)),TRIM(Procurement_Raw!E930)))</f>
        <v>SafeGuard FM</v>
      </c>
      <c r="F930" t="str">
        <f>IFERROR(INDEX(Category_Targets!$A$2:$A$9,MATCH(TRIM(Procurement_Raw!F930),Category_Targets!$A$2:$A$9,0)),"Unmapped")</f>
        <v>Facilities</v>
      </c>
      <c r="G930" t="str">
        <f>TRIM(Procurement_Raw!G930)</f>
        <v>INV-2025-00929</v>
      </c>
      <c r="H930" s="77">
        <f>Procurement_Raw!H930</f>
        <v>72</v>
      </c>
      <c r="I930" s="124">
        <f>Procurement_Raw!I930</f>
        <v>425.81</v>
      </c>
      <c r="J930" s="125">
        <f>IF(Procurement_Raw!J930="","",Procurement_Raw!J930)</f>
        <v>30658.38</v>
      </c>
      <c r="K930" s="77">
        <f>Procurement_Raw!K930</f>
        <v>60</v>
      </c>
      <c r="L930" t="str">
        <f>Procurement_Raw!L930</f>
        <v>Legacy Spend File</v>
      </c>
      <c r="M930" t="str">
        <f>Procurement_Raw!O930</f>
        <v>N</v>
      </c>
      <c r="N930" t="str">
        <f>IF(E930="","Missing supplier",IF(B930="","Missing site",IF(J930="","Missing spend",IF(COUNTIFS($G$2:G930,G930,$E$2:E930,E930,$J$2:J930,J930)&gt;1,"Duplicate invoice",IF(COUNTIF($G$2:$G$1801,G930)&gt;1,"Duplicate ID - review",IF(AND(P930&lt;&gt;"Unmapped",P930&lt;&gt;F930),"Category mismatch","OK"))))))</f>
        <v>OK</v>
      </c>
      <c r="O930" s="125">
        <f t="shared" si="42"/>
        <v>30658.38</v>
      </c>
      <c r="P930" t="str">
        <f>IF(E930="","Unmapped",IFERROR(INDEX(Supplier_Lookup!$B$2:$B$25,MATCH(E930,Supplier_Lookup!$A$2:$A$25,0)),"Unmapped"))</f>
        <v>Facilities</v>
      </c>
      <c r="Q930" s="76">
        <f>IFERROR(INDEX(Category_Targets!$B$2:$B$9,MATCH(F930,Category_Targets!$A$2:$A$9,0)),0)</f>
        <v>0.05</v>
      </c>
      <c r="R930" s="125">
        <f t="shared" si="43"/>
        <v>1532.9190000000001</v>
      </c>
      <c r="S930" s="78">
        <f t="shared" si="44"/>
        <v>45689</v>
      </c>
      <c r="T930" t="str">
        <f>IFERROR(VLOOKUP(B930,Sites!$A$2:$D$21,4,FALSE()),"Unknown")</f>
        <v>Leeds</v>
      </c>
      <c r="U930" t="str">
        <f>IF(N930="OK","",COUNTIF($N$2:N930,"&lt;&gt;OK"))</f>
        <v/>
      </c>
      <c r="V930">
        <f>IF(OR(NOT(EXACT(E930,TRIM(Procurement_Raw!E930))),NOT(EXACT(F930,TRIM(Procurement_Raw!F930)))),1,0)</f>
        <v>0</v>
      </c>
    </row>
    <row r="931" spans="1:22" ht="15" customHeight="1" x14ac:dyDescent="0.25">
      <c r="A931" s="123">
        <f>Procurement_Raw!A931</f>
        <v>45732</v>
      </c>
      <c r="B931" t="str">
        <f>TRIM(Procurement_Raw!B931)</f>
        <v>S002</v>
      </c>
      <c r="C931" t="str">
        <f>Procurement_Raw!C931</f>
        <v>Manchester Care &amp; Education Centre</v>
      </c>
      <c r="D931" t="str">
        <f>Procurement_Raw!D931</f>
        <v>North</v>
      </c>
      <c r="E931" t="str">
        <f>IF(TRIM(Procurement_Raw!E931)="","",IFERROR(INDEX(Supplier_Lookup!$A$2:$A$25,MATCH(TRIM(Procurement_Raw!E931),Supplier_Lookup!$A$2:$A$25,0)),TRIM(Procurement_Raw!E931)))</f>
        <v>SafeGuard FM</v>
      </c>
      <c r="F931" t="str">
        <f>IFERROR(INDEX(Category_Targets!$A$2:$A$9,MATCH(TRIM(Procurement_Raw!F931),Category_Targets!$A$2:$A$9,0)),"Unmapped")</f>
        <v>Facilities</v>
      </c>
      <c r="G931" t="str">
        <f>TRIM(Procurement_Raw!G931)</f>
        <v>INV-2025-00930</v>
      </c>
      <c r="H931" s="77">
        <f>Procurement_Raw!H931</f>
        <v>4</v>
      </c>
      <c r="I931" s="124">
        <f>Procurement_Raw!I931</f>
        <v>173.61</v>
      </c>
      <c r="J931" s="125">
        <f>IF(Procurement_Raw!J931="","",Procurement_Raw!J931)</f>
        <v>694.43</v>
      </c>
      <c r="K931" s="77">
        <f>Procurement_Raw!K931</f>
        <v>45</v>
      </c>
      <c r="L931" t="str">
        <f>Procurement_Raw!L931</f>
        <v>Procurement Portal</v>
      </c>
      <c r="M931" t="str">
        <f>Procurement_Raw!O931</f>
        <v>N</v>
      </c>
      <c r="N931" t="str">
        <f>IF(E931="","Missing supplier",IF(B931="","Missing site",IF(J931="","Missing spend",IF(COUNTIFS($G$2:G931,G931,$E$2:E931,E931,$J$2:J931,J931)&gt;1,"Duplicate invoice",IF(COUNTIF($G$2:$G$1801,G931)&gt;1,"Duplicate ID - review",IF(AND(P931&lt;&gt;"Unmapped",P931&lt;&gt;F931),"Category mismatch","OK"))))))</f>
        <v>OK</v>
      </c>
      <c r="O931" s="125">
        <f t="shared" si="42"/>
        <v>694.43</v>
      </c>
      <c r="P931" t="str">
        <f>IF(E931="","Unmapped",IFERROR(INDEX(Supplier_Lookup!$B$2:$B$25,MATCH(E931,Supplier_Lookup!$A$2:$A$25,0)),"Unmapped"))</f>
        <v>Facilities</v>
      </c>
      <c r="Q931" s="76">
        <f>IFERROR(INDEX(Category_Targets!$B$2:$B$9,MATCH(F931,Category_Targets!$A$2:$A$9,0)),0)</f>
        <v>0.05</v>
      </c>
      <c r="R931" s="125">
        <f t="shared" si="43"/>
        <v>34.721499999999999</v>
      </c>
      <c r="S931" s="78">
        <f t="shared" si="44"/>
        <v>45717</v>
      </c>
      <c r="T931" t="str">
        <f>IFERROR(VLOOKUP(B931,Sites!$A$2:$D$21,4,FALSE()),"Unknown")</f>
        <v>Manchester</v>
      </c>
      <c r="U931" t="str">
        <f>IF(N931="OK","",COUNTIF($N$2:N931,"&lt;&gt;OK"))</f>
        <v/>
      </c>
      <c r="V931">
        <f>IF(OR(NOT(EXACT(E931,TRIM(Procurement_Raw!E931))),NOT(EXACT(F931,TRIM(Procurement_Raw!F931)))),1,0)</f>
        <v>0</v>
      </c>
    </row>
    <row r="932" spans="1:22" ht="15" customHeight="1" x14ac:dyDescent="0.25">
      <c r="A932" s="123">
        <f>Procurement_Raw!A932</f>
        <v>45984</v>
      </c>
      <c r="B932" t="str">
        <f>TRIM(Procurement_Raw!B932)</f>
        <v>S003</v>
      </c>
      <c r="C932" t="str">
        <f>Procurement_Raw!C932</f>
        <v>Leeds Care &amp; Education Centre</v>
      </c>
      <c r="D932" t="str">
        <f>Procurement_Raw!D932</f>
        <v>North</v>
      </c>
      <c r="E932" t="str">
        <f>IF(TRIM(Procurement_Raw!E932)="","",IFERROR(INDEX(Supplier_Lookup!$A$2:$A$25,MATCH(TRIM(Procurement_Raw!E932),Supplier_Lookup!$A$2:$A$25,0)),TRIM(Procurement_Raw!E932)))</f>
        <v>TeleCare IT</v>
      </c>
      <c r="F932" t="str">
        <f>IFERROR(INDEX(Category_Targets!$A$2:$A$9,MATCH(TRIM(Procurement_Raw!F932),Category_Targets!$A$2:$A$9,0)),"Unmapped")</f>
        <v>IT &amp; Telecoms</v>
      </c>
      <c r="G932" t="str">
        <f>TRIM(Procurement_Raw!G932)</f>
        <v>INV-2025-00931</v>
      </c>
      <c r="H932" s="77">
        <f>Procurement_Raw!H932</f>
        <v>36</v>
      </c>
      <c r="I932" s="124">
        <f>Procurement_Raw!I932</f>
        <v>162.11000000000001</v>
      </c>
      <c r="J932" s="125">
        <f>IF(Procurement_Raw!J932="","",Procurement_Raw!J932)</f>
        <v>5835.92</v>
      </c>
      <c r="K932" s="77">
        <f>Procurement_Raw!K932</f>
        <v>30</v>
      </c>
      <c r="L932" t="str">
        <f>Procurement_Raw!L932</f>
        <v>ERP</v>
      </c>
      <c r="M932" t="str">
        <f>Procurement_Raw!O932</f>
        <v>N</v>
      </c>
      <c r="N932" t="str">
        <f>IF(E932="","Missing supplier",IF(B932="","Missing site",IF(J932="","Missing spend",IF(COUNTIFS($G$2:G932,G932,$E$2:E932,E932,$J$2:J932,J932)&gt;1,"Duplicate invoice",IF(COUNTIF($G$2:$G$1801,G932)&gt;1,"Duplicate ID - review",IF(AND(P932&lt;&gt;"Unmapped",P932&lt;&gt;F932),"Category mismatch","OK"))))))</f>
        <v>OK</v>
      </c>
      <c r="O932" s="125">
        <f t="shared" si="42"/>
        <v>5835.92</v>
      </c>
      <c r="P932" t="str">
        <f>IF(E932="","Unmapped",IFERROR(INDEX(Supplier_Lookup!$B$2:$B$25,MATCH(E932,Supplier_Lookup!$A$2:$A$25,0)),"Unmapped"))</f>
        <v>IT &amp; Telecoms</v>
      </c>
      <c r="Q932" s="76">
        <f>IFERROR(INDEX(Category_Targets!$B$2:$B$9,MATCH(F932,Category_Targets!$A$2:$A$9,0)),0)</f>
        <v>0.08</v>
      </c>
      <c r="R932" s="125">
        <f t="shared" si="43"/>
        <v>466.87360000000001</v>
      </c>
      <c r="S932" s="78">
        <f t="shared" si="44"/>
        <v>45962</v>
      </c>
      <c r="T932" t="str">
        <f>IFERROR(VLOOKUP(B932,Sites!$A$2:$D$21,4,FALSE()),"Unknown")</f>
        <v>Leeds</v>
      </c>
      <c r="U932" t="str">
        <f>IF(N932="OK","",COUNTIF($N$2:N932,"&lt;&gt;OK"))</f>
        <v/>
      </c>
      <c r="V932">
        <f>IF(OR(NOT(EXACT(E932,TRIM(Procurement_Raw!E932))),NOT(EXACT(F932,TRIM(Procurement_Raw!F932)))),1,0)</f>
        <v>0</v>
      </c>
    </row>
    <row r="933" spans="1:22" ht="15" customHeight="1" x14ac:dyDescent="0.25">
      <c r="A933" s="123">
        <f>Procurement_Raw!A933</f>
        <v>45671</v>
      </c>
      <c r="B933" t="str">
        <f>TRIM(Procurement_Raw!B933)</f>
        <v>S003</v>
      </c>
      <c r="C933" t="str">
        <f>Procurement_Raw!C933</f>
        <v>Leeds Care &amp; Education Centre</v>
      </c>
      <c r="D933" t="str">
        <f>Procurement_Raw!D933</f>
        <v>North</v>
      </c>
      <c r="E933" t="str">
        <f>IF(TRIM(Procurement_Raw!E933)="","",IFERROR(INDEX(Supplier_Lookup!$A$2:$A$25,MATCH(TRIM(Procurement_Raw!E933),Supplier_Lookup!$A$2:$A$25,0)),TRIM(Procurement_Raw!E933)))</f>
        <v>CleanWorks</v>
      </c>
      <c r="F933" t="str">
        <f>IFERROR(INDEX(Category_Targets!$A$2:$A$9,MATCH(TRIM(Procurement_Raw!F933),Category_Targets!$A$2:$A$9,0)),"Unmapped")</f>
        <v>Facilities</v>
      </c>
      <c r="G933" t="str">
        <f>TRIM(Procurement_Raw!G933)</f>
        <v>INV-2025-00932</v>
      </c>
      <c r="H933" s="77">
        <f>Procurement_Raw!H933</f>
        <v>79</v>
      </c>
      <c r="I933" s="124">
        <f>Procurement_Raw!I933</f>
        <v>506.53</v>
      </c>
      <c r="J933" s="125">
        <f>IF(Procurement_Raw!J933="","",Procurement_Raw!J933)</f>
        <v>40016.26</v>
      </c>
      <c r="K933" s="77">
        <f>Procurement_Raw!K933</f>
        <v>60</v>
      </c>
      <c r="L933" t="str">
        <f>Procurement_Raw!L933</f>
        <v>Procurement Portal</v>
      </c>
      <c r="M933" t="str">
        <f>Procurement_Raw!O933</f>
        <v>Y</v>
      </c>
      <c r="N933" t="str">
        <f>IF(E933="","Missing supplier",IF(B933="","Missing site",IF(J933="","Missing spend",IF(COUNTIFS($G$2:G933,G933,$E$2:E933,E933,$J$2:J933,J933)&gt;1,"Duplicate invoice",IF(COUNTIF($G$2:$G$1801,G933)&gt;1,"Duplicate ID - review",IF(AND(P933&lt;&gt;"Unmapped",P933&lt;&gt;F933),"Category mismatch","OK"))))))</f>
        <v>OK</v>
      </c>
      <c r="O933" s="125">
        <f t="shared" si="42"/>
        <v>40016.26</v>
      </c>
      <c r="P933" t="str">
        <f>IF(E933="","Unmapped",IFERROR(INDEX(Supplier_Lookup!$B$2:$B$25,MATCH(E933,Supplier_Lookup!$A$2:$A$25,0)),"Unmapped"))</f>
        <v>Facilities</v>
      </c>
      <c r="Q933" s="76">
        <f>IFERROR(INDEX(Category_Targets!$B$2:$B$9,MATCH(F933,Category_Targets!$A$2:$A$9,0)),0)</f>
        <v>0.05</v>
      </c>
      <c r="R933" s="125">
        <f t="shared" si="43"/>
        <v>2000.8130000000001</v>
      </c>
      <c r="S933" s="78">
        <f t="shared" si="44"/>
        <v>45658</v>
      </c>
      <c r="T933" t="str">
        <f>IFERROR(VLOOKUP(B933,Sites!$A$2:$D$21,4,FALSE()),"Unknown")</f>
        <v>Leeds</v>
      </c>
      <c r="U933" t="str">
        <f>IF(N933="OK","",COUNTIF($N$2:N933,"&lt;&gt;OK"))</f>
        <v/>
      </c>
      <c r="V933">
        <f>IF(OR(NOT(EXACT(E933,TRIM(Procurement_Raw!E933))),NOT(EXACT(F933,TRIM(Procurement_Raw!F933)))),1,0)</f>
        <v>0</v>
      </c>
    </row>
    <row r="934" spans="1:22" ht="15" customHeight="1" x14ac:dyDescent="0.25">
      <c r="A934" s="123">
        <f>Procurement_Raw!A934</f>
        <v>45776</v>
      </c>
      <c r="B934" t="str">
        <f>TRIM(Procurement_Raw!B934)</f>
        <v>S011</v>
      </c>
      <c r="C934" t="str">
        <f>Procurement_Raw!C934</f>
        <v>London Care &amp; Education Centre</v>
      </c>
      <c r="D934" t="str">
        <f>Procurement_Raw!D934</f>
        <v>South</v>
      </c>
      <c r="E934" t="str">
        <f>IF(TRIM(Procurement_Raw!E934)="","",IFERROR(INDEX(Supplier_Lookup!$A$2:$A$25,MATCH(TRIM(Procurement_Raw!E934),Supplier_Lookup!$A$2:$A$25,0)),TRIM(Procurement_Raw!E934)))</f>
        <v>PowerDirect</v>
      </c>
      <c r="F934" t="str">
        <f>IFERROR(INDEX(Category_Targets!$A$2:$A$9,MATCH(TRIM(Procurement_Raw!F934),Category_Targets!$A$2:$A$9,0)),"Unmapped")</f>
        <v>Utilities</v>
      </c>
      <c r="G934" t="str">
        <f>TRIM(Procurement_Raw!G934)</f>
        <v>INV-2025-00933</v>
      </c>
      <c r="H934" s="77">
        <f>Procurement_Raw!H934</f>
        <v>30</v>
      </c>
      <c r="I934" s="124">
        <f>Procurement_Raw!I934</f>
        <v>112.74</v>
      </c>
      <c r="J934" s="125">
        <f>IF(Procurement_Raw!J934="","",Procurement_Raw!J934)</f>
        <v>3382.1</v>
      </c>
      <c r="K934" s="77">
        <f>Procurement_Raw!K934</f>
        <v>60</v>
      </c>
      <c r="L934" t="str">
        <f>Procurement_Raw!L934</f>
        <v>ERP</v>
      </c>
      <c r="M934" t="str">
        <f>Procurement_Raw!O934</f>
        <v>N</v>
      </c>
      <c r="N934" t="str">
        <f>IF(E934="","Missing supplier",IF(B934="","Missing site",IF(J934="","Missing spend",IF(COUNTIFS($G$2:G934,G934,$E$2:E934,E934,$J$2:J934,J934)&gt;1,"Duplicate invoice",IF(COUNTIF($G$2:$G$1801,G934)&gt;1,"Duplicate ID - review",IF(AND(P934&lt;&gt;"Unmapped",P934&lt;&gt;F934),"Category mismatch","OK"))))))</f>
        <v>OK</v>
      </c>
      <c r="O934" s="125">
        <f t="shared" si="42"/>
        <v>3382.1</v>
      </c>
      <c r="P934" t="str">
        <f>IF(E934="","Unmapped",IFERROR(INDEX(Supplier_Lookup!$B$2:$B$25,MATCH(E934,Supplier_Lookup!$A$2:$A$25,0)),"Unmapped"))</f>
        <v>Utilities</v>
      </c>
      <c r="Q934" s="76">
        <f>IFERROR(INDEX(Category_Targets!$B$2:$B$9,MATCH(F934,Category_Targets!$A$2:$A$9,0)),0)</f>
        <v>0.03</v>
      </c>
      <c r="R934" s="125">
        <f t="shared" si="43"/>
        <v>101.46299999999999</v>
      </c>
      <c r="S934" s="78">
        <f t="shared" si="44"/>
        <v>45748</v>
      </c>
      <c r="T934" t="str">
        <f>IFERROR(VLOOKUP(B934,Sites!$A$2:$D$21,4,FALSE()),"Unknown")</f>
        <v>London</v>
      </c>
      <c r="U934" t="str">
        <f>IF(N934="OK","",COUNTIF($N$2:N934,"&lt;&gt;OK"))</f>
        <v/>
      </c>
      <c r="V934">
        <f>IF(OR(NOT(EXACT(E934,TRIM(Procurement_Raw!E934))),NOT(EXACT(F934,TRIM(Procurement_Raw!F934)))),1,0)</f>
        <v>0</v>
      </c>
    </row>
    <row r="935" spans="1:22" ht="15" customHeight="1" x14ac:dyDescent="0.25">
      <c r="A935" s="123">
        <f>Procurement_Raw!A935</f>
        <v>45902</v>
      </c>
      <c r="B935" t="str">
        <f>TRIM(Procurement_Raw!B935)</f>
        <v>S019</v>
      </c>
      <c r="C935" t="str">
        <f>Procurement_Raw!C935</f>
        <v>Wrexham Care &amp; Education Centre</v>
      </c>
      <c r="D935" t="str">
        <f>Procurement_Raw!D935</f>
        <v>Wales</v>
      </c>
      <c r="E935" t="str">
        <f>IF(TRIM(Procurement_Raw!E935)="","",IFERROR(INDEX(Supplier_Lookup!$A$2:$A$25,MATCH(TRIM(Procurement_Raw!E935),Supplier_Lookup!$A$2:$A$25,0)),TRIM(Procurement_Raw!E935)))</f>
        <v>KitchenPro</v>
      </c>
      <c r="F935" t="str">
        <f>IFERROR(INDEX(Category_Targets!$A$2:$A$9,MATCH(TRIM(Procurement_Raw!F935),Category_Targets!$A$2:$A$9,0)),"Unmapped")</f>
        <v>Food &amp; Catering</v>
      </c>
      <c r="G935" t="str">
        <f>TRIM(Procurement_Raw!G935)</f>
        <v>INV-2025-00934</v>
      </c>
      <c r="H935" s="77">
        <f>Procurement_Raw!H935</f>
        <v>18</v>
      </c>
      <c r="I935" s="124">
        <f>Procurement_Raw!I935</f>
        <v>19.399999999999999</v>
      </c>
      <c r="J935" s="125">
        <f>IF(Procurement_Raw!J935="","",Procurement_Raw!J935)</f>
        <v>349.12</v>
      </c>
      <c r="K935" s="77">
        <f>Procurement_Raw!K935</f>
        <v>60</v>
      </c>
      <c r="L935" t="str">
        <f>Procurement_Raw!L935</f>
        <v>Legacy Spend File</v>
      </c>
      <c r="M935" t="str">
        <f>Procurement_Raw!O935</f>
        <v>N</v>
      </c>
      <c r="N935" t="str">
        <f>IF(E935="","Missing supplier",IF(B935="","Missing site",IF(J935="","Missing spend",IF(COUNTIFS($G$2:G935,G935,$E$2:E935,E935,$J$2:J935,J935)&gt;1,"Duplicate invoice",IF(COUNTIF($G$2:$G$1801,G935)&gt;1,"Duplicate ID - review",IF(AND(P935&lt;&gt;"Unmapped",P935&lt;&gt;F935),"Category mismatch","OK"))))))</f>
        <v>OK</v>
      </c>
      <c r="O935" s="125">
        <f t="shared" si="42"/>
        <v>349.12</v>
      </c>
      <c r="P935" t="str">
        <f>IF(E935="","Unmapped",IFERROR(INDEX(Supplier_Lookup!$B$2:$B$25,MATCH(E935,Supplier_Lookup!$A$2:$A$25,0)),"Unmapped"))</f>
        <v>Food &amp; Catering</v>
      </c>
      <c r="Q935" s="76">
        <f>IFERROR(INDEX(Category_Targets!$B$2:$B$9,MATCH(F935,Category_Targets!$A$2:$A$9,0)),0)</f>
        <v>0.04</v>
      </c>
      <c r="R935" s="125">
        <f t="shared" si="43"/>
        <v>13.9648</v>
      </c>
      <c r="S935" s="78">
        <f t="shared" si="44"/>
        <v>45901</v>
      </c>
      <c r="T935" t="str">
        <f>IFERROR(VLOOKUP(B935,Sites!$A$2:$D$21,4,FALSE()),"Unknown")</f>
        <v>Wrexham</v>
      </c>
      <c r="U935" t="str">
        <f>IF(N935="OK","",COUNTIF($N$2:N935,"&lt;&gt;OK"))</f>
        <v/>
      </c>
      <c r="V935">
        <f>IF(OR(NOT(EXACT(E935,TRIM(Procurement_Raw!E935))),NOT(EXACT(F935,TRIM(Procurement_Raw!F935)))),1,0)</f>
        <v>0</v>
      </c>
    </row>
    <row r="936" spans="1:22" ht="15" customHeight="1" x14ac:dyDescent="0.25">
      <c r="A936" s="123">
        <f>Procurement_Raw!A936</f>
        <v>45856</v>
      </c>
      <c r="B936" t="str">
        <f>TRIM(Procurement_Raw!B936)</f>
        <v>S015</v>
      </c>
      <c r="C936" t="str">
        <f>Procurement_Raw!C936</f>
        <v>Brighton Care &amp; Education Centre</v>
      </c>
      <c r="D936" t="str">
        <f>Procurement_Raw!D936</f>
        <v>South</v>
      </c>
      <c r="E936" t="str">
        <f>IF(TRIM(Procurement_Raw!E936)="","",IFERROR(INDEX(Supplier_Lookup!$A$2:$A$25,MATCH(TRIM(Procurement_Raw!E936),Supplier_Lookup!$A$2:$A$25,0)),TRIM(Procurement_Raw!E936)))</f>
        <v>FleetFuel</v>
      </c>
      <c r="F936" t="str">
        <f>IFERROR(INDEX(Category_Targets!$A$2:$A$9,MATCH(TRIM(Procurement_Raw!F936),Category_Targets!$A$2:$A$9,0)),"Unmapped")</f>
        <v>Vehicle &amp; Fuel</v>
      </c>
      <c r="G936" t="str">
        <f>TRIM(Procurement_Raw!G936)</f>
        <v>INV-2025-00935</v>
      </c>
      <c r="H936" s="77">
        <f>Procurement_Raw!H936</f>
        <v>63</v>
      </c>
      <c r="I936" s="124">
        <f>Procurement_Raw!I936</f>
        <v>121.01</v>
      </c>
      <c r="J936" s="125">
        <f>IF(Procurement_Raw!J936="","",Procurement_Raw!J936)</f>
        <v>7623.72</v>
      </c>
      <c r="K936" s="77">
        <f>Procurement_Raw!K936</f>
        <v>45</v>
      </c>
      <c r="L936" t="str">
        <f>Procurement_Raw!L936</f>
        <v>ERP</v>
      </c>
      <c r="M936" t="str">
        <f>Procurement_Raw!O936</f>
        <v>Y</v>
      </c>
      <c r="N936" t="str">
        <f>IF(E936="","Missing supplier",IF(B936="","Missing site",IF(J936="","Missing spend",IF(COUNTIFS($G$2:G936,G936,$E$2:E936,E936,$J$2:J936,J936)&gt;1,"Duplicate invoice",IF(COUNTIF($G$2:$G$1801,G936)&gt;1,"Duplicate ID - review",IF(AND(P936&lt;&gt;"Unmapped",P936&lt;&gt;F936),"Category mismatch","OK"))))))</f>
        <v>OK</v>
      </c>
      <c r="O936" s="125">
        <f t="shared" si="42"/>
        <v>7623.72</v>
      </c>
      <c r="P936" t="str">
        <f>IF(E936="","Unmapped",IFERROR(INDEX(Supplier_Lookup!$B$2:$B$25,MATCH(E936,Supplier_Lookup!$A$2:$A$25,0)),"Unmapped"))</f>
        <v>Vehicle &amp; Fuel</v>
      </c>
      <c r="Q936" s="76">
        <f>IFERROR(INDEX(Category_Targets!$B$2:$B$9,MATCH(F936,Category_Targets!$A$2:$A$9,0)),0)</f>
        <v>0.05</v>
      </c>
      <c r="R936" s="125">
        <f t="shared" si="43"/>
        <v>381.18600000000004</v>
      </c>
      <c r="S936" s="78">
        <f t="shared" si="44"/>
        <v>45839</v>
      </c>
      <c r="T936" t="str">
        <f>IFERROR(VLOOKUP(B936,Sites!$A$2:$D$21,4,FALSE()),"Unknown")</f>
        <v>Brighton</v>
      </c>
      <c r="U936" t="str">
        <f>IF(N936="OK","",COUNTIF($N$2:N936,"&lt;&gt;OK"))</f>
        <v/>
      </c>
      <c r="V936">
        <f>IF(OR(NOT(EXACT(E936,TRIM(Procurement_Raw!E936))),NOT(EXACT(F936,TRIM(Procurement_Raw!F936)))),1,0)</f>
        <v>0</v>
      </c>
    </row>
    <row r="937" spans="1:22" ht="15" customHeight="1" x14ac:dyDescent="0.25">
      <c r="A937" s="123">
        <f>Procurement_Raw!A937</f>
        <v>45674</v>
      </c>
      <c r="B937" t="str">
        <f>TRIM(Procurement_Raw!B937)</f>
        <v>S011</v>
      </c>
      <c r="C937" t="str">
        <f>Procurement_Raw!C937</f>
        <v>London Care &amp; Education Centre</v>
      </c>
      <c r="D937" t="str">
        <f>Procurement_Raw!D937</f>
        <v>South</v>
      </c>
      <c r="E937" t="str">
        <f>IF(TRIM(Procurement_Raw!E937)="","",IFERROR(INDEX(Supplier_Lookup!$A$2:$A$25,MATCH(TRIM(Procurement_Raw!E937),Supplier_Lookup!$A$2:$A$25,0)),TRIM(Procurement_Raw!E937)))</f>
        <v>UK Energy Partners</v>
      </c>
      <c r="F937" t="str">
        <f>IFERROR(INDEX(Category_Targets!$A$2:$A$9,MATCH(TRIM(Procurement_Raw!F937),Category_Targets!$A$2:$A$9,0)),"Unmapped")</f>
        <v>Utilities</v>
      </c>
      <c r="G937" t="str">
        <f>TRIM(Procurement_Raw!G937)</f>
        <v>INV-2025-00936</v>
      </c>
      <c r="H937" s="77">
        <f>Procurement_Raw!H937</f>
        <v>53</v>
      </c>
      <c r="I937" s="124">
        <f>Procurement_Raw!I937</f>
        <v>189.68</v>
      </c>
      <c r="J937" s="125">
        <f>IF(Procurement_Raw!J937="","",Procurement_Raw!J937)</f>
        <v>10052.969999999999</v>
      </c>
      <c r="K937" s="77">
        <f>Procurement_Raw!K937</f>
        <v>30</v>
      </c>
      <c r="L937" t="str">
        <f>Procurement_Raw!L937</f>
        <v>Procurement Portal</v>
      </c>
      <c r="M937" t="str">
        <f>Procurement_Raw!O937</f>
        <v>N</v>
      </c>
      <c r="N937" t="str">
        <f>IF(E937="","Missing supplier",IF(B937="","Missing site",IF(J937="","Missing spend",IF(COUNTIFS($G$2:G937,G937,$E$2:E937,E937,$J$2:J937,J937)&gt;1,"Duplicate invoice",IF(COUNTIF($G$2:$G$1801,G937)&gt;1,"Duplicate ID - review",IF(AND(P937&lt;&gt;"Unmapped",P937&lt;&gt;F937),"Category mismatch","OK"))))))</f>
        <v>OK</v>
      </c>
      <c r="O937" s="125">
        <f t="shared" si="42"/>
        <v>10052.969999999999</v>
      </c>
      <c r="P937" t="str">
        <f>IF(E937="","Unmapped",IFERROR(INDEX(Supplier_Lookup!$B$2:$B$25,MATCH(E937,Supplier_Lookup!$A$2:$A$25,0)),"Unmapped"))</f>
        <v>Utilities</v>
      </c>
      <c r="Q937" s="76">
        <f>IFERROR(INDEX(Category_Targets!$B$2:$B$9,MATCH(F937,Category_Targets!$A$2:$A$9,0)),0)</f>
        <v>0.03</v>
      </c>
      <c r="R937" s="125">
        <f t="shared" si="43"/>
        <v>301.58909999999997</v>
      </c>
      <c r="S937" s="78">
        <f t="shared" si="44"/>
        <v>45658</v>
      </c>
      <c r="T937" t="str">
        <f>IFERROR(VLOOKUP(B937,Sites!$A$2:$D$21,4,FALSE()),"Unknown")</f>
        <v>London</v>
      </c>
      <c r="U937" t="str">
        <f>IF(N937="OK","",COUNTIF($N$2:N937,"&lt;&gt;OK"))</f>
        <v/>
      </c>
      <c r="V937">
        <f>IF(OR(NOT(EXACT(E937,TRIM(Procurement_Raw!E937))),NOT(EXACT(F937,TRIM(Procurement_Raw!F937)))),1,0)</f>
        <v>0</v>
      </c>
    </row>
    <row r="938" spans="1:22" ht="15" customHeight="1" x14ac:dyDescent="0.25">
      <c r="A938" s="123">
        <f>Procurement_Raw!A938</f>
        <v>46001</v>
      </c>
      <c r="B938" t="str">
        <f>TRIM(Procurement_Raw!B938)</f>
        <v>S002</v>
      </c>
      <c r="C938" t="str">
        <f>Procurement_Raw!C938</f>
        <v>Manchester Care &amp; Education Centre</v>
      </c>
      <c r="D938" t="str">
        <f>Procurement_Raw!D938</f>
        <v>North</v>
      </c>
      <c r="E938" t="str">
        <f>IF(TRIM(Procurement_Raw!E938)="","",IFERROR(INDEX(Supplier_Lookup!$A$2:$A$25,MATCH(TRIM(Procurement_Raw!E938),Supplier_Lookup!$A$2:$A$25,0)),TRIM(Procurement_Raw!E938)))</f>
        <v>PowerDirect</v>
      </c>
      <c r="F938" t="str">
        <f>IFERROR(INDEX(Category_Targets!$A$2:$A$9,MATCH(TRIM(Procurement_Raw!F938),Category_Targets!$A$2:$A$9,0)),"Unmapped")</f>
        <v>Utilities</v>
      </c>
      <c r="G938" t="str">
        <f>TRIM(Procurement_Raw!G938)</f>
        <v>INV-2025-00937</v>
      </c>
      <c r="H938" s="77">
        <f>Procurement_Raw!H938</f>
        <v>26</v>
      </c>
      <c r="I938" s="124">
        <f>Procurement_Raw!I938</f>
        <v>142.56</v>
      </c>
      <c r="J938" s="125">
        <f>IF(Procurement_Raw!J938="","",Procurement_Raw!J938)</f>
        <v>3706.63</v>
      </c>
      <c r="K938" s="77">
        <f>Procurement_Raw!K938</f>
        <v>30</v>
      </c>
      <c r="L938" t="str">
        <f>Procurement_Raw!L938</f>
        <v>ERP</v>
      </c>
      <c r="M938" t="str">
        <f>Procurement_Raw!O938</f>
        <v>N</v>
      </c>
      <c r="N938" t="str">
        <f>IF(E938="","Missing supplier",IF(B938="","Missing site",IF(J938="","Missing spend",IF(COUNTIFS($G$2:G938,G938,$E$2:E938,E938,$J$2:J938,J938)&gt;1,"Duplicate invoice",IF(COUNTIF($G$2:$G$1801,G938)&gt;1,"Duplicate ID - review",IF(AND(P938&lt;&gt;"Unmapped",P938&lt;&gt;F938),"Category mismatch","OK"))))))</f>
        <v>OK</v>
      </c>
      <c r="O938" s="125">
        <f t="shared" si="42"/>
        <v>3706.63</v>
      </c>
      <c r="P938" t="str">
        <f>IF(E938="","Unmapped",IFERROR(INDEX(Supplier_Lookup!$B$2:$B$25,MATCH(E938,Supplier_Lookup!$A$2:$A$25,0)),"Unmapped"))</f>
        <v>Utilities</v>
      </c>
      <c r="Q938" s="76">
        <f>IFERROR(INDEX(Category_Targets!$B$2:$B$9,MATCH(F938,Category_Targets!$A$2:$A$9,0)),0)</f>
        <v>0.03</v>
      </c>
      <c r="R938" s="125">
        <f t="shared" si="43"/>
        <v>111.19889999999999</v>
      </c>
      <c r="S938" s="78">
        <f t="shared" si="44"/>
        <v>45992</v>
      </c>
      <c r="T938" t="str">
        <f>IFERROR(VLOOKUP(B938,Sites!$A$2:$D$21,4,FALSE()),"Unknown")</f>
        <v>Manchester</v>
      </c>
      <c r="U938" t="str">
        <f>IF(N938="OK","",COUNTIF($N$2:N938,"&lt;&gt;OK"))</f>
        <v/>
      </c>
      <c r="V938">
        <f>IF(OR(NOT(EXACT(E938,TRIM(Procurement_Raw!E938))),NOT(EXACT(F938,TRIM(Procurement_Raw!F938)))),1,0)</f>
        <v>0</v>
      </c>
    </row>
    <row r="939" spans="1:22" ht="15" customHeight="1" x14ac:dyDescent="0.25">
      <c r="A939" s="123">
        <f>Procurement_Raw!A939</f>
        <v>45908</v>
      </c>
      <c r="B939" t="str">
        <f>TRIM(Procurement_Raw!B939)</f>
        <v>S019</v>
      </c>
      <c r="C939" t="str">
        <f>Procurement_Raw!C939</f>
        <v>Wrexham Care &amp; Education Centre</v>
      </c>
      <c r="D939" t="str">
        <f>Procurement_Raw!D939</f>
        <v>Wales</v>
      </c>
      <c r="E939" t="str">
        <f>IF(TRIM(Procurement_Raw!E939)="","",IFERROR(INDEX(Supplier_Lookup!$A$2:$A$25,MATCH(TRIM(Procurement_Raw!E939),Supplier_Lookup!$A$2:$A$25,0)),TRIM(Procurement_Raw!E939)))</f>
        <v>PrintCo</v>
      </c>
      <c r="F939" t="str">
        <f>IFERROR(INDEX(Category_Targets!$A$2:$A$9,MATCH(TRIM(Procurement_Raw!F939),Category_Targets!$A$2:$A$9,0)),"Unmapped")</f>
        <v>Office &amp; Training</v>
      </c>
      <c r="G939" t="str">
        <f>TRIM(Procurement_Raw!G939)</f>
        <v>INV-2025-00938</v>
      </c>
      <c r="H939" s="77">
        <f>Procurement_Raw!H939</f>
        <v>42</v>
      </c>
      <c r="I939" s="124">
        <f>Procurement_Raw!I939</f>
        <v>110.73</v>
      </c>
      <c r="J939" s="125">
        <f>IF(Procurement_Raw!J939="","",Procurement_Raw!J939)</f>
        <v>4650.6099999999997</v>
      </c>
      <c r="K939" s="77">
        <f>Procurement_Raw!K939</f>
        <v>45</v>
      </c>
      <c r="L939" t="str">
        <f>Procurement_Raw!L939</f>
        <v>ERP</v>
      </c>
      <c r="M939" t="str">
        <f>Procurement_Raw!O939</f>
        <v>N</v>
      </c>
      <c r="N939" t="str">
        <f>IF(E939="","Missing supplier",IF(B939="","Missing site",IF(J939="","Missing spend",IF(COUNTIFS($G$2:G939,G939,$E$2:E939,E939,$J$2:J939,J939)&gt;1,"Duplicate invoice",IF(COUNTIF($G$2:$G$1801,G939)&gt;1,"Duplicate ID - review",IF(AND(P939&lt;&gt;"Unmapped",P939&lt;&gt;F939),"Category mismatch","OK"))))))</f>
        <v>OK</v>
      </c>
      <c r="O939" s="125">
        <f t="shared" si="42"/>
        <v>4650.6099999999997</v>
      </c>
      <c r="P939" t="str">
        <f>IF(E939="","Unmapped",IFERROR(INDEX(Supplier_Lookup!$B$2:$B$25,MATCH(E939,Supplier_Lookup!$A$2:$A$25,0)),"Unmapped"))</f>
        <v>Office &amp; Training</v>
      </c>
      <c r="Q939" s="76">
        <f>IFERROR(INDEX(Category_Targets!$B$2:$B$9,MATCH(F939,Category_Targets!$A$2:$A$9,0)),0)</f>
        <v>0.04</v>
      </c>
      <c r="R939" s="125">
        <f t="shared" si="43"/>
        <v>186.02439999999999</v>
      </c>
      <c r="S939" s="78">
        <f t="shared" si="44"/>
        <v>45901</v>
      </c>
      <c r="T939" t="str">
        <f>IFERROR(VLOOKUP(B939,Sites!$A$2:$D$21,4,FALSE()),"Unknown")</f>
        <v>Wrexham</v>
      </c>
      <c r="U939" t="str">
        <f>IF(N939="OK","",COUNTIF($N$2:N939,"&lt;&gt;OK"))</f>
        <v/>
      </c>
      <c r="V939">
        <f>IF(OR(NOT(EXACT(E939,TRIM(Procurement_Raw!E939))),NOT(EXACT(F939,TRIM(Procurement_Raw!F939)))),1,0)</f>
        <v>0</v>
      </c>
    </row>
    <row r="940" spans="1:22" ht="15" customHeight="1" x14ac:dyDescent="0.25">
      <c r="A940" s="123">
        <f>Procurement_Raw!A940</f>
        <v>45969</v>
      </c>
      <c r="B940" t="str">
        <f>TRIM(Procurement_Raw!B940)</f>
        <v>S008</v>
      </c>
      <c r="C940" t="str">
        <f>Procurement_Raw!C940</f>
        <v>Leicester Care &amp; Education Centre</v>
      </c>
      <c r="D940" t="str">
        <f>Procurement_Raw!D940</f>
        <v>Midlands</v>
      </c>
      <c r="E940" t="str">
        <f>IF(TRIM(Procurement_Raw!E940)="","",IFERROR(INDEX(Supplier_Lookup!$A$2:$A$25,MATCH(TRIM(Procurement_Raw!E940),Supplier_Lookup!$A$2:$A$25,0)),TRIM(Procurement_Raw!E940)))</f>
        <v>HealthStaffing</v>
      </c>
      <c r="F940" t="str">
        <f>IFERROR(INDEX(Category_Targets!$A$2:$A$9,MATCH(TRIM(Procurement_Raw!F940),Category_Targets!$A$2:$A$9,0)),"Unmapped")</f>
        <v>Agency Labour</v>
      </c>
      <c r="G940" t="str">
        <f>TRIM(Procurement_Raw!G940)</f>
        <v>INV-2025-00939</v>
      </c>
      <c r="H940" s="77">
        <f>Procurement_Raw!H940</f>
        <v>49</v>
      </c>
      <c r="I940" s="124">
        <f>Procurement_Raw!I940</f>
        <v>343.05</v>
      </c>
      <c r="J940" s="125">
        <f>IF(Procurement_Raw!J940="","",Procurement_Raw!J940)</f>
        <v>16809.39</v>
      </c>
      <c r="K940" s="77">
        <f>Procurement_Raw!K940</f>
        <v>60</v>
      </c>
      <c r="L940" t="str">
        <f>Procurement_Raw!L940</f>
        <v>Procurement Portal</v>
      </c>
      <c r="M940" t="str">
        <f>Procurement_Raw!O940</f>
        <v>N</v>
      </c>
      <c r="N940" t="str">
        <f>IF(E940="","Missing supplier",IF(B940="","Missing site",IF(J940="","Missing spend",IF(COUNTIFS($G$2:G940,G940,$E$2:E940,E940,$J$2:J940,J940)&gt;1,"Duplicate invoice",IF(COUNTIF($G$2:$G$1801,G940)&gt;1,"Duplicate ID - review",IF(AND(P940&lt;&gt;"Unmapped",P940&lt;&gt;F940),"Category mismatch","OK"))))))</f>
        <v>OK</v>
      </c>
      <c r="O940" s="125">
        <f t="shared" si="42"/>
        <v>16809.39</v>
      </c>
      <c r="P940" t="str">
        <f>IF(E940="","Unmapped",IFERROR(INDEX(Supplier_Lookup!$B$2:$B$25,MATCH(E940,Supplier_Lookup!$A$2:$A$25,0)),"Unmapped"))</f>
        <v>Agency Labour</v>
      </c>
      <c r="Q940" s="76">
        <f>IFERROR(INDEX(Category_Targets!$B$2:$B$9,MATCH(F940,Category_Targets!$A$2:$A$9,0)),0)</f>
        <v>7.0000000000000007E-2</v>
      </c>
      <c r="R940" s="125">
        <f t="shared" si="43"/>
        <v>1176.6573000000001</v>
      </c>
      <c r="S940" s="78">
        <f t="shared" si="44"/>
        <v>45962</v>
      </c>
      <c r="T940" t="str">
        <f>IFERROR(VLOOKUP(B940,Sites!$A$2:$D$21,4,FALSE()),"Unknown")</f>
        <v>Leicester</v>
      </c>
      <c r="U940" t="str">
        <f>IF(N940="OK","",COUNTIF($N$2:N940,"&lt;&gt;OK"))</f>
        <v/>
      </c>
      <c r="V940">
        <f>IF(OR(NOT(EXACT(E940,TRIM(Procurement_Raw!E940))),NOT(EXACT(F940,TRIM(Procurement_Raw!F940)))),1,0)</f>
        <v>0</v>
      </c>
    </row>
    <row r="941" spans="1:22" ht="15" customHeight="1" x14ac:dyDescent="0.25">
      <c r="A941" s="123">
        <f>Procurement_Raw!A941</f>
        <v>45713</v>
      </c>
      <c r="B941" t="str">
        <f>TRIM(Procurement_Raw!B941)</f>
        <v>S019</v>
      </c>
      <c r="C941" t="str">
        <f>Procurement_Raw!C941</f>
        <v>Wrexham Care &amp; Education Centre</v>
      </c>
      <c r="D941" t="str">
        <f>Procurement_Raw!D941</f>
        <v>Wales</v>
      </c>
      <c r="E941" t="str">
        <f>IF(TRIM(Procurement_Raw!E941)="","",IFERROR(INDEX(Supplier_Lookup!$A$2:$A$25,MATCH(TRIM(Procurement_Raw!E941),Supplier_Lookup!$A$2:$A$25,0)),TRIM(Procurement_Raw!E941)))</f>
        <v>ClinEquip</v>
      </c>
      <c r="F941" t="str">
        <f>IFERROR(INDEX(Category_Targets!$A$2:$A$9,MATCH(TRIM(Procurement_Raw!F941),Category_Targets!$A$2:$A$9,0)),"Unmapped")</f>
        <v>Medical Supplies</v>
      </c>
      <c r="G941" t="str">
        <f>TRIM(Procurement_Raw!G941)</f>
        <v>INV-2025-00940</v>
      </c>
      <c r="H941" s="77">
        <f>Procurement_Raw!H941</f>
        <v>58</v>
      </c>
      <c r="I941" s="124">
        <f>Procurement_Raw!I941</f>
        <v>87.99</v>
      </c>
      <c r="J941" s="125">
        <f>IF(Procurement_Raw!J941="","",Procurement_Raw!J941)</f>
        <v>5103.55</v>
      </c>
      <c r="K941" s="77">
        <f>Procurement_Raw!K941</f>
        <v>45</v>
      </c>
      <c r="L941" t="str">
        <f>Procurement_Raw!L941</f>
        <v>ERP</v>
      </c>
      <c r="M941" t="str">
        <f>Procurement_Raw!O941</f>
        <v>N</v>
      </c>
      <c r="N941" t="str">
        <f>IF(E941="","Missing supplier",IF(B941="","Missing site",IF(J941="","Missing spend",IF(COUNTIFS($G$2:G941,G941,$E$2:E941,E941,$J$2:J941,J941)&gt;1,"Duplicate invoice",IF(COUNTIF($G$2:$G$1801,G941)&gt;1,"Duplicate ID - review",IF(AND(P941&lt;&gt;"Unmapped",P941&lt;&gt;F941),"Category mismatch","OK"))))))</f>
        <v>OK</v>
      </c>
      <c r="O941" s="125">
        <f t="shared" si="42"/>
        <v>5103.55</v>
      </c>
      <c r="P941" t="str">
        <f>IF(E941="","Unmapped",IFERROR(INDEX(Supplier_Lookup!$B$2:$B$25,MATCH(E941,Supplier_Lookup!$A$2:$A$25,0)),"Unmapped"))</f>
        <v>Medical Supplies</v>
      </c>
      <c r="Q941" s="76">
        <f>IFERROR(INDEX(Category_Targets!$B$2:$B$9,MATCH(F941,Category_Targets!$A$2:$A$9,0)),0)</f>
        <v>0.06</v>
      </c>
      <c r="R941" s="125">
        <f t="shared" si="43"/>
        <v>306.21300000000002</v>
      </c>
      <c r="S941" s="78">
        <f t="shared" si="44"/>
        <v>45689</v>
      </c>
      <c r="T941" t="str">
        <f>IFERROR(VLOOKUP(B941,Sites!$A$2:$D$21,4,FALSE()),"Unknown")</f>
        <v>Wrexham</v>
      </c>
      <c r="U941" t="str">
        <f>IF(N941="OK","",COUNTIF($N$2:N941,"&lt;&gt;OK"))</f>
        <v/>
      </c>
      <c r="V941">
        <f>IF(OR(NOT(EXACT(E941,TRIM(Procurement_Raw!E941))),NOT(EXACT(F941,TRIM(Procurement_Raw!F941)))),1,0)</f>
        <v>0</v>
      </c>
    </row>
    <row r="942" spans="1:22" ht="15" customHeight="1" x14ac:dyDescent="0.25">
      <c r="A942" s="123">
        <f>Procurement_Raw!A942</f>
        <v>45678</v>
      </c>
      <c r="B942" t="str">
        <f>TRIM(Procurement_Raw!B942)</f>
        <v>S001</v>
      </c>
      <c r="C942" t="str">
        <f>Procurement_Raw!C942</f>
        <v>Preston Care &amp; Education Centre</v>
      </c>
      <c r="D942" t="str">
        <f>Procurement_Raw!D942</f>
        <v>North</v>
      </c>
      <c r="E942" t="str">
        <f>IF(TRIM(Procurement_Raw!E942)="","",IFERROR(INDEX(Supplier_Lookup!$A$2:$A$25,MATCH(TRIM(Procurement_Raw!E942),Supplier_Lookup!$A$2:$A$25,0)),TRIM(Procurement_Raw!E942)))</f>
        <v>NurseLink</v>
      </c>
      <c r="F942" t="str">
        <f>IFERROR(INDEX(Category_Targets!$A$2:$A$9,MATCH(TRIM(Procurement_Raw!F942),Category_Targets!$A$2:$A$9,0)),"Unmapped")</f>
        <v>Agency Labour</v>
      </c>
      <c r="G942" t="str">
        <f>TRIM(Procurement_Raw!G942)</f>
        <v>INV-2025-00941</v>
      </c>
      <c r="H942" s="77">
        <f>Procurement_Raw!H942</f>
        <v>72</v>
      </c>
      <c r="I942" s="124">
        <f>Procurement_Raw!I942</f>
        <v>148.36000000000001</v>
      </c>
      <c r="J942" s="125">
        <f>IF(Procurement_Raw!J942="","",Procurement_Raw!J942)</f>
        <v>10681.63</v>
      </c>
      <c r="K942" s="77">
        <f>Procurement_Raw!K942</f>
        <v>45</v>
      </c>
      <c r="L942" t="str">
        <f>Procurement_Raw!L942</f>
        <v>Legacy Spend File</v>
      </c>
      <c r="M942" t="str">
        <f>Procurement_Raw!O942</f>
        <v>N</v>
      </c>
      <c r="N942" t="str">
        <f>IF(E942="","Missing supplier",IF(B942="","Missing site",IF(J942="","Missing spend",IF(COUNTIFS($G$2:G942,G942,$E$2:E942,E942,$J$2:J942,J942)&gt;1,"Duplicate invoice",IF(COUNTIF($G$2:$G$1801,G942)&gt;1,"Duplicate ID - review",IF(AND(P942&lt;&gt;"Unmapped",P942&lt;&gt;F942),"Category mismatch","OK"))))))</f>
        <v>OK</v>
      </c>
      <c r="O942" s="125">
        <f t="shared" si="42"/>
        <v>10681.63</v>
      </c>
      <c r="P942" t="str">
        <f>IF(E942="","Unmapped",IFERROR(INDEX(Supplier_Lookup!$B$2:$B$25,MATCH(E942,Supplier_Lookup!$A$2:$A$25,0)),"Unmapped"))</f>
        <v>Agency Labour</v>
      </c>
      <c r="Q942" s="76">
        <f>IFERROR(INDEX(Category_Targets!$B$2:$B$9,MATCH(F942,Category_Targets!$A$2:$A$9,0)),0)</f>
        <v>7.0000000000000007E-2</v>
      </c>
      <c r="R942" s="125">
        <f t="shared" si="43"/>
        <v>747.71410000000003</v>
      </c>
      <c r="S942" s="78">
        <f t="shared" si="44"/>
        <v>45658</v>
      </c>
      <c r="T942" t="str">
        <f>IFERROR(VLOOKUP(B942,Sites!$A$2:$D$21,4,FALSE()),"Unknown")</f>
        <v>Preston</v>
      </c>
      <c r="U942" t="str">
        <f>IF(N942="OK","",COUNTIF($N$2:N942,"&lt;&gt;OK"))</f>
        <v/>
      </c>
      <c r="V942">
        <f>IF(OR(NOT(EXACT(E942,TRIM(Procurement_Raw!E942))),NOT(EXACT(F942,TRIM(Procurement_Raw!F942)))),1,0)</f>
        <v>0</v>
      </c>
    </row>
    <row r="943" spans="1:22" ht="15" customHeight="1" x14ac:dyDescent="0.25">
      <c r="A943" s="123">
        <f>Procurement_Raw!A943</f>
        <v>45807</v>
      </c>
      <c r="B943" t="str">
        <f>TRIM(Procurement_Raw!B943)</f>
        <v>S005</v>
      </c>
      <c r="C943" t="str">
        <f>Procurement_Raw!C943</f>
        <v>Sheffield Care &amp; Education Centre</v>
      </c>
      <c r="D943" t="str">
        <f>Procurement_Raw!D943</f>
        <v>North</v>
      </c>
      <c r="E943" t="str">
        <f>IF(TRIM(Procurement_Raw!E943)="","",IFERROR(INDEX(Supplier_Lookup!$A$2:$A$25,MATCH(TRIM(Procurement_Raw!E943),Supplier_Lookup!$A$2:$A$25,0)),TRIM(Procurement_Raw!E943)))</f>
        <v>MediSure</v>
      </c>
      <c r="F943" t="str">
        <f>IFERROR(INDEX(Category_Targets!$A$2:$A$9,MATCH(TRIM(Procurement_Raw!F943),Category_Targets!$A$2:$A$9,0)),"Unmapped")</f>
        <v>Medical Supplies</v>
      </c>
      <c r="G943" t="str">
        <f>TRIM(Procurement_Raw!G943)</f>
        <v>INV-2025-00942</v>
      </c>
      <c r="H943" s="77">
        <f>Procurement_Raw!H943</f>
        <v>57</v>
      </c>
      <c r="I943" s="124">
        <f>Procurement_Raw!I943</f>
        <v>193.9</v>
      </c>
      <c r="J943" s="125">
        <f>IF(Procurement_Raw!J943="","",Procurement_Raw!J943)</f>
        <v>11052.31</v>
      </c>
      <c r="K943" s="77">
        <f>Procurement_Raw!K943</f>
        <v>45</v>
      </c>
      <c r="L943" t="str">
        <f>Procurement_Raw!L943</f>
        <v>Procurement Portal</v>
      </c>
      <c r="M943" t="str">
        <f>Procurement_Raw!O943</f>
        <v>Y</v>
      </c>
      <c r="N943" t="str">
        <f>IF(E943="","Missing supplier",IF(B943="","Missing site",IF(J943="","Missing spend",IF(COUNTIFS($G$2:G943,G943,$E$2:E943,E943,$J$2:J943,J943)&gt;1,"Duplicate invoice",IF(COUNTIF($G$2:$G$1801,G943)&gt;1,"Duplicate ID - review",IF(AND(P943&lt;&gt;"Unmapped",P943&lt;&gt;F943),"Category mismatch","OK"))))))</f>
        <v>OK</v>
      </c>
      <c r="O943" s="125">
        <f t="shared" si="42"/>
        <v>11052.31</v>
      </c>
      <c r="P943" t="str">
        <f>IF(E943="","Unmapped",IFERROR(INDEX(Supplier_Lookup!$B$2:$B$25,MATCH(E943,Supplier_Lookup!$A$2:$A$25,0)),"Unmapped"))</f>
        <v>Medical Supplies</v>
      </c>
      <c r="Q943" s="76">
        <f>IFERROR(INDEX(Category_Targets!$B$2:$B$9,MATCH(F943,Category_Targets!$A$2:$A$9,0)),0)</f>
        <v>0.06</v>
      </c>
      <c r="R943" s="125">
        <f t="shared" si="43"/>
        <v>663.1386</v>
      </c>
      <c r="S943" s="78">
        <f t="shared" si="44"/>
        <v>45778</v>
      </c>
      <c r="T943" t="str">
        <f>IFERROR(VLOOKUP(B943,Sites!$A$2:$D$21,4,FALSE()),"Unknown")</f>
        <v>Sheffield</v>
      </c>
      <c r="U943" t="str">
        <f>IF(N943="OK","",COUNTIF($N$2:N943,"&lt;&gt;OK"))</f>
        <v/>
      </c>
      <c r="V943">
        <f>IF(OR(NOT(EXACT(E943,TRIM(Procurement_Raw!E943))),NOT(EXACT(F943,TRIM(Procurement_Raw!F943)))),1,0)</f>
        <v>0</v>
      </c>
    </row>
    <row r="944" spans="1:22" ht="15" customHeight="1" x14ac:dyDescent="0.25">
      <c r="A944" s="123">
        <f>Procurement_Raw!A944</f>
        <v>45874</v>
      </c>
      <c r="B944" t="str">
        <f>TRIM(Procurement_Raw!B944)</f>
        <v>S002</v>
      </c>
      <c r="C944" t="str">
        <f>Procurement_Raw!C944</f>
        <v>Manchester Care &amp; Education Centre</v>
      </c>
      <c r="D944" t="str">
        <f>Procurement_Raw!D944</f>
        <v>North</v>
      </c>
      <c r="E944" t="str">
        <f>IF(TRIM(Procurement_Raw!E944)="","",IFERROR(INDEX(Supplier_Lookup!$A$2:$A$25,MATCH(TRIM(Procurement_Raw!E944),Supplier_Lookup!$A$2:$A$25,0)),TRIM(Procurement_Raw!E944)))</f>
        <v>OfficePlus</v>
      </c>
      <c r="F944" t="str">
        <f>IFERROR(INDEX(Category_Targets!$A$2:$A$9,MATCH(TRIM(Procurement_Raw!F944),Category_Targets!$A$2:$A$9,0)),"Unmapped")</f>
        <v>Office &amp; Training</v>
      </c>
      <c r="G944" t="str">
        <f>TRIM(Procurement_Raw!G944)</f>
        <v>INV-2025-00943</v>
      </c>
      <c r="H944" s="77">
        <f>Procurement_Raw!H944</f>
        <v>38</v>
      </c>
      <c r="I944" s="124">
        <f>Procurement_Raw!I944</f>
        <v>107.24</v>
      </c>
      <c r="J944" s="125">
        <f>IF(Procurement_Raw!J944="","",Procurement_Raw!J944)</f>
        <v>4075.24</v>
      </c>
      <c r="K944" s="77">
        <f>Procurement_Raw!K944</f>
        <v>60</v>
      </c>
      <c r="L944" t="str">
        <f>Procurement_Raw!L944</f>
        <v>ERP</v>
      </c>
      <c r="M944" t="str">
        <f>Procurement_Raw!O944</f>
        <v>N</v>
      </c>
      <c r="N944" t="str">
        <f>IF(E944="","Missing supplier",IF(B944="","Missing site",IF(J944="","Missing spend",IF(COUNTIFS($G$2:G944,G944,$E$2:E944,E944,$J$2:J944,J944)&gt;1,"Duplicate invoice",IF(COUNTIF($G$2:$G$1801,G944)&gt;1,"Duplicate ID - review",IF(AND(P944&lt;&gt;"Unmapped",P944&lt;&gt;F944),"Category mismatch","OK"))))))</f>
        <v>OK</v>
      </c>
      <c r="O944" s="125">
        <f t="shared" si="42"/>
        <v>4075.24</v>
      </c>
      <c r="P944" t="str">
        <f>IF(E944="","Unmapped",IFERROR(INDEX(Supplier_Lookup!$B$2:$B$25,MATCH(E944,Supplier_Lookup!$A$2:$A$25,0)),"Unmapped"))</f>
        <v>Office &amp; Training</v>
      </c>
      <c r="Q944" s="76">
        <f>IFERROR(INDEX(Category_Targets!$B$2:$B$9,MATCH(F944,Category_Targets!$A$2:$A$9,0)),0)</f>
        <v>0.04</v>
      </c>
      <c r="R944" s="125">
        <f t="shared" si="43"/>
        <v>163.00960000000001</v>
      </c>
      <c r="S944" s="78">
        <f t="shared" si="44"/>
        <v>45870</v>
      </c>
      <c r="T944" t="str">
        <f>IFERROR(VLOOKUP(B944,Sites!$A$2:$D$21,4,FALSE()),"Unknown")</f>
        <v>Manchester</v>
      </c>
      <c r="U944" t="str">
        <f>IF(N944="OK","",COUNTIF($N$2:N944,"&lt;&gt;OK"))</f>
        <v/>
      </c>
      <c r="V944">
        <f>IF(OR(NOT(EXACT(E944,TRIM(Procurement_Raw!E944))),NOT(EXACT(F944,TRIM(Procurement_Raw!F944)))),1,0)</f>
        <v>0</v>
      </c>
    </row>
    <row r="945" spans="1:22" ht="15" customHeight="1" x14ac:dyDescent="0.25">
      <c r="A945" s="123">
        <f>Procurement_Raw!A945</f>
        <v>45988</v>
      </c>
      <c r="B945" t="str">
        <f>TRIM(Procurement_Raw!B945)</f>
        <v>S020</v>
      </c>
      <c r="C945" t="str">
        <f>Procurement_Raw!C945</f>
        <v>Bangor Care &amp; Education Centre</v>
      </c>
      <c r="D945" t="str">
        <f>Procurement_Raw!D945</f>
        <v>Wales</v>
      </c>
      <c r="E945" t="str">
        <f>IF(TRIM(Procurement_Raw!E945)="","",IFERROR(INDEX(Supplier_Lookup!$A$2:$A$25,MATCH(TRIM(Procurement_Raw!E945),Supplier_Lookup!$A$2:$A$25,0)),TRIM(Procurement_Raw!E945)))</f>
        <v>SafeGuard FM</v>
      </c>
      <c r="F945" t="str">
        <f>IFERROR(INDEX(Category_Targets!$A$2:$A$9,MATCH(TRIM(Procurement_Raw!F945),Category_Targets!$A$2:$A$9,0)),"Unmapped")</f>
        <v>Facilities</v>
      </c>
      <c r="G945" t="str">
        <f>TRIM(Procurement_Raw!G945)</f>
        <v>INV-2025-00944</v>
      </c>
      <c r="H945" s="77">
        <f>Procurement_Raw!H945</f>
        <v>58</v>
      </c>
      <c r="I945" s="124">
        <f>Procurement_Raw!I945</f>
        <v>170.44</v>
      </c>
      <c r="J945" s="125">
        <f>IF(Procurement_Raw!J945="","",Procurement_Raw!J945)</f>
        <v>9885.7800000000007</v>
      </c>
      <c r="K945" s="77">
        <f>Procurement_Raw!K945</f>
        <v>30</v>
      </c>
      <c r="L945" t="str">
        <f>Procurement_Raw!L945</f>
        <v>Legacy Spend File</v>
      </c>
      <c r="M945" t="str">
        <f>Procurement_Raw!O945</f>
        <v>N</v>
      </c>
      <c r="N945" t="str">
        <f>IF(E945="","Missing supplier",IF(B945="","Missing site",IF(J945="","Missing spend",IF(COUNTIFS($G$2:G945,G945,$E$2:E945,E945,$J$2:J945,J945)&gt;1,"Duplicate invoice",IF(COUNTIF($G$2:$G$1801,G945)&gt;1,"Duplicate ID - review",IF(AND(P945&lt;&gt;"Unmapped",P945&lt;&gt;F945),"Category mismatch","OK"))))))</f>
        <v>OK</v>
      </c>
      <c r="O945" s="125">
        <f t="shared" si="42"/>
        <v>9885.7800000000007</v>
      </c>
      <c r="P945" t="str">
        <f>IF(E945="","Unmapped",IFERROR(INDEX(Supplier_Lookup!$B$2:$B$25,MATCH(E945,Supplier_Lookup!$A$2:$A$25,0)),"Unmapped"))</f>
        <v>Facilities</v>
      </c>
      <c r="Q945" s="76">
        <f>IFERROR(INDEX(Category_Targets!$B$2:$B$9,MATCH(F945,Category_Targets!$A$2:$A$9,0)),0)</f>
        <v>0.05</v>
      </c>
      <c r="R945" s="125">
        <f t="shared" si="43"/>
        <v>494.28900000000004</v>
      </c>
      <c r="S945" s="78">
        <f t="shared" si="44"/>
        <v>45962</v>
      </c>
      <c r="T945" t="str">
        <f>IFERROR(VLOOKUP(B945,Sites!$A$2:$D$21,4,FALSE()),"Unknown")</f>
        <v>Bangor</v>
      </c>
      <c r="U945" t="str">
        <f>IF(N945="OK","",COUNTIF($N$2:N945,"&lt;&gt;OK"))</f>
        <v/>
      </c>
      <c r="V945">
        <f>IF(OR(NOT(EXACT(E945,TRIM(Procurement_Raw!E945))),NOT(EXACT(F945,TRIM(Procurement_Raw!F945)))),1,0)</f>
        <v>0</v>
      </c>
    </row>
    <row r="946" spans="1:22" ht="15" customHeight="1" x14ac:dyDescent="0.25">
      <c r="A946" s="123">
        <f>Procurement_Raw!A946</f>
        <v>45957</v>
      </c>
      <c r="B946" t="str">
        <f>TRIM(Procurement_Raw!B946)</f>
        <v>S009</v>
      </c>
      <c r="C946" t="str">
        <f>Procurement_Raw!C946</f>
        <v>Derby Care &amp; Education Centre</v>
      </c>
      <c r="D946" t="str">
        <f>Procurement_Raw!D946</f>
        <v>Midlands</v>
      </c>
      <c r="E946" t="str">
        <f>IF(TRIM(Procurement_Raw!E946)="","",IFERROR(INDEX(Supplier_Lookup!$A$2:$A$25,MATCH(TRIM(Procurement_Raw!E946),Supplier_Lookup!$A$2:$A$25,0)),TRIM(Procurement_Raw!E946)))</f>
        <v>FreshServe</v>
      </c>
      <c r="F946" t="str">
        <f>IFERROR(INDEX(Category_Targets!$A$2:$A$9,MATCH(TRIM(Procurement_Raw!F946),Category_Targets!$A$2:$A$9,0)),"Unmapped")</f>
        <v>Food &amp; Catering</v>
      </c>
      <c r="G946" t="str">
        <f>TRIM(Procurement_Raw!G946)</f>
        <v>INV-2025-00945</v>
      </c>
      <c r="H946" s="77">
        <f>Procurement_Raw!H946</f>
        <v>70</v>
      </c>
      <c r="I946" s="124">
        <f>Procurement_Raw!I946</f>
        <v>179.48</v>
      </c>
      <c r="J946" s="125">
        <f>IF(Procurement_Raw!J946="","",Procurement_Raw!J946)</f>
        <v>12563.27</v>
      </c>
      <c r="K946" s="77">
        <f>Procurement_Raw!K946</f>
        <v>30</v>
      </c>
      <c r="L946" t="str">
        <f>Procurement_Raw!L946</f>
        <v>Procurement Portal</v>
      </c>
      <c r="M946" t="str">
        <f>Procurement_Raw!O946</f>
        <v>Y</v>
      </c>
      <c r="N946" t="str">
        <f>IF(E946="","Missing supplier",IF(B946="","Missing site",IF(J946="","Missing spend",IF(COUNTIFS($G$2:G946,G946,$E$2:E946,E946,$J$2:J946,J946)&gt;1,"Duplicate invoice",IF(COUNTIF($G$2:$G$1801,G946)&gt;1,"Duplicate ID - review",IF(AND(P946&lt;&gt;"Unmapped",P946&lt;&gt;F946),"Category mismatch","OK"))))))</f>
        <v>OK</v>
      </c>
      <c r="O946" s="125">
        <f t="shared" si="42"/>
        <v>12563.27</v>
      </c>
      <c r="P946" t="str">
        <f>IF(E946="","Unmapped",IFERROR(INDEX(Supplier_Lookup!$B$2:$B$25,MATCH(E946,Supplier_Lookup!$A$2:$A$25,0)),"Unmapped"))</f>
        <v>Food &amp; Catering</v>
      </c>
      <c r="Q946" s="76">
        <f>IFERROR(INDEX(Category_Targets!$B$2:$B$9,MATCH(F946,Category_Targets!$A$2:$A$9,0)),0)</f>
        <v>0.04</v>
      </c>
      <c r="R946" s="125">
        <f t="shared" si="43"/>
        <v>502.53080000000006</v>
      </c>
      <c r="S946" s="78">
        <f t="shared" si="44"/>
        <v>45931</v>
      </c>
      <c r="T946" t="str">
        <f>IFERROR(VLOOKUP(B946,Sites!$A$2:$D$21,4,FALSE()),"Unknown")</f>
        <v>Derby</v>
      </c>
      <c r="U946" t="str">
        <f>IF(N946="OK","",COUNTIF($N$2:N946,"&lt;&gt;OK"))</f>
        <v/>
      </c>
      <c r="V946">
        <f>IF(OR(NOT(EXACT(E946,TRIM(Procurement_Raw!E946))),NOT(EXACT(F946,TRIM(Procurement_Raw!F946)))),1,0)</f>
        <v>0</v>
      </c>
    </row>
    <row r="947" spans="1:22" ht="15" customHeight="1" x14ac:dyDescent="0.25">
      <c r="A947" s="123">
        <f>Procurement_Raw!A947</f>
        <v>45670</v>
      </c>
      <c r="B947" t="str">
        <f>TRIM(Procurement_Raw!B947)</f>
        <v>S016</v>
      </c>
      <c r="C947" t="str">
        <f>Procurement_Raw!C947</f>
        <v>Cardiff Care &amp; Education Centre</v>
      </c>
      <c r="D947" t="str">
        <f>Procurement_Raw!D947</f>
        <v>Wales</v>
      </c>
      <c r="E947" t="str">
        <f>IF(TRIM(Procurement_Raw!E947)="","",IFERROR(INDEX(Supplier_Lookup!$A$2:$A$25,MATCH(TRIM(Procurement_Raw!E947),Supplier_Lookup!$A$2:$A$25,0)),TRIM(Procurement_Raw!E947)))</f>
        <v>RoadReady</v>
      </c>
      <c r="F947" t="str">
        <f>IFERROR(INDEX(Category_Targets!$A$2:$A$9,MATCH(TRIM(Procurement_Raw!F947),Category_Targets!$A$2:$A$9,0)),"Unmapped")</f>
        <v>Vehicle &amp; Fuel</v>
      </c>
      <c r="G947" t="str">
        <f>TRIM(Procurement_Raw!G947)</f>
        <v>INV-2025-00946</v>
      </c>
      <c r="H947" s="77">
        <f>Procurement_Raw!H947</f>
        <v>23</v>
      </c>
      <c r="I947" s="124">
        <f>Procurement_Raw!I947</f>
        <v>52.74</v>
      </c>
      <c r="J947" s="125">
        <f>IF(Procurement_Raw!J947="","",Procurement_Raw!J947)</f>
        <v>1212.97</v>
      </c>
      <c r="K947" s="77">
        <f>Procurement_Raw!K947</f>
        <v>45</v>
      </c>
      <c r="L947" t="str">
        <f>Procurement_Raw!L947</f>
        <v>Legacy Spend File</v>
      </c>
      <c r="M947" t="str">
        <f>Procurement_Raw!O947</f>
        <v>N</v>
      </c>
      <c r="N947" t="str">
        <f>IF(E947="","Missing supplier",IF(B947="","Missing site",IF(J947="","Missing spend",IF(COUNTIFS($G$2:G947,G947,$E$2:E947,E947,$J$2:J947,J947)&gt;1,"Duplicate invoice",IF(COUNTIF($G$2:$G$1801,G947)&gt;1,"Duplicate ID - review",IF(AND(P947&lt;&gt;"Unmapped",P947&lt;&gt;F947),"Category mismatch","OK"))))))</f>
        <v>OK</v>
      </c>
      <c r="O947" s="125">
        <f t="shared" si="42"/>
        <v>1212.97</v>
      </c>
      <c r="P947" t="str">
        <f>IF(E947="","Unmapped",IFERROR(INDEX(Supplier_Lookup!$B$2:$B$25,MATCH(E947,Supplier_Lookup!$A$2:$A$25,0)),"Unmapped"))</f>
        <v>Vehicle &amp; Fuel</v>
      </c>
      <c r="Q947" s="76">
        <f>IFERROR(INDEX(Category_Targets!$B$2:$B$9,MATCH(F947,Category_Targets!$A$2:$A$9,0)),0)</f>
        <v>0.05</v>
      </c>
      <c r="R947" s="125">
        <f t="shared" si="43"/>
        <v>60.648500000000006</v>
      </c>
      <c r="S947" s="78">
        <f t="shared" si="44"/>
        <v>45658</v>
      </c>
      <c r="T947" t="str">
        <f>IFERROR(VLOOKUP(B947,Sites!$A$2:$D$21,4,FALSE()),"Unknown")</f>
        <v>Cardiff</v>
      </c>
      <c r="U947" t="str">
        <f>IF(N947="OK","",COUNTIF($N$2:N947,"&lt;&gt;OK"))</f>
        <v/>
      </c>
      <c r="V947">
        <f>IF(OR(NOT(EXACT(E947,TRIM(Procurement_Raw!E947))),NOT(EXACT(F947,TRIM(Procurement_Raw!F947)))),1,0)</f>
        <v>0</v>
      </c>
    </row>
    <row r="948" spans="1:22" ht="15" customHeight="1" x14ac:dyDescent="0.25">
      <c r="A948" s="123">
        <f>Procurement_Raw!A948</f>
        <v>45704</v>
      </c>
      <c r="B948" t="str">
        <f>TRIM(Procurement_Raw!B948)</f>
        <v>S020</v>
      </c>
      <c r="C948" t="str">
        <f>Procurement_Raw!C948</f>
        <v>Bangor Care &amp; Education Centre</v>
      </c>
      <c r="D948" t="str">
        <f>Procurement_Raw!D948</f>
        <v>Wales</v>
      </c>
      <c r="E948" t="str">
        <f>IF(TRIM(Procurement_Raw!E948)="","",IFERROR(INDEX(Supplier_Lookup!$A$2:$A$25,MATCH(TRIM(Procurement_Raw!E948),Supplier_Lookup!$A$2:$A$25,0)),TRIM(Procurement_Raw!E948)))</f>
        <v>WaterGrid</v>
      </c>
      <c r="F948" t="str">
        <f>IFERROR(INDEX(Category_Targets!$A$2:$A$9,MATCH(TRIM(Procurement_Raw!F948),Category_Targets!$A$2:$A$9,0)),"Unmapped")</f>
        <v>Utilities</v>
      </c>
      <c r="G948" t="str">
        <f>TRIM(Procurement_Raw!G948)</f>
        <v>INV-2025-00947</v>
      </c>
      <c r="H948" s="77">
        <f>Procurement_Raw!H948</f>
        <v>33</v>
      </c>
      <c r="I948" s="124">
        <f>Procurement_Raw!I948</f>
        <v>108.03</v>
      </c>
      <c r="J948" s="125">
        <f>IF(Procurement_Raw!J948="","",Procurement_Raw!J948)</f>
        <v>3565.04</v>
      </c>
      <c r="K948" s="77">
        <f>Procurement_Raw!K948</f>
        <v>45</v>
      </c>
      <c r="L948" t="str">
        <f>Procurement_Raw!L948</f>
        <v>Legacy Spend File</v>
      </c>
      <c r="M948" t="str">
        <f>Procurement_Raw!O948</f>
        <v>N</v>
      </c>
      <c r="N948" t="str">
        <f>IF(E948="","Missing supplier",IF(B948="","Missing site",IF(J948="","Missing spend",IF(COUNTIFS($G$2:G948,G948,$E$2:E948,E948,$J$2:J948,J948)&gt;1,"Duplicate invoice",IF(COUNTIF($G$2:$G$1801,G948)&gt;1,"Duplicate ID - review",IF(AND(P948&lt;&gt;"Unmapped",P948&lt;&gt;F948),"Category mismatch","OK"))))))</f>
        <v>OK</v>
      </c>
      <c r="O948" s="125">
        <f t="shared" si="42"/>
        <v>3565.04</v>
      </c>
      <c r="P948" t="str">
        <f>IF(E948="","Unmapped",IFERROR(INDEX(Supplier_Lookup!$B$2:$B$25,MATCH(E948,Supplier_Lookup!$A$2:$A$25,0)),"Unmapped"))</f>
        <v>Utilities</v>
      </c>
      <c r="Q948" s="76">
        <f>IFERROR(INDEX(Category_Targets!$B$2:$B$9,MATCH(F948,Category_Targets!$A$2:$A$9,0)),0)</f>
        <v>0.03</v>
      </c>
      <c r="R948" s="125">
        <f t="shared" si="43"/>
        <v>106.9512</v>
      </c>
      <c r="S948" s="78">
        <f t="shared" si="44"/>
        <v>45689</v>
      </c>
      <c r="T948" t="str">
        <f>IFERROR(VLOOKUP(B948,Sites!$A$2:$D$21,4,FALSE()),"Unknown")</f>
        <v>Bangor</v>
      </c>
      <c r="U948" t="str">
        <f>IF(N948="OK","",COUNTIF($N$2:N948,"&lt;&gt;OK"))</f>
        <v/>
      </c>
      <c r="V948">
        <f>IF(OR(NOT(EXACT(E948,TRIM(Procurement_Raw!E948))),NOT(EXACT(F948,TRIM(Procurement_Raw!F948)))),1,0)</f>
        <v>0</v>
      </c>
    </row>
    <row r="949" spans="1:22" ht="15" customHeight="1" x14ac:dyDescent="0.25">
      <c r="A949" s="123">
        <f>Procurement_Raw!A949</f>
        <v>45721</v>
      </c>
      <c r="B949" t="str">
        <f>TRIM(Procurement_Raw!B949)</f>
        <v>S003</v>
      </c>
      <c r="C949" t="str">
        <f>Procurement_Raw!C949</f>
        <v>Leeds Care &amp; Education Centre</v>
      </c>
      <c r="D949" t="str">
        <f>Procurement_Raw!D949</f>
        <v>North</v>
      </c>
      <c r="E949" t="str">
        <f>IF(TRIM(Procurement_Raw!E949)="","",IFERROR(INDEX(Supplier_Lookup!$A$2:$A$25,MATCH(TRIM(Procurement_Raw!E949),Supplier_Lookup!$A$2:$A$25,0)),TRIM(Procurement_Raw!E949)))</f>
        <v>BuildCare</v>
      </c>
      <c r="F949" t="str">
        <f>IFERROR(INDEX(Category_Targets!$A$2:$A$9,MATCH(TRIM(Procurement_Raw!F949),Category_Targets!$A$2:$A$9,0)),"Unmapped")</f>
        <v>Facilities</v>
      </c>
      <c r="G949" t="str">
        <f>TRIM(Procurement_Raw!G949)</f>
        <v>INV-2025-00948</v>
      </c>
      <c r="H949" s="77">
        <f>Procurement_Raw!H949</f>
        <v>12</v>
      </c>
      <c r="I949" s="124">
        <f>Procurement_Raw!I949</f>
        <v>123.03</v>
      </c>
      <c r="J949" s="125">
        <f>IF(Procurement_Raw!J949="","",Procurement_Raw!J949)</f>
        <v>1476.33</v>
      </c>
      <c r="K949" s="77">
        <f>Procurement_Raw!K949</f>
        <v>30</v>
      </c>
      <c r="L949" t="str">
        <f>Procurement_Raw!L949</f>
        <v>Legacy Spend File</v>
      </c>
      <c r="M949" t="str">
        <f>Procurement_Raw!O949</f>
        <v>N</v>
      </c>
      <c r="N949" t="str">
        <f>IF(E949="","Missing supplier",IF(B949="","Missing site",IF(J949="","Missing spend",IF(COUNTIFS($G$2:G949,G949,$E$2:E949,E949,$J$2:J949,J949)&gt;1,"Duplicate invoice",IF(COUNTIF($G$2:$G$1801,G949)&gt;1,"Duplicate ID - review",IF(AND(P949&lt;&gt;"Unmapped",P949&lt;&gt;F949),"Category mismatch","OK"))))))</f>
        <v>OK</v>
      </c>
      <c r="O949" s="125">
        <f t="shared" si="42"/>
        <v>1476.33</v>
      </c>
      <c r="P949" t="str">
        <f>IF(E949="","Unmapped",IFERROR(INDEX(Supplier_Lookup!$B$2:$B$25,MATCH(E949,Supplier_Lookup!$A$2:$A$25,0)),"Unmapped"))</f>
        <v>Facilities</v>
      </c>
      <c r="Q949" s="76">
        <f>IFERROR(INDEX(Category_Targets!$B$2:$B$9,MATCH(F949,Category_Targets!$A$2:$A$9,0)),0)</f>
        <v>0.05</v>
      </c>
      <c r="R949" s="125">
        <f t="shared" si="43"/>
        <v>73.816500000000005</v>
      </c>
      <c r="S949" s="78">
        <f t="shared" si="44"/>
        <v>45717</v>
      </c>
      <c r="T949" t="str">
        <f>IFERROR(VLOOKUP(B949,Sites!$A$2:$D$21,4,FALSE()),"Unknown")</f>
        <v>Leeds</v>
      </c>
      <c r="U949" t="str">
        <f>IF(N949="OK","",COUNTIF($N$2:N949,"&lt;&gt;OK"))</f>
        <v/>
      </c>
      <c r="V949">
        <f>IF(OR(NOT(EXACT(E949,TRIM(Procurement_Raw!E949))),NOT(EXACT(F949,TRIM(Procurement_Raw!F949)))),1,0)</f>
        <v>0</v>
      </c>
    </row>
    <row r="950" spans="1:22" ht="15" customHeight="1" x14ac:dyDescent="0.25">
      <c r="A950" s="123">
        <f>Procurement_Raw!A950</f>
        <v>45926</v>
      </c>
      <c r="B950" t="str">
        <f>TRIM(Procurement_Raw!B950)</f>
        <v>S005</v>
      </c>
      <c r="C950" t="str">
        <f>Procurement_Raw!C950</f>
        <v>Sheffield Care &amp; Education Centre</v>
      </c>
      <c r="D950" t="str">
        <f>Procurement_Raw!D950</f>
        <v>North</v>
      </c>
      <c r="E950" t="str">
        <f>IF(TRIM(Procurement_Raw!E950)="","",IFERROR(INDEX(Supplier_Lookup!$A$2:$A$25,MATCH(TRIM(Procurement_Raw!E950),Supplier_Lookup!$A$2:$A$25,0)),TRIM(Procurement_Raw!E950)))</f>
        <v>FleetFuel</v>
      </c>
      <c r="F950" t="str">
        <f>IFERROR(INDEX(Category_Targets!$A$2:$A$9,MATCH(TRIM(Procurement_Raw!F950),Category_Targets!$A$2:$A$9,0)),"Unmapped")</f>
        <v>Vehicle &amp; Fuel</v>
      </c>
      <c r="G950" t="str">
        <f>TRIM(Procurement_Raw!G950)</f>
        <v>INV-2025-00949</v>
      </c>
      <c r="H950" s="77">
        <f>Procurement_Raw!H950</f>
        <v>50</v>
      </c>
      <c r="I950" s="124">
        <f>Procurement_Raw!I950</f>
        <v>92.65</v>
      </c>
      <c r="J950" s="125">
        <f>IF(Procurement_Raw!J950="","",Procurement_Raw!J950)</f>
        <v>4632.3900000000003</v>
      </c>
      <c r="K950" s="77">
        <f>Procurement_Raw!K950</f>
        <v>60</v>
      </c>
      <c r="L950" t="str">
        <f>Procurement_Raw!L950</f>
        <v>Legacy Spend File</v>
      </c>
      <c r="M950" t="str">
        <f>Procurement_Raw!O950</f>
        <v>Y</v>
      </c>
      <c r="N950" t="str">
        <f>IF(E950="","Missing supplier",IF(B950="","Missing site",IF(J950="","Missing spend",IF(COUNTIFS($G$2:G950,G950,$E$2:E950,E950,$J$2:J950,J950)&gt;1,"Duplicate invoice",IF(COUNTIF($G$2:$G$1801,G950)&gt;1,"Duplicate ID - review",IF(AND(P950&lt;&gt;"Unmapped",P950&lt;&gt;F950),"Category mismatch","OK"))))))</f>
        <v>OK</v>
      </c>
      <c r="O950" s="125">
        <f t="shared" si="42"/>
        <v>4632.3900000000003</v>
      </c>
      <c r="P950" t="str">
        <f>IF(E950="","Unmapped",IFERROR(INDEX(Supplier_Lookup!$B$2:$B$25,MATCH(E950,Supplier_Lookup!$A$2:$A$25,0)),"Unmapped"))</f>
        <v>Vehicle &amp; Fuel</v>
      </c>
      <c r="Q950" s="76">
        <f>IFERROR(INDEX(Category_Targets!$B$2:$B$9,MATCH(F950,Category_Targets!$A$2:$A$9,0)),0)</f>
        <v>0.05</v>
      </c>
      <c r="R950" s="125">
        <f t="shared" si="43"/>
        <v>231.61950000000002</v>
      </c>
      <c r="S950" s="78">
        <f t="shared" si="44"/>
        <v>45901</v>
      </c>
      <c r="T950" t="str">
        <f>IFERROR(VLOOKUP(B950,Sites!$A$2:$D$21,4,FALSE()),"Unknown")</f>
        <v>Sheffield</v>
      </c>
      <c r="U950" t="str">
        <f>IF(N950="OK","",COUNTIF($N$2:N950,"&lt;&gt;OK"))</f>
        <v/>
      </c>
      <c r="V950">
        <f>IF(OR(NOT(EXACT(E950,TRIM(Procurement_Raw!E950))),NOT(EXACT(F950,TRIM(Procurement_Raw!F950)))),1,0)</f>
        <v>0</v>
      </c>
    </row>
    <row r="951" spans="1:22" ht="15" customHeight="1" x14ac:dyDescent="0.25">
      <c r="A951" s="123">
        <f>Procurement_Raw!A951</f>
        <v>45939</v>
      </c>
      <c r="B951" t="str">
        <f>TRIM(Procurement_Raw!B951)</f>
        <v>S003</v>
      </c>
      <c r="C951" t="str">
        <f>Procurement_Raw!C951</f>
        <v>Leeds Care &amp; Education Centre</v>
      </c>
      <c r="D951" t="str">
        <f>Procurement_Raw!D951</f>
        <v>North</v>
      </c>
      <c r="E951" t="str">
        <f>IF(TRIM(Procurement_Raw!E951)="","",IFERROR(INDEX(Supplier_Lookup!$A$2:$A$25,MATCH(TRIM(Procurement_Raw!E951),Supplier_Lookup!$A$2:$A$25,0)),TRIM(Procurement_Raw!E951)))</f>
        <v>SafeGuard FM</v>
      </c>
      <c r="F951" t="str">
        <f>IFERROR(INDEX(Category_Targets!$A$2:$A$9,MATCH(TRIM(Procurement_Raw!F951),Category_Targets!$A$2:$A$9,0)),"Unmapped")</f>
        <v>Facilities</v>
      </c>
      <c r="G951" t="str">
        <f>TRIM(Procurement_Raw!G951)</f>
        <v>INV-2025-00950</v>
      </c>
      <c r="H951" s="77">
        <f>Procurement_Raw!H951</f>
        <v>49</v>
      </c>
      <c r="I951" s="124">
        <f>Procurement_Raw!I951</f>
        <v>205.78</v>
      </c>
      <c r="J951" s="125">
        <f>IF(Procurement_Raw!J951="","",Procurement_Raw!J951)</f>
        <v>10083.08</v>
      </c>
      <c r="K951" s="77">
        <f>Procurement_Raw!K951</f>
        <v>30</v>
      </c>
      <c r="L951" t="str">
        <f>Procurement_Raw!L951</f>
        <v>ERP</v>
      </c>
      <c r="M951" t="str">
        <f>Procurement_Raw!O951</f>
        <v>N</v>
      </c>
      <c r="N951" t="str">
        <f>IF(E951="","Missing supplier",IF(B951="","Missing site",IF(J951="","Missing spend",IF(COUNTIFS($G$2:G951,G951,$E$2:E951,E951,$J$2:J951,J951)&gt;1,"Duplicate invoice",IF(COUNTIF($G$2:$G$1801,G951)&gt;1,"Duplicate ID - review",IF(AND(P951&lt;&gt;"Unmapped",P951&lt;&gt;F951),"Category mismatch","OK"))))))</f>
        <v>OK</v>
      </c>
      <c r="O951" s="125">
        <f t="shared" si="42"/>
        <v>10083.08</v>
      </c>
      <c r="P951" t="str">
        <f>IF(E951="","Unmapped",IFERROR(INDEX(Supplier_Lookup!$B$2:$B$25,MATCH(E951,Supplier_Lookup!$A$2:$A$25,0)),"Unmapped"))</f>
        <v>Facilities</v>
      </c>
      <c r="Q951" s="76">
        <f>IFERROR(INDEX(Category_Targets!$B$2:$B$9,MATCH(F951,Category_Targets!$A$2:$A$9,0)),0)</f>
        <v>0.05</v>
      </c>
      <c r="R951" s="125">
        <f t="shared" si="43"/>
        <v>504.154</v>
      </c>
      <c r="S951" s="78">
        <f t="shared" si="44"/>
        <v>45931</v>
      </c>
      <c r="T951" t="str">
        <f>IFERROR(VLOOKUP(B951,Sites!$A$2:$D$21,4,FALSE()),"Unknown")</f>
        <v>Leeds</v>
      </c>
      <c r="U951" t="str">
        <f>IF(N951="OK","",COUNTIF($N$2:N951,"&lt;&gt;OK"))</f>
        <v/>
      </c>
      <c r="V951">
        <f>IF(OR(NOT(EXACT(E951,TRIM(Procurement_Raw!E951))),NOT(EXACT(F951,TRIM(Procurement_Raw!F951)))),1,0)</f>
        <v>0</v>
      </c>
    </row>
    <row r="952" spans="1:22" ht="15" customHeight="1" x14ac:dyDescent="0.25">
      <c r="A952" s="123">
        <f>Procurement_Raw!A952</f>
        <v>45732</v>
      </c>
      <c r="B952" t="str">
        <f>TRIM(Procurement_Raw!B952)</f>
        <v>S013</v>
      </c>
      <c r="C952" t="str">
        <f>Procurement_Raw!C952</f>
        <v>Reading Care &amp; Education Centre</v>
      </c>
      <c r="D952" t="str">
        <f>Procurement_Raw!D952</f>
        <v>South</v>
      </c>
      <c r="E952" t="str">
        <f>IF(TRIM(Procurement_Raw!E952)="","",IFERROR(INDEX(Supplier_Lookup!$A$2:$A$25,MATCH(TRIM(Procurement_Raw!E952),Supplier_Lookup!$A$2:$A$25,0)),TRIM(Procurement_Raw!E952)))</f>
        <v>CleanWorks</v>
      </c>
      <c r="F952" t="str">
        <f>IFERROR(INDEX(Category_Targets!$A$2:$A$9,MATCH(TRIM(Procurement_Raw!F952),Category_Targets!$A$2:$A$9,0)),"Unmapped")</f>
        <v>Facilities</v>
      </c>
      <c r="G952" t="str">
        <f>TRIM(Procurement_Raw!G952)</f>
        <v>INV-2025-00951</v>
      </c>
      <c r="H952" s="77">
        <f>Procurement_Raw!H952</f>
        <v>23</v>
      </c>
      <c r="I952" s="124">
        <f>Procurement_Raw!I952</f>
        <v>157.63</v>
      </c>
      <c r="J952" s="125">
        <f>IF(Procurement_Raw!J952="","",Procurement_Raw!J952)</f>
        <v>3625.59</v>
      </c>
      <c r="K952" s="77">
        <f>Procurement_Raw!K952</f>
        <v>60</v>
      </c>
      <c r="L952" t="str">
        <f>Procurement_Raw!L952</f>
        <v>ERP</v>
      </c>
      <c r="M952" t="str">
        <f>Procurement_Raw!O952</f>
        <v>Y</v>
      </c>
      <c r="N952" t="str">
        <f>IF(E952="","Missing supplier",IF(B952="","Missing site",IF(J952="","Missing spend",IF(COUNTIFS($G$2:G952,G952,$E$2:E952,E952,$J$2:J952,J952)&gt;1,"Duplicate invoice",IF(COUNTIF($G$2:$G$1801,G952)&gt;1,"Duplicate ID - review",IF(AND(P952&lt;&gt;"Unmapped",P952&lt;&gt;F952),"Category mismatch","OK"))))))</f>
        <v>OK</v>
      </c>
      <c r="O952" s="125">
        <f t="shared" si="42"/>
        <v>3625.59</v>
      </c>
      <c r="P952" t="str">
        <f>IF(E952="","Unmapped",IFERROR(INDEX(Supplier_Lookup!$B$2:$B$25,MATCH(E952,Supplier_Lookup!$A$2:$A$25,0)),"Unmapped"))</f>
        <v>Facilities</v>
      </c>
      <c r="Q952" s="76">
        <f>IFERROR(INDEX(Category_Targets!$B$2:$B$9,MATCH(F952,Category_Targets!$A$2:$A$9,0)),0)</f>
        <v>0.05</v>
      </c>
      <c r="R952" s="125">
        <f t="shared" si="43"/>
        <v>181.27950000000001</v>
      </c>
      <c r="S952" s="78">
        <f t="shared" si="44"/>
        <v>45717</v>
      </c>
      <c r="T952" t="str">
        <f>IFERROR(VLOOKUP(B952,Sites!$A$2:$D$21,4,FALSE()),"Unknown")</f>
        <v>Reading</v>
      </c>
      <c r="U952" t="str">
        <f>IF(N952="OK","",COUNTIF($N$2:N952,"&lt;&gt;OK"))</f>
        <v/>
      </c>
      <c r="V952">
        <f>IF(OR(NOT(EXACT(E952,TRIM(Procurement_Raw!E952))),NOT(EXACT(F952,TRIM(Procurement_Raw!F952)))),1,0)</f>
        <v>0</v>
      </c>
    </row>
    <row r="953" spans="1:22" ht="15" customHeight="1" x14ac:dyDescent="0.25">
      <c r="A953" s="123">
        <f>Procurement_Raw!A953</f>
        <v>45886</v>
      </c>
      <c r="B953" t="str">
        <f>TRIM(Procurement_Raw!B953)</f>
        <v>S007</v>
      </c>
      <c r="C953" t="str">
        <f>Procurement_Raw!C953</f>
        <v>Nottingham Care &amp; Education Centre</v>
      </c>
      <c r="D953" t="str">
        <f>Procurement_Raw!D953</f>
        <v>Midlands</v>
      </c>
      <c r="E953" t="str">
        <f>IF(TRIM(Procurement_Raw!E953)="","",IFERROR(INDEX(Supplier_Lookup!$A$2:$A$25,MATCH(TRIM(Procurement_Raw!E953),Supplier_Lookup!$A$2:$A$25,0)),TRIM(Procurement_Raw!E953)))</f>
        <v>TeleCare IT</v>
      </c>
      <c r="F953" t="str">
        <f>IFERROR(INDEX(Category_Targets!$A$2:$A$9,MATCH(TRIM(Procurement_Raw!F953),Category_Targets!$A$2:$A$9,0)),"Unmapped")</f>
        <v>IT &amp; Telecoms</v>
      </c>
      <c r="G953" t="str">
        <f>TRIM(Procurement_Raw!G953)</f>
        <v>INV-2025-00952</v>
      </c>
      <c r="H953" s="77">
        <f>Procurement_Raw!H953</f>
        <v>37</v>
      </c>
      <c r="I953" s="124">
        <f>Procurement_Raw!I953</f>
        <v>267</v>
      </c>
      <c r="J953" s="125">
        <f>IF(Procurement_Raw!J953="","",Procurement_Raw!J953)</f>
        <v>9879.09</v>
      </c>
      <c r="K953" s="77">
        <f>Procurement_Raw!K953</f>
        <v>60</v>
      </c>
      <c r="L953" t="str">
        <f>Procurement_Raw!L953</f>
        <v>ERP</v>
      </c>
      <c r="M953" t="str">
        <f>Procurement_Raw!O953</f>
        <v>N</v>
      </c>
      <c r="N953" t="str">
        <f>IF(E953="","Missing supplier",IF(B953="","Missing site",IF(J953="","Missing spend",IF(COUNTIFS($G$2:G953,G953,$E$2:E953,E953,$J$2:J953,J953)&gt;1,"Duplicate invoice",IF(COUNTIF($G$2:$G$1801,G953)&gt;1,"Duplicate ID - review",IF(AND(P953&lt;&gt;"Unmapped",P953&lt;&gt;F953),"Category mismatch","OK"))))))</f>
        <v>OK</v>
      </c>
      <c r="O953" s="125">
        <f t="shared" si="42"/>
        <v>9879.09</v>
      </c>
      <c r="P953" t="str">
        <f>IF(E953="","Unmapped",IFERROR(INDEX(Supplier_Lookup!$B$2:$B$25,MATCH(E953,Supplier_Lookup!$A$2:$A$25,0)),"Unmapped"))</f>
        <v>IT &amp; Telecoms</v>
      </c>
      <c r="Q953" s="76">
        <f>IFERROR(INDEX(Category_Targets!$B$2:$B$9,MATCH(F953,Category_Targets!$A$2:$A$9,0)),0)</f>
        <v>0.08</v>
      </c>
      <c r="R953" s="125">
        <f t="shared" si="43"/>
        <v>790.32720000000006</v>
      </c>
      <c r="S953" s="78">
        <f t="shared" si="44"/>
        <v>45870</v>
      </c>
      <c r="T953" t="str">
        <f>IFERROR(VLOOKUP(B953,Sites!$A$2:$D$21,4,FALSE()),"Unknown")</f>
        <v>Nottingham</v>
      </c>
      <c r="U953" t="str">
        <f>IF(N953="OK","",COUNTIF($N$2:N953,"&lt;&gt;OK"))</f>
        <v/>
      </c>
      <c r="V953">
        <f>IF(OR(NOT(EXACT(E953,TRIM(Procurement_Raw!E953))),NOT(EXACT(F953,TRIM(Procurement_Raw!F953)))),1,0)</f>
        <v>0</v>
      </c>
    </row>
    <row r="954" spans="1:22" ht="15" customHeight="1" x14ac:dyDescent="0.25">
      <c r="A954" s="123">
        <f>Procurement_Raw!A954</f>
        <v>45659</v>
      </c>
      <c r="B954" t="str">
        <f>TRIM(Procurement_Raw!B954)</f>
        <v>S002</v>
      </c>
      <c r="C954" t="str">
        <f>Procurement_Raw!C954</f>
        <v>Manchester Care &amp; Education Centre</v>
      </c>
      <c r="D954" t="str">
        <f>Procurement_Raw!D954</f>
        <v>North</v>
      </c>
      <c r="E954" t="str">
        <f>IF(TRIM(Procurement_Raw!E954)="","",IFERROR(INDEX(Supplier_Lookup!$A$2:$A$25,MATCH(TRIM(Procurement_Raw!E954),Supplier_Lookup!$A$2:$A$25,0)),TRIM(Procurement_Raw!E954)))</f>
        <v>CleanWorks</v>
      </c>
      <c r="F954" t="str">
        <f>IFERROR(INDEX(Category_Targets!$A$2:$A$9,MATCH(TRIM(Procurement_Raw!F954),Category_Targets!$A$2:$A$9,0)),"Unmapped")</f>
        <v>Facilities</v>
      </c>
      <c r="G954" t="str">
        <f>TRIM(Procurement_Raw!G954)</f>
        <v>INV-2025-00953</v>
      </c>
      <c r="H954" s="77">
        <f>Procurement_Raw!H954</f>
        <v>80</v>
      </c>
      <c r="I954" s="124">
        <f>Procurement_Raw!I954</f>
        <v>90.43</v>
      </c>
      <c r="J954" s="125">
        <f>IF(Procurement_Raw!J954="","",Procurement_Raw!J954)</f>
        <v>7234.65</v>
      </c>
      <c r="K954" s="77">
        <f>Procurement_Raw!K954</f>
        <v>45</v>
      </c>
      <c r="L954" t="str">
        <f>Procurement_Raw!L954</f>
        <v>ERP</v>
      </c>
      <c r="M954" t="str">
        <f>Procurement_Raw!O954</f>
        <v>Y</v>
      </c>
      <c r="N954" t="str">
        <f>IF(E954="","Missing supplier",IF(B954="","Missing site",IF(J954="","Missing spend",IF(COUNTIFS($G$2:G954,G954,$E$2:E954,E954,$J$2:J954,J954)&gt;1,"Duplicate invoice",IF(COUNTIF($G$2:$G$1801,G954)&gt;1,"Duplicate ID - review",IF(AND(P954&lt;&gt;"Unmapped",P954&lt;&gt;F954),"Category mismatch","OK"))))))</f>
        <v>OK</v>
      </c>
      <c r="O954" s="125">
        <f t="shared" si="42"/>
        <v>7234.65</v>
      </c>
      <c r="P954" t="str">
        <f>IF(E954="","Unmapped",IFERROR(INDEX(Supplier_Lookup!$B$2:$B$25,MATCH(E954,Supplier_Lookup!$A$2:$A$25,0)),"Unmapped"))</f>
        <v>Facilities</v>
      </c>
      <c r="Q954" s="76">
        <f>IFERROR(INDEX(Category_Targets!$B$2:$B$9,MATCH(F954,Category_Targets!$A$2:$A$9,0)),0)</f>
        <v>0.05</v>
      </c>
      <c r="R954" s="125">
        <f t="shared" si="43"/>
        <v>361.73250000000002</v>
      </c>
      <c r="S954" s="78">
        <f t="shared" si="44"/>
        <v>45658</v>
      </c>
      <c r="T954" t="str">
        <f>IFERROR(VLOOKUP(B954,Sites!$A$2:$D$21,4,FALSE()),"Unknown")</f>
        <v>Manchester</v>
      </c>
      <c r="U954" t="str">
        <f>IF(N954="OK","",COUNTIF($N$2:N954,"&lt;&gt;OK"))</f>
        <v/>
      </c>
      <c r="V954">
        <f>IF(OR(NOT(EXACT(E954,TRIM(Procurement_Raw!E954))),NOT(EXACT(F954,TRIM(Procurement_Raw!F954)))),1,0)</f>
        <v>0</v>
      </c>
    </row>
    <row r="955" spans="1:22" ht="15" customHeight="1" x14ac:dyDescent="0.25">
      <c r="A955" s="123">
        <f>Procurement_Raw!A955</f>
        <v>45936</v>
      </c>
      <c r="B955" t="str">
        <f>TRIM(Procurement_Raw!B955)</f>
        <v>S015</v>
      </c>
      <c r="C955" t="str">
        <f>Procurement_Raw!C955</f>
        <v>Brighton Care &amp; Education Centre</v>
      </c>
      <c r="D955" t="str">
        <f>Procurement_Raw!D955</f>
        <v>South</v>
      </c>
      <c r="E955" t="str">
        <f>IF(TRIM(Procurement_Raw!E955)="","",IFERROR(INDEX(Supplier_Lookup!$A$2:$A$25,MATCH(TRIM(Procurement_Raw!E955),Supplier_Lookup!$A$2:$A$25,0)),TRIM(Procurement_Raw!E955)))</f>
        <v>LearnWell</v>
      </c>
      <c r="F955" t="str">
        <f>IFERROR(INDEX(Category_Targets!$A$2:$A$9,MATCH(TRIM(Procurement_Raw!F955),Category_Targets!$A$2:$A$9,0)),"Unmapped")</f>
        <v>Office &amp; Training</v>
      </c>
      <c r="G955" t="str">
        <f>TRIM(Procurement_Raw!G955)</f>
        <v>INV-2025-00954</v>
      </c>
      <c r="H955" s="77">
        <f>Procurement_Raw!H955</f>
        <v>1</v>
      </c>
      <c r="I955" s="124">
        <f>Procurement_Raw!I955</f>
        <v>165.93</v>
      </c>
      <c r="J955" s="125">
        <f>IF(Procurement_Raw!J955="","",Procurement_Raw!J955)</f>
        <v>165.93</v>
      </c>
      <c r="K955" s="77">
        <f>Procurement_Raw!K955</f>
        <v>60</v>
      </c>
      <c r="L955" t="str">
        <f>Procurement_Raw!L955</f>
        <v>Procurement Portal</v>
      </c>
      <c r="M955" t="str">
        <f>Procurement_Raw!O955</f>
        <v>N</v>
      </c>
      <c r="N955" t="str">
        <f>IF(E955="","Missing supplier",IF(B955="","Missing site",IF(J955="","Missing spend",IF(COUNTIFS($G$2:G955,G955,$E$2:E955,E955,$J$2:J955,J955)&gt;1,"Duplicate invoice",IF(COUNTIF($G$2:$G$1801,G955)&gt;1,"Duplicate ID - review",IF(AND(P955&lt;&gt;"Unmapped",P955&lt;&gt;F955),"Category mismatch","OK"))))))</f>
        <v>OK</v>
      </c>
      <c r="O955" s="125">
        <f t="shared" si="42"/>
        <v>165.93</v>
      </c>
      <c r="P955" t="str">
        <f>IF(E955="","Unmapped",IFERROR(INDEX(Supplier_Lookup!$B$2:$B$25,MATCH(E955,Supplier_Lookup!$A$2:$A$25,0)),"Unmapped"))</f>
        <v>Office &amp; Training</v>
      </c>
      <c r="Q955" s="76">
        <f>IFERROR(INDEX(Category_Targets!$B$2:$B$9,MATCH(F955,Category_Targets!$A$2:$A$9,0)),0)</f>
        <v>0.04</v>
      </c>
      <c r="R955" s="125">
        <f t="shared" si="43"/>
        <v>6.6372</v>
      </c>
      <c r="S955" s="78">
        <f t="shared" si="44"/>
        <v>45931</v>
      </c>
      <c r="T955" t="str">
        <f>IFERROR(VLOOKUP(B955,Sites!$A$2:$D$21,4,FALSE()),"Unknown")</f>
        <v>Brighton</v>
      </c>
      <c r="U955" t="str">
        <f>IF(N955="OK","",COUNTIF($N$2:N955,"&lt;&gt;OK"))</f>
        <v/>
      </c>
      <c r="V955">
        <f>IF(OR(NOT(EXACT(E955,TRIM(Procurement_Raw!E955))),NOT(EXACT(F955,TRIM(Procurement_Raw!F955)))),1,0)</f>
        <v>0</v>
      </c>
    </row>
    <row r="956" spans="1:22" ht="15" customHeight="1" x14ac:dyDescent="0.25">
      <c r="A956" s="123">
        <f>Procurement_Raw!A956</f>
        <v>45995</v>
      </c>
      <c r="B956" t="str">
        <f>TRIM(Procurement_Raw!B956)</f>
        <v>S019</v>
      </c>
      <c r="C956" t="str">
        <f>Procurement_Raw!C956</f>
        <v>Wrexham Care &amp; Education Centre</v>
      </c>
      <c r="D956" t="str">
        <f>Procurement_Raw!D956</f>
        <v>Wales</v>
      </c>
      <c r="E956" t="str">
        <f>IF(TRIM(Procurement_Raw!E956)="","",IFERROR(INDEX(Supplier_Lookup!$A$2:$A$25,MATCH(TRIM(Procurement_Raw!E956),Supplier_Lookup!$A$2:$A$25,0)),TRIM(Procurement_Raw!E956)))</f>
        <v>PowerDirect</v>
      </c>
      <c r="F956" t="str">
        <f>IFERROR(INDEX(Category_Targets!$A$2:$A$9,MATCH(TRIM(Procurement_Raw!F956),Category_Targets!$A$2:$A$9,0)),"Unmapped")</f>
        <v>Utilities</v>
      </c>
      <c r="G956" t="str">
        <f>TRIM(Procurement_Raw!G956)</f>
        <v>INV-2025-00955</v>
      </c>
      <c r="H956" s="77">
        <f>Procurement_Raw!H956</f>
        <v>61</v>
      </c>
      <c r="I956" s="124">
        <f>Procurement_Raw!I956</f>
        <v>238.96</v>
      </c>
      <c r="J956" s="125">
        <f>IF(Procurement_Raw!J956="","",Procurement_Raw!J956)</f>
        <v>14576.29</v>
      </c>
      <c r="K956" s="77">
        <f>Procurement_Raw!K956</f>
        <v>45</v>
      </c>
      <c r="L956" t="str">
        <f>Procurement_Raw!L956</f>
        <v>Procurement Portal</v>
      </c>
      <c r="M956" t="str">
        <f>Procurement_Raw!O956</f>
        <v>N</v>
      </c>
      <c r="N956" t="str">
        <f>IF(E956="","Missing supplier",IF(B956="","Missing site",IF(J956="","Missing spend",IF(COUNTIFS($G$2:G956,G956,$E$2:E956,E956,$J$2:J956,J956)&gt;1,"Duplicate invoice",IF(COUNTIF($G$2:$G$1801,G956)&gt;1,"Duplicate ID - review",IF(AND(P956&lt;&gt;"Unmapped",P956&lt;&gt;F956),"Category mismatch","OK"))))))</f>
        <v>OK</v>
      </c>
      <c r="O956" s="125">
        <f t="shared" si="42"/>
        <v>14576.29</v>
      </c>
      <c r="P956" t="str">
        <f>IF(E956="","Unmapped",IFERROR(INDEX(Supplier_Lookup!$B$2:$B$25,MATCH(E956,Supplier_Lookup!$A$2:$A$25,0)),"Unmapped"))</f>
        <v>Utilities</v>
      </c>
      <c r="Q956" s="76">
        <f>IFERROR(INDEX(Category_Targets!$B$2:$B$9,MATCH(F956,Category_Targets!$A$2:$A$9,0)),0)</f>
        <v>0.03</v>
      </c>
      <c r="R956" s="125">
        <f t="shared" si="43"/>
        <v>437.28870000000001</v>
      </c>
      <c r="S956" s="78">
        <f t="shared" si="44"/>
        <v>45992</v>
      </c>
      <c r="T956" t="str">
        <f>IFERROR(VLOOKUP(B956,Sites!$A$2:$D$21,4,FALSE()),"Unknown")</f>
        <v>Wrexham</v>
      </c>
      <c r="U956" t="str">
        <f>IF(N956="OK","",COUNTIF($N$2:N956,"&lt;&gt;OK"))</f>
        <v/>
      </c>
      <c r="V956">
        <f>IF(OR(NOT(EXACT(E956,TRIM(Procurement_Raw!E956))),NOT(EXACT(F956,TRIM(Procurement_Raw!F956)))),1,0)</f>
        <v>0</v>
      </c>
    </row>
    <row r="957" spans="1:22" ht="15" customHeight="1" x14ac:dyDescent="0.25">
      <c r="A957" s="123">
        <f>Procurement_Raw!A957</f>
        <v>45965</v>
      </c>
      <c r="B957" t="str">
        <f>TRIM(Procurement_Raw!B957)</f>
        <v>S018</v>
      </c>
      <c r="C957" t="str">
        <f>Procurement_Raw!C957</f>
        <v>Newport Care &amp; Education Centre</v>
      </c>
      <c r="D957" t="str">
        <f>Procurement_Raw!D957</f>
        <v>Wales</v>
      </c>
      <c r="E957" t="str">
        <f>IF(TRIM(Procurement_Raw!E957)="","",IFERROR(INDEX(Supplier_Lookup!$A$2:$A$25,MATCH(TRIM(Procurement_Raw!E957),Supplier_Lookup!$A$2:$A$25,0)),TRIM(Procurement_Raw!E957)))</f>
        <v>KitchenPro</v>
      </c>
      <c r="F957" t="str">
        <f>IFERROR(INDEX(Category_Targets!$A$2:$A$9,MATCH(TRIM(Procurement_Raw!F957),Category_Targets!$A$2:$A$9,0)),"Unmapped")</f>
        <v>Food &amp; Catering</v>
      </c>
      <c r="G957" t="str">
        <f>TRIM(Procurement_Raw!G957)</f>
        <v>INV-2025-00956</v>
      </c>
      <c r="H957" s="77">
        <f>Procurement_Raw!H957</f>
        <v>1</v>
      </c>
      <c r="I957" s="124">
        <f>Procurement_Raw!I957</f>
        <v>120.17</v>
      </c>
      <c r="J957" s="125">
        <f>IF(Procurement_Raw!J957="","",Procurement_Raw!J957)</f>
        <v>120.17</v>
      </c>
      <c r="K957" s="77">
        <f>Procurement_Raw!K957</f>
        <v>30</v>
      </c>
      <c r="L957" t="str">
        <f>Procurement_Raw!L957</f>
        <v>Legacy Spend File</v>
      </c>
      <c r="M957" t="str">
        <f>Procurement_Raw!O957</f>
        <v>N</v>
      </c>
      <c r="N957" t="str">
        <f>IF(E957="","Missing supplier",IF(B957="","Missing site",IF(J957="","Missing spend",IF(COUNTIFS($G$2:G957,G957,$E$2:E957,E957,$J$2:J957,J957)&gt;1,"Duplicate invoice",IF(COUNTIF($G$2:$G$1801,G957)&gt;1,"Duplicate ID - review",IF(AND(P957&lt;&gt;"Unmapped",P957&lt;&gt;F957),"Category mismatch","OK"))))))</f>
        <v>OK</v>
      </c>
      <c r="O957" s="125">
        <f t="shared" si="42"/>
        <v>120.17</v>
      </c>
      <c r="P957" t="str">
        <f>IF(E957="","Unmapped",IFERROR(INDEX(Supplier_Lookup!$B$2:$B$25,MATCH(E957,Supplier_Lookup!$A$2:$A$25,0)),"Unmapped"))</f>
        <v>Food &amp; Catering</v>
      </c>
      <c r="Q957" s="76">
        <f>IFERROR(INDEX(Category_Targets!$B$2:$B$9,MATCH(F957,Category_Targets!$A$2:$A$9,0)),0)</f>
        <v>0.04</v>
      </c>
      <c r="R957" s="125">
        <f t="shared" si="43"/>
        <v>4.8068</v>
      </c>
      <c r="S957" s="78">
        <f t="shared" si="44"/>
        <v>45962</v>
      </c>
      <c r="T957" t="str">
        <f>IFERROR(VLOOKUP(B957,Sites!$A$2:$D$21,4,FALSE()),"Unknown")</f>
        <v>Newport</v>
      </c>
      <c r="U957" t="str">
        <f>IF(N957="OK","",COUNTIF($N$2:N957,"&lt;&gt;OK"))</f>
        <v/>
      </c>
      <c r="V957">
        <f>IF(OR(NOT(EXACT(E957,TRIM(Procurement_Raw!E957))),NOT(EXACT(F957,TRIM(Procurement_Raw!F957)))),1,0)</f>
        <v>0</v>
      </c>
    </row>
    <row r="958" spans="1:22" ht="15" customHeight="1" x14ac:dyDescent="0.25">
      <c r="A958" s="123">
        <f>Procurement_Raw!A958</f>
        <v>45752</v>
      </c>
      <c r="B958" t="str">
        <f>TRIM(Procurement_Raw!B958)</f>
        <v>S019</v>
      </c>
      <c r="C958" t="str">
        <f>Procurement_Raw!C958</f>
        <v>Wrexham Care &amp; Education Centre</v>
      </c>
      <c r="D958" t="str">
        <f>Procurement_Raw!D958</f>
        <v>Wales</v>
      </c>
      <c r="E958" t="str">
        <f>IF(TRIM(Procurement_Raw!E958)="","",IFERROR(INDEX(Supplier_Lookup!$A$2:$A$25,MATCH(TRIM(Procurement_Raw!E958),Supplier_Lookup!$A$2:$A$25,0)),TRIM(Procurement_Raw!E958)))</f>
        <v>UK Energy Partners</v>
      </c>
      <c r="F958" t="str">
        <f>IFERROR(INDEX(Category_Targets!$A$2:$A$9,MATCH(TRIM(Procurement_Raw!F958),Category_Targets!$A$2:$A$9,0)),"Unmapped")</f>
        <v>Utilities</v>
      </c>
      <c r="G958" t="str">
        <f>TRIM(Procurement_Raw!G958)</f>
        <v>INV-2025-00957</v>
      </c>
      <c r="H958" s="77">
        <f>Procurement_Raw!H958</f>
        <v>19</v>
      </c>
      <c r="I958" s="124">
        <f>Procurement_Raw!I958</f>
        <v>301.86</v>
      </c>
      <c r="J958" s="125">
        <f>IF(Procurement_Raw!J958="","",Procurement_Raw!J958)</f>
        <v>5735.32</v>
      </c>
      <c r="K958" s="77">
        <f>Procurement_Raw!K958</f>
        <v>30</v>
      </c>
      <c r="L958" t="str">
        <f>Procurement_Raw!L958</f>
        <v>Legacy Spend File</v>
      </c>
      <c r="M958" t="str">
        <f>Procurement_Raw!O958</f>
        <v>N</v>
      </c>
      <c r="N958" t="str">
        <f>IF(E958="","Missing supplier",IF(B958="","Missing site",IF(J958="","Missing spend",IF(COUNTIFS($G$2:G958,G958,$E$2:E958,E958,$J$2:J958,J958)&gt;1,"Duplicate invoice",IF(COUNTIF($G$2:$G$1801,G958)&gt;1,"Duplicate ID - review",IF(AND(P958&lt;&gt;"Unmapped",P958&lt;&gt;F958),"Category mismatch","OK"))))))</f>
        <v>OK</v>
      </c>
      <c r="O958" s="125">
        <f t="shared" si="42"/>
        <v>5735.32</v>
      </c>
      <c r="P958" t="str">
        <f>IF(E958="","Unmapped",IFERROR(INDEX(Supplier_Lookup!$B$2:$B$25,MATCH(E958,Supplier_Lookup!$A$2:$A$25,0)),"Unmapped"))</f>
        <v>Utilities</v>
      </c>
      <c r="Q958" s="76">
        <f>IFERROR(INDEX(Category_Targets!$B$2:$B$9,MATCH(F958,Category_Targets!$A$2:$A$9,0)),0)</f>
        <v>0.03</v>
      </c>
      <c r="R958" s="125">
        <f t="shared" si="43"/>
        <v>172.05959999999999</v>
      </c>
      <c r="S958" s="78">
        <f t="shared" si="44"/>
        <v>45748</v>
      </c>
      <c r="T958" t="str">
        <f>IFERROR(VLOOKUP(B958,Sites!$A$2:$D$21,4,FALSE()),"Unknown")</f>
        <v>Wrexham</v>
      </c>
      <c r="U958" t="str">
        <f>IF(N958="OK","",COUNTIF($N$2:N958,"&lt;&gt;OK"))</f>
        <v/>
      </c>
      <c r="V958">
        <f>IF(OR(NOT(EXACT(E958,TRIM(Procurement_Raw!E958))),NOT(EXACT(F958,TRIM(Procurement_Raw!F958)))),1,0)</f>
        <v>0</v>
      </c>
    </row>
    <row r="959" spans="1:22" ht="15" customHeight="1" x14ac:dyDescent="0.25">
      <c r="A959" s="123">
        <f>Procurement_Raw!A959</f>
        <v>45674</v>
      </c>
      <c r="B959" t="str">
        <f>TRIM(Procurement_Raw!B959)</f>
        <v>S018</v>
      </c>
      <c r="C959" t="str">
        <f>Procurement_Raw!C959</f>
        <v>Newport Care &amp; Education Centre</v>
      </c>
      <c r="D959" t="str">
        <f>Procurement_Raw!D959</f>
        <v>Wales</v>
      </c>
      <c r="E959" t="str">
        <f>IF(TRIM(Procurement_Raw!E959)="","",IFERROR(INDEX(Supplier_Lookup!$A$2:$A$25,MATCH(TRIM(Procurement_Raw!E959),Supplier_Lookup!$A$2:$A$25,0)),TRIM(Procurement_Raw!E959)))</f>
        <v>MediSure</v>
      </c>
      <c r="F959" t="str">
        <f>IFERROR(INDEX(Category_Targets!$A$2:$A$9,MATCH(TRIM(Procurement_Raw!F959),Category_Targets!$A$2:$A$9,0)),"Unmapped")</f>
        <v>Medical Supplies</v>
      </c>
      <c r="G959" t="str">
        <f>TRIM(Procurement_Raw!G959)</f>
        <v>INV-2025-00958</v>
      </c>
      <c r="H959" s="77">
        <f>Procurement_Raw!H959</f>
        <v>74</v>
      </c>
      <c r="I959" s="124">
        <f>Procurement_Raw!I959</f>
        <v>154.27000000000001</v>
      </c>
      <c r="J959" s="125">
        <f>IF(Procurement_Raw!J959="","",Procurement_Raw!J959)</f>
        <v>11416</v>
      </c>
      <c r="K959" s="77">
        <f>Procurement_Raw!K959</f>
        <v>60</v>
      </c>
      <c r="L959" t="str">
        <f>Procurement_Raw!L959</f>
        <v>Procurement Portal</v>
      </c>
      <c r="M959" t="str">
        <f>Procurement_Raw!O959</f>
        <v>Y</v>
      </c>
      <c r="N959" t="str">
        <f>IF(E959="","Missing supplier",IF(B959="","Missing site",IF(J959="","Missing spend",IF(COUNTIFS($G$2:G959,G959,$E$2:E959,E959,$J$2:J959,J959)&gt;1,"Duplicate invoice",IF(COUNTIF($G$2:$G$1801,G959)&gt;1,"Duplicate ID - review",IF(AND(P959&lt;&gt;"Unmapped",P959&lt;&gt;F959),"Category mismatch","OK"))))))</f>
        <v>OK</v>
      </c>
      <c r="O959" s="125">
        <f t="shared" si="42"/>
        <v>11416</v>
      </c>
      <c r="P959" t="str">
        <f>IF(E959="","Unmapped",IFERROR(INDEX(Supplier_Lookup!$B$2:$B$25,MATCH(E959,Supplier_Lookup!$A$2:$A$25,0)),"Unmapped"))</f>
        <v>Medical Supplies</v>
      </c>
      <c r="Q959" s="76">
        <f>IFERROR(INDEX(Category_Targets!$B$2:$B$9,MATCH(F959,Category_Targets!$A$2:$A$9,0)),0)</f>
        <v>0.06</v>
      </c>
      <c r="R959" s="125">
        <f t="shared" si="43"/>
        <v>684.95999999999992</v>
      </c>
      <c r="S959" s="78">
        <f t="shared" si="44"/>
        <v>45658</v>
      </c>
      <c r="T959" t="str">
        <f>IFERROR(VLOOKUP(B959,Sites!$A$2:$D$21,4,FALSE()),"Unknown")</f>
        <v>Newport</v>
      </c>
      <c r="U959" t="str">
        <f>IF(N959="OK","",COUNTIF($N$2:N959,"&lt;&gt;OK"))</f>
        <v/>
      </c>
      <c r="V959">
        <f>IF(OR(NOT(EXACT(E959,TRIM(Procurement_Raw!E959))),NOT(EXACT(F959,TRIM(Procurement_Raw!F959)))),1,0)</f>
        <v>0</v>
      </c>
    </row>
    <row r="960" spans="1:22" ht="15" customHeight="1" x14ac:dyDescent="0.25">
      <c r="A960" s="123">
        <f>Procurement_Raw!A960</f>
        <v>45713</v>
      </c>
      <c r="B960" t="str">
        <f>TRIM(Procurement_Raw!B960)</f>
        <v>S011</v>
      </c>
      <c r="C960" t="str">
        <f>Procurement_Raw!C960</f>
        <v>London Care &amp; Education Centre</v>
      </c>
      <c r="D960" t="str">
        <f>Procurement_Raw!D960</f>
        <v>South</v>
      </c>
      <c r="E960" t="str">
        <f>IF(TRIM(Procurement_Raw!E960)="","",IFERROR(INDEX(Supplier_Lookup!$A$2:$A$25,MATCH(TRIM(Procurement_Raw!E960),Supplier_Lookup!$A$2:$A$25,0)),TRIM(Procurement_Raw!E960)))</f>
        <v>FreshServe</v>
      </c>
      <c r="F960" t="str">
        <f>IFERROR(INDEX(Category_Targets!$A$2:$A$9,MATCH(TRIM(Procurement_Raw!F960),Category_Targets!$A$2:$A$9,0)),"Unmapped")</f>
        <v>Food &amp; Catering</v>
      </c>
      <c r="G960" t="str">
        <f>TRIM(Procurement_Raw!G960)</f>
        <v>INV-2025-00959</v>
      </c>
      <c r="H960" s="77">
        <f>Procurement_Raw!H960</f>
        <v>54</v>
      </c>
      <c r="I960" s="124">
        <f>Procurement_Raw!I960</f>
        <v>88.92</v>
      </c>
      <c r="J960" s="125">
        <f>IF(Procurement_Raw!J960="","",Procurement_Raw!J960)</f>
        <v>4801.79</v>
      </c>
      <c r="K960" s="77">
        <f>Procurement_Raw!K960</f>
        <v>30</v>
      </c>
      <c r="L960" t="str">
        <f>Procurement_Raw!L960</f>
        <v>ERP</v>
      </c>
      <c r="M960" t="str">
        <f>Procurement_Raw!O960</f>
        <v>Y</v>
      </c>
      <c r="N960" t="str">
        <f>IF(E960="","Missing supplier",IF(B960="","Missing site",IF(J960="","Missing spend",IF(COUNTIFS($G$2:G960,G960,$E$2:E960,E960,$J$2:J960,J960)&gt;1,"Duplicate invoice",IF(COUNTIF($G$2:$G$1801,G960)&gt;1,"Duplicate ID - review",IF(AND(P960&lt;&gt;"Unmapped",P960&lt;&gt;F960),"Category mismatch","OK"))))))</f>
        <v>OK</v>
      </c>
      <c r="O960" s="125">
        <f t="shared" si="42"/>
        <v>4801.79</v>
      </c>
      <c r="P960" t="str">
        <f>IF(E960="","Unmapped",IFERROR(INDEX(Supplier_Lookup!$B$2:$B$25,MATCH(E960,Supplier_Lookup!$A$2:$A$25,0)),"Unmapped"))</f>
        <v>Food &amp; Catering</v>
      </c>
      <c r="Q960" s="76">
        <f>IFERROR(INDEX(Category_Targets!$B$2:$B$9,MATCH(F960,Category_Targets!$A$2:$A$9,0)),0)</f>
        <v>0.04</v>
      </c>
      <c r="R960" s="125">
        <f t="shared" si="43"/>
        <v>192.07159999999999</v>
      </c>
      <c r="S960" s="78">
        <f t="shared" si="44"/>
        <v>45689</v>
      </c>
      <c r="T960" t="str">
        <f>IFERROR(VLOOKUP(B960,Sites!$A$2:$D$21,4,FALSE()),"Unknown")</f>
        <v>London</v>
      </c>
      <c r="U960" t="str">
        <f>IF(N960="OK","",COUNTIF($N$2:N960,"&lt;&gt;OK"))</f>
        <v/>
      </c>
      <c r="V960">
        <f>IF(OR(NOT(EXACT(E960,TRIM(Procurement_Raw!E960))),NOT(EXACT(F960,TRIM(Procurement_Raw!F960)))),1,0)</f>
        <v>0</v>
      </c>
    </row>
    <row r="961" spans="1:22" ht="15" customHeight="1" x14ac:dyDescent="0.25">
      <c r="A961" s="123">
        <f>Procurement_Raw!A961</f>
        <v>45996</v>
      </c>
      <c r="B961" t="str">
        <f>TRIM(Procurement_Raw!B961)</f>
        <v>S019</v>
      </c>
      <c r="C961" t="str">
        <f>Procurement_Raw!C961</f>
        <v>Wrexham Care &amp; Education Centre</v>
      </c>
      <c r="D961" t="str">
        <f>Procurement_Raw!D961</f>
        <v>Wales</v>
      </c>
      <c r="E961" t="str">
        <f>IF(TRIM(Procurement_Raw!E961)="","",IFERROR(INDEX(Supplier_Lookup!$A$2:$A$25,MATCH(TRIM(Procurement_Raw!E961),Supplier_Lookup!$A$2:$A$25,0)),TRIM(Procurement_Raw!E961)))</f>
        <v>NetServe</v>
      </c>
      <c r="F961" t="str">
        <f>IFERROR(INDEX(Category_Targets!$A$2:$A$9,MATCH(TRIM(Procurement_Raw!F961),Category_Targets!$A$2:$A$9,0)),"Unmapped")</f>
        <v>IT &amp; Telecoms</v>
      </c>
      <c r="G961" t="str">
        <f>TRIM(Procurement_Raw!G961)</f>
        <v>INV-2025-00960</v>
      </c>
      <c r="H961" s="77">
        <f>Procurement_Raw!H961</f>
        <v>77</v>
      </c>
      <c r="I961" s="124">
        <f>Procurement_Raw!I961</f>
        <v>281.43</v>
      </c>
      <c r="J961" s="125">
        <f>IF(Procurement_Raw!J961="","",Procurement_Raw!J961)</f>
        <v>21669.75</v>
      </c>
      <c r="K961" s="77">
        <f>Procurement_Raw!K961</f>
        <v>60</v>
      </c>
      <c r="L961" t="str">
        <f>Procurement_Raw!L961</f>
        <v>Legacy Spend File</v>
      </c>
      <c r="M961" t="str">
        <f>Procurement_Raw!O961</f>
        <v>N</v>
      </c>
      <c r="N961" t="str">
        <f>IF(E961="","Missing supplier",IF(B961="","Missing site",IF(J961="","Missing spend",IF(COUNTIFS($G$2:G961,G961,$E$2:E961,E961,$J$2:J961,J961)&gt;1,"Duplicate invoice",IF(COUNTIF($G$2:$G$1801,G961)&gt;1,"Duplicate ID - review",IF(AND(P961&lt;&gt;"Unmapped",P961&lt;&gt;F961),"Category mismatch","OK"))))))</f>
        <v>OK</v>
      </c>
      <c r="O961" s="125">
        <f t="shared" si="42"/>
        <v>21669.75</v>
      </c>
      <c r="P961" t="str">
        <f>IF(E961="","Unmapped",IFERROR(INDEX(Supplier_Lookup!$B$2:$B$25,MATCH(E961,Supplier_Lookup!$A$2:$A$25,0)),"Unmapped"))</f>
        <v>IT &amp; Telecoms</v>
      </c>
      <c r="Q961" s="76">
        <f>IFERROR(INDEX(Category_Targets!$B$2:$B$9,MATCH(F961,Category_Targets!$A$2:$A$9,0)),0)</f>
        <v>0.08</v>
      </c>
      <c r="R961" s="125">
        <f t="shared" si="43"/>
        <v>1733.58</v>
      </c>
      <c r="S961" s="78">
        <f t="shared" si="44"/>
        <v>45992</v>
      </c>
      <c r="T961" t="str">
        <f>IFERROR(VLOOKUP(B961,Sites!$A$2:$D$21,4,FALSE()),"Unknown")</f>
        <v>Wrexham</v>
      </c>
      <c r="U961" t="str">
        <f>IF(N961="OK","",COUNTIF($N$2:N961,"&lt;&gt;OK"))</f>
        <v/>
      </c>
      <c r="V961">
        <f>IF(OR(NOT(EXACT(E961,TRIM(Procurement_Raw!E961))),NOT(EXACT(F961,TRIM(Procurement_Raw!F961)))),1,0)</f>
        <v>1</v>
      </c>
    </row>
    <row r="962" spans="1:22" ht="15" customHeight="1" x14ac:dyDescent="0.25">
      <c r="A962" s="123">
        <f>Procurement_Raw!A962</f>
        <v>45954</v>
      </c>
      <c r="B962" t="str">
        <f>TRIM(Procurement_Raw!B962)</f>
        <v>S008</v>
      </c>
      <c r="C962" t="str">
        <f>Procurement_Raw!C962</f>
        <v>Leicester Care &amp; Education Centre</v>
      </c>
      <c r="D962" t="str">
        <f>Procurement_Raw!D962</f>
        <v>Midlands</v>
      </c>
      <c r="E962" t="str">
        <f>IF(TRIM(Procurement_Raw!E962)="","",IFERROR(INDEX(Supplier_Lookup!$A$2:$A$25,MATCH(TRIM(Procurement_Raw!E962),Supplier_Lookup!$A$2:$A$25,0)),TRIM(Procurement_Raw!E962)))</f>
        <v>PrintCo</v>
      </c>
      <c r="F962" t="str">
        <f>IFERROR(INDEX(Category_Targets!$A$2:$A$9,MATCH(TRIM(Procurement_Raw!F962),Category_Targets!$A$2:$A$9,0)),"Unmapped")</f>
        <v>Office &amp; Training</v>
      </c>
      <c r="G962" t="str">
        <f>TRIM(Procurement_Raw!G962)</f>
        <v>INV-2025-00961</v>
      </c>
      <c r="H962" s="77">
        <f>Procurement_Raw!H962</f>
        <v>47</v>
      </c>
      <c r="I962" s="124">
        <f>Procurement_Raw!I962</f>
        <v>106.8</v>
      </c>
      <c r="J962" s="125">
        <f>IF(Procurement_Raw!J962="","",Procurement_Raw!J962)</f>
        <v>5019.74</v>
      </c>
      <c r="K962" s="77">
        <f>Procurement_Raw!K962</f>
        <v>30</v>
      </c>
      <c r="L962" t="str">
        <f>Procurement_Raw!L962</f>
        <v>ERP</v>
      </c>
      <c r="M962" t="str">
        <f>Procurement_Raw!O962</f>
        <v>N</v>
      </c>
      <c r="N962" t="str">
        <f>IF(E962="","Missing supplier",IF(B962="","Missing site",IF(J962="","Missing spend",IF(COUNTIFS($G$2:G962,G962,$E$2:E962,E962,$J$2:J962,J962)&gt;1,"Duplicate invoice",IF(COUNTIF($G$2:$G$1801,G962)&gt;1,"Duplicate ID - review",IF(AND(P962&lt;&gt;"Unmapped",P962&lt;&gt;F962),"Category mismatch","OK"))))))</f>
        <v>OK</v>
      </c>
      <c r="O962" s="125">
        <f t="shared" ref="O962:O1025" si="45">IF(OR(N962="Missing spend",N962="Duplicate invoice"),0,J962)</f>
        <v>5019.74</v>
      </c>
      <c r="P962" t="str">
        <f>IF(E962="","Unmapped",IFERROR(INDEX(Supplier_Lookup!$B$2:$B$25,MATCH(E962,Supplier_Lookup!$A$2:$A$25,0)),"Unmapped"))</f>
        <v>Office &amp; Training</v>
      </c>
      <c r="Q962" s="76">
        <f>IFERROR(INDEX(Category_Targets!$B$2:$B$9,MATCH(F962,Category_Targets!$A$2:$A$9,0)),0)</f>
        <v>0.04</v>
      </c>
      <c r="R962" s="125">
        <f t="shared" ref="R962:R1025" si="46">O962*Q962</f>
        <v>200.78960000000001</v>
      </c>
      <c r="S962" s="78">
        <f t="shared" ref="S962:S1025" si="47">DATE(YEAR(A962),MONTH(A962),1)</f>
        <v>45931</v>
      </c>
      <c r="T962" t="str">
        <f>IFERROR(VLOOKUP(B962,Sites!$A$2:$D$21,4,FALSE()),"Unknown")</f>
        <v>Leicester</v>
      </c>
      <c r="U962" t="str">
        <f>IF(N962="OK","",COUNTIF($N$2:N962,"&lt;&gt;OK"))</f>
        <v/>
      </c>
      <c r="V962">
        <f>IF(OR(NOT(EXACT(E962,TRIM(Procurement_Raw!E962))),NOT(EXACT(F962,TRIM(Procurement_Raw!F962)))),1,0)</f>
        <v>0</v>
      </c>
    </row>
    <row r="963" spans="1:22" ht="15" customHeight="1" x14ac:dyDescent="0.25">
      <c r="A963" s="123">
        <f>Procurement_Raw!A963</f>
        <v>45852</v>
      </c>
      <c r="B963" t="str">
        <f>TRIM(Procurement_Raw!B963)</f>
        <v>S020</v>
      </c>
      <c r="C963" t="str">
        <f>Procurement_Raw!C963</f>
        <v>Bangor Care &amp; Education Centre</v>
      </c>
      <c r="D963" t="str">
        <f>Procurement_Raw!D963</f>
        <v>Wales</v>
      </c>
      <c r="E963" t="str">
        <f>IF(TRIM(Procurement_Raw!E963)="","",IFERROR(INDEX(Supplier_Lookup!$A$2:$A$25,MATCH(TRIM(Procurement_Raw!E963),Supplier_Lookup!$A$2:$A$25,0)),TRIM(Procurement_Raw!E963)))</f>
        <v>RoadReady</v>
      </c>
      <c r="F963" t="str">
        <f>IFERROR(INDEX(Category_Targets!$A$2:$A$9,MATCH(TRIM(Procurement_Raw!F963),Category_Targets!$A$2:$A$9,0)),"Unmapped")</f>
        <v>Vehicle &amp; Fuel</v>
      </c>
      <c r="G963" t="str">
        <f>TRIM(Procurement_Raw!G963)</f>
        <v>INV-2025-00962</v>
      </c>
      <c r="H963" s="77">
        <f>Procurement_Raw!H963</f>
        <v>9</v>
      </c>
      <c r="I963" s="124">
        <f>Procurement_Raw!I963</f>
        <v>197.34</v>
      </c>
      <c r="J963" s="125">
        <f>IF(Procurement_Raw!J963="","",Procurement_Raw!J963)</f>
        <v>1776.03</v>
      </c>
      <c r="K963" s="77">
        <f>Procurement_Raw!K963</f>
        <v>45</v>
      </c>
      <c r="L963" t="str">
        <f>Procurement_Raw!L963</f>
        <v>Legacy Spend File</v>
      </c>
      <c r="M963" t="str">
        <f>Procurement_Raw!O963</f>
        <v>N</v>
      </c>
      <c r="N963" t="str">
        <f>IF(E963="","Missing supplier",IF(B963="","Missing site",IF(J963="","Missing spend",IF(COUNTIFS($G$2:G963,G963,$E$2:E963,E963,$J$2:J963,J963)&gt;1,"Duplicate invoice",IF(COUNTIF($G$2:$G$1801,G963)&gt;1,"Duplicate ID - review",IF(AND(P963&lt;&gt;"Unmapped",P963&lt;&gt;F963),"Category mismatch","OK"))))))</f>
        <v>OK</v>
      </c>
      <c r="O963" s="125">
        <f t="shared" si="45"/>
        <v>1776.03</v>
      </c>
      <c r="P963" t="str">
        <f>IF(E963="","Unmapped",IFERROR(INDEX(Supplier_Lookup!$B$2:$B$25,MATCH(E963,Supplier_Lookup!$A$2:$A$25,0)),"Unmapped"))</f>
        <v>Vehicle &amp; Fuel</v>
      </c>
      <c r="Q963" s="76">
        <f>IFERROR(INDEX(Category_Targets!$B$2:$B$9,MATCH(F963,Category_Targets!$A$2:$A$9,0)),0)</f>
        <v>0.05</v>
      </c>
      <c r="R963" s="125">
        <f t="shared" si="46"/>
        <v>88.801500000000004</v>
      </c>
      <c r="S963" s="78">
        <f t="shared" si="47"/>
        <v>45839</v>
      </c>
      <c r="T963" t="str">
        <f>IFERROR(VLOOKUP(B963,Sites!$A$2:$D$21,4,FALSE()),"Unknown")</f>
        <v>Bangor</v>
      </c>
      <c r="U963" t="str">
        <f>IF(N963="OK","",COUNTIF($N$2:N963,"&lt;&gt;OK"))</f>
        <v/>
      </c>
      <c r="V963">
        <f>IF(OR(NOT(EXACT(E963,TRIM(Procurement_Raw!E963))),NOT(EXACT(F963,TRIM(Procurement_Raw!F963)))),1,0)</f>
        <v>0</v>
      </c>
    </row>
    <row r="964" spans="1:22" ht="15" customHeight="1" x14ac:dyDescent="0.25">
      <c r="A964" s="123">
        <f>Procurement_Raw!A964</f>
        <v>45726</v>
      </c>
      <c r="B964" t="str">
        <f>TRIM(Procurement_Raw!B964)</f>
        <v>S014</v>
      </c>
      <c r="C964" t="str">
        <f>Procurement_Raw!C964</f>
        <v>Southampton Care &amp; Education Centre</v>
      </c>
      <c r="D964" t="str">
        <f>Procurement_Raw!D964</f>
        <v>South</v>
      </c>
      <c r="E964" t="str">
        <f>IF(TRIM(Procurement_Raw!E964)="","",IFERROR(INDEX(Supplier_Lookup!$A$2:$A$25,MATCH(TRIM(Procurement_Raw!E964),Supplier_Lookup!$A$2:$A$25,0)),TRIM(Procurement_Raw!E964)))</f>
        <v>TeleCare IT</v>
      </c>
      <c r="F964" t="str">
        <f>IFERROR(INDEX(Category_Targets!$A$2:$A$9,MATCH(TRIM(Procurement_Raw!F964),Category_Targets!$A$2:$A$9,0)),"Unmapped")</f>
        <v>IT &amp; Telecoms</v>
      </c>
      <c r="G964" t="str">
        <f>TRIM(Procurement_Raw!G964)</f>
        <v>INV-2025-00963</v>
      </c>
      <c r="H964" s="77">
        <f>Procurement_Raw!H964</f>
        <v>16</v>
      </c>
      <c r="I964" s="124">
        <f>Procurement_Raw!I964</f>
        <v>245.11</v>
      </c>
      <c r="J964" s="125">
        <f>IF(Procurement_Raw!J964="","",Procurement_Raw!J964)</f>
        <v>3921.79</v>
      </c>
      <c r="K964" s="77">
        <f>Procurement_Raw!K964</f>
        <v>60</v>
      </c>
      <c r="L964" t="str">
        <f>Procurement_Raw!L964</f>
        <v>Procurement Portal</v>
      </c>
      <c r="M964" t="str">
        <f>Procurement_Raw!O964</f>
        <v>N</v>
      </c>
      <c r="N964" t="str">
        <f>IF(E964="","Missing supplier",IF(B964="","Missing site",IF(J964="","Missing spend",IF(COUNTIFS($G$2:G964,G964,$E$2:E964,E964,$J$2:J964,J964)&gt;1,"Duplicate invoice",IF(COUNTIF($G$2:$G$1801,G964)&gt;1,"Duplicate ID - review",IF(AND(P964&lt;&gt;"Unmapped",P964&lt;&gt;F964),"Category mismatch","OK"))))))</f>
        <v>OK</v>
      </c>
      <c r="O964" s="125">
        <f t="shared" si="45"/>
        <v>3921.79</v>
      </c>
      <c r="P964" t="str">
        <f>IF(E964="","Unmapped",IFERROR(INDEX(Supplier_Lookup!$B$2:$B$25,MATCH(E964,Supplier_Lookup!$A$2:$A$25,0)),"Unmapped"))</f>
        <v>IT &amp; Telecoms</v>
      </c>
      <c r="Q964" s="76">
        <f>IFERROR(INDEX(Category_Targets!$B$2:$B$9,MATCH(F964,Category_Targets!$A$2:$A$9,0)),0)</f>
        <v>0.08</v>
      </c>
      <c r="R964" s="125">
        <f t="shared" si="46"/>
        <v>313.7432</v>
      </c>
      <c r="S964" s="78">
        <f t="shared" si="47"/>
        <v>45717</v>
      </c>
      <c r="T964" t="str">
        <f>IFERROR(VLOOKUP(B964,Sites!$A$2:$D$21,4,FALSE()),"Unknown")</f>
        <v>Southampton</v>
      </c>
      <c r="U964" t="str">
        <f>IF(N964="OK","",COUNTIF($N$2:N964,"&lt;&gt;OK"))</f>
        <v/>
      </c>
      <c r="V964">
        <f>IF(OR(NOT(EXACT(E964,TRIM(Procurement_Raw!E964))),NOT(EXACT(F964,TRIM(Procurement_Raw!F964)))),1,0)</f>
        <v>0</v>
      </c>
    </row>
    <row r="965" spans="1:22" ht="15" customHeight="1" x14ac:dyDescent="0.25">
      <c r="A965" s="123">
        <f>Procurement_Raw!A965</f>
        <v>45765</v>
      </c>
      <c r="B965" t="str">
        <f>TRIM(Procurement_Raw!B965)</f>
        <v>S002</v>
      </c>
      <c r="C965" t="str">
        <f>Procurement_Raw!C965</f>
        <v>Manchester Care &amp; Education Centre</v>
      </c>
      <c r="D965" t="str">
        <f>Procurement_Raw!D965</f>
        <v>North</v>
      </c>
      <c r="E965" t="str">
        <f>IF(TRIM(Procurement_Raw!E965)="","",IFERROR(INDEX(Supplier_Lookup!$A$2:$A$25,MATCH(TRIM(Procurement_Raw!E965),Supplier_Lookup!$A$2:$A$25,0)),TRIM(Procurement_Raw!E965)))</f>
        <v>NurseLink</v>
      </c>
      <c r="F965" t="str">
        <f>IFERROR(INDEX(Category_Targets!$A$2:$A$9,MATCH(TRIM(Procurement_Raw!F965),Category_Targets!$A$2:$A$9,0)),"Unmapped")</f>
        <v>Agency Labour</v>
      </c>
      <c r="G965" t="str">
        <f>TRIM(Procurement_Raw!G965)</f>
        <v>INV-2025-00964</v>
      </c>
      <c r="H965" s="77">
        <f>Procurement_Raw!H965</f>
        <v>27</v>
      </c>
      <c r="I965" s="124">
        <f>Procurement_Raw!I965</f>
        <v>443.07</v>
      </c>
      <c r="J965" s="125">
        <f>IF(Procurement_Raw!J965="","",Procurement_Raw!J965)</f>
        <v>11962.97</v>
      </c>
      <c r="K965" s="77">
        <f>Procurement_Raw!K965</f>
        <v>60</v>
      </c>
      <c r="L965" t="str">
        <f>Procurement_Raw!L965</f>
        <v>ERP</v>
      </c>
      <c r="M965" t="str">
        <f>Procurement_Raw!O965</f>
        <v>N</v>
      </c>
      <c r="N965" t="str">
        <f>IF(E965="","Missing supplier",IF(B965="","Missing site",IF(J965="","Missing spend",IF(COUNTIFS($G$2:G965,G965,$E$2:E965,E965,$J$2:J965,J965)&gt;1,"Duplicate invoice",IF(COUNTIF($G$2:$G$1801,G965)&gt;1,"Duplicate ID - review",IF(AND(P965&lt;&gt;"Unmapped",P965&lt;&gt;F965),"Category mismatch","OK"))))))</f>
        <v>OK</v>
      </c>
      <c r="O965" s="125">
        <f t="shared" si="45"/>
        <v>11962.97</v>
      </c>
      <c r="P965" t="str">
        <f>IF(E965="","Unmapped",IFERROR(INDEX(Supplier_Lookup!$B$2:$B$25,MATCH(E965,Supplier_Lookup!$A$2:$A$25,0)),"Unmapped"))</f>
        <v>Agency Labour</v>
      </c>
      <c r="Q965" s="76">
        <f>IFERROR(INDEX(Category_Targets!$B$2:$B$9,MATCH(F965,Category_Targets!$A$2:$A$9,0)),0)</f>
        <v>7.0000000000000007E-2</v>
      </c>
      <c r="R965" s="125">
        <f t="shared" si="46"/>
        <v>837.40790000000004</v>
      </c>
      <c r="S965" s="78">
        <f t="shared" si="47"/>
        <v>45748</v>
      </c>
      <c r="T965" t="str">
        <f>IFERROR(VLOOKUP(B965,Sites!$A$2:$D$21,4,FALSE()),"Unknown")</f>
        <v>Manchester</v>
      </c>
      <c r="U965" t="str">
        <f>IF(N965="OK","",COUNTIF($N$2:N965,"&lt;&gt;OK"))</f>
        <v/>
      </c>
      <c r="V965">
        <f>IF(OR(NOT(EXACT(E965,TRIM(Procurement_Raw!E965))),NOT(EXACT(F965,TRIM(Procurement_Raw!F965)))),1,0)</f>
        <v>0</v>
      </c>
    </row>
    <row r="966" spans="1:22" ht="15" customHeight="1" x14ac:dyDescent="0.25">
      <c r="A966" s="123">
        <f>Procurement_Raw!A966</f>
        <v>46010</v>
      </c>
      <c r="B966" t="str">
        <f>TRIM(Procurement_Raw!B966)</f>
        <v>S004</v>
      </c>
      <c r="C966" t="str">
        <f>Procurement_Raw!C966</f>
        <v>Newcastle Care &amp; Education Centre</v>
      </c>
      <c r="D966" t="str">
        <f>Procurement_Raw!D966</f>
        <v>North</v>
      </c>
      <c r="E966" t="str">
        <f>IF(TRIM(Procurement_Raw!E966)="","",IFERROR(INDEX(Supplier_Lookup!$A$2:$A$25,MATCH(TRIM(Procurement_Raw!E966),Supplier_Lookup!$A$2:$A$25,0)),TRIM(Procurement_Raw!E966)))</f>
        <v>NourishCo</v>
      </c>
      <c r="F966" t="str">
        <f>IFERROR(INDEX(Category_Targets!$A$2:$A$9,MATCH(TRIM(Procurement_Raw!F966),Category_Targets!$A$2:$A$9,0)),"Unmapped")</f>
        <v>Food &amp; Catering</v>
      </c>
      <c r="G966" t="str">
        <f>TRIM(Procurement_Raw!G966)</f>
        <v>INV-2025-00965</v>
      </c>
      <c r="H966" s="77">
        <f>Procurement_Raw!H966</f>
        <v>78</v>
      </c>
      <c r="I966" s="124">
        <f>Procurement_Raw!I966</f>
        <v>61.87</v>
      </c>
      <c r="J966" s="125">
        <f>IF(Procurement_Raw!J966="","",Procurement_Raw!J966)</f>
        <v>4825.8500000000004</v>
      </c>
      <c r="K966" s="77">
        <f>Procurement_Raw!K966</f>
        <v>60</v>
      </c>
      <c r="L966" t="str">
        <f>Procurement_Raw!L966</f>
        <v>Procurement Portal</v>
      </c>
      <c r="M966" t="str">
        <f>Procurement_Raw!O966</f>
        <v>N</v>
      </c>
      <c r="N966" t="str">
        <f>IF(E966="","Missing supplier",IF(B966="","Missing site",IF(J966="","Missing spend",IF(COUNTIFS($G$2:G966,G966,$E$2:E966,E966,$J$2:J966,J966)&gt;1,"Duplicate invoice",IF(COUNTIF($G$2:$G$1801,G966)&gt;1,"Duplicate ID - review",IF(AND(P966&lt;&gt;"Unmapped",P966&lt;&gt;F966),"Category mismatch","OK"))))))</f>
        <v>OK</v>
      </c>
      <c r="O966" s="125">
        <f t="shared" si="45"/>
        <v>4825.8500000000004</v>
      </c>
      <c r="P966" t="str">
        <f>IF(E966="","Unmapped",IFERROR(INDEX(Supplier_Lookup!$B$2:$B$25,MATCH(E966,Supplier_Lookup!$A$2:$A$25,0)),"Unmapped"))</f>
        <v>Food &amp; Catering</v>
      </c>
      <c r="Q966" s="76">
        <f>IFERROR(INDEX(Category_Targets!$B$2:$B$9,MATCH(F966,Category_Targets!$A$2:$A$9,0)),0)</f>
        <v>0.04</v>
      </c>
      <c r="R966" s="125">
        <f t="shared" si="46"/>
        <v>193.03400000000002</v>
      </c>
      <c r="S966" s="78">
        <f t="shared" si="47"/>
        <v>45992</v>
      </c>
      <c r="T966" t="str">
        <f>IFERROR(VLOOKUP(B966,Sites!$A$2:$D$21,4,FALSE()),"Unknown")</f>
        <v>Newcastle</v>
      </c>
      <c r="U966" t="str">
        <f>IF(N966="OK","",COUNTIF($N$2:N966,"&lt;&gt;OK"))</f>
        <v/>
      </c>
      <c r="V966">
        <f>IF(OR(NOT(EXACT(E966,TRIM(Procurement_Raw!E966))),NOT(EXACT(F966,TRIM(Procurement_Raw!F966)))),1,0)</f>
        <v>0</v>
      </c>
    </row>
    <row r="967" spans="1:22" ht="15" customHeight="1" x14ac:dyDescent="0.25">
      <c r="A967" s="123">
        <f>Procurement_Raw!A967</f>
        <v>45927</v>
      </c>
      <c r="B967" t="str">
        <f>TRIM(Procurement_Raw!B967)</f>
        <v>S005</v>
      </c>
      <c r="C967" t="str">
        <f>Procurement_Raw!C967</f>
        <v>Sheffield Care &amp; Education Centre</v>
      </c>
      <c r="D967" t="str">
        <f>Procurement_Raw!D967</f>
        <v>North</v>
      </c>
      <c r="E967" t="str">
        <f>IF(TRIM(Procurement_Raw!E967)="","",IFERROR(INDEX(Supplier_Lookup!$A$2:$A$25,MATCH(TRIM(Procurement_Raw!E967),Supplier_Lookup!$A$2:$A$25,0)),TRIM(Procurement_Raw!E967)))</f>
        <v>RoadReady</v>
      </c>
      <c r="F967" t="str">
        <f>IFERROR(INDEX(Category_Targets!$A$2:$A$9,MATCH(TRIM(Procurement_Raw!F967),Category_Targets!$A$2:$A$9,0)),"Unmapped")</f>
        <v>Vehicle &amp; Fuel</v>
      </c>
      <c r="G967" t="str">
        <f>TRIM(Procurement_Raw!G967)</f>
        <v>INV-2025-00966</v>
      </c>
      <c r="H967" s="77">
        <f>Procurement_Raw!H967</f>
        <v>74</v>
      </c>
      <c r="I967" s="124">
        <f>Procurement_Raw!I967</f>
        <v>209.76</v>
      </c>
      <c r="J967" s="125">
        <f>IF(Procurement_Raw!J967="","",Procurement_Raw!J967)</f>
        <v>15521.89</v>
      </c>
      <c r="K967" s="77">
        <f>Procurement_Raw!K967</f>
        <v>60</v>
      </c>
      <c r="L967" t="str">
        <f>Procurement_Raw!L967</f>
        <v>Procurement Portal</v>
      </c>
      <c r="M967" t="str">
        <f>Procurement_Raw!O967</f>
        <v>N</v>
      </c>
      <c r="N967" t="str">
        <f>IF(E967="","Missing supplier",IF(B967="","Missing site",IF(J967="","Missing spend",IF(COUNTIFS($G$2:G967,G967,$E$2:E967,E967,$J$2:J967,J967)&gt;1,"Duplicate invoice",IF(COUNTIF($G$2:$G$1801,G967)&gt;1,"Duplicate ID - review",IF(AND(P967&lt;&gt;"Unmapped",P967&lt;&gt;F967),"Category mismatch","OK"))))))</f>
        <v>OK</v>
      </c>
      <c r="O967" s="125">
        <f t="shared" si="45"/>
        <v>15521.89</v>
      </c>
      <c r="P967" t="str">
        <f>IF(E967="","Unmapped",IFERROR(INDEX(Supplier_Lookup!$B$2:$B$25,MATCH(E967,Supplier_Lookup!$A$2:$A$25,0)),"Unmapped"))</f>
        <v>Vehicle &amp; Fuel</v>
      </c>
      <c r="Q967" s="76">
        <f>IFERROR(INDEX(Category_Targets!$B$2:$B$9,MATCH(F967,Category_Targets!$A$2:$A$9,0)),0)</f>
        <v>0.05</v>
      </c>
      <c r="R967" s="125">
        <f t="shared" si="46"/>
        <v>776.09450000000004</v>
      </c>
      <c r="S967" s="78">
        <f t="shared" si="47"/>
        <v>45901</v>
      </c>
      <c r="T967" t="str">
        <f>IFERROR(VLOOKUP(B967,Sites!$A$2:$D$21,4,FALSE()),"Unknown")</f>
        <v>Sheffield</v>
      </c>
      <c r="U967" t="str">
        <f>IF(N967="OK","",COUNTIF($N$2:N967,"&lt;&gt;OK"))</f>
        <v/>
      </c>
      <c r="V967">
        <f>IF(OR(NOT(EXACT(E967,TRIM(Procurement_Raw!E967))),NOT(EXACT(F967,TRIM(Procurement_Raw!F967)))),1,0)</f>
        <v>0</v>
      </c>
    </row>
    <row r="968" spans="1:22" ht="15" customHeight="1" x14ac:dyDescent="0.25">
      <c r="A968" s="123">
        <f>Procurement_Raw!A968</f>
        <v>45981</v>
      </c>
      <c r="B968" t="str">
        <f>TRIM(Procurement_Raw!B968)</f>
        <v>S012</v>
      </c>
      <c r="C968" t="str">
        <f>Procurement_Raw!C968</f>
        <v>Bristol Care &amp; Education Centre</v>
      </c>
      <c r="D968" t="str">
        <f>Procurement_Raw!D968</f>
        <v>South</v>
      </c>
      <c r="E968" t="str">
        <f>IF(TRIM(Procurement_Raw!E968)="","",IFERROR(INDEX(Supplier_Lookup!$A$2:$A$25,MATCH(TRIM(Procurement_Raw!E968),Supplier_Lookup!$A$2:$A$25,0)),TRIM(Procurement_Raw!E968)))</f>
        <v>PrintCo</v>
      </c>
      <c r="F968" t="str">
        <f>IFERROR(INDEX(Category_Targets!$A$2:$A$9,MATCH(TRIM(Procurement_Raw!F968),Category_Targets!$A$2:$A$9,0)),"Unmapped")</f>
        <v>Office &amp; Training</v>
      </c>
      <c r="G968" t="str">
        <f>TRIM(Procurement_Raw!G968)</f>
        <v>INV-2025-00967</v>
      </c>
      <c r="H968" s="77">
        <f>Procurement_Raw!H968</f>
        <v>64</v>
      </c>
      <c r="I968" s="124">
        <f>Procurement_Raw!I968</f>
        <v>51.7</v>
      </c>
      <c r="J968" s="125">
        <f>IF(Procurement_Raw!J968="","",Procurement_Raw!J968)</f>
        <v>3308.85</v>
      </c>
      <c r="K968" s="77">
        <f>Procurement_Raw!K968</f>
        <v>45</v>
      </c>
      <c r="L968" t="str">
        <f>Procurement_Raw!L968</f>
        <v>ERP</v>
      </c>
      <c r="M968" t="str">
        <f>Procurement_Raw!O968</f>
        <v>N</v>
      </c>
      <c r="N968" t="str">
        <f>IF(E968="","Missing supplier",IF(B968="","Missing site",IF(J968="","Missing spend",IF(COUNTIFS($G$2:G968,G968,$E$2:E968,E968,$J$2:J968,J968)&gt;1,"Duplicate invoice",IF(COUNTIF($G$2:$G$1801,G968)&gt;1,"Duplicate ID - review",IF(AND(P968&lt;&gt;"Unmapped",P968&lt;&gt;F968),"Category mismatch","OK"))))))</f>
        <v>OK</v>
      </c>
      <c r="O968" s="125">
        <f t="shared" si="45"/>
        <v>3308.85</v>
      </c>
      <c r="P968" t="str">
        <f>IF(E968="","Unmapped",IFERROR(INDEX(Supplier_Lookup!$B$2:$B$25,MATCH(E968,Supplier_Lookup!$A$2:$A$25,0)),"Unmapped"))</f>
        <v>Office &amp; Training</v>
      </c>
      <c r="Q968" s="76">
        <f>IFERROR(INDEX(Category_Targets!$B$2:$B$9,MATCH(F968,Category_Targets!$A$2:$A$9,0)),0)</f>
        <v>0.04</v>
      </c>
      <c r="R968" s="125">
        <f t="shared" si="46"/>
        <v>132.35399999999998</v>
      </c>
      <c r="S968" s="78">
        <f t="shared" si="47"/>
        <v>45962</v>
      </c>
      <c r="T968" t="str">
        <f>IFERROR(VLOOKUP(B968,Sites!$A$2:$D$21,4,FALSE()),"Unknown")</f>
        <v>Bristol</v>
      </c>
      <c r="U968" t="str">
        <f>IF(N968="OK","",COUNTIF($N$2:N968,"&lt;&gt;OK"))</f>
        <v/>
      </c>
      <c r="V968">
        <f>IF(OR(NOT(EXACT(E968,TRIM(Procurement_Raw!E968))),NOT(EXACT(F968,TRIM(Procurement_Raw!F968)))),1,0)</f>
        <v>0</v>
      </c>
    </row>
    <row r="969" spans="1:22" ht="15" customHeight="1" x14ac:dyDescent="0.25">
      <c r="A969" s="123">
        <f>Procurement_Raw!A969</f>
        <v>45806</v>
      </c>
      <c r="B969" t="str">
        <f>TRIM(Procurement_Raw!B969)</f>
        <v>S018</v>
      </c>
      <c r="C969" t="str">
        <f>Procurement_Raw!C969</f>
        <v>Newport Care &amp; Education Centre</v>
      </c>
      <c r="D969" t="str">
        <f>Procurement_Raw!D969</f>
        <v>Wales</v>
      </c>
      <c r="E969" t="str">
        <f>IF(TRIM(Procurement_Raw!E969)="","",IFERROR(INDEX(Supplier_Lookup!$A$2:$A$25,MATCH(TRIM(Procurement_Raw!E969),Supplier_Lookup!$A$2:$A$25,0)),TRIM(Procurement_Raw!E969)))</f>
        <v>PowerDirect</v>
      </c>
      <c r="F969" t="str">
        <f>IFERROR(INDEX(Category_Targets!$A$2:$A$9,MATCH(TRIM(Procurement_Raw!F969),Category_Targets!$A$2:$A$9,0)),"Unmapped")</f>
        <v>Utilities</v>
      </c>
      <c r="G969" t="str">
        <f>TRIM(Procurement_Raw!G969)</f>
        <v>INV-2025-00968</v>
      </c>
      <c r="H969" s="77">
        <f>Procurement_Raw!H969</f>
        <v>25</v>
      </c>
      <c r="I969" s="124">
        <f>Procurement_Raw!I969</f>
        <v>673.16</v>
      </c>
      <c r="J969" s="125">
        <f>IF(Procurement_Raw!J969="","",Procurement_Raw!J969)</f>
        <v>16828.919999999998</v>
      </c>
      <c r="K969" s="77">
        <f>Procurement_Raw!K969</f>
        <v>30</v>
      </c>
      <c r="L969" t="str">
        <f>Procurement_Raw!L969</f>
        <v>ERP</v>
      </c>
      <c r="M969" t="str">
        <f>Procurement_Raw!O969</f>
        <v>N</v>
      </c>
      <c r="N969" t="str">
        <f>IF(E969="","Missing supplier",IF(B969="","Missing site",IF(J969="","Missing spend",IF(COUNTIFS($G$2:G969,G969,$E$2:E969,E969,$J$2:J969,J969)&gt;1,"Duplicate invoice",IF(COUNTIF($G$2:$G$1801,G969)&gt;1,"Duplicate ID - review",IF(AND(P969&lt;&gt;"Unmapped",P969&lt;&gt;F969),"Category mismatch","OK"))))))</f>
        <v>OK</v>
      </c>
      <c r="O969" s="125">
        <f t="shared" si="45"/>
        <v>16828.919999999998</v>
      </c>
      <c r="P969" t="str">
        <f>IF(E969="","Unmapped",IFERROR(INDEX(Supplier_Lookup!$B$2:$B$25,MATCH(E969,Supplier_Lookup!$A$2:$A$25,0)),"Unmapped"))</f>
        <v>Utilities</v>
      </c>
      <c r="Q969" s="76">
        <f>IFERROR(INDEX(Category_Targets!$B$2:$B$9,MATCH(F969,Category_Targets!$A$2:$A$9,0)),0)</f>
        <v>0.03</v>
      </c>
      <c r="R969" s="125">
        <f t="shared" si="46"/>
        <v>504.86759999999992</v>
      </c>
      <c r="S969" s="78">
        <f t="shared" si="47"/>
        <v>45778</v>
      </c>
      <c r="T969" t="str">
        <f>IFERROR(VLOOKUP(B969,Sites!$A$2:$D$21,4,FALSE()),"Unknown")</f>
        <v>Newport</v>
      </c>
      <c r="U969" t="str">
        <f>IF(N969="OK","",COUNTIF($N$2:N969,"&lt;&gt;OK"))</f>
        <v/>
      </c>
      <c r="V969">
        <f>IF(OR(NOT(EXACT(E969,TRIM(Procurement_Raw!E969))),NOT(EXACT(F969,TRIM(Procurement_Raw!F969)))),1,0)</f>
        <v>0</v>
      </c>
    </row>
    <row r="970" spans="1:22" ht="15" customHeight="1" x14ac:dyDescent="0.25">
      <c r="A970" s="123">
        <f>Procurement_Raw!A970</f>
        <v>45718</v>
      </c>
      <c r="B970" t="str">
        <f>TRIM(Procurement_Raw!B970)</f>
        <v>S008</v>
      </c>
      <c r="C970" t="str">
        <f>Procurement_Raw!C970</f>
        <v>Leicester Care &amp; Education Centre</v>
      </c>
      <c r="D970" t="str">
        <f>Procurement_Raw!D970</f>
        <v>Midlands</v>
      </c>
      <c r="E970" t="str">
        <f>IF(TRIM(Procurement_Raw!E970)="","",IFERROR(INDEX(Supplier_Lookup!$A$2:$A$25,MATCH(TRIM(Procurement_Raw!E970),Supplier_Lookup!$A$2:$A$25,0)),TRIM(Procurement_Raw!E970)))</f>
        <v>PrintCo</v>
      </c>
      <c r="F970" t="str">
        <f>IFERROR(INDEX(Category_Targets!$A$2:$A$9,MATCH(TRIM(Procurement_Raw!F970),Category_Targets!$A$2:$A$9,0)),"Unmapped")</f>
        <v>Office &amp; Training</v>
      </c>
      <c r="G970" t="str">
        <f>TRIM(Procurement_Raw!G970)</f>
        <v>INV-2025-00969</v>
      </c>
      <c r="H970" s="77">
        <f>Procurement_Raw!H970</f>
        <v>27</v>
      </c>
      <c r="I970" s="124">
        <f>Procurement_Raw!I970</f>
        <v>73.36</v>
      </c>
      <c r="J970" s="125">
        <f>IF(Procurement_Raw!J970="","",Procurement_Raw!J970)</f>
        <v>1980.76</v>
      </c>
      <c r="K970" s="77">
        <f>Procurement_Raw!K970</f>
        <v>60</v>
      </c>
      <c r="L970" t="str">
        <f>Procurement_Raw!L970</f>
        <v>Procurement Portal</v>
      </c>
      <c r="M970" t="str">
        <f>Procurement_Raw!O970</f>
        <v>N</v>
      </c>
      <c r="N970" t="str">
        <f>IF(E970="","Missing supplier",IF(B970="","Missing site",IF(J970="","Missing spend",IF(COUNTIFS($G$2:G970,G970,$E$2:E970,E970,$J$2:J970,J970)&gt;1,"Duplicate invoice",IF(COUNTIF($G$2:$G$1801,G970)&gt;1,"Duplicate ID - review",IF(AND(P970&lt;&gt;"Unmapped",P970&lt;&gt;F970),"Category mismatch","OK"))))))</f>
        <v>OK</v>
      </c>
      <c r="O970" s="125">
        <f t="shared" si="45"/>
        <v>1980.76</v>
      </c>
      <c r="P970" t="str">
        <f>IF(E970="","Unmapped",IFERROR(INDEX(Supplier_Lookup!$B$2:$B$25,MATCH(E970,Supplier_Lookup!$A$2:$A$25,0)),"Unmapped"))</f>
        <v>Office &amp; Training</v>
      </c>
      <c r="Q970" s="76">
        <f>IFERROR(INDEX(Category_Targets!$B$2:$B$9,MATCH(F970,Category_Targets!$A$2:$A$9,0)),0)</f>
        <v>0.04</v>
      </c>
      <c r="R970" s="125">
        <f t="shared" si="46"/>
        <v>79.230400000000003</v>
      </c>
      <c r="S970" s="78">
        <f t="shared" si="47"/>
        <v>45717</v>
      </c>
      <c r="T970" t="str">
        <f>IFERROR(VLOOKUP(B970,Sites!$A$2:$D$21,4,FALSE()),"Unknown")</f>
        <v>Leicester</v>
      </c>
      <c r="U970" t="str">
        <f>IF(N970="OK","",COUNTIF($N$2:N970,"&lt;&gt;OK"))</f>
        <v/>
      </c>
      <c r="V970">
        <f>IF(OR(NOT(EXACT(E970,TRIM(Procurement_Raw!E970))),NOT(EXACT(F970,TRIM(Procurement_Raw!F970)))),1,0)</f>
        <v>0</v>
      </c>
    </row>
    <row r="971" spans="1:22" ht="15" customHeight="1" x14ac:dyDescent="0.25">
      <c r="A971" s="123">
        <f>Procurement_Raw!A971</f>
        <v>45837</v>
      </c>
      <c r="B971" t="str">
        <f>TRIM(Procurement_Raw!B971)</f>
        <v>S020</v>
      </c>
      <c r="C971" t="str">
        <f>Procurement_Raw!C971</f>
        <v>Bangor Care &amp; Education Centre</v>
      </c>
      <c r="D971" t="str">
        <f>Procurement_Raw!D971</f>
        <v>Wales</v>
      </c>
      <c r="E971" t="str">
        <f>IF(TRIM(Procurement_Raw!E971)="","",IFERROR(INDEX(Supplier_Lookup!$A$2:$A$25,MATCH(TRIM(Procurement_Raw!E971),Supplier_Lookup!$A$2:$A$25,0)),TRIM(Procurement_Raw!E971)))</f>
        <v>CareMed</v>
      </c>
      <c r="F971" t="str">
        <f>IFERROR(INDEX(Category_Targets!$A$2:$A$9,MATCH(TRIM(Procurement_Raw!F971),Category_Targets!$A$2:$A$9,0)),"Unmapped")</f>
        <v>Medical Supplies</v>
      </c>
      <c r="G971" t="str">
        <f>TRIM(Procurement_Raw!G971)</f>
        <v>INV-2025-00970</v>
      </c>
      <c r="H971" s="77">
        <f>Procurement_Raw!H971</f>
        <v>72</v>
      </c>
      <c r="I971" s="124">
        <f>Procurement_Raw!I971</f>
        <v>54.63</v>
      </c>
      <c r="J971" s="125">
        <f>IF(Procurement_Raw!J971="","",Procurement_Raw!J971)</f>
        <v>3933.29</v>
      </c>
      <c r="K971" s="77">
        <f>Procurement_Raw!K971</f>
        <v>60</v>
      </c>
      <c r="L971" t="str">
        <f>Procurement_Raw!L971</f>
        <v>ERP</v>
      </c>
      <c r="M971" t="str">
        <f>Procurement_Raw!O971</f>
        <v>N</v>
      </c>
      <c r="N971" t="str">
        <f>IF(E971="","Missing supplier",IF(B971="","Missing site",IF(J971="","Missing spend",IF(COUNTIFS($G$2:G971,G971,$E$2:E971,E971,$J$2:J971,J971)&gt;1,"Duplicate invoice",IF(COUNTIF($G$2:$G$1801,G971)&gt;1,"Duplicate ID - review",IF(AND(P971&lt;&gt;"Unmapped",P971&lt;&gt;F971),"Category mismatch","OK"))))))</f>
        <v>OK</v>
      </c>
      <c r="O971" s="125">
        <f t="shared" si="45"/>
        <v>3933.29</v>
      </c>
      <c r="P971" t="str">
        <f>IF(E971="","Unmapped",IFERROR(INDEX(Supplier_Lookup!$B$2:$B$25,MATCH(E971,Supplier_Lookup!$A$2:$A$25,0)),"Unmapped"))</f>
        <v>Medical Supplies</v>
      </c>
      <c r="Q971" s="76">
        <f>IFERROR(INDEX(Category_Targets!$B$2:$B$9,MATCH(F971,Category_Targets!$A$2:$A$9,0)),0)</f>
        <v>0.06</v>
      </c>
      <c r="R971" s="125">
        <f t="shared" si="46"/>
        <v>235.9974</v>
      </c>
      <c r="S971" s="78">
        <f t="shared" si="47"/>
        <v>45809</v>
      </c>
      <c r="T971" t="str">
        <f>IFERROR(VLOOKUP(B971,Sites!$A$2:$D$21,4,FALSE()),"Unknown")</f>
        <v>Bangor</v>
      </c>
      <c r="U971" t="str">
        <f>IF(N971="OK","",COUNTIF($N$2:N971,"&lt;&gt;OK"))</f>
        <v/>
      </c>
      <c r="V971">
        <f>IF(OR(NOT(EXACT(E971,TRIM(Procurement_Raw!E971))),NOT(EXACT(F971,TRIM(Procurement_Raw!F971)))),1,0)</f>
        <v>0</v>
      </c>
    </row>
    <row r="972" spans="1:22" ht="15" customHeight="1" x14ac:dyDescent="0.25">
      <c r="A972" s="123">
        <f>Procurement_Raw!A972</f>
        <v>45802</v>
      </c>
      <c r="B972" t="str">
        <f>TRIM(Procurement_Raw!B972)</f>
        <v>S014</v>
      </c>
      <c r="C972" t="str">
        <f>Procurement_Raw!C972</f>
        <v>Southampton Care &amp; Education Centre</v>
      </c>
      <c r="D972" t="str">
        <f>Procurement_Raw!D972</f>
        <v>South</v>
      </c>
      <c r="E972" t="str">
        <f>IF(TRIM(Procurement_Raw!E972)="","",IFERROR(INDEX(Supplier_Lookup!$A$2:$A$25,MATCH(TRIM(Procurement_Raw!E972),Supplier_Lookup!$A$2:$A$25,0)),TRIM(Procurement_Raw!E972)))</f>
        <v>PowerDirect</v>
      </c>
      <c r="F972" t="str">
        <f>IFERROR(INDEX(Category_Targets!$A$2:$A$9,MATCH(TRIM(Procurement_Raw!F972),Category_Targets!$A$2:$A$9,0)),"Unmapped")</f>
        <v>Utilities</v>
      </c>
      <c r="G972" t="str">
        <f>TRIM(Procurement_Raw!G972)</f>
        <v>INV-2025-00971</v>
      </c>
      <c r="H972" s="77">
        <f>Procurement_Raw!H972</f>
        <v>33</v>
      </c>
      <c r="I972" s="124">
        <f>Procurement_Raw!I972</f>
        <v>268.25</v>
      </c>
      <c r="J972" s="125">
        <f>IF(Procurement_Raw!J972="","",Procurement_Raw!J972)</f>
        <v>8852.24</v>
      </c>
      <c r="K972" s="77">
        <f>Procurement_Raw!K972</f>
        <v>30</v>
      </c>
      <c r="L972" t="str">
        <f>Procurement_Raw!L972</f>
        <v>Procurement Portal</v>
      </c>
      <c r="M972" t="str">
        <f>Procurement_Raw!O972</f>
        <v>N</v>
      </c>
      <c r="N972" t="str">
        <f>IF(E972="","Missing supplier",IF(B972="","Missing site",IF(J972="","Missing spend",IF(COUNTIFS($G$2:G972,G972,$E$2:E972,E972,$J$2:J972,J972)&gt;1,"Duplicate invoice",IF(COUNTIF($G$2:$G$1801,G972)&gt;1,"Duplicate ID - review",IF(AND(P972&lt;&gt;"Unmapped",P972&lt;&gt;F972),"Category mismatch","OK"))))))</f>
        <v>OK</v>
      </c>
      <c r="O972" s="125">
        <f t="shared" si="45"/>
        <v>8852.24</v>
      </c>
      <c r="P972" t="str">
        <f>IF(E972="","Unmapped",IFERROR(INDEX(Supplier_Lookup!$B$2:$B$25,MATCH(E972,Supplier_Lookup!$A$2:$A$25,0)),"Unmapped"))</f>
        <v>Utilities</v>
      </c>
      <c r="Q972" s="76">
        <f>IFERROR(INDEX(Category_Targets!$B$2:$B$9,MATCH(F972,Category_Targets!$A$2:$A$9,0)),0)</f>
        <v>0.03</v>
      </c>
      <c r="R972" s="125">
        <f t="shared" si="46"/>
        <v>265.56719999999996</v>
      </c>
      <c r="S972" s="78">
        <f t="shared" si="47"/>
        <v>45778</v>
      </c>
      <c r="T972" t="str">
        <f>IFERROR(VLOOKUP(B972,Sites!$A$2:$D$21,4,FALSE()),"Unknown")</f>
        <v>Southampton</v>
      </c>
      <c r="U972" t="str">
        <f>IF(N972="OK","",COUNTIF($N$2:N972,"&lt;&gt;OK"))</f>
        <v/>
      </c>
      <c r="V972">
        <f>IF(OR(NOT(EXACT(E972,TRIM(Procurement_Raw!E972))),NOT(EXACT(F972,TRIM(Procurement_Raw!F972)))),1,0)</f>
        <v>0</v>
      </c>
    </row>
    <row r="973" spans="1:22" ht="15" customHeight="1" x14ac:dyDescent="0.25">
      <c r="A973" s="123">
        <f>Procurement_Raw!A973</f>
        <v>45716</v>
      </c>
      <c r="B973" t="str">
        <f>TRIM(Procurement_Raw!B973)</f>
        <v>S004</v>
      </c>
      <c r="C973" t="str">
        <f>Procurement_Raw!C973</f>
        <v>Newcastle Care &amp; Education Centre</v>
      </c>
      <c r="D973" t="str">
        <f>Procurement_Raw!D973</f>
        <v>North</v>
      </c>
      <c r="E973" t="str">
        <f>IF(TRIM(Procurement_Raw!E973)="","",IFERROR(INDEX(Supplier_Lookup!$A$2:$A$25,MATCH(TRIM(Procurement_Raw!E973),Supplier_Lookup!$A$2:$A$25,0)),TRIM(Procurement_Raw!E973)))</f>
        <v>FleetFuel</v>
      </c>
      <c r="F973" t="str">
        <f>IFERROR(INDEX(Category_Targets!$A$2:$A$9,MATCH(TRIM(Procurement_Raw!F973),Category_Targets!$A$2:$A$9,0)),"Unmapped")</f>
        <v>Vehicle &amp; Fuel</v>
      </c>
      <c r="G973" t="str">
        <f>TRIM(Procurement_Raw!G973)</f>
        <v>INV-2025-00972</v>
      </c>
      <c r="H973" s="77">
        <f>Procurement_Raw!H973</f>
        <v>43</v>
      </c>
      <c r="I973" s="124">
        <f>Procurement_Raw!I973</f>
        <v>65.319999999999993</v>
      </c>
      <c r="J973" s="125">
        <f>IF(Procurement_Raw!J973="","",Procurement_Raw!J973)</f>
        <v>2808.76</v>
      </c>
      <c r="K973" s="77">
        <f>Procurement_Raw!K973</f>
        <v>45</v>
      </c>
      <c r="L973" t="str">
        <f>Procurement_Raw!L973</f>
        <v>Procurement Portal</v>
      </c>
      <c r="M973" t="str">
        <f>Procurement_Raw!O973</f>
        <v>Y</v>
      </c>
      <c r="N973" t="str">
        <f>IF(E973="","Missing supplier",IF(B973="","Missing site",IF(J973="","Missing spend",IF(COUNTIFS($G$2:G973,G973,$E$2:E973,E973,$J$2:J973,J973)&gt;1,"Duplicate invoice",IF(COUNTIF($G$2:$G$1801,G973)&gt;1,"Duplicate ID - review",IF(AND(P973&lt;&gt;"Unmapped",P973&lt;&gt;F973),"Category mismatch","OK"))))))</f>
        <v>OK</v>
      </c>
      <c r="O973" s="125">
        <f t="shared" si="45"/>
        <v>2808.76</v>
      </c>
      <c r="P973" t="str">
        <f>IF(E973="","Unmapped",IFERROR(INDEX(Supplier_Lookup!$B$2:$B$25,MATCH(E973,Supplier_Lookup!$A$2:$A$25,0)),"Unmapped"))</f>
        <v>Vehicle &amp; Fuel</v>
      </c>
      <c r="Q973" s="76">
        <f>IFERROR(INDEX(Category_Targets!$B$2:$B$9,MATCH(F973,Category_Targets!$A$2:$A$9,0)),0)</f>
        <v>0.05</v>
      </c>
      <c r="R973" s="125">
        <f t="shared" si="46"/>
        <v>140.43800000000002</v>
      </c>
      <c r="S973" s="78">
        <f t="shared" si="47"/>
        <v>45689</v>
      </c>
      <c r="T973" t="str">
        <f>IFERROR(VLOOKUP(B973,Sites!$A$2:$D$21,4,FALSE()),"Unknown")</f>
        <v>Newcastle</v>
      </c>
      <c r="U973" t="str">
        <f>IF(N973="OK","",COUNTIF($N$2:N973,"&lt;&gt;OK"))</f>
        <v/>
      </c>
      <c r="V973">
        <f>IF(OR(NOT(EXACT(E973,TRIM(Procurement_Raw!E973))),NOT(EXACT(F973,TRIM(Procurement_Raw!F973)))),1,0)</f>
        <v>0</v>
      </c>
    </row>
    <row r="974" spans="1:22" ht="15" customHeight="1" x14ac:dyDescent="0.25">
      <c r="A974" s="123">
        <f>Procurement_Raw!A974</f>
        <v>45757</v>
      </c>
      <c r="B974" t="str">
        <f>TRIM(Procurement_Raw!B974)</f>
        <v>S007</v>
      </c>
      <c r="C974" t="str">
        <f>Procurement_Raw!C974</f>
        <v>Nottingham Care &amp; Education Centre</v>
      </c>
      <c r="D974" t="str">
        <f>Procurement_Raw!D974</f>
        <v>Midlands</v>
      </c>
      <c r="E974" t="str">
        <f>IF(TRIM(Procurement_Raw!E974)="","",IFERROR(INDEX(Supplier_Lookup!$A$2:$A$25,MATCH(TRIM(Procurement_Raw!E974),Supplier_Lookup!$A$2:$A$25,0)),TRIM(Procurement_Raw!E974)))</f>
        <v>MediSure</v>
      </c>
      <c r="F974" t="str">
        <f>IFERROR(INDEX(Category_Targets!$A$2:$A$9,MATCH(TRIM(Procurement_Raw!F974),Category_Targets!$A$2:$A$9,0)),"Unmapped")</f>
        <v>Medical Supplies</v>
      </c>
      <c r="G974" t="str">
        <f>TRIM(Procurement_Raw!G974)</f>
        <v>INV-2025-00973</v>
      </c>
      <c r="H974" s="77">
        <f>Procurement_Raw!H974</f>
        <v>43</v>
      </c>
      <c r="I974" s="124">
        <f>Procurement_Raw!I974</f>
        <v>190.54</v>
      </c>
      <c r="J974" s="125">
        <f>IF(Procurement_Raw!J974="","",Procurement_Raw!J974)</f>
        <v>8193.09</v>
      </c>
      <c r="K974" s="77">
        <f>Procurement_Raw!K974</f>
        <v>45</v>
      </c>
      <c r="L974" t="str">
        <f>Procurement_Raw!L974</f>
        <v>Legacy Spend File</v>
      </c>
      <c r="M974" t="str">
        <f>Procurement_Raw!O974</f>
        <v>Y</v>
      </c>
      <c r="N974" t="str">
        <f>IF(E974="","Missing supplier",IF(B974="","Missing site",IF(J974="","Missing spend",IF(COUNTIFS($G$2:G974,G974,$E$2:E974,E974,$J$2:J974,J974)&gt;1,"Duplicate invoice",IF(COUNTIF($G$2:$G$1801,G974)&gt;1,"Duplicate ID - review",IF(AND(P974&lt;&gt;"Unmapped",P974&lt;&gt;F974),"Category mismatch","OK"))))))</f>
        <v>OK</v>
      </c>
      <c r="O974" s="125">
        <f t="shared" si="45"/>
        <v>8193.09</v>
      </c>
      <c r="P974" t="str">
        <f>IF(E974="","Unmapped",IFERROR(INDEX(Supplier_Lookup!$B$2:$B$25,MATCH(E974,Supplier_Lookup!$A$2:$A$25,0)),"Unmapped"))</f>
        <v>Medical Supplies</v>
      </c>
      <c r="Q974" s="76">
        <f>IFERROR(INDEX(Category_Targets!$B$2:$B$9,MATCH(F974,Category_Targets!$A$2:$A$9,0)),0)</f>
        <v>0.06</v>
      </c>
      <c r="R974" s="125">
        <f t="shared" si="46"/>
        <v>491.58539999999999</v>
      </c>
      <c r="S974" s="78">
        <f t="shared" si="47"/>
        <v>45748</v>
      </c>
      <c r="T974" t="str">
        <f>IFERROR(VLOOKUP(B974,Sites!$A$2:$D$21,4,FALSE()),"Unknown")</f>
        <v>Nottingham</v>
      </c>
      <c r="U974" t="str">
        <f>IF(N974="OK","",COUNTIF($N$2:N974,"&lt;&gt;OK"))</f>
        <v/>
      </c>
      <c r="V974">
        <f>IF(OR(NOT(EXACT(E974,TRIM(Procurement_Raw!E974))),NOT(EXACT(F974,TRIM(Procurement_Raw!F974)))),1,0)</f>
        <v>0</v>
      </c>
    </row>
    <row r="975" spans="1:22" ht="15" customHeight="1" x14ac:dyDescent="0.25">
      <c r="A975" s="123">
        <f>Procurement_Raw!A975</f>
        <v>45988</v>
      </c>
      <c r="B975" t="str">
        <f>TRIM(Procurement_Raw!B975)</f>
        <v>S007</v>
      </c>
      <c r="C975" t="str">
        <f>Procurement_Raw!C975</f>
        <v>Nottingham Care &amp; Education Centre</v>
      </c>
      <c r="D975" t="str">
        <f>Procurement_Raw!D975</f>
        <v>Midlands</v>
      </c>
      <c r="E975" t="str">
        <f>IF(TRIM(Procurement_Raw!E975)="","",IFERROR(INDEX(Supplier_Lookup!$A$2:$A$25,MATCH(TRIM(Procurement_Raw!E975),Supplier_Lookup!$A$2:$A$25,0)),TRIM(Procurement_Raw!E975)))</f>
        <v>OfficePlus</v>
      </c>
      <c r="F975" t="str">
        <f>IFERROR(INDEX(Category_Targets!$A$2:$A$9,MATCH(TRIM(Procurement_Raw!F975),Category_Targets!$A$2:$A$9,0)),"Unmapped")</f>
        <v>Office &amp; Training</v>
      </c>
      <c r="G975" t="str">
        <f>TRIM(Procurement_Raw!G975)</f>
        <v>INV-2025-00974</v>
      </c>
      <c r="H975" s="77">
        <f>Procurement_Raw!H975</f>
        <v>18</v>
      </c>
      <c r="I975" s="124">
        <f>Procurement_Raw!I975</f>
        <v>52.38</v>
      </c>
      <c r="J975" s="125">
        <f>IF(Procurement_Raw!J975="","",Procurement_Raw!J975)</f>
        <v>942.86</v>
      </c>
      <c r="K975" s="77">
        <f>Procurement_Raw!K975</f>
        <v>45</v>
      </c>
      <c r="L975" t="str">
        <f>Procurement_Raw!L975</f>
        <v>ERP</v>
      </c>
      <c r="M975" t="str">
        <f>Procurement_Raw!O975</f>
        <v>N</v>
      </c>
      <c r="N975" t="str">
        <f>IF(E975="","Missing supplier",IF(B975="","Missing site",IF(J975="","Missing spend",IF(COUNTIFS($G$2:G975,G975,$E$2:E975,E975,$J$2:J975,J975)&gt;1,"Duplicate invoice",IF(COUNTIF($G$2:$G$1801,G975)&gt;1,"Duplicate ID - review",IF(AND(P975&lt;&gt;"Unmapped",P975&lt;&gt;F975),"Category mismatch","OK"))))))</f>
        <v>OK</v>
      </c>
      <c r="O975" s="125">
        <f t="shared" si="45"/>
        <v>942.86</v>
      </c>
      <c r="P975" t="str">
        <f>IF(E975="","Unmapped",IFERROR(INDEX(Supplier_Lookup!$B$2:$B$25,MATCH(E975,Supplier_Lookup!$A$2:$A$25,0)),"Unmapped"))</f>
        <v>Office &amp; Training</v>
      </c>
      <c r="Q975" s="76">
        <f>IFERROR(INDEX(Category_Targets!$B$2:$B$9,MATCH(F975,Category_Targets!$A$2:$A$9,0)),0)</f>
        <v>0.04</v>
      </c>
      <c r="R975" s="125">
        <f t="shared" si="46"/>
        <v>37.714400000000005</v>
      </c>
      <c r="S975" s="78">
        <f t="shared" si="47"/>
        <v>45962</v>
      </c>
      <c r="T975" t="str">
        <f>IFERROR(VLOOKUP(B975,Sites!$A$2:$D$21,4,FALSE()),"Unknown")</f>
        <v>Nottingham</v>
      </c>
      <c r="U975" t="str">
        <f>IF(N975="OK","",COUNTIF($N$2:N975,"&lt;&gt;OK"))</f>
        <v/>
      </c>
      <c r="V975">
        <f>IF(OR(NOT(EXACT(E975,TRIM(Procurement_Raw!E975))),NOT(EXACT(F975,TRIM(Procurement_Raw!F975)))),1,0)</f>
        <v>0</v>
      </c>
    </row>
    <row r="976" spans="1:22" ht="15" customHeight="1" x14ac:dyDescent="0.25">
      <c r="A976" s="123">
        <f>Procurement_Raw!A976</f>
        <v>45829</v>
      </c>
      <c r="B976" t="str">
        <f>TRIM(Procurement_Raw!B976)</f>
        <v>S019</v>
      </c>
      <c r="C976" t="str">
        <f>Procurement_Raw!C976</f>
        <v>Wrexham Care &amp; Education Centre</v>
      </c>
      <c r="D976" t="str">
        <f>Procurement_Raw!D976</f>
        <v>Wales</v>
      </c>
      <c r="E976" t="str">
        <f>IF(TRIM(Procurement_Raw!E976)="","",IFERROR(INDEX(Supplier_Lookup!$A$2:$A$25,MATCH(TRIM(Procurement_Raw!E976),Supplier_Lookup!$A$2:$A$25,0)),TRIM(Procurement_Raw!E976)))</f>
        <v>PrintCo</v>
      </c>
      <c r="F976" t="str">
        <f>IFERROR(INDEX(Category_Targets!$A$2:$A$9,MATCH(TRIM(Procurement_Raw!F976),Category_Targets!$A$2:$A$9,0)),"Unmapped")</f>
        <v>Office &amp; Training</v>
      </c>
      <c r="G976" t="str">
        <f>TRIM(Procurement_Raw!G976)</f>
        <v>INV-2025-00975</v>
      </c>
      <c r="H976" s="77">
        <f>Procurement_Raw!H976</f>
        <v>60</v>
      </c>
      <c r="I976" s="124">
        <f>Procurement_Raw!I976</f>
        <v>58.68</v>
      </c>
      <c r="J976" s="125">
        <f>IF(Procurement_Raw!J976="","",Procurement_Raw!J976)</f>
        <v>3520.76</v>
      </c>
      <c r="K976" s="77">
        <f>Procurement_Raw!K976</f>
        <v>45</v>
      </c>
      <c r="L976" t="str">
        <f>Procurement_Raw!L976</f>
        <v>Legacy Spend File</v>
      </c>
      <c r="M976" t="str">
        <f>Procurement_Raw!O976</f>
        <v>N</v>
      </c>
      <c r="N976" t="str">
        <f>IF(E976="","Missing supplier",IF(B976="","Missing site",IF(J976="","Missing spend",IF(COUNTIFS($G$2:G976,G976,$E$2:E976,E976,$J$2:J976,J976)&gt;1,"Duplicate invoice",IF(COUNTIF($G$2:$G$1801,G976)&gt;1,"Duplicate ID - review",IF(AND(P976&lt;&gt;"Unmapped",P976&lt;&gt;F976),"Category mismatch","OK"))))))</f>
        <v>OK</v>
      </c>
      <c r="O976" s="125">
        <f t="shared" si="45"/>
        <v>3520.76</v>
      </c>
      <c r="P976" t="str">
        <f>IF(E976="","Unmapped",IFERROR(INDEX(Supplier_Lookup!$B$2:$B$25,MATCH(E976,Supplier_Lookup!$A$2:$A$25,0)),"Unmapped"))</f>
        <v>Office &amp; Training</v>
      </c>
      <c r="Q976" s="76">
        <f>IFERROR(INDEX(Category_Targets!$B$2:$B$9,MATCH(F976,Category_Targets!$A$2:$A$9,0)),0)</f>
        <v>0.04</v>
      </c>
      <c r="R976" s="125">
        <f t="shared" si="46"/>
        <v>140.83040000000003</v>
      </c>
      <c r="S976" s="78">
        <f t="shared" si="47"/>
        <v>45809</v>
      </c>
      <c r="T976" t="str">
        <f>IFERROR(VLOOKUP(B976,Sites!$A$2:$D$21,4,FALSE()),"Unknown")</f>
        <v>Wrexham</v>
      </c>
      <c r="U976" t="str">
        <f>IF(N976="OK","",COUNTIF($N$2:N976,"&lt;&gt;OK"))</f>
        <v/>
      </c>
      <c r="V976">
        <f>IF(OR(NOT(EXACT(E976,TRIM(Procurement_Raw!E976))),NOT(EXACT(F976,TRIM(Procurement_Raw!F976)))),1,0)</f>
        <v>0</v>
      </c>
    </row>
    <row r="977" spans="1:22" ht="15" customHeight="1" x14ac:dyDescent="0.25">
      <c r="A977" s="123">
        <f>Procurement_Raw!A977</f>
        <v>46005</v>
      </c>
      <c r="B977" t="str">
        <f>TRIM(Procurement_Raw!B977)</f>
        <v>S007</v>
      </c>
      <c r="C977" t="str">
        <f>Procurement_Raw!C977</f>
        <v>Nottingham Care &amp; Education Centre</v>
      </c>
      <c r="D977" t="str">
        <f>Procurement_Raw!D977</f>
        <v>Midlands</v>
      </c>
      <c r="E977" t="str">
        <f>IF(TRIM(Procurement_Raw!E977)="","",IFERROR(INDEX(Supplier_Lookup!$A$2:$A$25,MATCH(TRIM(Procurement_Raw!E977),Supplier_Lookup!$A$2:$A$25,0)),TRIM(Procurement_Raw!E977)))</f>
        <v>NetServe</v>
      </c>
      <c r="F977" t="str">
        <f>IFERROR(INDEX(Category_Targets!$A$2:$A$9,MATCH(TRIM(Procurement_Raw!F977),Category_Targets!$A$2:$A$9,0)),"Unmapped")</f>
        <v>IT &amp; Telecoms</v>
      </c>
      <c r="G977" t="str">
        <f>TRIM(Procurement_Raw!G977)</f>
        <v>INV-2025-00976</v>
      </c>
      <c r="H977" s="77">
        <f>Procurement_Raw!H977</f>
        <v>41</v>
      </c>
      <c r="I977" s="124">
        <f>Procurement_Raw!I977</f>
        <v>77.819999999999993</v>
      </c>
      <c r="J977" s="125">
        <f>IF(Procurement_Raw!J977="","",Procurement_Raw!J977)</f>
        <v>3190.56</v>
      </c>
      <c r="K977" s="77">
        <f>Procurement_Raw!K977</f>
        <v>60</v>
      </c>
      <c r="L977" t="str">
        <f>Procurement_Raw!L977</f>
        <v>Legacy Spend File</v>
      </c>
      <c r="M977" t="str">
        <f>Procurement_Raw!O977</f>
        <v>N</v>
      </c>
      <c r="N977" t="str">
        <f>IF(E977="","Missing supplier",IF(B977="","Missing site",IF(J977="","Missing spend",IF(COUNTIFS($G$2:G977,G977,$E$2:E977,E977,$J$2:J977,J977)&gt;1,"Duplicate invoice",IF(COUNTIF($G$2:$G$1801,G977)&gt;1,"Duplicate ID - review",IF(AND(P977&lt;&gt;"Unmapped",P977&lt;&gt;F977),"Category mismatch","OK"))))))</f>
        <v>OK</v>
      </c>
      <c r="O977" s="125">
        <f t="shared" si="45"/>
        <v>3190.56</v>
      </c>
      <c r="P977" t="str">
        <f>IF(E977="","Unmapped",IFERROR(INDEX(Supplier_Lookup!$B$2:$B$25,MATCH(E977,Supplier_Lookup!$A$2:$A$25,0)),"Unmapped"))</f>
        <v>IT &amp; Telecoms</v>
      </c>
      <c r="Q977" s="76">
        <f>IFERROR(INDEX(Category_Targets!$B$2:$B$9,MATCH(F977,Category_Targets!$A$2:$A$9,0)),0)</f>
        <v>0.08</v>
      </c>
      <c r="R977" s="125">
        <f t="shared" si="46"/>
        <v>255.2448</v>
      </c>
      <c r="S977" s="78">
        <f t="shared" si="47"/>
        <v>45992</v>
      </c>
      <c r="T977" t="str">
        <f>IFERROR(VLOOKUP(B977,Sites!$A$2:$D$21,4,FALSE()),"Unknown")</f>
        <v>Nottingham</v>
      </c>
      <c r="U977" t="str">
        <f>IF(N977="OK","",COUNTIF($N$2:N977,"&lt;&gt;OK"))</f>
        <v/>
      </c>
      <c r="V977">
        <f>IF(OR(NOT(EXACT(E977,TRIM(Procurement_Raw!E977))),NOT(EXACT(F977,TRIM(Procurement_Raw!F977)))),1,0)</f>
        <v>0</v>
      </c>
    </row>
    <row r="978" spans="1:22" ht="15" customHeight="1" x14ac:dyDescent="0.25">
      <c r="A978" s="123">
        <f>Procurement_Raw!A978</f>
        <v>46008</v>
      </c>
      <c r="B978" t="str">
        <f>TRIM(Procurement_Raw!B978)</f>
        <v>S010</v>
      </c>
      <c r="C978" t="str">
        <f>Procurement_Raw!C978</f>
        <v>Coventry Care &amp; Education Centre</v>
      </c>
      <c r="D978" t="str">
        <f>Procurement_Raw!D978</f>
        <v>Midlands</v>
      </c>
      <c r="E978" t="str">
        <f>IF(TRIM(Procurement_Raw!E978)="","",IFERROR(INDEX(Supplier_Lookup!$A$2:$A$25,MATCH(TRIM(Procurement_Raw!E978),Supplier_Lookup!$A$2:$A$25,0)),TRIM(Procurement_Raw!E978)))</f>
        <v>PowerDirect</v>
      </c>
      <c r="F978" t="str">
        <f>IFERROR(INDEX(Category_Targets!$A$2:$A$9,MATCH(TRIM(Procurement_Raw!F978),Category_Targets!$A$2:$A$9,0)),"Unmapped")</f>
        <v>Utilities</v>
      </c>
      <c r="G978" t="str">
        <f>TRIM(Procurement_Raw!G978)</f>
        <v>INV-2025-00977</v>
      </c>
      <c r="H978" s="77">
        <f>Procurement_Raw!H978</f>
        <v>43</v>
      </c>
      <c r="I978" s="124">
        <f>Procurement_Raw!I978</f>
        <v>194.94</v>
      </c>
      <c r="J978" s="125">
        <f>IF(Procurement_Raw!J978="","",Procurement_Raw!J978)</f>
        <v>8382.43</v>
      </c>
      <c r="K978" s="77">
        <f>Procurement_Raw!K978</f>
        <v>45</v>
      </c>
      <c r="L978" t="str">
        <f>Procurement_Raw!L978</f>
        <v>ERP</v>
      </c>
      <c r="M978" t="str">
        <f>Procurement_Raw!O978</f>
        <v>N</v>
      </c>
      <c r="N978" t="str">
        <f>IF(E978="","Missing supplier",IF(B978="","Missing site",IF(J978="","Missing spend",IF(COUNTIFS($G$2:G978,G978,$E$2:E978,E978,$J$2:J978,J978)&gt;1,"Duplicate invoice",IF(COUNTIF($G$2:$G$1801,G978)&gt;1,"Duplicate ID - review",IF(AND(P978&lt;&gt;"Unmapped",P978&lt;&gt;F978),"Category mismatch","OK"))))))</f>
        <v>OK</v>
      </c>
      <c r="O978" s="125">
        <f t="shared" si="45"/>
        <v>8382.43</v>
      </c>
      <c r="P978" t="str">
        <f>IF(E978="","Unmapped",IFERROR(INDEX(Supplier_Lookup!$B$2:$B$25,MATCH(E978,Supplier_Lookup!$A$2:$A$25,0)),"Unmapped"))</f>
        <v>Utilities</v>
      </c>
      <c r="Q978" s="76">
        <f>IFERROR(INDEX(Category_Targets!$B$2:$B$9,MATCH(F978,Category_Targets!$A$2:$A$9,0)),0)</f>
        <v>0.03</v>
      </c>
      <c r="R978" s="125">
        <f t="shared" si="46"/>
        <v>251.47290000000001</v>
      </c>
      <c r="S978" s="78">
        <f t="shared" si="47"/>
        <v>45992</v>
      </c>
      <c r="T978" t="str">
        <f>IFERROR(VLOOKUP(B978,Sites!$A$2:$D$21,4,FALSE()),"Unknown")</f>
        <v>Coventry</v>
      </c>
      <c r="U978" t="str">
        <f>IF(N978="OK","",COUNTIF($N$2:N978,"&lt;&gt;OK"))</f>
        <v/>
      </c>
      <c r="V978">
        <f>IF(OR(NOT(EXACT(E978,TRIM(Procurement_Raw!E978))),NOT(EXACT(F978,TRIM(Procurement_Raw!F978)))),1,0)</f>
        <v>0</v>
      </c>
    </row>
    <row r="979" spans="1:22" ht="15" customHeight="1" x14ac:dyDescent="0.25">
      <c r="A979" s="123">
        <f>Procurement_Raw!A979</f>
        <v>45831</v>
      </c>
      <c r="B979" t="str">
        <f>TRIM(Procurement_Raw!B979)</f>
        <v>S014</v>
      </c>
      <c r="C979" t="str">
        <f>Procurement_Raw!C979</f>
        <v>Southampton Care &amp; Education Centre</v>
      </c>
      <c r="D979" t="str">
        <f>Procurement_Raw!D979</f>
        <v>South</v>
      </c>
      <c r="E979" t="str">
        <f>IF(TRIM(Procurement_Raw!E979)="","",IFERROR(INDEX(Supplier_Lookup!$A$2:$A$25,MATCH(TRIM(Procurement_Raw!E979),Supplier_Lookup!$A$2:$A$25,0)),TRIM(Procurement_Raw!E979)))</f>
        <v>CloudLink</v>
      </c>
      <c r="F979" t="str">
        <f>IFERROR(INDEX(Category_Targets!$A$2:$A$9,MATCH(TRIM(Procurement_Raw!F979),Category_Targets!$A$2:$A$9,0)),"Unmapped")</f>
        <v>IT &amp; Telecoms</v>
      </c>
      <c r="G979" t="str">
        <f>TRIM(Procurement_Raw!G979)</f>
        <v>INV-2025-00978</v>
      </c>
      <c r="H979" s="77">
        <f>Procurement_Raw!H979</f>
        <v>49</v>
      </c>
      <c r="I979" s="124">
        <f>Procurement_Raw!I979</f>
        <v>58</v>
      </c>
      <c r="J979" s="125">
        <f>IF(Procurement_Raw!J979="","",Procurement_Raw!J979)</f>
        <v>2842.14</v>
      </c>
      <c r="K979" s="77">
        <f>Procurement_Raw!K979</f>
        <v>60</v>
      </c>
      <c r="L979" t="str">
        <f>Procurement_Raw!L979</f>
        <v>Legacy Spend File</v>
      </c>
      <c r="M979" t="str">
        <f>Procurement_Raw!O979</f>
        <v>Y</v>
      </c>
      <c r="N979" t="str">
        <f>IF(E979="","Missing supplier",IF(B979="","Missing site",IF(J979="","Missing spend",IF(COUNTIFS($G$2:G979,G979,$E$2:E979,E979,$J$2:J979,J979)&gt;1,"Duplicate invoice",IF(COUNTIF($G$2:$G$1801,G979)&gt;1,"Duplicate ID - review",IF(AND(P979&lt;&gt;"Unmapped",P979&lt;&gt;F979),"Category mismatch","OK"))))))</f>
        <v>OK</v>
      </c>
      <c r="O979" s="125">
        <f t="shared" si="45"/>
        <v>2842.14</v>
      </c>
      <c r="P979" t="str">
        <f>IF(E979="","Unmapped",IFERROR(INDEX(Supplier_Lookup!$B$2:$B$25,MATCH(E979,Supplier_Lookup!$A$2:$A$25,0)),"Unmapped"))</f>
        <v>IT &amp; Telecoms</v>
      </c>
      <c r="Q979" s="76">
        <f>IFERROR(INDEX(Category_Targets!$B$2:$B$9,MATCH(F979,Category_Targets!$A$2:$A$9,0)),0)</f>
        <v>0.08</v>
      </c>
      <c r="R979" s="125">
        <f t="shared" si="46"/>
        <v>227.37119999999999</v>
      </c>
      <c r="S979" s="78">
        <f t="shared" si="47"/>
        <v>45809</v>
      </c>
      <c r="T979" t="str">
        <f>IFERROR(VLOOKUP(B979,Sites!$A$2:$D$21,4,FALSE()),"Unknown")</f>
        <v>Southampton</v>
      </c>
      <c r="U979" t="str">
        <f>IF(N979="OK","",COUNTIF($N$2:N979,"&lt;&gt;OK"))</f>
        <v/>
      </c>
      <c r="V979">
        <f>IF(OR(NOT(EXACT(E979,TRIM(Procurement_Raw!E979))),NOT(EXACT(F979,TRIM(Procurement_Raw!F979)))),1,0)</f>
        <v>0</v>
      </c>
    </row>
    <row r="980" spans="1:22" ht="15" customHeight="1" x14ac:dyDescent="0.25">
      <c r="A980" s="123">
        <f>Procurement_Raw!A980</f>
        <v>45962</v>
      </c>
      <c r="B980" t="str">
        <f>TRIM(Procurement_Raw!B980)</f>
        <v>S008</v>
      </c>
      <c r="C980" t="str">
        <f>Procurement_Raw!C980</f>
        <v>Leicester Care &amp; Education Centre</v>
      </c>
      <c r="D980" t="str">
        <f>Procurement_Raw!D980</f>
        <v>Midlands</v>
      </c>
      <c r="E980" t="str">
        <f>IF(TRIM(Procurement_Raw!E980)="","",IFERROR(INDEX(Supplier_Lookup!$A$2:$A$25,MATCH(TRIM(Procurement_Raw!E980),Supplier_Lookup!$A$2:$A$25,0)),TRIM(Procurement_Raw!E980)))</f>
        <v>HealthStaffing</v>
      </c>
      <c r="F980" t="str">
        <f>IFERROR(INDEX(Category_Targets!$A$2:$A$9,MATCH(TRIM(Procurement_Raw!F980),Category_Targets!$A$2:$A$9,0)),"Unmapped")</f>
        <v>Agency Labour</v>
      </c>
      <c r="G980" t="str">
        <f>TRIM(Procurement_Raw!G980)</f>
        <v>INV-2025-00979</v>
      </c>
      <c r="H980" s="77">
        <f>Procurement_Raw!H980</f>
        <v>15</v>
      </c>
      <c r="I980" s="124">
        <f>Procurement_Raw!I980</f>
        <v>125.54</v>
      </c>
      <c r="J980" s="125">
        <f>IF(Procurement_Raw!J980="","",Procurement_Raw!J980)</f>
        <v>1883.12</v>
      </c>
      <c r="K980" s="77">
        <f>Procurement_Raw!K980</f>
        <v>45</v>
      </c>
      <c r="L980" t="str">
        <f>Procurement_Raw!L980</f>
        <v>Legacy Spend File</v>
      </c>
      <c r="M980" t="str">
        <f>Procurement_Raw!O980</f>
        <v>N</v>
      </c>
      <c r="N980" t="str">
        <f>IF(E980="","Missing supplier",IF(B980="","Missing site",IF(J980="","Missing spend",IF(COUNTIFS($G$2:G980,G980,$E$2:E980,E980,$J$2:J980,J980)&gt;1,"Duplicate invoice",IF(COUNTIF($G$2:$G$1801,G980)&gt;1,"Duplicate ID - review",IF(AND(P980&lt;&gt;"Unmapped",P980&lt;&gt;F980),"Category mismatch","OK"))))))</f>
        <v>OK</v>
      </c>
      <c r="O980" s="125">
        <f t="shared" si="45"/>
        <v>1883.12</v>
      </c>
      <c r="P980" t="str">
        <f>IF(E980="","Unmapped",IFERROR(INDEX(Supplier_Lookup!$B$2:$B$25,MATCH(E980,Supplier_Lookup!$A$2:$A$25,0)),"Unmapped"))</f>
        <v>Agency Labour</v>
      </c>
      <c r="Q980" s="76">
        <f>IFERROR(INDEX(Category_Targets!$B$2:$B$9,MATCH(F980,Category_Targets!$A$2:$A$9,0)),0)</f>
        <v>7.0000000000000007E-2</v>
      </c>
      <c r="R980" s="125">
        <f t="shared" si="46"/>
        <v>131.8184</v>
      </c>
      <c r="S980" s="78">
        <f t="shared" si="47"/>
        <v>45962</v>
      </c>
      <c r="T980" t="str">
        <f>IFERROR(VLOOKUP(B980,Sites!$A$2:$D$21,4,FALSE()),"Unknown")</f>
        <v>Leicester</v>
      </c>
      <c r="U980" t="str">
        <f>IF(N980="OK","",COUNTIF($N$2:N980,"&lt;&gt;OK"))</f>
        <v/>
      </c>
      <c r="V980">
        <f>IF(OR(NOT(EXACT(E980,TRIM(Procurement_Raw!E980))),NOT(EXACT(F980,TRIM(Procurement_Raw!F980)))),1,0)</f>
        <v>0</v>
      </c>
    </row>
    <row r="981" spans="1:22" ht="15" customHeight="1" x14ac:dyDescent="0.25">
      <c r="A981" s="123">
        <f>Procurement_Raw!A981</f>
        <v>45869</v>
      </c>
      <c r="B981" t="str">
        <f>TRIM(Procurement_Raw!B981)</f>
        <v>S008</v>
      </c>
      <c r="C981" t="str">
        <f>Procurement_Raw!C981</f>
        <v>Leicester Care &amp; Education Centre</v>
      </c>
      <c r="D981" t="str">
        <f>Procurement_Raw!D981</f>
        <v>Midlands</v>
      </c>
      <c r="E981" t="str">
        <f>IF(TRIM(Procurement_Raw!E981)="","",IFERROR(INDEX(Supplier_Lookup!$A$2:$A$25,MATCH(TRIM(Procurement_Raw!E981),Supplier_Lookup!$A$2:$A$25,0)),TRIM(Procurement_Raw!E981)))</f>
        <v>CareMed</v>
      </c>
      <c r="F981" t="str">
        <f>IFERROR(INDEX(Category_Targets!$A$2:$A$9,MATCH(TRIM(Procurement_Raw!F981),Category_Targets!$A$2:$A$9,0)),"Unmapped")</f>
        <v>Medical Supplies</v>
      </c>
      <c r="G981" t="str">
        <f>TRIM(Procurement_Raw!G981)</f>
        <v>INV-2025-00980</v>
      </c>
      <c r="H981" s="77">
        <f>Procurement_Raw!H981</f>
        <v>12</v>
      </c>
      <c r="I981" s="124">
        <f>Procurement_Raw!I981</f>
        <v>182.31</v>
      </c>
      <c r="J981" s="125">
        <f>IF(Procurement_Raw!J981="","",Procurement_Raw!J981)</f>
        <v>2187.7399999999998</v>
      </c>
      <c r="K981" s="77">
        <f>Procurement_Raw!K981</f>
        <v>45</v>
      </c>
      <c r="L981" t="str">
        <f>Procurement_Raw!L981</f>
        <v>ERP</v>
      </c>
      <c r="M981" t="str">
        <f>Procurement_Raw!O981</f>
        <v>N</v>
      </c>
      <c r="N981" t="str">
        <f>IF(E981="","Missing supplier",IF(B981="","Missing site",IF(J981="","Missing spend",IF(COUNTIFS($G$2:G981,G981,$E$2:E981,E981,$J$2:J981,J981)&gt;1,"Duplicate invoice",IF(COUNTIF($G$2:$G$1801,G981)&gt;1,"Duplicate ID - review",IF(AND(P981&lt;&gt;"Unmapped",P981&lt;&gt;F981),"Category mismatch","OK"))))))</f>
        <v>OK</v>
      </c>
      <c r="O981" s="125">
        <f t="shared" si="45"/>
        <v>2187.7399999999998</v>
      </c>
      <c r="P981" t="str">
        <f>IF(E981="","Unmapped",IFERROR(INDEX(Supplier_Lookup!$B$2:$B$25,MATCH(E981,Supplier_Lookup!$A$2:$A$25,0)),"Unmapped"))</f>
        <v>Medical Supplies</v>
      </c>
      <c r="Q981" s="76">
        <f>IFERROR(INDEX(Category_Targets!$B$2:$B$9,MATCH(F981,Category_Targets!$A$2:$A$9,0)),0)</f>
        <v>0.06</v>
      </c>
      <c r="R981" s="125">
        <f t="shared" si="46"/>
        <v>131.26439999999999</v>
      </c>
      <c r="S981" s="78">
        <f t="shared" si="47"/>
        <v>45839</v>
      </c>
      <c r="T981" t="str">
        <f>IFERROR(VLOOKUP(B981,Sites!$A$2:$D$21,4,FALSE()),"Unknown")</f>
        <v>Leicester</v>
      </c>
      <c r="U981" t="str">
        <f>IF(N981="OK","",COUNTIF($N$2:N981,"&lt;&gt;OK"))</f>
        <v/>
      </c>
      <c r="V981">
        <f>IF(OR(NOT(EXACT(E981,TRIM(Procurement_Raw!E981))),NOT(EXACT(F981,TRIM(Procurement_Raw!F981)))),1,0)</f>
        <v>0</v>
      </c>
    </row>
    <row r="982" spans="1:22" ht="15" customHeight="1" x14ac:dyDescent="0.25">
      <c r="A982" s="123">
        <f>Procurement_Raw!A982</f>
        <v>45768</v>
      </c>
      <c r="B982" t="str">
        <f>TRIM(Procurement_Raw!B982)</f>
        <v>S009</v>
      </c>
      <c r="C982" t="str">
        <f>Procurement_Raw!C982</f>
        <v>Derby Care &amp; Education Centre</v>
      </c>
      <c r="D982" t="str">
        <f>Procurement_Raw!D982</f>
        <v>Midlands</v>
      </c>
      <c r="E982" t="str">
        <f>IF(TRIM(Procurement_Raw!E982)="","",IFERROR(INDEX(Supplier_Lookup!$A$2:$A$25,MATCH(TRIM(Procurement_Raw!E982),Supplier_Lookup!$A$2:$A$25,0)),TRIM(Procurement_Raw!E982)))</f>
        <v>LearnWell</v>
      </c>
      <c r="F982" t="str">
        <f>IFERROR(INDEX(Category_Targets!$A$2:$A$9,MATCH(TRIM(Procurement_Raw!F982),Category_Targets!$A$2:$A$9,0)),"Unmapped")</f>
        <v>Office &amp; Training</v>
      </c>
      <c r="G982" t="str">
        <f>TRIM(Procurement_Raw!G982)</f>
        <v>INV-2025-00981</v>
      </c>
      <c r="H982" s="77">
        <f>Procurement_Raw!H982</f>
        <v>68</v>
      </c>
      <c r="I982" s="124">
        <f>Procurement_Raw!I982</f>
        <v>115.55</v>
      </c>
      <c r="J982" s="125">
        <f>IF(Procurement_Raw!J982="","",Procurement_Raw!J982)</f>
        <v>7857.2</v>
      </c>
      <c r="K982" s="77">
        <f>Procurement_Raw!K982</f>
        <v>45</v>
      </c>
      <c r="L982" t="str">
        <f>Procurement_Raw!L982</f>
        <v>ERP</v>
      </c>
      <c r="M982" t="str">
        <f>Procurement_Raw!O982</f>
        <v>N</v>
      </c>
      <c r="N982" t="str">
        <f>IF(E982="","Missing supplier",IF(B982="","Missing site",IF(J982="","Missing spend",IF(COUNTIFS($G$2:G982,G982,$E$2:E982,E982,$J$2:J982,J982)&gt;1,"Duplicate invoice",IF(COUNTIF($G$2:$G$1801,G982)&gt;1,"Duplicate ID - review",IF(AND(P982&lt;&gt;"Unmapped",P982&lt;&gt;F982),"Category mismatch","OK"))))))</f>
        <v>OK</v>
      </c>
      <c r="O982" s="125">
        <f t="shared" si="45"/>
        <v>7857.2</v>
      </c>
      <c r="P982" t="str">
        <f>IF(E982="","Unmapped",IFERROR(INDEX(Supplier_Lookup!$B$2:$B$25,MATCH(E982,Supplier_Lookup!$A$2:$A$25,0)),"Unmapped"))</f>
        <v>Office &amp; Training</v>
      </c>
      <c r="Q982" s="76">
        <f>IFERROR(INDEX(Category_Targets!$B$2:$B$9,MATCH(F982,Category_Targets!$A$2:$A$9,0)),0)</f>
        <v>0.04</v>
      </c>
      <c r="R982" s="125">
        <f t="shared" si="46"/>
        <v>314.28800000000001</v>
      </c>
      <c r="S982" s="78">
        <f t="shared" si="47"/>
        <v>45748</v>
      </c>
      <c r="T982" t="str">
        <f>IFERROR(VLOOKUP(B982,Sites!$A$2:$D$21,4,FALSE()),"Unknown")</f>
        <v>Derby</v>
      </c>
      <c r="U982" t="str">
        <f>IF(N982="OK","",COUNTIF($N$2:N982,"&lt;&gt;OK"))</f>
        <v/>
      </c>
      <c r="V982">
        <f>IF(OR(NOT(EXACT(E982,TRIM(Procurement_Raw!E982))),NOT(EXACT(F982,TRIM(Procurement_Raw!F982)))),1,0)</f>
        <v>0</v>
      </c>
    </row>
    <row r="983" spans="1:22" ht="15" customHeight="1" x14ac:dyDescent="0.25">
      <c r="A983" s="123">
        <f>Procurement_Raw!A983</f>
        <v>45761</v>
      </c>
      <c r="B983" t="str">
        <f>TRIM(Procurement_Raw!B983)</f>
        <v>S005</v>
      </c>
      <c r="C983" t="str">
        <f>Procurement_Raw!C983</f>
        <v>Sheffield Care &amp; Education Centre</v>
      </c>
      <c r="D983" t="str">
        <f>Procurement_Raw!D983</f>
        <v>North</v>
      </c>
      <c r="E983" t="str">
        <f>IF(TRIM(Procurement_Raw!E983)="","",IFERROR(INDEX(Supplier_Lookup!$A$2:$A$25,MATCH(TRIM(Procurement_Raw!E983),Supplier_Lookup!$A$2:$A$25,0)),TRIM(Procurement_Raw!E983)))</f>
        <v>FleetFuel</v>
      </c>
      <c r="F983" t="str">
        <f>IFERROR(INDEX(Category_Targets!$A$2:$A$9,MATCH(TRIM(Procurement_Raw!F983),Category_Targets!$A$2:$A$9,0)),"Unmapped")</f>
        <v>Vehicle &amp; Fuel</v>
      </c>
      <c r="G983" t="str">
        <f>TRIM(Procurement_Raw!G983)</f>
        <v>INV-2025-00982</v>
      </c>
      <c r="H983" s="77">
        <f>Procurement_Raw!H983</f>
        <v>12</v>
      </c>
      <c r="I983" s="124">
        <f>Procurement_Raw!I983</f>
        <v>120.05</v>
      </c>
      <c r="J983" s="125">
        <f>IF(Procurement_Raw!J983="","",Procurement_Raw!J983)</f>
        <v>1440.56</v>
      </c>
      <c r="K983" s="77">
        <f>Procurement_Raw!K983</f>
        <v>45</v>
      </c>
      <c r="L983" t="str">
        <f>Procurement_Raw!L983</f>
        <v>Legacy Spend File</v>
      </c>
      <c r="M983" t="str">
        <f>Procurement_Raw!O983</f>
        <v>Y</v>
      </c>
      <c r="N983" t="str">
        <f>IF(E983="","Missing supplier",IF(B983="","Missing site",IF(J983="","Missing spend",IF(COUNTIFS($G$2:G983,G983,$E$2:E983,E983,$J$2:J983,J983)&gt;1,"Duplicate invoice",IF(COUNTIF($G$2:$G$1801,G983)&gt;1,"Duplicate ID - review",IF(AND(P983&lt;&gt;"Unmapped",P983&lt;&gt;F983),"Category mismatch","OK"))))))</f>
        <v>OK</v>
      </c>
      <c r="O983" s="125">
        <f t="shared" si="45"/>
        <v>1440.56</v>
      </c>
      <c r="P983" t="str">
        <f>IF(E983="","Unmapped",IFERROR(INDEX(Supplier_Lookup!$B$2:$B$25,MATCH(E983,Supplier_Lookup!$A$2:$A$25,0)),"Unmapped"))</f>
        <v>Vehicle &amp; Fuel</v>
      </c>
      <c r="Q983" s="76">
        <f>IFERROR(INDEX(Category_Targets!$B$2:$B$9,MATCH(F983,Category_Targets!$A$2:$A$9,0)),0)</f>
        <v>0.05</v>
      </c>
      <c r="R983" s="125">
        <f t="shared" si="46"/>
        <v>72.028000000000006</v>
      </c>
      <c r="S983" s="78">
        <f t="shared" si="47"/>
        <v>45748</v>
      </c>
      <c r="T983" t="str">
        <f>IFERROR(VLOOKUP(B983,Sites!$A$2:$D$21,4,FALSE()),"Unknown")</f>
        <v>Sheffield</v>
      </c>
      <c r="U983" t="str">
        <f>IF(N983="OK","",COUNTIF($N$2:N983,"&lt;&gt;OK"))</f>
        <v/>
      </c>
      <c r="V983">
        <f>IF(OR(NOT(EXACT(E983,TRIM(Procurement_Raw!E983))),NOT(EXACT(F983,TRIM(Procurement_Raw!F983)))),1,0)</f>
        <v>0</v>
      </c>
    </row>
    <row r="984" spans="1:22" ht="15" customHeight="1" x14ac:dyDescent="0.25">
      <c r="A984" s="123">
        <f>Procurement_Raw!A984</f>
        <v>45736</v>
      </c>
      <c r="B984" t="str">
        <f>TRIM(Procurement_Raw!B984)</f>
        <v>S018</v>
      </c>
      <c r="C984" t="str">
        <f>Procurement_Raw!C984</f>
        <v>Newport Care &amp; Education Centre</v>
      </c>
      <c r="D984" t="str">
        <f>Procurement_Raw!D984</f>
        <v>Wales</v>
      </c>
      <c r="E984" t="str">
        <f>IF(TRIM(Procurement_Raw!E984)="","",IFERROR(INDEX(Supplier_Lookup!$A$2:$A$25,MATCH(TRIM(Procurement_Raw!E984),Supplier_Lookup!$A$2:$A$25,0)),TRIM(Procurement_Raw!E984)))</f>
        <v>PrintCo</v>
      </c>
      <c r="F984" t="str">
        <f>IFERROR(INDEX(Category_Targets!$A$2:$A$9,MATCH(TRIM(Procurement_Raw!F984),Category_Targets!$A$2:$A$9,0)),"Unmapped")</f>
        <v>Office &amp; Training</v>
      </c>
      <c r="G984" t="str">
        <f>TRIM(Procurement_Raw!G984)</f>
        <v>INV-2025-00983</v>
      </c>
      <c r="H984" s="77">
        <f>Procurement_Raw!H984</f>
        <v>25</v>
      </c>
      <c r="I984" s="124">
        <f>Procurement_Raw!I984</f>
        <v>44.06</v>
      </c>
      <c r="J984" s="125">
        <f>IF(Procurement_Raw!J984="","",Procurement_Raw!J984)</f>
        <v>1101.6099999999999</v>
      </c>
      <c r="K984" s="77">
        <f>Procurement_Raw!K984</f>
        <v>45</v>
      </c>
      <c r="L984" t="str">
        <f>Procurement_Raw!L984</f>
        <v>Procurement Portal</v>
      </c>
      <c r="M984" t="str">
        <f>Procurement_Raw!O984</f>
        <v>N</v>
      </c>
      <c r="N984" t="str">
        <f>IF(E984="","Missing supplier",IF(B984="","Missing site",IF(J984="","Missing spend",IF(COUNTIFS($G$2:G984,G984,$E$2:E984,E984,$J$2:J984,J984)&gt;1,"Duplicate invoice",IF(COUNTIF($G$2:$G$1801,G984)&gt;1,"Duplicate ID - review",IF(AND(P984&lt;&gt;"Unmapped",P984&lt;&gt;F984),"Category mismatch","OK"))))))</f>
        <v>OK</v>
      </c>
      <c r="O984" s="125">
        <f t="shared" si="45"/>
        <v>1101.6099999999999</v>
      </c>
      <c r="P984" t="str">
        <f>IF(E984="","Unmapped",IFERROR(INDEX(Supplier_Lookup!$B$2:$B$25,MATCH(E984,Supplier_Lookup!$A$2:$A$25,0)),"Unmapped"))</f>
        <v>Office &amp; Training</v>
      </c>
      <c r="Q984" s="76">
        <f>IFERROR(INDEX(Category_Targets!$B$2:$B$9,MATCH(F984,Category_Targets!$A$2:$A$9,0)),0)</f>
        <v>0.04</v>
      </c>
      <c r="R984" s="125">
        <f t="shared" si="46"/>
        <v>44.064399999999999</v>
      </c>
      <c r="S984" s="78">
        <f t="shared" si="47"/>
        <v>45717</v>
      </c>
      <c r="T984" t="str">
        <f>IFERROR(VLOOKUP(B984,Sites!$A$2:$D$21,4,FALSE()),"Unknown")</f>
        <v>Newport</v>
      </c>
      <c r="U984" t="str">
        <f>IF(N984="OK","",COUNTIF($N$2:N984,"&lt;&gt;OK"))</f>
        <v/>
      </c>
      <c r="V984">
        <f>IF(OR(NOT(EXACT(E984,TRIM(Procurement_Raw!E984))),NOT(EXACT(F984,TRIM(Procurement_Raw!F984)))),1,0)</f>
        <v>0</v>
      </c>
    </row>
    <row r="985" spans="1:22" ht="15" customHeight="1" x14ac:dyDescent="0.25">
      <c r="A985" s="123">
        <f>Procurement_Raw!A985</f>
        <v>45731</v>
      </c>
      <c r="B985" t="str">
        <f>TRIM(Procurement_Raw!B985)</f>
        <v>S011</v>
      </c>
      <c r="C985" t="str">
        <f>Procurement_Raw!C985</f>
        <v>London Care &amp; Education Centre</v>
      </c>
      <c r="D985" t="str">
        <f>Procurement_Raw!D985</f>
        <v>South</v>
      </c>
      <c r="E985" t="str">
        <f>IF(TRIM(Procurement_Raw!E985)="","",IFERROR(INDEX(Supplier_Lookup!$A$2:$A$25,MATCH(TRIM(Procurement_Raw!E985),Supplier_Lookup!$A$2:$A$25,0)),TRIM(Procurement_Raw!E985)))</f>
        <v>TeleCare IT</v>
      </c>
      <c r="F985" t="str">
        <f>IFERROR(INDEX(Category_Targets!$A$2:$A$9,MATCH(TRIM(Procurement_Raw!F985),Category_Targets!$A$2:$A$9,0)),"Unmapped")</f>
        <v>IT &amp; Telecoms</v>
      </c>
      <c r="G985" t="str">
        <f>TRIM(Procurement_Raw!G985)</f>
        <v>INV-2025-00984</v>
      </c>
      <c r="H985" s="77">
        <f>Procurement_Raw!H985</f>
        <v>13</v>
      </c>
      <c r="I985" s="124">
        <f>Procurement_Raw!I985</f>
        <v>214.3</v>
      </c>
      <c r="J985" s="125">
        <f>IF(Procurement_Raw!J985="","",Procurement_Raw!J985)</f>
        <v>2785.93</v>
      </c>
      <c r="K985" s="77">
        <f>Procurement_Raw!K985</f>
        <v>60</v>
      </c>
      <c r="L985" t="str">
        <f>Procurement_Raw!L985</f>
        <v>Legacy Spend File</v>
      </c>
      <c r="M985" t="str">
        <f>Procurement_Raw!O985</f>
        <v>N</v>
      </c>
      <c r="N985" t="str">
        <f>IF(E985="","Missing supplier",IF(B985="","Missing site",IF(J985="","Missing spend",IF(COUNTIFS($G$2:G985,G985,$E$2:E985,E985,$J$2:J985,J985)&gt;1,"Duplicate invoice",IF(COUNTIF($G$2:$G$1801,G985)&gt;1,"Duplicate ID - review",IF(AND(P985&lt;&gt;"Unmapped",P985&lt;&gt;F985),"Category mismatch","OK"))))))</f>
        <v>OK</v>
      </c>
      <c r="O985" s="125">
        <f t="shared" si="45"/>
        <v>2785.93</v>
      </c>
      <c r="P985" t="str">
        <f>IF(E985="","Unmapped",IFERROR(INDEX(Supplier_Lookup!$B$2:$B$25,MATCH(E985,Supplier_Lookup!$A$2:$A$25,0)),"Unmapped"))</f>
        <v>IT &amp; Telecoms</v>
      </c>
      <c r="Q985" s="76">
        <f>IFERROR(INDEX(Category_Targets!$B$2:$B$9,MATCH(F985,Category_Targets!$A$2:$A$9,0)),0)</f>
        <v>0.08</v>
      </c>
      <c r="R985" s="125">
        <f t="shared" si="46"/>
        <v>222.87439999999998</v>
      </c>
      <c r="S985" s="78">
        <f t="shared" si="47"/>
        <v>45717</v>
      </c>
      <c r="T985" t="str">
        <f>IFERROR(VLOOKUP(B985,Sites!$A$2:$D$21,4,FALSE()),"Unknown")</f>
        <v>London</v>
      </c>
      <c r="U985" t="str">
        <f>IF(N985="OK","",COUNTIF($N$2:N985,"&lt;&gt;OK"))</f>
        <v/>
      </c>
      <c r="V985">
        <f>IF(OR(NOT(EXACT(E985,TRIM(Procurement_Raw!E985))),NOT(EXACT(F985,TRIM(Procurement_Raw!F985)))),1,0)</f>
        <v>0</v>
      </c>
    </row>
    <row r="986" spans="1:22" ht="15" customHeight="1" x14ac:dyDescent="0.25">
      <c r="A986" s="123">
        <f>Procurement_Raw!A986</f>
        <v>45676</v>
      </c>
      <c r="B986" t="str">
        <f>TRIM(Procurement_Raw!B986)</f>
        <v>S003</v>
      </c>
      <c r="C986" t="str">
        <f>Procurement_Raw!C986</f>
        <v>Leeds Care &amp; Education Centre</v>
      </c>
      <c r="D986" t="str">
        <f>Procurement_Raw!D986</f>
        <v>North</v>
      </c>
      <c r="E986" t="str">
        <f>IF(TRIM(Procurement_Raw!E986)="","",IFERROR(INDEX(Supplier_Lookup!$A$2:$A$25,MATCH(TRIM(Procurement_Raw!E986),Supplier_Lookup!$A$2:$A$25,0)),TRIM(Procurement_Raw!E986)))</f>
        <v>PowerDirect</v>
      </c>
      <c r="F986" t="str">
        <f>IFERROR(INDEX(Category_Targets!$A$2:$A$9,MATCH(TRIM(Procurement_Raw!F986),Category_Targets!$A$2:$A$9,0)),"Unmapped")</f>
        <v>Utilities</v>
      </c>
      <c r="G986" t="str">
        <f>TRIM(Procurement_Raw!G986)</f>
        <v>INV-2025-00985</v>
      </c>
      <c r="H986" s="77">
        <f>Procurement_Raw!H986</f>
        <v>59</v>
      </c>
      <c r="I986" s="124">
        <f>Procurement_Raw!I986</f>
        <v>249.51</v>
      </c>
      <c r="J986" s="125">
        <f>IF(Procurement_Raw!J986="","",Procurement_Raw!J986)</f>
        <v>14720.8</v>
      </c>
      <c r="K986" s="77">
        <f>Procurement_Raw!K986</f>
        <v>45</v>
      </c>
      <c r="L986" t="str">
        <f>Procurement_Raw!L986</f>
        <v>Legacy Spend File</v>
      </c>
      <c r="M986" t="str">
        <f>Procurement_Raw!O986</f>
        <v>N</v>
      </c>
      <c r="N986" t="str">
        <f>IF(E986="","Missing supplier",IF(B986="","Missing site",IF(J986="","Missing spend",IF(COUNTIFS($G$2:G986,G986,$E$2:E986,E986,$J$2:J986,J986)&gt;1,"Duplicate invoice",IF(COUNTIF($G$2:$G$1801,G986)&gt;1,"Duplicate ID - review",IF(AND(P986&lt;&gt;"Unmapped",P986&lt;&gt;F986),"Category mismatch","OK"))))))</f>
        <v>OK</v>
      </c>
      <c r="O986" s="125">
        <f t="shared" si="45"/>
        <v>14720.8</v>
      </c>
      <c r="P986" t="str">
        <f>IF(E986="","Unmapped",IFERROR(INDEX(Supplier_Lookup!$B$2:$B$25,MATCH(E986,Supplier_Lookup!$A$2:$A$25,0)),"Unmapped"))</f>
        <v>Utilities</v>
      </c>
      <c r="Q986" s="76">
        <f>IFERROR(INDEX(Category_Targets!$B$2:$B$9,MATCH(F986,Category_Targets!$A$2:$A$9,0)),0)</f>
        <v>0.03</v>
      </c>
      <c r="R986" s="125">
        <f t="shared" si="46"/>
        <v>441.62399999999997</v>
      </c>
      <c r="S986" s="78">
        <f t="shared" si="47"/>
        <v>45658</v>
      </c>
      <c r="T986" t="str">
        <f>IFERROR(VLOOKUP(B986,Sites!$A$2:$D$21,4,FALSE()),"Unknown")</f>
        <v>Leeds</v>
      </c>
      <c r="U986" t="str">
        <f>IF(N986="OK","",COUNTIF($N$2:N986,"&lt;&gt;OK"))</f>
        <v/>
      </c>
      <c r="V986">
        <f>IF(OR(NOT(EXACT(E986,TRIM(Procurement_Raw!E986))),NOT(EXACT(F986,TRIM(Procurement_Raw!F986)))),1,0)</f>
        <v>0</v>
      </c>
    </row>
    <row r="987" spans="1:22" ht="15" customHeight="1" x14ac:dyDescent="0.25">
      <c r="A987" s="123">
        <f>Procurement_Raw!A987</f>
        <v>45817</v>
      </c>
      <c r="B987" t="str">
        <f>TRIM(Procurement_Raw!B987)</f>
        <v>S010</v>
      </c>
      <c r="C987" t="str">
        <f>Procurement_Raw!C987</f>
        <v>Coventry Care &amp; Education Centre</v>
      </c>
      <c r="D987" t="str">
        <f>Procurement_Raw!D987</f>
        <v>Midlands</v>
      </c>
      <c r="E987" t="str">
        <f>IF(TRIM(Procurement_Raw!E987)="","",IFERROR(INDEX(Supplier_Lookup!$A$2:$A$25,MATCH(TRIM(Procurement_Raw!E987),Supplier_Lookup!$A$2:$A$25,0)),TRIM(Procurement_Raw!E987)))</f>
        <v>FreshServe</v>
      </c>
      <c r="F987" t="str">
        <f>IFERROR(INDEX(Category_Targets!$A$2:$A$9,MATCH(TRIM(Procurement_Raw!F987),Category_Targets!$A$2:$A$9,0)),"Unmapped")</f>
        <v>Food &amp; Catering</v>
      </c>
      <c r="G987" t="str">
        <f>TRIM(Procurement_Raw!G987)</f>
        <v>INV-2025-00986</v>
      </c>
      <c r="H987" s="77">
        <f>Procurement_Raw!H987</f>
        <v>6</v>
      </c>
      <c r="I987" s="124">
        <f>Procurement_Raw!I987</f>
        <v>34.369999999999997</v>
      </c>
      <c r="J987" s="125">
        <f>IF(Procurement_Raw!J987="","",Procurement_Raw!J987)</f>
        <v>206.24</v>
      </c>
      <c r="K987" s="77">
        <f>Procurement_Raw!K987</f>
        <v>60</v>
      </c>
      <c r="L987" t="str">
        <f>Procurement_Raw!L987</f>
        <v>Legacy Spend File</v>
      </c>
      <c r="M987" t="str">
        <f>Procurement_Raw!O987</f>
        <v>Y</v>
      </c>
      <c r="N987" t="str">
        <f>IF(E987="","Missing supplier",IF(B987="","Missing site",IF(J987="","Missing spend",IF(COUNTIFS($G$2:G987,G987,$E$2:E987,E987,$J$2:J987,J987)&gt;1,"Duplicate invoice",IF(COUNTIF($G$2:$G$1801,G987)&gt;1,"Duplicate ID - review",IF(AND(P987&lt;&gt;"Unmapped",P987&lt;&gt;F987),"Category mismatch","OK"))))))</f>
        <v>OK</v>
      </c>
      <c r="O987" s="125">
        <f t="shared" si="45"/>
        <v>206.24</v>
      </c>
      <c r="P987" t="str">
        <f>IF(E987="","Unmapped",IFERROR(INDEX(Supplier_Lookup!$B$2:$B$25,MATCH(E987,Supplier_Lookup!$A$2:$A$25,0)),"Unmapped"))</f>
        <v>Food &amp; Catering</v>
      </c>
      <c r="Q987" s="76">
        <f>IFERROR(INDEX(Category_Targets!$B$2:$B$9,MATCH(F987,Category_Targets!$A$2:$A$9,0)),0)</f>
        <v>0.04</v>
      </c>
      <c r="R987" s="125">
        <f t="shared" si="46"/>
        <v>8.2496000000000009</v>
      </c>
      <c r="S987" s="78">
        <f t="shared" si="47"/>
        <v>45809</v>
      </c>
      <c r="T987" t="str">
        <f>IFERROR(VLOOKUP(B987,Sites!$A$2:$D$21,4,FALSE()),"Unknown")</f>
        <v>Coventry</v>
      </c>
      <c r="U987" t="str">
        <f>IF(N987="OK","",COUNTIF($N$2:N987,"&lt;&gt;OK"))</f>
        <v/>
      </c>
      <c r="V987">
        <f>IF(OR(NOT(EXACT(E987,TRIM(Procurement_Raw!E987))),NOT(EXACT(F987,TRIM(Procurement_Raw!F987)))),1,0)</f>
        <v>0</v>
      </c>
    </row>
    <row r="988" spans="1:22" ht="15" customHeight="1" x14ac:dyDescent="0.25">
      <c r="A988" s="123">
        <f>Procurement_Raw!A988</f>
        <v>45681</v>
      </c>
      <c r="B988" t="str">
        <f>TRIM(Procurement_Raw!B988)</f>
        <v>S006</v>
      </c>
      <c r="C988" t="str">
        <f>Procurement_Raw!C988</f>
        <v>Birmingham Care &amp; Education Centre</v>
      </c>
      <c r="D988" t="str">
        <f>Procurement_Raw!D988</f>
        <v>Midlands</v>
      </c>
      <c r="E988" t="str">
        <f>IF(TRIM(Procurement_Raw!E988)="","",IFERROR(INDEX(Supplier_Lookup!$A$2:$A$25,MATCH(TRIM(Procurement_Raw!E988),Supplier_Lookup!$A$2:$A$25,0)),TRIM(Procurement_Raw!E988)))</f>
        <v>RoadReady</v>
      </c>
      <c r="F988" t="str">
        <f>IFERROR(INDEX(Category_Targets!$A$2:$A$9,MATCH(TRIM(Procurement_Raw!F988),Category_Targets!$A$2:$A$9,0)),"Unmapped")</f>
        <v>Vehicle &amp; Fuel</v>
      </c>
      <c r="G988" t="str">
        <f>TRIM(Procurement_Raw!G988)</f>
        <v>INV-2025-00987</v>
      </c>
      <c r="H988" s="77">
        <f>Procurement_Raw!H988</f>
        <v>14</v>
      </c>
      <c r="I988" s="124">
        <f>Procurement_Raw!I988</f>
        <v>217.18</v>
      </c>
      <c r="J988" s="125">
        <f>IF(Procurement_Raw!J988="","",Procurement_Raw!J988)</f>
        <v>3040.58</v>
      </c>
      <c r="K988" s="77">
        <f>Procurement_Raw!K988</f>
        <v>60</v>
      </c>
      <c r="L988" t="str">
        <f>Procurement_Raw!L988</f>
        <v>Legacy Spend File</v>
      </c>
      <c r="M988" t="str">
        <f>Procurement_Raw!O988</f>
        <v>N</v>
      </c>
      <c r="N988" t="str">
        <f>IF(E988="","Missing supplier",IF(B988="","Missing site",IF(J988="","Missing spend",IF(COUNTIFS($G$2:G988,G988,$E$2:E988,E988,$J$2:J988,J988)&gt;1,"Duplicate invoice",IF(COUNTIF($G$2:$G$1801,G988)&gt;1,"Duplicate ID - review",IF(AND(P988&lt;&gt;"Unmapped",P988&lt;&gt;F988),"Category mismatch","OK"))))))</f>
        <v>OK</v>
      </c>
      <c r="O988" s="125">
        <f t="shared" si="45"/>
        <v>3040.58</v>
      </c>
      <c r="P988" t="str">
        <f>IF(E988="","Unmapped",IFERROR(INDEX(Supplier_Lookup!$B$2:$B$25,MATCH(E988,Supplier_Lookup!$A$2:$A$25,0)),"Unmapped"))</f>
        <v>Vehicle &amp; Fuel</v>
      </c>
      <c r="Q988" s="76">
        <f>IFERROR(INDEX(Category_Targets!$B$2:$B$9,MATCH(F988,Category_Targets!$A$2:$A$9,0)),0)</f>
        <v>0.05</v>
      </c>
      <c r="R988" s="125">
        <f t="shared" si="46"/>
        <v>152.029</v>
      </c>
      <c r="S988" s="78">
        <f t="shared" si="47"/>
        <v>45658</v>
      </c>
      <c r="T988" t="str">
        <f>IFERROR(VLOOKUP(B988,Sites!$A$2:$D$21,4,FALSE()),"Unknown")</f>
        <v>Birmingham</v>
      </c>
      <c r="U988" t="str">
        <f>IF(N988="OK","",COUNTIF($N$2:N988,"&lt;&gt;OK"))</f>
        <v/>
      </c>
      <c r="V988">
        <f>IF(OR(NOT(EXACT(E988,TRIM(Procurement_Raw!E988))),NOT(EXACT(F988,TRIM(Procurement_Raw!F988)))),1,0)</f>
        <v>0</v>
      </c>
    </row>
    <row r="989" spans="1:22" ht="15" customHeight="1" x14ac:dyDescent="0.25">
      <c r="A989" s="123">
        <f>Procurement_Raw!A989</f>
        <v>45953</v>
      </c>
      <c r="B989" t="str">
        <f>TRIM(Procurement_Raw!B989)</f>
        <v>S013</v>
      </c>
      <c r="C989" t="str">
        <f>Procurement_Raw!C989</f>
        <v>Reading Care &amp; Education Centre</v>
      </c>
      <c r="D989" t="str">
        <f>Procurement_Raw!D989</f>
        <v>South</v>
      </c>
      <c r="E989" t="str">
        <f>IF(TRIM(Procurement_Raw!E989)="","",IFERROR(INDEX(Supplier_Lookup!$A$2:$A$25,MATCH(TRIM(Procurement_Raw!E989),Supplier_Lookup!$A$2:$A$25,0)),TRIM(Procurement_Raw!E989)))</f>
        <v>CloudLink</v>
      </c>
      <c r="F989" t="str">
        <f>IFERROR(INDEX(Category_Targets!$A$2:$A$9,MATCH(TRIM(Procurement_Raw!F989),Category_Targets!$A$2:$A$9,0)),"Unmapped")</f>
        <v>IT &amp; Telecoms</v>
      </c>
      <c r="G989" t="str">
        <f>TRIM(Procurement_Raw!G989)</f>
        <v>INV-2025-00988</v>
      </c>
      <c r="H989" s="77">
        <f>Procurement_Raw!H989</f>
        <v>40</v>
      </c>
      <c r="I989" s="124">
        <f>Procurement_Raw!I989</f>
        <v>356.44</v>
      </c>
      <c r="J989" s="125">
        <f>IF(Procurement_Raw!J989="","",Procurement_Raw!J989)</f>
        <v>14257.76</v>
      </c>
      <c r="K989" s="77">
        <f>Procurement_Raw!K989</f>
        <v>60</v>
      </c>
      <c r="L989" t="str">
        <f>Procurement_Raw!L989</f>
        <v>ERP</v>
      </c>
      <c r="M989" t="str">
        <f>Procurement_Raw!O989</f>
        <v>Y</v>
      </c>
      <c r="N989" t="str">
        <f>IF(E989="","Missing supplier",IF(B989="","Missing site",IF(J989="","Missing spend",IF(COUNTIFS($G$2:G989,G989,$E$2:E989,E989,$J$2:J989,J989)&gt;1,"Duplicate invoice",IF(COUNTIF($G$2:$G$1801,G989)&gt;1,"Duplicate ID - review",IF(AND(P989&lt;&gt;"Unmapped",P989&lt;&gt;F989),"Category mismatch","OK"))))))</f>
        <v>OK</v>
      </c>
      <c r="O989" s="125">
        <f t="shared" si="45"/>
        <v>14257.76</v>
      </c>
      <c r="P989" t="str">
        <f>IF(E989="","Unmapped",IFERROR(INDEX(Supplier_Lookup!$B$2:$B$25,MATCH(E989,Supplier_Lookup!$A$2:$A$25,0)),"Unmapped"))</f>
        <v>IT &amp; Telecoms</v>
      </c>
      <c r="Q989" s="76">
        <f>IFERROR(INDEX(Category_Targets!$B$2:$B$9,MATCH(F989,Category_Targets!$A$2:$A$9,0)),0)</f>
        <v>0.08</v>
      </c>
      <c r="R989" s="125">
        <f t="shared" si="46"/>
        <v>1140.6208000000001</v>
      </c>
      <c r="S989" s="78">
        <f t="shared" si="47"/>
        <v>45931</v>
      </c>
      <c r="T989" t="str">
        <f>IFERROR(VLOOKUP(B989,Sites!$A$2:$D$21,4,FALSE()),"Unknown")</f>
        <v>Reading</v>
      </c>
      <c r="U989" t="str">
        <f>IF(N989="OK","",COUNTIF($N$2:N989,"&lt;&gt;OK"))</f>
        <v/>
      </c>
      <c r="V989">
        <f>IF(OR(NOT(EXACT(E989,TRIM(Procurement_Raw!E989))),NOT(EXACT(F989,TRIM(Procurement_Raw!F989)))),1,0)</f>
        <v>0</v>
      </c>
    </row>
    <row r="990" spans="1:22" ht="15" customHeight="1" x14ac:dyDescent="0.25">
      <c r="A990" s="123">
        <f>Procurement_Raw!A990</f>
        <v>45804</v>
      </c>
      <c r="B990" t="str">
        <f>TRIM(Procurement_Raw!B990)</f>
        <v>S005</v>
      </c>
      <c r="C990" t="str">
        <f>Procurement_Raw!C990</f>
        <v>Sheffield Care &amp; Education Centre</v>
      </c>
      <c r="D990" t="str">
        <f>Procurement_Raw!D990</f>
        <v>North</v>
      </c>
      <c r="E990" t="str">
        <f>IF(TRIM(Procurement_Raw!E990)="","",IFERROR(INDEX(Supplier_Lookup!$A$2:$A$25,MATCH(TRIM(Procurement_Raw!E990),Supplier_Lookup!$A$2:$A$25,0)),TRIM(Procurement_Raw!E990)))</f>
        <v>UK Energy Partners</v>
      </c>
      <c r="F990" t="str">
        <f>IFERROR(INDEX(Category_Targets!$A$2:$A$9,MATCH(TRIM(Procurement_Raw!F990),Category_Targets!$A$2:$A$9,0)),"Unmapped")</f>
        <v>Utilities</v>
      </c>
      <c r="G990" t="str">
        <f>TRIM(Procurement_Raw!G990)</f>
        <v>INV-2025-00989</v>
      </c>
      <c r="H990" s="77">
        <f>Procurement_Raw!H990</f>
        <v>36</v>
      </c>
      <c r="I990" s="124">
        <f>Procurement_Raw!I990</f>
        <v>221.39</v>
      </c>
      <c r="J990" s="125">
        <f>IF(Procurement_Raw!J990="","",Procurement_Raw!J990)</f>
        <v>7970.08</v>
      </c>
      <c r="K990" s="77">
        <f>Procurement_Raw!K990</f>
        <v>60</v>
      </c>
      <c r="L990" t="str">
        <f>Procurement_Raw!L990</f>
        <v>Procurement Portal</v>
      </c>
      <c r="M990" t="str">
        <f>Procurement_Raw!O990</f>
        <v>N</v>
      </c>
      <c r="N990" t="str">
        <f>IF(E990="","Missing supplier",IF(B990="","Missing site",IF(J990="","Missing spend",IF(COUNTIFS($G$2:G990,G990,$E$2:E990,E990,$J$2:J990,J990)&gt;1,"Duplicate invoice",IF(COUNTIF($G$2:$G$1801,G990)&gt;1,"Duplicate ID - review",IF(AND(P990&lt;&gt;"Unmapped",P990&lt;&gt;F990),"Category mismatch","OK"))))))</f>
        <v>OK</v>
      </c>
      <c r="O990" s="125">
        <f t="shared" si="45"/>
        <v>7970.08</v>
      </c>
      <c r="P990" t="str">
        <f>IF(E990="","Unmapped",IFERROR(INDEX(Supplier_Lookup!$B$2:$B$25,MATCH(E990,Supplier_Lookup!$A$2:$A$25,0)),"Unmapped"))</f>
        <v>Utilities</v>
      </c>
      <c r="Q990" s="76">
        <f>IFERROR(INDEX(Category_Targets!$B$2:$B$9,MATCH(F990,Category_Targets!$A$2:$A$9,0)),0)</f>
        <v>0.03</v>
      </c>
      <c r="R990" s="125">
        <f t="shared" si="46"/>
        <v>239.10239999999999</v>
      </c>
      <c r="S990" s="78">
        <f t="shared" si="47"/>
        <v>45778</v>
      </c>
      <c r="T990" t="str">
        <f>IFERROR(VLOOKUP(B990,Sites!$A$2:$D$21,4,FALSE()),"Unknown")</f>
        <v>Sheffield</v>
      </c>
      <c r="U990" t="str">
        <f>IF(N990="OK","",COUNTIF($N$2:N990,"&lt;&gt;OK"))</f>
        <v/>
      </c>
      <c r="V990">
        <f>IF(OR(NOT(EXACT(E990,TRIM(Procurement_Raw!E990))),NOT(EXACT(F990,TRIM(Procurement_Raw!F990)))),1,0)</f>
        <v>0</v>
      </c>
    </row>
    <row r="991" spans="1:22" ht="15" customHeight="1" x14ac:dyDescent="0.25">
      <c r="A991" s="123">
        <f>Procurement_Raw!A991</f>
        <v>45734</v>
      </c>
      <c r="B991" t="str">
        <f>TRIM(Procurement_Raw!B991)</f>
        <v>S019</v>
      </c>
      <c r="C991" t="str">
        <f>Procurement_Raw!C991</f>
        <v>Wrexham Care &amp; Education Centre</v>
      </c>
      <c r="D991" t="str">
        <f>Procurement_Raw!D991</f>
        <v>Wales</v>
      </c>
      <c r="E991" t="str">
        <f>IF(TRIM(Procurement_Raw!E991)="","",IFERROR(INDEX(Supplier_Lookup!$A$2:$A$25,MATCH(TRIM(Procurement_Raw!E991),Supplier_Lookup!$A$2:$A$25,0)),TRIM(Procurement_Raw!E991)))</f>
        <v>NourishCo</v>
      </c>
      <c r="F991" t="str">
        <f>IFERROR(INDEX(Category_Targets!$A$2:$A$9,MATCH(TRIM(Procurement_Raw!F991),Category_Targets!$A$2:$A$9,0)),"Unmapped")</f>
        <v>Food &amp; Catering</v>
      </c>
      <c r="G991" t="str">
        <f>TRIM(Procurement_Raw!G991)</f>
        <v>INV-2025-00990</v>
      </c>
      <c r="H991" s="77">
        <f>Procurement_Raw!H991</f>
        <v>21</v>
      </c>
      <c r="I991" s="124">
        <f>Procurement_Raw!I991</f>
        <v>65.97</v>
      </c>
      <c r="J991" s="125">
        <f>IF(Procurement_Raw!J991="","",Procurement_Raw!J991)</f>
        <v>1385.33</v>
      </c>
      <c r="K991" s="77">
        <f>Procurement_Raw!K991</f>
        <v>45</v>
      </c>
      <c r="L991" t="str">
        <f>Procurement_Raw!L991</f>
        <v>ERP</v>
      </c>
      <c r="M991" t="str">
        <f>Procurement_Raw!O991</f>
        <v>N</v>
      </c>
      <c r="N991" t="str">
        <f>IF(E991="","Missing supplier",IF(B991="","Missing site",IF(J991="","Missing spend",IF(COUNTIFS($G$2:G991,G991,$E$2:E991,E991,$J$2:J991,J991)&gt;1,"Duplicate invoice",IF(COUNTIF($G$2:$G$1801,G991)&gt;1,"Duplicate ID - review",IF(AND(P991&lt;&gt;"Unmapped",P991&lt;&gt;F991),"Category mismatch","OK"))))))</f>
        <v>OK</v>
      </c>
      <c r="O991" s="125">
        <f t="shared" si="45"/>
        <v>1385.33</v>
      </c>
      <c r="P991" t="str">
        <f>IF(E991="","Unmapped",IFERROR(INDEX(Supplier_Lookup!$B$2:$B$25,MATCH(E991,Supplier_Lookup!$A$2:$A$25,0)),"Unmapped"))</f>
        <v>Food &amp; Catering</v>
      </c>
      <c r="Q991" s="76">
        <f>IFERROR(INDEX(Category_Targets!$B$2:$B$9,MATCH(F991,Category_Targets!$A$2:$A$9,0)),0)</f>
        <v>0.04</v>
      </c>
      <c r="R991" s="125">
        <f t="shared" si="46"/>
        <v>55.413199999999996</v>
      </c>
      <c r="S991" s="78">
        <f t="shared" si="47"/>
        <v>45717</v>
      </c>
      <c r="T991" t="str">
        <f>IFERROR(VLOOKUP(B991,Sites!$A$2:$D$21,4,FALSE()),"Unknown")</f>
        <v>Wrexham</v>
      </c>
      <c r="U991" t="str">
        <f>IF(N991="OK","",COUNTIF($N$2:N991,"&lt;&gt;OK"))</f>
        <v/>
      </c>
      <c r="V991">
        <f>IF(OR(NOT(EXACT(E991,TRIM(Procurement_Raw!E991))),NOT(EXACT(F991,TRIM(Procurement_Raw!F991)))),1,0)</f>
        <v>0</v>
      </c>
    </row>
    <row r="992" spans="1:22" ht="15" customHeight="1" x14ac:dyDescent="0.25">
      <c r="A992" s="123">
        <f>Procurement_Raw!A992</f>
        <v>45935</v>
      </c>
      <c r="B992" t="str">
        <f>TRIM(Procurement_Raw!B992)</f>
        <v>S007</v>
      </c>
      <c r="C992" t="str">
        <f>Procurement_Raw!C992</f>
        <v>Nottingham Care &amp; Education Centre</v>
      </c>
      <c r="D992" t="str">
        <f>Procurement_Raw!D992</f>
        <v>Midlands</v>
      </c>
      <c r="E992" t="str">
        <f>IF(TRIM(Procurement_Raw!E992)="","",IFERROR(INDEX(Supplier_Lookup!$A$2:$A$25,MATCH(TRIM(Procurement_Raw!E992),Supplier_Lookup!$A$2:$A$25,0)),TRIM(Procurement_Raw!E992)))</f>
        <v>FreshServe</v>
      </c>
      <c r="F992" t="str">
        <f>IFERROR(INDEX(Category_Targets!$A$2:$A$9,MATCH(TRIM(Procurement_Raw!F992),Category_Targets!$A$2:$A$9,0)),"Unmapped")</f>
        <v>Food &amp; Catering</v>
      </c>
      <c r="G992" t="str">
        <f>TRIM(Procurement_Raw!G992)</f>
        <v>INV-2025-00991</v>
      </c>
      <c r="H992" s="77">
        <f>Procurement_Raw!H992</f>
        <v>45</v>
      </c>
      <c r="I992" s="124">
        <f>Procurement_Raw!I992</f>
        <v>72.89</v>
      </c>
      <c r="J992" s="125">
        <f>IF(Procurement_Raw!J992="","",Procurement_Raw!J992)</f>
        <v>3280.2</v>
      </c>
      <c r="K992" s="77">
        <f>Procurement_Raw!K992</f>
        <v>60</v>
      </c>
      <c r="L992" t="str">
        <f>Procurement_Raw!L992</f>
        <v>Procurement Portal</v>
      </c>
      <c r="M992" t="str">
        <f>Procurement_Raw!O992</f>
        <v>Y</v>
      </c>
      <c r="N992" t="str">
        <f>IF(E992="","Missing supplier",IF(B992="","Missing site",IF(J992="","Missing spend",IF(COUNTIFS($G$2:G992,G992,$E$2:E992,E992,$J$2:J992,J992)&gt;1,"Duplicate invoice",IF(COUNTIF($G$2:$G$1801,G992)&gt;1,"Duplicate ID - review",IF(AND(P992&lt;&gt;"Unmapped",P992&lt;&gt;F992),"Category mismatch","OK"))))))</f>
        <v>OK</v>
      </c>
      <c r="O992" s="125">
        <f t="shared" si="45"/>
        <v>3280.2</v>
      </c>
      <c r="P992" t="str">
        <f>IF(E992="","Unmapped",IFERROR(INDEX(Supplier_Lookup!$B$2:$B$25,MATCH(E992,Supplier_Lookup!$A$2:$A$25,0)),"Unmapped"))</f>
        <v>Food &amp; Catering</v>
      </c>
      <c r="Q992" s="76">
        <f>IFERROR(INDEX(Category_Targets!$B$2:$B$9,MATCH(F992,Category_Targets!$A$2:$A$9,0)),0)</f>
        <v>0.04</v>
      </c>
      <c r="R992" s="125">
        <f t="shared" si="46"/>
        <v>131.208</v>
      </c>
      <c r="S992" s="78">
        <f t="shared" si="47"/>
        <v>45931</v>
      </c>
      <c r="T992" t="str">
        <f>IFERROR(VLOOKUP(B992,Sites!$A$2:$D$21,4,FALSE()),"Unknown")</f>
        <v>Nottingham</v>
      </c>
      <c r="U992" t="str">
        <f>IF(N992="OK","",COUNTIF($N$2:N992,"&lt;&gt;OK"))</f>
        <v/>
      </c>
      <c r="V992">
        <f>IF(OR(NOT(EXACT(E992,TRIM(Procurement_Raw!E992))),NOT(EXACT(F992,TRIM(Procurement_Raw!F992)))),1,0)</f>
        <v>0</v>
      </c>
    </row>
    <row r="993" spans="1:22" ht="15" customHeight="1" x14ac:dyDescent="0.25">
      <c r="A993" s="123">
        <f>Procurement_Raw!A993</f>
        <v>45803</v>
      </c>
      <c r="B993" t="str">
        <f>TRIM(Procurement_Raw!B993)</f>
        <v>S010</v>
      </c>
      <c r="C993" t="str">
        <f>Procurement_Raw!C993</f>
        <v>Coventry Care &amp; Education Centre</v>
      </c>
      <c r="D993" t="str">
        <f>Procurement_Raw!D993</f>
        <v>Midlands</v>
      </c>
      <c r="E993" t="str">
        <f>IF(TRIM(Procurement_Raw!E993)="","",IFERROR(INDEX(Supplier_Lookup!$A$2:$A$25,MATCH(TRIM(Procurement_Raw!E993),Supplier_Lookup!$A$2:$A$25,0)),TRIM(Procurement_Raw!E993)))</f>
        <v>BuildCare</v>
      </c>
      <c r="F993" t="str">
        <f>IFERROR(INDEX(Category_Targets!$A$2:$A$9,MATCH(TRIM(Procurement_Raw!F993),Category_Targets!$A$2:$A$9,0)),"Unmapped")</f>
        <v>Facilities</v>
      </c>
      <c r="G993" t="str">
        <f>TRIM(Procurement_Raw!G993)</f>
        <v>INV-2025-00992</v>
      </c>
      <c r="H993" s="77">
        <f>Procurement_Raw!H993</f>
        <v>74</v>
      </c>
      <c r="I993" s="124">
        <f>Procurement_Raw!I993</f>
        <v>58.56</v>
      </c>
      <c r="J993" s="125">
        <f>IF(Procurement_Raw!J993="","",Procurement_Raw!J993)</f>
        <v>4333.2299999999996</v>
      </c>
      <c r="K993" s="77">
        <f>Procurement_Raw!K993</f>
        <v>30</v>
      </c>
      <c r="L993" t="str">
        <f>Procurement_Raw!L993</f>
        <v>ERP</v>
      </c>
      <c r="M993" t="str">
        <f>Procurement_Raw!O993</f>
        <v>N</v>
      </c>
      <c r="N993" t="str">
        <f>IF(E993="","Missing supplier",IF(B993="","Missing site",IF(J993="","Missing spend",IF(COUNTIFS($G$2:G993,G993,$E$2:E993,E993,$J$2:J993,J993)&gt;1,"Duplicate invoice",IF(COUNTIF($G$2:$G$1801,G993)&gt;1,"Duplicate ID - review",IF(AND(P993&lt;&gt;"Unmapped",P993&lt;&gt;F993),"Category mismatch","OK"))))))</f>
        <v>OK</v>
      </c>
      <c r="O993" s="125">
        <f t="shared" si="45"/>
        <v>4333.2299999999996</v>
      </c>
      <c r="P993" t="str">
        <f>IF(E993="","Unmapped",IFERROR(INDEX(Supplier_Lookup!$B$2:$B$25,MATCH(E993,Supplier_Lookup!$A$2:$A$25,0)),"Unmapped"))</f>
        <v>Facilities</v>
      </c>
      <c r="Q993" s="76">
        <f>IFERROR(INDEX(Category_Targets!$B$2:$B$9,MATCH(F993,Category_Targets!$A$2:$A$9,0)),0)</f>
        <v>0.05</v>
      </c>
      <c r="R993" s="125">
        <f t="shared" si="46"/>
        <v>216.66149999999999</v>
      </c>
      <c r="S993" s="78">
        <f t="shared" si="47"/>
        <v>45778</v>
      </c>
      <c r="T993" t="str">
        <f>IFERROR(VLOOKUP(B993,Sites!$A$2:$D$21,4,FALSE()),"Unknown")</f>
        <v>Coventry</v>
      </c>
      <c r="U993" t="str">
        <f>IF(N993="OK","",COUNTIF($N$2:N993,"&lt;&gt;OK"))</f>
        <v/>
      </c>
      <c r="V993">
        <f>IF(OR(NOT(EXACT(E993,TRIM(Procurement_Raw!E993))),NOT(EXACT(F993,TRIM(Procurement_Raw!F993)))),1,0)</f>
        <v>0</v>
      </c>
    </row>
    <row r="994" spans="1:22" ht="15" customHeight="1" x14ac:dyDescent="0.25">
      <c r="A994" s="123">
        <f>Procurement_Raw!A994</f>
        <v>45831</v>
      </c>
      <c r="B994" t="str">
        <f>TRIM(Procurement_Raw!B994)</f>
        <v>S009</v>
      </c>
      <c r="C994" t="str">
        <f>Procurement_Raw!C994</f>
        <v>Derby Care &amp; Education Centre</v>
      </c>
      <c r="D994" t="str">
        <f>Procurement_Raw!D994</f>
        <v>Midlands</v>
      </c>
      <c r="E994" t="str">
        <f>IF(TRIM(Procurement_Raw!E994)="","",IFERROR(INDEX(Supplier_Lookup!$A$2:$A$25,MATCH(TRIM(Procurement_Raw!E994),Supplier_Lookup!$A$2:$A$25,0)),TRIM(Procurement_Raw!E994)))</f>
        <v>NetServe</v>
      </c>
      <c r="F994" t="str">
        <f>IFERROR(INDEX(Category_Targets!$A$2:$A$9,MATCH(TRIM(Procurement_Raw!F994),Category_Targets!$A$2:$A$9,0)),"Unmapped")</f>
        <v>IT &amp; Telecoms</v>
      </c>
      <c r="G994" t="str">
        <f>TRIM(Procurement_Raw!G994)</f>
        <v>INV-2025-00993</v>
      </c>
      <c r="H994" s="77">
        <f>Procurement_Raw!H994</f>
        <v>70</v>
      </c>
      <c r="I994" s="124">
        <f>Procurement_Raw!I994</f>
        <v>192.04</v>
      </c>
      <c r="J994" s="125">
        <f>IF(Procurement_Raw!J994="","",Procurement_Raw!J994)</f>
        <v>13442.48</v>
      </c>
      <c r="K994" s="77">
        <f>Procurement_Raw!K994</f>
        <v>45</v>
      </c>
      <c r="L994" t="str">
        <f>Procurement_Raw!L994</f>
        <v>ERP</v>
      </c>
      <c r="M994" t="str">
        <f>Procurement_Raw!O994</f>
        <v>N</v>
      </c>
      <c r="N994" t="str">
        <f>IF(E994="","Missing supplier",IF(B994="","Missing site",IF(J994="","Missing spend",IF(COUNTIFS($G$2:G994,G994,$E$2:E994,E994,$J$2:J994,J994)&gt;1,"Duplicate invoice",IF(COUNTIF($G$2:$G$1801,G994)&gt;1,"Duplicate ID - review",IF(AND(P994&lt;&gt;"Unmapped",P994&lt;&gt;F994),"Category mismatch","OK"))))))</f>
        <v>OK</v>
      </c>
      <c r="O994" s="125">
        <f t="shared" si="45"/>
        <v>13442.48</v>
      </c>
      <c r="P994" t="str">
        <f>IF(E994="","Unmapped",IFERROR(INDEX(Supplier_Lookup!$B$2:$B$25,MATCH(E994,Supplier_Lookup!$A$2:$A$25,0)),"Unmapped"))</f>
        <v>IT &amp; Telecoms</v>
      </c>
      <c r="Q994" s="76">
        <f>IFERROR(INDEX(Category_Targets!$B$2:$B$9,MATCH(F994,Category_Targets!$A$2:$A$9,0)),0)</f>
        <v>0.08</v>
      </c>
      <c r="R994" s="125">
        <f t="shared" si="46"/>
        <v>1075.3984</v>
      </c>
      <c r="S994" s="78">
        <f t="shared" si="47"/>
        <v>45809</v>
      </c>
      <c r="T994" t="str">
        <f>IFERROR(VLOOKUP(B994,Sites!$A$2:$D$21,4,FALSE()),"Unknown")</f>
        <v>Derby</v>
      </c>
      <c r="U994" t="str">
        <f>IF(N994="OK","",COUNTIF($N$2:N994,"&lt;&gt;OK"))</f>
        <v/>
      </c>
      <c r="V994">
        <f>IF(OR(NOT(EXACT(E994,TRIM(Procurement_Raw!E994))),NOT(EXACT(F994,TRIM(Procurement_Raw!F994)))),1,0)</f>
        <v>0</v>
      </c>
    </row>
    <row r="995" spans="1:22" ht="15" customHeight="1" x14ac:dyDescent="0.25">
      <c r="A995" s="123">
        <f>Procurement_Raw!A995</f>
        <v>46003</v>
      </c>
      <c r="B995" t="str">
        <f>TRIM(Procurement_Raw!B995)</f>
        <v>S012</v>
      </c>
      <c r="C995" t="str">
        <f>Procurement_Raw!C995</f>
        <v>Bristol Care &amp; Education Centre</v>
      </c>
      <c r="D995" t="str">
        <f>Procurement_Raw!D995</f>
        <v>South</v>
      </c>
      <c r="E995" t="str">
        <f>IF(TRIM(Procurement_Raw!E995)="","",IFERROR(INDEX(Supplier_Lookup!$A$2:$A$25,MATCH(TRIM(Procurement_Raw!E995),Supplier_Lookup!$A$2:$A$25,0)),TRIM(Procurement_Raw!E995)))</f>
        <v>CareMed</v>
      </c>
      <c r="F995" t="str">
        <f>IFERROR(INDEX(Category_Targets!$A$2:$A$9,MATCH(TRIM(Procurement_Raw!F995),Category_Targets!$A$2:$A$9,0)),"Unmapped")</f>
        <v>Medical Supplies</v>
      </c>
      <c r="G995" t="str">
        <f>TRIM(Procurement_Raw!G995)</f>
        <v>INV-2025-00994</v>
      </c>
      <c r="H995" s="77">
        <f>Procurement_Raw!H995</f>
        <v>7</v>
      </c>
      <c r="I995" s="124">
        <f>Procurement_Raw!I995</f>
        <v>82.47</v>
      </c>
      <c r="J995" s="125">
        <f>IF(Procurement_Raw!J995="","",Procurement_Raw!J995)</f>
        <v>577.27</v>
      </c>
      <c r="K995" s="77">
        <f>Procurement_Raw!K995</f>
        <v>30</v>
      </c>
      <c r="L995" t="str">
        <f>Procurement_Raw!L995</f>
        <v>Procurement Portal</v>
      </c>
      <c r="M995" t="str">
        <f>Procurement_Raw!O995</f>
        <v>N</v>
      </c>
      <c r="N995" t="str">
        <f>IF(E995="","Missing supplier",IF(B995="","Missing site",IF(J995="","Missing spend",IF(COUNTIFS($G$2:G995,G995,$E$2:E995,E995,$J$2:J995,J995)&gt;1,"Duplicate invoice",IF(COUNTIF($G$2:$G$1801,G995)&gt;1,"Duplicate ID - review",IF(AND(P995&lt;&gt;"Unmapped",P995&lt;&gt;F995),"Category mismatch","OK"))))))</f>
        <v>OK</v>
      </c>
      <c r="O995" s="125">
        <f t="shared" si="45"/>
        <v>577.27</v>
      </c>
      <c r="P995" t="str">
        <f>IF(E995="","Unmapped",IFERROR(INDEX(Supplier_Lookup!$B$2:$B$25,MATCH(E995,Supplier_Lookup!$A$2:$A$25,0)),"Unmapped"))</f>
        <v>Medical Supplies</v>
      </c>
      <c r="Q995" s="76">
        <f>IFERROR(INDEX(Category_Targets!$B$2:$B$9,MATCH(F995,Category_Targets!$A$2:$A$9,0)),0)</f>
        <v>0.06</v>
      </c>
      <c r="R995" s="125">
        <f t="shared" si="46"/>
        <v>34.636199999999995</v>
      </c>
      <c r="S995" s="78">
        <f t="shared" si="47"/>
        <v>45992</v>
      </c>
      <c r="T995" t="str">
        <f>IFERROR(VLOOKUP(B995,Sites!$A$2:$D$21,4,FALSE()),"Unknown")</f>
        <v>Bristol</v>
      </c>
      <c r="U995" t="str">
        <f>IF(N995="OK","",COUNTIF($N$2:N995,"&lt;&gt;OK"))</f>
        <v/>
      </c>
      <c r="V995">
        <f>IF(OR(NOT(EXACT(E995,TRIM(Procurement_Raw!E995))),NOT(EXACT(F995,TRIM(Procurement_Raw!F995)))),1,0)</f>
        <v>0</v>
      </c>
    </row>
    <row r="996" spans="1:22" ht="15" customHeight="1" x14ac:dyDescent="0.25">
      <c r="A996" s="123">
        <f>Procurement_Raw!A996</f>
        <v>45858</v>
      </c>
      <c r="B996" t="str">
        <f>TRIM(Procurement_Raw!B996)</f>
        <v>S007</v>
      </c>
      <c r="C996" t="str">
        <f>Procurement_Raw!C996</f>
        <v>Nottingham Care &amp; Education Centre</v>
      </c>
      <c r="D996" t="str">
        <f>Procurement_Raw!D996</f>
        <v>Midlands</v>
      </c>
      <c r="E996" t="str">
        <f>IF(TRIM(Procurement_Raw!E996)="","",IFERROR(INDEX(Supplier_Lookup!$A$2:$A$25,MATCH(TRIM(Procurement_Raw!E996),Supplier_Lookup!$A$2:$A$25,0)),TRIM(Procurement_Raw!E996)))</f>
        <v>NourishCo</v>
      </c>
      <c r="F996" t="str">
        <f>IFERROR(INDEX(Category_Targets!$A$2:$A$9,MATCH(TRIM(Procurement_Raw!F996),Category_Targets!$A$2:$A$9,0)),"Unmapped")</f>
        <v>Food &amp; Catering</v>
      </c>
      <c r="G996" t="str">
        <f>TRIM(Procurement_Raw!G996)</f>
        <v>INV-2025-00995</v>
      </c>
      <c r="H996" s="77">
        <f>Procurement_Raw!H996</f>
        <v>23</v>
      </c>
      <c r="I996" s="124">
        <f>Procurement_Raw!I996</f>
        <v>37.47</v>
      </c>
      <c r="J996" s="125">
        <f>IF(Procurement_Raw!J996="","",Procurement_Raw!J996)</f>
        <v>861.77</v>
      </c>
      <c r="K996" s="77">
        <f>Procurement_Raw!K996</f>
        <v>60</v>
      </c>
      <c r="L996" t="str">
        <f>Procurement_Raw!L996</f>
        <v>Legacy Spend File</v>
      </c>
      <c r="M996" t="str">
        <f>Procurement_Raw!O996</f>
        <v>N</v>
      </c>
      <c r="N996" t="str">
        <f>IF(E996="","Missing supplier",IF(B996="","Missing site",IF(J996="","Missing spend",IF(COUNTIFS($G$2:G996,G996,$E$2:E996,E996,$J$2:J996,J996)&gt;1,"Duplicate invoice",IF(COUNTIF($G$2:$G$1801,G996)&gt;1,"Duplicate ID - review",IF(AND(P996&lt;&gt;"Unmapped",P996&lt;&gt;F996),"Category mismatch","OK"))))))</f>
        <v>OK</v>
      </c>
      <c r="O996" s="125">
        <f t="shared" si="45"/>
        <v>861.77</v>
      </c>
      <c r="P996" t="str">
        <f>IF(E996="","Unmapped",IFERROR(INDEX(Supplier_Lookup!$B$2:$B$25,MATCH(E996,Supplier_Lookup!$A$2:$A$25,0)),"Unmapped"))</f>
        <v>Food &amp; Catering</v>
      </c>
      <c r="Q996" s="76">
        <f>IFERROR(INDEX(Category_Targets!$B$2:$B$9,MATCH(F996,Category_Targets!$A$2:$A$9,0)),0)</f>
        <v>0.04</v>
      </c>
      <c r="R996" s="125">
        <f t="shared" si="46"/>
        <v>34.470799999999997</v>
      </c>
      <c r="S996" s="78">
        <f t="shared" si="47"/>
        <v>45839</v>
      </c>
      <c r="T996" t="str">
        <f>IFERROR(VLOOKUP(B996,Sites!$A$2:$D$21,4,FALSE()),"Unknown")</f>
        <v>Nottingham</v>
      </c>
      <c r="U996" t="str">
        <f>IF(N996="OK","",COUNTIF($N$2:N996,"&lt;&gt;OK"))</f>
        <v/>
      </c>
      <c r="V996">
        <f>IF(OR(NOT(EXACT(E996,TRIM(Procurement_Raw!E996))),NOT(EXACT(F996,TRIM(Procurement_Raw!F996)))),1,0)</f>
        <v>0</v>
      </c>
    </row>
    <row r="997" spans="1:22" ht="15" customHeight="1" x14ac:dyDescent="0.25">
      <c r="A997" s="123">
        <f>Procurement_Raw!A997</f>
        <v>45840</v>
      </c>
      <c r="B997" t="str">
        <f>TRIM(Procurement_Raw!B997)</f>
        <v>S010</v>
      </c>
      <c r="C997" t="str">
        <f>Procurement_Raw!C997</f>
        <v>Coventry Care &amp; Education Centre</v>
      </c>
      <c r="D997" t="str">
        <f>Procurement_Raw!D997</f>
        <v>Midlands</v>
      </c>
      <c r="E997" t="str">
        <f>IF(TRIM(Procurement_Raw!E997)="","",IFERROR(INDEX(Supplier_Lookup!$A$2:$A$25,MATCH(TRIM(Procurement_Raw!E997),Supplier_Lookup!$A$2:$A$25,0)),TRIM(Procurement_Raw!E997)))</f>
        <v>PrintCo</v>
      </c>
      <c r="F997" t="str">
        <f>IFERROR(INDEX(Category_Targets!$A$2:$A$9,MATCH(TRIM(Procurement_Raw!F997),Category_Targets!$A$2:$A$9,0)),"Unmapped")</f>
        <v>Office &amp; Training</v>
      </c>
      <c r="G997" t="str">
        <f>TRIM(Procurement_Raw!G997)</f>
        <v>INV-2025-00996</v>
      </c>
      <c r="H997" s="77">
        <f>Procurement_Raw!H997</f>
        <v>40</v>
      </c>
      <c r="I997" s="124">
        <f>Procurement_Raw!I997</f>
        <v>64.260000000000005</v>
      </c>
      <c r="J997" s="125">
        <f>IF(Procurement_Raw!J997="","",Procurement_Raw!J997)</f>
        <v>2570.2600000000002</v>
      </c>
      <c r="K997" s="77">
        <f>Procurement_Raw!K997</f>
        <v>45</v>
      </c>
      <c r="L997" t="str">
        <f>Procurement_Raw!L997</f>
        <v>ERP</v>
      </c>
      <c r="M997" t="str">
        <f>Procurement_Raw!O997</f>
        <v>N</v>
      </c>
      <c r="N997" t="str">
        <f>IF(E997="","Missing supplier",IF(B997="","Missing site",IF(J997="","Missing spend",IF(COUNTIFS($G$2:G997,G997,$E$2:E997,E997,$J$2:J997,J997)&gt;1,"Duplicate invoice",IF(COUNTIF($G$2:$G$1801,G997)&gt;1,"Duplicate ID - review",IF(AND(P997&lt;&gt;"Unmapped",P997&lt;&gt;F997),"Category mismatch","OK"))))))</f>
        <v>OK</v>
      </c>
      <c r="O997" s="125">
        <f t="shared" si="45"/>
        <v>2570.2600000000002</v>
      </c>
      <c r="P997" t="str">
        <f>IF(E997="","Unmapped",IFERROR(INDEX(Supplier_Lookup!$B$2:$B$25,MATCH(E997,Supplier_Lookup!$A$2:$A$25,0)),"Unmapped"))</f>
        <v>Office &amp; Training</v>
      </c>
      <c r="Q997" s="76">
        <f>IFERROR(INDEX(Category_Targets!$B$2:$B$9,MATCH(F997,Category_Targets!$A$2:$A$9,0)),0)</f>
        <v>0.04</v>
      </c>
      <c r="R997" s="125">
        <f t="shared" si="46"/>
        <v>102.81040000000002</v>
      </c>
      <c r="S997" s="78">
        <f t="shared" si="47"/>
        <v>45839</v>
      </c>
      <c r="T997" t="str">
        <f>IFERROR(VLOOKUP(B997,Sites!$A$2:$D$21,4,FALSE()),"Unknown")</f>
        <v>Coventry</v>
      </c>
      <c r="U997" t="str">
        <f>IF(N997="OK","",COUNTIF($N$2:N997,"&lt;&gt;OK"))</f>
        <v/>
      </c>
      <c r="V997">
        <f>IF(OR(NOT(EXACT(E997,TRIM(Procurement_Raw!E997))),NOT(EXACT(F997,TRIM(Procurement_Raw!F997)))),1,0)</f>
        <v>0</v>
      </c>
    </row>
    <row r="998" spans="1:22" ht="15" customHeight="1" x14ac:dyDescent="0.25">
      <c r="A998" s="123">
        <f>Procurement_Raw!A998</f>
        <v>45948</v>
      </c>
      <c r="B998" t="str">
        <f>TRIM(Procurement_Raw!B998)</f>
        <v>S016</v>
      </c>
      <c r="C998" t="str">
        <f>Procurement_Raw!C998</f>
        <v>Cardiff Care &amp; Education Centre</v>
      </c>
      <c r="D998" t="str">
        <f>Procurement_Raw!D998</f>
        <v>Wales</v>
      </c>
      <c r="E998" t="str">
        <f>IF(TRIM(Procurement_Raw!E998)="","",IFERROR(INDEX(Supplier_Lookup!$A$2:$A$25,MATCH(TRIM(Procurement_Raw!E998),Supplier_Lookup!$A$2:$A$25,0)),TRIM(Procurement_Raw!E998)))</f>
        <v>NourishCo</v>
      </c>
      <c r="F998" t="str">
        <f>IFERROR(INDEX(Category_Targets!$A$2:$A$9,MATCH(TRIM(Procurement_Raw!F998),Category_Targets!$A$2:$A$9,0)),"Unmapped")</f>
        <v>Food &amp; Catering</v>
      </c>
      <c r="G998" t="str">
        <f>TRIM(Procurement_Raw!G998)</f>
        <v>INV-2025-00997</v>
      </c>
      <c r="H998" s="77">
        <f>Procurement_Raw!H998</f>
        <v>17</v>
      </c>
      <c r="I998" s="124">
        <f>Procurement_Raw!I998</f>
        <v>174.71</v>
      </c>
      <c r="J998" s="125">
        <f>IF(Procurement_Raw!J998="","",Procurement_Raw!J998)</f>
        <v>2970.03</v>
      </c>
      <c r="K998" s="77">
        <f>Procurement_Raw!K998</f>
        <v>30</v>
      </c>
      <c r="L998" t="str">
        <f>Procurement_Raw!L998</f>
        <v>Legacy Spend File</v>
      </c>
      <c r="M998" t="str">
        <f>Procurement_Raw!O998</f>
        <v>N</v>
      </c>
      <c r="N998" t="str">
        <f>IF(E998="","Missing supplier",IF(B998="","Missing site",IF(J998="","Missing spend",IF(COUNTIFS($G$2:G998,G998,$E$2:E998,E998,$J$2:J998,J998)&gt;1,"Duplicate invoice",IF(COUNTIF($G$2:$G$1801,G998)&gt;1,"Duplicate ID - review",IF(AND(P998&lt;&gt;"Unmapped",P998&lt;&gt;F998),"Category mismatch","OK"))))))</f>
        <v>OK</v>
      </c>
      <c r="O998" s="125">
        <f t="shared" si="45"/>
        <v>2970.03</v>
      </c>
      <c r="P998" t="str">
        <f>IF(E998="","Unmapped",IFERROR(INDEX(Supplier_Lookup!$B$2:$B$25,MATCH(E998,Supplier_Lookup!$A$2:$A$25,0)),"Unmapped"))</f>
        <v>Food &amp; Catering</v>
      </c>
      <c r="Q998" s="76">
        <f>IFERROR(INDEX(Category_Targets!$B$2:$B$9,MATCH(F998,Category_Targets!$A$2:$A$9,0)),0)</f>
        <v>0.04</v>
      </c>
      <c r="R998" s="125">
        <f t="shared" si="46"/>
        <v>118.80120000000001</v>
      </c>
      <c r="S998" s="78">
        <f t="shared" si="47"/>
        <v>45931</v>
      </c>
      <c r="T998" t="str">
        <f>IFERROR(VLOOKUP(B998,Sites!$A$2:$D$21,4,FALSE()),"Unknown")</f>
        <v>Cardiff</v>
      </c>
      <c r="U998" t="str">
        <f>IF(N998="OK","",COUNTIF($N$2:N998,"&lt;&gt;OK"))</f>
        <v/>
      </c>
      <c r="V998">
        <f>IF(OR(NOT(EXACT(E998,TRIM(Procurement_Raw!E998))),NOT(EXACT(F998,TRIM(Procurement_Raw!F998)))),1,0)</f>
        <v>0</v>
      </c>
    </row>
    <row r="999" spans="1:22" ht="15" customHeight="1" x14ac:dyDescent="0.25">
      <c r="A999" s="123">
        <f>Procurement_Raw!A999</f>
        <v>45816</v>
      </c>
      <c r="B999" t="str">
        <f>TRIM(Procurement_Raw!B999)</f>
        <v>S015</v>
      </c>
      <c r="C999" t="str">
        <f>Procurement_Raw!C999</f>
        <v>Brighton Care &amp; Education Centre</v>
      </c>
      <c r="D999" t="str">
        <f>Procurement_Raw!D999</f>
        <v>South</v>
      </c>
      <c r="E999" t="str">
        <f>IF(TRIM(Procurement_Raw!E999)="","",IFERROR(INDEX(Supplier_Lookup!$A$2:$A$25,MATCH(TRIM(Procurement_Raw!E999),Supplier_Lookup!$A$2:$A$25,0)),TRIM(Procurement_Raw!E999)))</f>
        <v>NourishCo</v>
      </c>
      <c r="F999" t="str">
        <f>IFERROR(INDEX(Category_Targets!$A$2:$A$9,MATCH(TRIM(Procurement_Raw!F999),Category_Targets!$A$2:$A$9,0)),"Unmapped")</f>
        <v>Food &amp; Catering</v>
      </c>
      <c r="G999" t="str">
        <f>TRIM(Procurement_Raw!G999)</f>
        <v>INV-2025-00998</v>
      </c>
      <c r="H999" s="77">
        <f>Procurement_Raw!H999</f>
        <v>60</v>
      </c>
      <c r="I999" s="124">
        <f>Procurement_Raw!I999</f>
        <v>92.47</v>
      </c>
      <c r="J999" s="125">
        <f>IF(Procurement_Raw!J999="","",Procurement_Raw!J999)</f>
        <v>5548.01</v>
      </c>
      <c r="K999" s="77">
        <f>Procurement_Raw!K999</f>
        <v>45</v>
      </c>
      <c r="L999" t="str">
        <f>Procurement_Raw!L999</f>
        <v>ERP</v>
      </c>
      <c r="M999" t="str">
        <f>Procurement_Raw!O999</f>
        <v>N</v>
      </c>
      <c r="N999" t="str">
        <f>IF(E999="","Missing supplier",IF(B999="","Missing site",IF(J999="","Missing spend",IF(COUNTIFS($G$2:G999,G999,$E$2:E999,E999,$J$2:J999,J999)&gt;1,"Duplicate invoice",IF(COUNTIF($G$2:$G$1801,G999)&gt;1,"Duplicate ID - review",IF(AND(P999&lt;&gt;"Unmapped",P999&lt;&gt;F999),"Category mismatch","OK"))))))</f>
        <v>OK</v>
      </c>
      <c r="O999" s="125">
        <f t="shared" si="45"/>
        <v>5548.01</v>
      </c>
      <c r="P999" t="str">
        <f>IF(E999="","Unmapped",IFERROR(INDEX(Supplier_Lookup!$B$2:$B$25,MATCH(E999,Supplier_Lookup!$A$2:$A$25,0)),"Unmapped"))</f>
        <v>Food &amp; Catering</v>
      </c>
      <c r="Q999" s="76">
        <f>IFERROR(INDEX(Category_Targets!$B$2:$B$9,MATCH(F999,Category_Targets!$A$2:$A$9,0)),0)</f>
        <v>0.04</v>
      </c>
      <c r="R999" s="125">
        <f t="shared" si="46"/>
        <v>221.9204</v>
      </c>
      <c r="S999" s="78">
        <f t="shared" si="47"/>
        <v>45809</v>
      </c>
      <c r="T999" t="str">
        <f>IFERROR(VLOOKUP(B999,Sites!$A$2:$D$21,4,FALSE()),"Unknown")</f>
        <v>Brighton</v>
      </c>
      <c r="U999" t="str">
        <f>IF(N999="OK","",COUNTIF($N$2:N999,"&lt;&gt;OK"))</f>
        <v/>
      </c>
      <c r="V999">
        <f>IF(OR(NOT(EXACT(E999,TRIM(Procurement_Raw!E999))),NOT(EXACT(F999,TRIM(Procurement_Raw!F999)))),1,0)</f>
        <v>0</v>
      </c>
    </row>
    <row r="1000" spans="1:22" ht="15" customHeight="1" x14ac:dyDescent="0.25">
      <c r="A1000" s="123">
        <f>Procurement_Raw!A1000</f>
        <v>45790</v>
      </c>
      <c r="B1000" t="str">
        <f>TRIM(Procurement_Raw!B1000)</f>
        <v>S012</v>
      </c>
      <c r="C1000" t="str">
        <f>Procurement_Raw!C1000</f>
        <v>Bristol Care &amp; Education Centre</v>
      </c>
      <c r="D1000" t="str">
        <f>Procurement_Raw!D1000</f>
        <v>South</v>
      </c>
      <c r="E1000" t="str">
        <f>IF(TRIM(Procurement_Raw!E1000)="","",IFERROR(INDEX(Supplier_Lookup!$A$2:$A$25,MATCH(TRIM(Procurement_Raw!E1000),Supplier_Lookup!$A$2:$A$25,0)),TRIM(Procurement_Raw!E1000)))</f>
        <v>BuildCare</v>
      </c>
      <c r="F1000" t="str">
        <f>IFERROR(INDEX(Category_Targets!$A$2:$A$9,MATCH(TRIM(Procurement_Raw!F1000),Category_Targets!$A$2:$A$9,0)),"Unmapped")</f>
        <v>Facilities</v>
      </c>
      <c r="G1000" t="str">
        <f>TRIM(Procurement_Raw!G1000)</f>
        <v>INV-2025-00999</v>
      </c>
      <c r="H1000" s="77">
        <f>Procurement_Raw!H1000</f>
        <v>47</v>
      </c>
      <c r="I1000" s="124">
        <f>Procurement_Raw!I1000</f>
        <v>131.47</v>
      </c>
      <c r="J1000" s="125">
        <f>IF(Procurement_Raw!J1000="","",Procurement_Raw!J1000)</f>
        <v>6179.27</v>
      </c>
      <c r="K1000" s="77">
        <f>Procurement_Raw!K1000</f>
        <v>45</v>
      </c>
      <c r="L1000" t="str">
        <f>Procurement_Raw!L1000</f>
        <v>ERP</v>
      </c>
      <c r="M1000" t="str">
        <f>Procurement_Raw!O1000</f>
        <v>N</v>
      </c>
      <c r="N1000" t="str">
        <f>IF(E1000="","Missing supplier",IF(B1000="","Missing site",IF(J1000="","Missing spend",IF(COUNTIFS($G$2:G1000,G1000,$E$2:E1000,E1000,$J$2:J1000,J1000)&gt;1,"Duplicate invoice",IF(COUNTIF($G$2:$G$1801,G1000)&gt;1,"Duplicate ID - review",IF(AND(P1000&lt;&gt;"Unmapped",P1000&lt;&gt;F1000),"Category mismatch","OK"))))))</f>
        <v>OK</v>
      </c>
      <c r="O1000" s="125">
        <f t="shared" si="45"/>
        <v>6179.27</v>
      </c>
      <c r="P1000" t="str">
        <f>IF(E1000="","Unmapped",IFERROR(INDEX(Supplier_Lookup!$B$2:$B$25,MATCH(E1000,Supplier_Lookup!$A$2:$A$25,0)),"Unmapped"))</f>
        <v>Facilities</v>
      </c>
      <c r="Q1000" s="76">
        <f>IFERROR(INDEX(Category_Targets!$B$2:$B$9,MATCH(F1000,Category_Targets!$A$2:$A$9,0)),0)</f>
        <v>0.05</v>
      </c>
      <c r="R1000" s="125">
        <f t="shared" si="46"/>
        <v>308.96350000000007</v>
      </c>
      <c r="S1000" s="78">
        <f t="shared" si="47"/>
        <v>45778</v>
      </c>
      <c r="T1000" t="str">
        <f>IFERROR(VLOOKUP(B1000,Sites!$A$2:$D$21,4,FALSE()),"Unknown")</f>
        <v>Bristol</v>
      </c>
      <c r="U1000" t="str">
        <f>IF(N1000="OK","",COUNTIF($N$2:N1000,"&lt;&gt;OK"))</f>
        <v/>
      </c>
      <c r="V1000">
        <f>IF(OR(NOT(EXACT(E1000,TRIM(Procurement_Raw!E1000))),NOT(EXACT(F1000,TRIM(Procurement_Raw!F1000)))),1,0)</f>
        <v>0</v>
      </c>
    </row>
    <row r="1001" spans="1:22" ht="15" customHeight="1" x14ac:dyDescent="0.25">
      <c r="A1001" s="123">
        <f>Procurement_Raw!A1001</f>
        <v>45890</v>
      </c>
      <c r="B1001" t="str">
        <f>TRIM(Procurement_Raw!B1001)</f>
        <v>S018</v>
      </c>
      <c r="C1001" t="str">
        <f>Procurement_Raw!C1001</f>
        <v>Newport Care &amp; Education Centre</v>
      </c>
      <c r="D1001" t="str">
        <f>Procurement_Raw!D1001</f>
        <v>Wales</v>
      </c>
      <c r="E1001" t="str">
        <f>IF(TRIM(Procurement_Raw!E1001)="","",IFERROR(INDEX(Supplier_Lookup!$A$2:$A$25,MATCH(TRIM(Procurement_Raw!E1001),Supplier_Lookup!$A$2:$A$25,0)),TRIM(Procurement_Raw!E1001)))</f>
        <v>RoadReady</v>
      </c>
      <c r="F1001" t="str">
        <f>IFERROR(INDEX(Category_Targets!$A$2:$A$9,MATCH(TRIM(Procurement_Raw!F1001),Category_Targets!$A$2:$A$9,0)),"Unmapped")</f>
        <v>Vehicle &amp; Fuel</v>
      </c>
      <c r="G1001" t="str">
        <f>TRIM(Procurement_Raw!G1001)</f>
        <v>INV-2025-01000</v>
      </c>
      <c r="H1001" s="77">
        <f>Procurement_Raw!H1001</f>
        <v>63</v>
      </c>
      <c r="I1001" s="124">
        <f>Procurement_Raw!I1001</f>
        <v>130.16</v>
      </c>
      <c r="J1001" s="125">
        <f>IF(Procurement_Raw!J1001="","",Procurement_Raw!J1001)</f>
        <v>8200.35</v>
      </c>
      <c r="K1001" s="77">
        <f>Procurement_Raw!K1001</f>
        <v>30</v>
      </c>
      <c r="L1001" t="str">
        <f>Procurement_Raw!L1001</f>
        <v>ERP</v>
      </c>
      <c r="M1001" t="str">
        <f>Procurement_Raw!O1001</f>
        <v>N</v>
      </c>
      <c r="N1001" t="str">
        <f>IF(E1001="","Missing supplier",IF(B1001="","Missing site",IF(J1001="","Missing spend",IF(COUNTIFS($G$2:G1001,G1001,$E$2:E1001,E1001,$J$2:J1001,J1001)&gt;1,"Duplicate invoice",IF(COUNTIF($G$2:$G$1801,G1001)&gt;1,"Duplicate ID - review",IF(AND(P1001&lt;&gt;"Unmapped",P1001&lt;&gt;F1001),"Category mismatch","OK"))))))</f>
        <v>OK</v>
      </c>
      <c r="O1001" s="125">
        <f t="shared" si="45"/>
        <v>8200.35</v>
      </c>
      <c r="P1001" t="str">
        <f>IF(E1001="","Unmapped",IFERROR(INDEX(Supplier_Lookup!$B$2:$B$25,MATCH(E1001,Supplier_Lookup!$A$2:$A$25,0)),"Unmapped"))</f>
        <v>Vehicle &amp; Fuel</v>
      </c>
      <c r="Q1001" s="76">
        <f>IFERROR(INDEX(Category_Targets!$B$2:$B$9,MATCH(F1001,Category_Targets!$A$2:$A$9,0)),0)</f>
        <v>0.05</v>
      </c>
      <c r="R1001" s="125">
        <f t="shared" si="46"/>
        <v>410.01750000000004</v>
      </c>
      <c r="S1001" s="78">
        <f t="shared" si="47"/>
        <v>45870</v>
      </c>
      <c r="T1001" t="str">
        <f>IFERROR(VLOOKUP(B1001,Sites!$A$2:$D$21,4,FALSE()),"Unknown")</f>
        <v>Newport</v>
      </c>
      <c r="U1001" t="str">
        <f>IF(N1001="OK","",COUNTIF($N$2:N1001,"&lt;&gt;OK"))</f>
        <v/>
      </c>
      <c r="V1001">
        <f>IF(OR(NOT(EXACT(E1001,TRIM(Procurement_Raw!E1001))),NOT(EXACT(F1001,TRIM(Procurement_Raw!F1001)))),1,0)</f>
        <v>0</v>
      </c>
    </row>
    <row r="1002" spans="1:22" ht="15" customHeight="1" x14ac:dyDescent="0.25">
      <c r="A1002" s="123">
        <f>Procurement_Raw!A1002</f>
        <v>45903</v>
      </c>
      <c r="B1002" t="str">
        <f>TRIM(Procurement_Raw!B1002)</f>
        <v>S012</v>
      </c>
      <c r="C1002" t="str">
        <f>Procurement_Raw!C1002</f>
        <v>Bristol Care &amp; Education Centre</v>
      </c>
      <c r="D1002" t="str">
        <f>Procurement_Raw!D1002</f>
        <v>South</v>
      </c>
      <c r="E1002" t="str">
        <f>IF(TRIM(Procurement_Raw!E1002)="","",IFERROR(INDEX(Supplier_Lookup!$A$2:$A$25,MATCH(TRIM(Procurement_Raw!E1002),Supplier_Lookup!$A$2:$A$25,0)),TRIM(Procurement_Raw!E1002)))</f>
        <v>NourishCo</v>
      </c>
      <c r="F1002" t="str">
        <f>IFERROR(INDEX(Category_Targets!$A$2:$A$9,MATCH(TRIM(Procurement_Raw!F1002),Category_Targets!$A$2:$A$9,0)),"Unmapped")</f>
        <v>Food &amp; Catering</v>
      </c>
      <c r="G1002" t="str">
        <f>TRIM(Procurement_Raw!G1002)</f>
        <v>INV-2025-01001</v>
      </c>
      <c r="H1002" s="77">
        <f>Procurement_Raw!H1002</f>
        <v>60</v>
      </c>
      <c r="I1002" s="124">
        <f>Procurement_Raw!I1002</f>
        <v>140.34</v>
      </c>
      <c r="J1002" s="125">
        <f>IF(Procurement_Raw!J1002="","",Procurement_Raw!J1002)</f>
        <v>8420.1</v>
      </c>
      <c r="K1002" s="77">
        <f>Procurement_Raw!K1002</f>
        <v>30</v>
      </c>
      <c r="L1002" t="str">
        <f>Procurement_Raw!L1002</f>
        <v>Procurement Portal</v>
      </c>
      <c r="M1002" t="str">
        <f>Procurement_Raw!O1002</f>
        <v>N</v>
      </c>
      <c r="N1002" t="str">
        <f>IF(E1002="","Missing supplier",IF(B1002="","Missing site",IF(J1002="","Missing spend",IF(COUNTIFS($G$2:G1002,G1002,$E$2:E1002,E1002,$J$2:J1002,J1002)&gt;1,"Duplicate invoice",IF(COUNTIF($G$2:$G$1801,G1002)&gt;1,"Duplicate ID - review",IF(AND(P1002&lt;&gt;"Unmapped",P1002&lt;&gt;F1002),"Category mismatch","OK"))))))</f>
        <v>OK</v>
      </c>
      <c r="O1002" s="125">
        <f t="shared" si="45"/>
        <v>8420.1</v>
      </c>
      <c r="P1002" t="str">
        <f>IF(E1002="","Unmapped",IFERROR(INDEX(Supplier_Lookup!$B$2:$B$25,MATCH(E1002,Supplier_Lookup!$A$2:$A$25,0)),"Unmapped"))</f>
        <v>Food &amp; Catering</v>
      </c>
      <c r="Q1002" s="76">
        <f>IFERROR(INDEX(Category_Targets!$B$2:$B$9,MATCH(F1002,Category_Targets!$A$2:$A$9,0)),0)</f>
        <v>0.04</v>
      </c>
      <c r="R1002" s="125">
        <f t="shared" si="46"/>
        <v>336.80400000000003</v>
      </c>
      <c r="S1002" s="78">
        <f t="shared" si="47"/>
        <v>45901</v>
      </c>
      <c r="T1002" t="str">
        <f>IFERROR(VLOOKUP(B1002,Sites!$A$2:$D$21,4,FALSE()),"Unknown")</f>
        <v>Bristol</v>
      </c>
      <c r="U1002" t="str">
        <f>IF(N1002="OK","",COUNTIF($N$2:N1002,"&lt;&gt;OK"))</f>
        <v/>
      </c>
      <c r="V1002">
        <f>IF(OR(NOT(EXACT(E1002,TRIM(Procurement_Raw!E1002))),NOT(EXACT(F1002,TRIM(Procurement_Raw!F1002)))),1,0)</f>
        <v>0</v>
      </c>
    </row>
    <row r="1003" spans="1:22" ht="15" customHeight="1" x14ac:dyDescent="0.25">
      <c r="A1003" s="123">
        <f>Procurement_Raw!A1003</f>
        <v>45710</v>
      </c>
      <c r="B1003" t="str">
        <f>TRIM(Procurement_Raw!B1003)</f>
        <v>S019</v>
      </c>
      <c r="C1003" t="str">
        <f>Procurement_Raw!C1003</f>
        <v>Wrexham Care &amp; Education Centre</v>
      </c>
      <c r="D1003" t="str">
        <f>Procurement_Raw!D1003</f>
        <v>Wales</v>
      </c>
      <c r="E1003" t="str">
        <f>IF(TRIM(Procurement_Raw!E1003)="","",IFERROR(INDEX(Supplier_Lookup!$A$2:$A$25,MATCH(TRIM(Procurement_Raw!E1003),Supplier_Lookup!$A$2:$A$25,0)),TRIM(Procurement_Raw!E1003)))</f>
        <v>BuildCare</v>
      </c>
      <c r="F1003" t="str">
        <f>IFERROR(INDEX(Category_Targets!$A$2:$A$9,MATCH(TRIM(Procurement_Raw!F1003),Category_Targets!$A$2:$A$9,0)),"Unmapped")</f>
        <v>Facilities</v>
      </c>
      <c r="G1003" t="str">
        <f>TRIM(Procurement_Raw!G1003)</f>
        <v>INV-2025-01002</v>
      </c>
      <c r="H1003" s="77">
        <f>Procurement_Raw!H1003</f>
        <v>52</v>
      </c>
      <c r="I1003" s="124">
        <f>Procurement_Raw!I1003</f>
        <v>299.32</v>
      </c>
      <c r="J1003" s="125">
        <f>IF(Procurement_Raw!J1003="","",Procurement_Raw!J1003)</f>
        <v>15564.52</v>
      </c>
      <c r="K1003" s="77">
        <f>Procurement_Raw!K1003</f>
        <v>60</v>
      </c>
      <c r="L1003" t="str">
        <f>Procurement_Raw!L1003</f>
        <v>ERP</v>
      </c>
      <c r="M1003" t="str">
        <f>Procurement_Raw!O1003</f>
        <v>N</v>
      </c>
      <c r="N1003" t="str">
        <f>IF(E1003="","Missing supplier",IF(B1003="","Missing site",IF(J1003="","Missing spend",IF(COUNTIFS($G$2:G1003,G1003,$E$2:E1003,E1003,$J$2:J1003,J1003)&gt;1,"Duplicate invoice",IF(COUNTIF($G$2:$G$1801,G1003)&gt;1,"Duplicate ID - review",IF(AND(P1003&lt;&gt;"Unmapped",P1003&lt;&gt;F1003),"Category mismatch","OK"))))))</f>
        <v>OK</v>
      </c>
      <c r="O1003" s="125">
        <f t="shared" si="45"/>
        <v>15564.52</v>
      </c>
      <c r="P1003" t="str">
        <f>IF(E1003="","Unmapped",IFERROR(INDEX(Supplier_Lookup!$B$2:$B$25,MATCH(E1003,Supplier_Lookup!$A$2:$A$25,0)),"Unmapped"))</f>
        <v>Facilities</v>
      </c>
      <c r="Q1003" s="76">
        <f>IFERROR(INDEX(Category_Targets!$B$2:$B$9,MATCH(F1003,Category_Targets!$A$2:$A$9,0)),0)</f>
        <v>0.05</v>
      </c>
      <c r="R1003" s="125">
        <f t="shared" si="46"/>
        <v>778.22600000000011</v>
      </c>
      <c r="S1003" s="78">
        <f t="shared" si="47"/>
        <v>45689</v>
      </c>
      <c r="T1003" t="str">
        <f>IFERROR(VLOOKUP(B1003,Sites!$A$2:$D$21,4,FALSE()),"Unknown")</f>
        <v>Wrexham</v>
      </c>
      <c r="U1003" t="str">
        <f>IF(N1003="OK","",COUNTIF($N$2:N1003,"&lt;&gt;OK"))</f>
        <v/>
      </c>
      <c r="V1003">
        <f>IF(OR(NOT(EXACT(E1003,TRIM(Procurement_Raw!E1003))),NOT(EXACT(F1003,TRIM(Procurement_Raw!F1003)))),1,0)</f>
        <v>0</v>
      </c>
    </row>
    <row r="1004" spans="1:22" ht="15" customHeight="1" x14ac:dyDescent="0.25">
      <c r="A1004" s="123">
        <f>Procurement_Raw!A1004</f>
        <v>45930</v>
      </c>
      <c r="B1004" t="str">
        <f>TRIM(Procurement_Raw!B1004)</f>
        <v>S009</v>
      </c>
      <c r="C1004" t="str">
        <f>Procurement_Raw!C1004</f>
        <v>Derby Care &amp; Education Centre</v>
      </c>
      <c r="D1004" t="str">
        <f>Procurement_Raw!D1004</f>
        <v>Midlands</v>
      </c>
      <c r="E1004" t="str">
        <f>IF(TRIM(Procurement_Raw!E1004)="","",IFERROR(INDEX(Supplier_Lookup!$A$2:$A$25,MATCH(TRIM(Procurement_Raw!E1004),Supplier_Lookup!$A$2:$A$25,0)),TRIM(Procurement_Raw!E1004)))</f>
        <v>NourishCo</v>
      </c>
      <c r="F1004" t="str">
        <f>IFERROR(INDEX(Category_Targets!$A$2:$A$9,MATCH(TRIM(Procurement_Raw!F1004),Category_Targets!$A$2:$A$9,0)),"Unmapped")</f>
        <v>Food &amp; Catering</v>
      </c>
      <c r="G1004" t="str">
        <f>TRIM(Procurement_Raw!G1004)</f>
        <v>INV-2025-01003</v>
      </c>
      <c r="H1004" s="77">
        <f>Procurement_Raw!H1004</f>
        <v>60</v>
      </c>
      <c r="I1004" s="124">
        <f>Procurement_Raw!I1004</f>
        <v>67.17</v>
      </c>
      <c r="J1004" s="125">
        <f>IF(Procurement_Raw!J1004="","",Procurement_Raw!J1004)</f>
        <v>4030.03</v>
      </c>
      <c r="K1004" s="77">
        <f>Procurement_Raw!K1004</f>
        <v>45</v>
      </c>
      <c r="L1004" t="str">
        <f>Procurement_Raw!L1004</f>
        <v>Legacy Spend File</v>
      </c>
      <c r="M1004" t="str">
        <f>Procurement_Raw!O1004</f>
        <v>N</v>
      </c>
      <c r="N1004" t="str">
        <f>IF(E1004="","Missing supplier",IF(B1004="","Missing site",IF(J1004="","Missing spend",IF(COUNTIFS($G$2:G1004,G1004,$E$2:E1004,E1004,$J$2:J1004,J1004)&gt;1,"Duplicate invoice",IF(COUNTIF($G$2:$G$1801,G1004)&gt;1,"Duplicate ID - review",IF(AND(P1004&lt;&gt;"Unmapped",P1004&lt;&gt;F1004),"Category mismatch","OK"))))))</f>
        <v>OK</v>
      </c>
      <c r="O1004" s="125">
        <f t="shared" si="45"/>
        <v>4030.03</v>
      </c>
      <c r="P1004" t="str">
        <f>IF(E1004="","Unmapped",IFERROR(INDEX(Supplier_Lookup!$B$2:$B$25,MATCH(E1004,Supplier_Lookup!$A$2:$A$25,0)),"Unmapped"))</f>
        <v>Food &amp; Catering</v>
      </c>
      <c r="Q1004" s="76">
        <f>IFERROR(INDEX(Category_Targets!$B$2:$B$9,MATCH(F1004,Category_Targets!$A$2:$A$9,0)),0)</f>
        <v>0.04</v>
      </c>
      <c r="R1004" s="125">
        <f t="shared" si="46"/>
        <v>161.2012</v>
      </c>
      <c r="S1004" s="78">
        <f t="shared" si="47"/>
        <v>45901</v>
      </c>
      <c r="T1004" t="str">
        <f>IFERROR(VLOOKUP(B1004,Sites!$A$2:$D$21,4,FALSE()),"Unknown")</f>
        <v>Derby</v>
      </c>
      <c r="U1004" t="str">
        <f>IF(N1004="OK","",COUNTIF($N$2:N1004,"&lt;&gt;OK"))</f>
        <v/>
      </c>
      <c r="V1004">
        <f>IF(OR(NOT(EXACT(E1004,TRIM(Procurement_Raw!E1004))),NOT(EXACT(F1004,TRIM(Procurement_Raw!F1004)))),1,0)</f>
        <v>0</v>
      </c>
    </row>
    <row r="1005" spans="1:22" ht="15" customHeight="1" x14ac:dyDescent="0.25">
      <c r="A1005" s="123">
        <f>Procurement_Raw!A1005</f>
        <v>45782</v>
      </c>
      <c r="B1005" t="str">
        <f>TRIM(Procurement_Raw!B1005)</f>
        <v>S011</v>
      </c>
      <c r="C1005" t="str">
        <f>Procurement_Raw!C1005</f>
        <v>London Care &amp; Education Centre</v>
      </c>
      <c r="D1005" t="str">
        <f>Procurement_Raw!D1005</f>
        <v>South</v>
      </c>
      <c r="E1005" t="str">
        <f>IF(TRIM(Procurement_Raw!E1005)="","",IFERROR(INDEX(Supplier_Lookup!$A$2:$A$25,MATCH(TRIM(Procurement_Raw!E1005),Supplier_Lookup!$A$2:$A$25,0)),TRIM(Procurement_Raw!E1005)))</f>
        <v>PowerDirect</v>
      </c>
      <c r="F1005" t="str">
        <f>IFERROR(INDEX(Category_Targets!$A$2:$A$9,MATCH(TRIM(Procurement_Raw!F1005),Category_Targets!$A$2:$A$9,0)),"Unmapped")</f>
        <v>Utilities</v>
      </c>
      <c r="G1005" t="str">
        <f>TRIM(Procurement_Raw!G1005)</f>
        <v>INV-2025-01004</v>
      </c>
      <c r="H1005" s="77">
        <f>Procurement_Raw!H1005</f>
        <v>71</v>
      </c>
      <c r="I1005" s="124">
        <f>Procurement_Raw!I1005</f>
        <v>175.15</v>
      </c>
      <c r="J1005" s="125">
        <f>IF(Procurement_Raw!J1005="","",Procurement_Raw!J1005)</f>
        <v>12435.69</v>
      </c>
      <c r="K1005" s="77">
        <f>Procurement_Raw!K1005</f>
        <v>30</v>
      </c>
      <c r="L1005" t="str">
        <f>Procurement_Raw!L1005</f>
        <v>Procurement Portal</v>
      </c>
      <c r="M1005" t="str">
        <f>Procurement_Raw!O1005</f>
        <v>N</v>
      </c>
      <c r="N1005" t="str">
        <f>IF(E1005="","Missing supplier",IF(B1005="","Missing site",IF(J1005="","Missing spend",IF(COUNTIFS($G$2:G1005,G1005,$E$2:E1005,E1005,$J$2:J1005,J1005)&gt;1,"Duplicate invoice",IF(COUNTIF($G$2:$G$1801,G1005)&gt;1,"Duplicate ID - review",IF(AND(P1005&lt;&gt;"Unmapped",P1005&lt;&gt;F1005),"Category mismatch","OK"))))))</f>
        <v>OK</v>
      </c>
      <c r="O1005" s="125">
        <f t="shared" si="45"/>
        <v>12435.69</v>
      </c>
      <c r="P1005" t="str">
        <f>IF(E1005="","Unmapped",IFERROR(INDEX(Supplier_Lookup!$B$2:$B$25,MATCH(E1005,Supplier_Lookup!$A$2:$A$25,0)),"Unmapped"))</f>
        <v>Utilities</v>
      </c>
      <c r="Q1005" s="76">
        <f>IFERROR(INDEX(Category_Targets!$B$2:$B$9,MATCH(F1005,Category_Targets!$A$2:$A$9,0)),0)</f>
        <v>0.03</v>
      </c>
      <c r="R1005" s="125">
        <f t="shared" si="46"/>
        <v>373.07069999999999</v>
      </c>
      <c r="S1005" s="78">
        <f t="shared" si="47"/>
        <v>45778</v>
      </c>
      <c r="T1005" t="str">
        <f>IFERROR(VLOOKUP(B1005,Sites!$A$2:$D$21,4,FALSE()),"Unknown")</f>
        <v>London</v>
      </c>
      <c r="U1005" t="str">
        <f>IF(N1005="OK","",COUNTIF($N$2:N1005,"&lt;&gt;OK"))</f>
        <v/>
      </c>
      <c r="V1005">
        <f>IF(OR(NOT(EXACT(E1005,TRIM(Procurement_Raw!E1005))),NOT(EXACT(F1005,TRIM(Procurement_Raw!F1005)))),1,0)</f>
        <v>0</v>
      </c>
    </row>
    <row r="1006" spans="1:22" ht="15" customHeight="1" x14ac:dyDescent="0.25">
      <c r="A1006" s="123">
        <f>Procurement_Raw!A1006</f>
        <v>45764</v>
      </c>
      <c r="B1006" t="str">
        <f>TRIM(Procurement_Raw!B1006)</f>
        <v>S012</v>
      </c>
      <c r="C1006" t="str">
        <f>Procurement_Raw!C1006</f>
        <v>Bristol Care &amp; Education Centre</v>
      </c>
      <c r="D1006" t="str">
        <f>Procurement_Raw!D1006</f>
        <v>South</v>
      </c>
      <c r="E1006" t="str">
        <f>IF(TRIM(Procurement_Raw!E1006)="","",IFERROR(INDEX(Supplier_Lookup!$A$2:$A$25,MATCH(TRIM(Procurement_Raw!E1006),Supplier_Lookup!$A$2:$A$25,0)),TRIM(Procurement_Raw!E1006)))</f>
        <v>NourishCo</v>
      </c>
      <c r="F1006" t="str">
        <f>IFERROR(INDEX(Category_Targets!$A$2:$A$9,MATCH(TRIM(Procurement_Raw!F1006),Category_Targets!$A$2:$A$9,0)),"Unmapped")</f>
        <v>Food &amp; Catering</v>
      </c>
      <c r="G1006" t="str">
        <f>TRIM(Procurement_Raw!G1006)</f>
        <v>INV-2025-01005</v>
      </c>
      <c r="H1006" s="77">
        <f>Procurement_Raw!H1006</f>
        <v>76</v>
      </c>
      <c r="I1006" s="124">
        <f>Procurement_Raw!I1006</f>
        <v>95.43</v>
      </c>
      <c r="J1006" s="125">
        <f>IF(Procurement_Raw!J1006="","",Procurement_Raw!J1006)</f>
        <v>7252.8</v>
      </c>
      <c r="K1006" s="77">
        <f>Procurement_Raw!K1006</f>
        <v>45</v>
      </c>
      <c r="L1006" t="str">
        <f>Procurement_Raw!L1006</f>
        <v>Procurement Portal</v>
      </c>
      <c r="M1006" t="str">
        <f>Procurement_Raw!O1006</f>
        <v>N</v>
      </c>
      <c r="N1006" t="str">
        <f>IF(E1006="","Missing supplier",IF(B1006="","Missing site",IF(J1006="","Missing spend",IF(COUNTIFS($G$2:G1006,G1006,$E$2:E1006,E1006,$J$2:J1006,J1006)&gt;1,"Duplicate invoice",IF(COUNTIF($G$2:$G$1801,G1006)&gt;1,"Duplicate ID - review",IF(AND(P1006&lt;&gt;"Unmapped",P1006&lt;&gt;F1006),"Category mismatch","OK"))))))</f>
        <v>OK</v>
      </c>
      <c r="O1006" s="125">
        <f t="shared" si="45"/>
        <v>7252.8</v>
      </c>
      <c r="P1006" t="str">
        <f>IF(E1006="","Unmapped",IFERROR(INDEX(Supplier_Lookup!$B$2:$B$25,MATCH(E1006,Supplier_Lookup!$A$2:$A$25,0)),"Unmapped"))</f>
        <v>Food &amp; Catering</v>
      </c>
      <c r="Q1006" s="76">
        <f>IFERROR(INDEX(Category_Targets!$B$2:$B$9,MATCH(F1006,Category_Targets!$A$2:$A$9,0)),0)</f>
        <v>0.04</v>
      </c>
      <c r="R1006" s="125">
        <f t="shared" si="46"/>
        <v>290.11200000000002</v>
      </c>
      <c r="S1006" s="78">
        <f t="shared" si="47"/>
        <v>45748</v>
      </c>
      <c r="T1006" t="str">
        <f>IFERROR(VLOOKUP(B1006,Sites!$A$2:$D$21,4,FALSE()),"Unknown")</f>
        <v>Bristol</v>
      </c>
      <c r="U1006" t="str">
        <f>IF(N1006="OK","",COUNTIF($N$2:N1006,"&lt;&gt;OK"))</f>
        <v/>
      </c>
      <c r="V1006">
        <f>IF(OR(NOT(EXACT(E1006,TRIM(Procurement_Raw!E1006))),NOT(EXACT(F1006,TRIM(Procurement_Raw!F1006)))),1,0)</f>
        <v>0</v>
      </c>
    </row>
    <row r="1007" spans="1:22" ht="15" customHeight="1" x14ac:dyDescent="0.25">
      <c r="A1007" s="123">
        <f>Procurement_Raw!A1007</f>
        <v>46013</v>
      </c>
      <c r="B1007" t="str">
        <f>TRIM(Procurement_Raw!B1007)</f>
        <v>S015</v>
      </c>
      <c r="C1007" t="str">
        <f>Procurement_Raw!C1007</f>
        <v>Brighton Care &amp; Education Centre</v>
      </c>
      <c r="D1007" t="str">
        <f>Procurement_Raw!D1007</f>
        <v>South</v>
      </c>
      <c r="E1007" t="str">
        <f>IF(TRIM(Procurement_Raw!E1007)="","",IFERROR(INDEX(Supplier_Lookup!$A$2:$A$25,MATCH(TRIM(Procurement_Raw!E1007),Supplier_Lookup!$A$2:$A$25,0)),TRIM(Procurement_Raw!E1007)))</f>
        <v>AutoCare</v>
      </c>
      <c r="F1007" t="str">
        <f>IFERROR(INDEX(Category_Targets!$A$2:$A$9,MATCH(TRIM(Procurement_Raw!F1007),Category_Targets!$A$2:$A$9,0)),"Unmapped")</f>
        <v>Vehicle &amp; Fuel</v>
      </c>
      <c r="G1007" t="str">
        <f>TRIM(Procurement_Raw!G1007)</f>
        <v>INV-2025-01006</v>
      </c>
      <c r="H1007" s="77">
        <f>Procurement_Raw!H1007</f>
        <v>31</v>
      </c>
      <c r="I1007" s="124">
        <f>Procurement_Raw!I1007</f>
        <v>117.95</v>
      </c>
      <c r="J1007" s="125">
        <f>IF(Procurement_Raw!J1007="","",Procurement_Raw!J1007)</f>
        <v>3656.57</v>
      </c>
      <c r="K1007" s="77">
        <f>Procurement_Raw!K1007</f>
        <v>30</v>
      </c>
      <c r="L1007" t="str">
        <f>Procurement_Raw!L1007</f>
        <v>Legacy Spend File</v>
      </c>
      <c r="M1007" t="str">
        <f>Procurement_Raw!O1007</f>
        <v>N</v>
      </c>
      <c r="N1007" t="str">
        <f>IF(E1007="","Missing supplier",IF(B1007="","Missing site",IF(J1007="","Missing spend",IF(COUNTIFS($G$2:G1007,G1007,$E$2:E1007,E1007,$J$2:J1007,J1007)&gt;1,"Duplicate invoice",IF(COUNTIF($G$2:$G$1801,G1007)&gt;1,"Duplicate ID - review",IF(AND(P1007&lt;&gt;"Unmapped",P1007&lt;&gt;F1007),"Category mismatch","OK"))))))</f>
        <v>OK</v>
      </c>
      <c r="O1007" s="125">
        <f t="shared" si="45"/>
        <v>3656.57</v>
      </c>
      <c r="P1007" t="str">
        <f>IF(E1007="","Unmapped",IFERROR(INDEX(Supplier_Lookup!$B$2:$B$25,MATCH(E1007,Supplier_Lookup!$A$2:$A$25,0)),"Unmapped"))</f>
        <v>Vehicle &amp; Fuel</v>
      </c>
      <c r="Q1007" s="76">
        <f>IFERROR(INDEX(Category_Targets!$B$2:$B$9,MATCH(F1007,Category_Targets!$A$2:$A$9,0)),0)</f>
        <v>0.05</v>
      </c>
      <c r="R1007" s="125">
        <f t="shared" si="46"/>
        <v>182.82850000000002</v>
      </c>
      <c r="S1007" s="78">
        <f t="shared" si="47"/>
        <v>45992</v>
      </c>
      <c r="T1007" t="str">
        <f>IFERROR(VLOOKUP(B1007,Sites!$A$2:$D$21,4,FALSE()),"Unknown")</f>
        <v>Brighton</v>
      </c>
      <c r="U1007" t="str">
        <f>IF(N1007="OK","",COUNTIF($N$2:N1007,"&lt;&gt;OK"))</f>
        <v/>
      </c>
      <c r="V1007">
        <f>IF(OR(NOT(EXACT(E1007,TRIM(Procurement_Raw!E1007))),NOT(EXACT(F1007,TRIM(Procurement_Raw!F1007)))),1,0)</f>
        <v>0</v>
      </c>
    </row>
    <row r="1008" spans="1:22" ht="15" customHeight="1" x14ac:dyDescent="0.25">
      <c r="A1008" s="123">
        <f>Procurement_Raw!A1008</f>
        <v>46022</v>
      </c>
      <c r="B1008" t="str">
        <f>TRIM(Procurement_Raw!B1008)</f>
        <v>S001</v>
      </c>
      <c r="C1008" t="str">
        <f>Procurement_Raw!C1008</f>
        <v>Preston Care &amp; Education Centre</v>
      </c>
      <c r="D1008" t="str">
        <f>Procurement_Raw!D1008</f>
        <v>North</v>
      </c>
      <c r="E1008" t="str">
        <f>IF(TRIM(Procurement_Raw!E1008)="","",IFERROR(INDEX(Supplier_Lookup!$A$2:$A$25,MATCH(TRIM(Procurement_Raw!E1008),Supplier_Lookup!$A$2:$A$25,0)),TRIM(Procurement_Raw!E1008)))</f>
        <v>KitchenPro</v>
      </c>
      <c r="F1008" t="str">
        <f>IFERROR(INDEX(Category_Targets!$A$2:$A$9,MATCH(TRIM(Procurement_Raw!F1008),Category_Targets!$A$2:$A$9,0)),"Unmapped")</f>
        <v>Food &amp; Catering</v>
      </c>
      <c r="G1008" t="str">
        <f>TRIM(Procurement_Raw!G1008)</f>
        <v>INV-2025-01007</v>
      </c>
      <c r="H1008" s="77">
        <f>Procurement_Raw!H1008</f>
        <v>74</v>
      </c>
      <c r="I1008" s="124">
        <f>Procurement_Raw!I1008</f>
        <v>106.35</v>
      </c>
      <c r="J1008" s="125">
        <f>IF(Procurement_Raw!J1008="","",Procurement_Raw!J1008)</f>
        <v>7869.96</v>
      </c>
      <c r="K1008" s="77">
        <f>Procurement_Raw!K1008</f>
        <v>45</v>
      </c>
      <c r="L1008" t="str">
        <f>Procurement_Raw!L1008</f>
        <v>ERP</v>
      </c>
      <c r="M1008" t="str">
        <f>Procurement_Raw!O1008</f>
        <v>N</v>
      </c>
      <c r="N1008" t="str">
        <f>IF(E1008="","Missing supplier",IF(B1008="","Missing site",IF(J1008="","Missing spend",IF(COUNTIFS($G$2:G1008,G1008,$E$2:E1008,E1008,$J$2:J1008,J1008)&gt;1,"Duplicate invoice",IF(COUNTIF($G$2:$G$1801,G1008)&gt;1,"Duplicate ID - review",IF(AND(P1008&lt;&gt;"Unmapped",P1008&lt;&gt;F1008),"Category mismatch","OK"))))))</f>
        <v>OK</v>
      </c>
      <c r="O1008" s="125">
        <f t="shared" si="45"/>
        <v>7869.96</v>
      </c>
      <c r="P1008" t="str">
        <f>IF(E1008="","Unmapped",IFERROR(INDEX(Supplier_Lookup!$B$2:$B$25,MATCH(E1008,Supplier_Lookup!$A$2:$A$25,0)),"Unmapped"))</f>
        <v>Food &amp; Catering</v>
      </c>
      <c r="Q1008" s="76">
        <f>IFERROR(INDEX(Category_Targets!$B$2:$B$9,MATCH(F1008,Category_Targets!$A$2:$A$9,0)),0)</f>
        <v>0.04</v>
      </c>
      <c r="R1008" s="125">
        <f t="shared" si="46"/>
        <v>314.79840000000002</v>
      </c>
      <c r="S1008" s="78">
        <f t="shared" si="47"/>
        <v>45992</v>
      </c>
      <c r="T1008" t="str">
        <f>IFERROR(VLOOKUP(B1008,Sites!$A$2:$D$21,4,FALSE()),"Unknown")</f>
        <v>Preston</v>
      </c>
      <c r="U1008" t="str">
        <f>IF(N1008="OK","",COUNTIF($N$2:N1008,"&lt;&gt;OK"))</f>
        <v/>
      </c>
      <c r="V1008">
        <f>IF(OR(NOT(EXACT(E1008,TRIM(Procurement_Raw!E1008))),NOT(EXACT(F1008,TRIM(Procurement_Raw!F1008)))),1,0)</f>
        <v>0</v>
      </c>
    </row>
    <row r="1009" spans="1:22" ht="15" customHeight="1" x14ac:dyDescent="0.25">
      <c r="A1009" s="123">
        <f>Procurement_Raw!A1009</f>
        <v>45942</v>
      </c>
      <c r="B1009" t="str">
        <f>TRIM(Procurement_Raw!B1009)</f>
        <v>S004</v>
      </c>
      <c r="C1009" t="str">
        <f>Procurement_Raw!C1009</f>
        <v>Newcastle Care &amp; Education Centre</v>
      </c>
      <c r="D1009" t="str">
        <f>Procurement_Raw!D1009</f>
        <v>North</v>
      </c>
      <c r="E1009" t="str">
        <f>IF(TRIM(Procurement_Raw!E1009)="","",IFERROR(INDEX(Supplier_Lookup!$A$2:$A$25,MATCH(TRIM(Procurement_Raw!E1009),Supplier_Lookup!$A$2:$A$25,0)),TRIM(Procurement_Raw!E1009)))</f>
        <v>LearnWell</v>
      </c>
      <c r="F1009" t="str">
        <f>IFERROR(INDEX(Category_Targets!$A$2:$A$9,MATCH(TRIM(Procurement_Raw!F1009),Category_Targets!$A$2:$A$9,0)),"Unmapped")</f>
        <v>Office &amp; Training</v>
      </c>
      <c r="G1009" t="str">
        <f>TRIM(Procurement_Raw!G1009)</f>
        <v>INV-2025-01008</v>
      </c>
      <c r="H1009" s="77">
        <f>Procurement_Raw!H1009</f>
        <v>13</v>
      </c>
      <c r="I1009" s="124">
        <f>Procurement_Raw!I1009</f>
        <v>106.36</v>
      </c>
      <c r="J1009" s="125">
        <f>IF(Procurement_Raw!J1009="","",Procurement_Raw!J1009)</f>
        <v>1382.68</v>
      </c>
      <c r="K1009" s="77">
        <f>Procurement_Raw!K1009</f>
        <v>45</v>
      </c>
      <c r="L1009" t="str">
        <f>Procurement_Raw!L1009</f>
        <v>ERP</v>
      </c>
      <c r="M1009" t="str">
        <f>Procurement_Raw!O1009</f>
        <v>N</v>
      </c>
      <c r="N1009" t="str">
        <f>IF(E1009="","Missing supplier",IF(B1009="","Missing site",IF(J1009="","Missing spend",IF(COUNTIFS($G$2:G1009,G1009,$E$2:E1009,E1009,$J$2:J1009,J1009)&gt;1,"Duplicate invoice",IF(COUNTIF($G$2:$G$1801,G1009)&gt;1,"Duplicate ID - review",IF(AND(P1009&lt;&gt;"Unmapped",P1009&lt;&gt;F1009),"Category mismatch","OK"))))))</f>
        <v>OK</v>
      </c>
      <c r="O1009" s="125">
        <f t="shared" si="45"/>
        <v>1382.68</v>
      </c>
      <c r="P1009" t="str">
        <f>IF(E1009="","Unmapped",IFERROR(INDEX(Supplier_Lookup!$B$2:$B$25,MATCH(E1009,Supplier_Lookup!$A$2:$A$25,0)),"Unmapped"))</f>
        <v>Office &amp; Training</v>
      </c>
      <c r="Q1009" s="76">
        <f>IFERROR(INDEX(Category_Targets!$B$2:$B$9,MATCH(F1009,Category_Targets!$A$2:$A$9,0)),0)</f>
        <v>0.04</v>
      </c>
      <c r="R1009" s="125">
        <f t="shared" si="46"/>
        <v>55.307200000000002</v>
      </c>
      <c r="S1009" s="78">
        <f t="shared" si="47"/>
        <v>45931</v>
      </c>
      <c r="T1009" t="str">
        <f>IFERROR(VLOOKUP(B1009,Sites!$A$2:$D$21,4,FALSE()),"Unknown")</f>
        <v>Newcastle</v>
      </c>
      <c r="U1009" t="str">
        <f>IF(N1009="OK","",COUNTIF($N$2:N1009,"&lt;&gt;OK"))</f>
        <v/>
      </c>
      <c r="V1009">
        <f>IF(OR(NOT(EXACT(E1009,TRIM(Procurement_Raw!E1009))),NOT(EXACT(F1009,TRIM(Procurement_Raw!F1009)))),1,0)</f>
        <v>0</v>
      </c>
    </row>
    <row r="1010" spans="1:22" ht="15" customHeight="1" x14ac:dyDescent="0.25">
      <c r="A1010" s="123">
        <f>Procurement_Raw!A1010</f>
        <v>45964</v>
      </c>
      <c r="B1010" t="str">
        <f>TRIM(Procurement_Raw!B1010)</f>
        <v>S010</v>
      </c>
      <c r="C1010" t="str">
        <f>Procurement_Raw!C1010</f>
        <v>Coventry Care &amp; Education Centre</v>
      </c>
      <c r="D1010" t="str">
        <f>Procurement_Raw!D1010</f>
        <v>Midlands</v>
      </c>
      <c r="E1010" t="str">
        <f>IF(TRIM(Procurement_Raw!E1010)="","",IFERROR(INDEX(Supplier_Lookup!$A$2:$A$25,MATCH(TRIM(Procurement_Raw!E1010),Supplier_Lookup!$A$2:$A$25,0)),TRIM(Procurement_Raw!E1010)))</f>
        <v>HealthStaffing</v>
      </c>
      <c r="F1010" t="str">
        <f>IFERROR(INDEX(Category_Targets!$A$2:$A$9,MATCH(TRIM(Procurement_Raw!F1010),Category_Targets!$A$2:$A$9,0)),"Unmapped")</f>
        <v>Agency Labour</v>
      </c>
      <c r="G1010" t="str">
        <f>TRIM(Procurement_Raw!G1010)</f>
        <v>INV-2025-01009</v>
      </c>
      <c r="H1010" s="77">
        <f>Procurement_Raw!H1010</f>
        <v>14</v>
      </c>
      <c r="I1010" s="124">
        <f>Procurement_Raw!I1010</f>
        <v>534.34</v>
      </c>
      <c r="J1010" s="125">
        <f>IF(Procurement_Raw!J1010="","",Procurement_Raw!J1010)</f>
        <v>7480.79</v>
      </c>
      <c r="K1010" s="77">
        <f>Procurement_Raw!K1010</f>
        <v>60</v>
      </c>
      <c r="L1010" t="str">
        <f>Procurement_Raw!L1010</f>
        <v>Legacy Spend File</v>
      </c>
      <c r="M1010" t="str">
        <f>Procurement_Raw!O1010</f>
        <v>N</v>
      </c>
      <c r="N1010" t="str">
        <f>IF(E1010="","Missing supplier",IF(B1010="","Missing site",IF(J1010="","Missing spend",IF(COUNTIFS($G$2:G1010,G1010,$E$2:E1010,E1010,$J$2:J1010,J1010)&gt;1,"Duplicate invoice",IF(COUNTIF($G$2:$G$1801,G1010)&gt;1,"Duplicate ID - review",IF(AND(P1010&lt;&gt;"Unmapped",P1010&lt;&gt;F1010),"Category mismatch","OK"))))))</f>
        <v>OK</v>
      </c>
      <c r="O1010" s="125">
        <f t="shared" si="45"/>
        <v>7480.79</v>
      </c>
      <c r="P1010" t="str">
        <f>IF(E1010="","Unmapped",IFERROR(INDEX(Supplier_Lookup!$B$2:$B$25,MATCH(E1010,Supplier_Lookup!$A$2:$A$25,0)),"Unmapped"))</f>
        <v>Agency Labour</v>
      </c>
      <c r="Q1010" s="76">
        <f>IFERROR(INDEX(Category_Targets!$B$2:$B$9,MATCH(F1010,Category_Targets!$A$2:$A$9,0)),0)</f>
        <v>7.0000000000000007E-2</v>
      </c>
      <c r="R1010" s="125">
        <f t="shared" si="46"/>
        <v>523.65530000000001</v>
      </c>
      <c r="S1010" s="78">
        <f t="shared" si="47"/>
        <v>45962</v>
      </c>
      <c r="T1010" t="str">
        <f>IFERROR(VLOOKUP(B1010,Sites!$A$2:$D$21,4,FALSE()),"Unknown")</f>
        <v>Coventry</v>
      </c>
      <c r="U1010" t="str">
        <f>IF(N1010="OK","",COUNTIF($N$2:N1010,"&lt;&gt;OK"))</f>
        <v/>
      </c>
      <c r="V1010">
        <f>IF(OR(NOT(EXACT(E1010,TRIM(Procurement_Raw!E1010))),NOT(EXACT(F1010,TRIM(Procurement_Raw!F1010)))),1,0)</f>
        <v>0</v>
      </c>
    </row>
    <row r="1011" spans="1:22" ht="15" customHeight="1" x14ac:dyDescent="0.25">
      <c r="A1011" s="123">
        <f>Procurement_Raw!A1011</f>
        <v>45988</v>
      </c>
      <c r="B1011" t="str">
        <f>TRIM(Procurement_Raw!B1011)</f>
        <v>S008</v>
      </c>
      <c r="C1011" t="str">
        <f>Procurement_Raw!C1011</f>
        <v>Leicester Care &amp; Education Centre</v>
      </c>
      <c r="D1011" t="str">
        <f>Procurement_Raw!D1011</f>
        <v>Midlands</v>
      </c>
      <c r="E1011" t="str">
        <f>IF(TRIM(Procurement_Raw!E1011)="","",IFERROR(INDEX(Supplier_Lookup!$A$2:$A$25,MATCH(TRIM(Procurement_Raw!E1011),Supplier_Lookup!$A$2:$A$25,0)),TRIM(Procurement_Raw!E1011)))</f>
        <v>RoadReady</v>
      </c>
      <c r="F1011" t="str">
        <f>IFERROR(INDEX(Category_Targets!$A$2:$A$9,MATCH(TRIM(Procurement_Raw!F1011),Category_Targets!$A$2:$A$9,0)),"Unmapped")</f>
        <v>Vehicle &amp; Fuel</v>
      </c>
      <c r="G1011" t="str">
        <f>TRIM(Procurement_Raw!G1011)</f>
        <v>INV-2025-01010</v>
      </c>
      <c r="H1011" s="77">
        <f>Procurement_Raw!H1011</f>
        <v>8</v>
      </c>
      <c r="I1011" s="124">
        <f>Procurement_Raw!I1011</f>
        <v>70.77</v>
      </c>
      <c r="J1011" s="125">
        <f>IF(Procurement_Raw!J1011="","",Procurement_Raw!J1011)</f>
        <v>566.20000000000005</v>
      </c>
      <c r="K1011" s="77">
        <f>Procurement_Raw!K1011</f>
        <v>30</v>
      </c>
      <c r="L1011" t="str">
        <f>Procurement_Raw!L1011</f>
        <v>ERP</v>
      </c>
      <c r="M1011" t="str">
        <f>Procurement_Raw!O1011</f>
        <v>N</v>
      </c>
      <c r="N1011" t="str">
        <f>IF(E1011="","Missing supplier",IF(B1011="","Missing site",IF(J1011="","Missing spend",IF(COUNTIFS($G$2:G1011,G1011,$E$2:E1011,E1011,$J$2:J1011,J1011)&gt;1,"Duplicate invoice",IF(COUNTIF($G$2:$G$1801,G1011)&gt;1,"Duplicate ID - review",IF(AND(P1011&lt;&gt;"Unmapped",P1011&lt;&gt;F1011),"Category mismatch","OK"))))))</f>
        <v>OK</v>
      </c>
      <c r="O1011" s="125">
        <f t="shared" si="45"/>
        <v>566.20000000000005</v>
      </c>
      <c r="P1011" t="str">
        <f>IF(E1011="","Unmapped",IFERROR(INDEX(Supplier_Lookup!$B$2:$B$25,MATCH(E1011,Supplier_Lookup!$A$2:$A$25,0)),"Unmapped"))</f>
        <v>Vehicle &amp; Fuel</v>
      </c>
      <c r="Q1011" s="76">
        <f>IFERROR(INDEX(Category_Targets!$B$2:$B$9,MATCH(F1011,Category_Targets!$A$2:$A$9,0)),0)</f>
        <v>0.05</v>
      </c>
      <c r="R1011" s="125">
        <f t="shared" si="46"/>
        <v>28.310000000000002</v>
      </c>
      <c r="S1011" s="78">
        <f t="shared" si="47"/>
        <v>45962</v>
      </c>
      <c r="T1011" t="str">
        <f>IFERROR(VLOOKUP(B1011,Sites!$A$2:$D$21,4,FALSE()),"Unknown")</f>
        <v>Leicester</v>
      </c>
      <c r="U1011" t="str">
        <f>IF(N1011="OK","",COUNTIF($N$2:N1011,"&lt;&gt;OK"))</f>
        <v/>
      </c>
      <c r="V1011">
        <f>IF(OR(NOT(EXACT(E1011,TRIM(Procurement_Raw!E1011))),NOT(EXACT(F1011,TRIM(Procurement_Raw!F1011)))),1,0)</f>
        <v>0</v>
      </c>
    </row>
    <row r="1012" spans="1:22" ht="15" customHeight="1" x14ac:dyDescent="0.25">
      <c r="A1012" s="123">
        <f>Procurement_Raw!A1012</f>
        <v>45996</v>
      </c>
      <c r="B1012" t="str">
        <f>TRIM(Procurement_Raw!B1012)</f>
        <v>S013</v>
      </c>
      <c r="C1012" t="str">
        <f>Procurement_Raw!C1012</f>
        <v>Reading Care &amp; Education Centre</v>
      </c>
      <c r="D1012" t="str">
        <f>Procurement_Raw!D1012</f>
        <v>South</v>
      </c>
      <c r="E1012" t="str">
        <f>IF(TRIM(Procurement_Raw!E1012)="","",IFERROR(INDEX(Supplier_Lookup!$A$2:$A$25,MATCH(TRIM(Procurement_Raw!E1012),Supplier_Lookup!$A$2:$A$25,0)),TRIM(Procurement_Raw!E1012)))</f>
        <v>MediSure</v>
      </c>
      <c r="F1012" t="str">
        <f>IFERROR(INDEX(Category_Targets!$A$2:$A$9,MATCH(TRIM(Procurement_Raw!F1012),Category_Targets!$A$2:$A$9,0)),"Unmapped")</f>
        <v>Medical Supplies</v>
      </c>
      <c r="G1012" t="str">
        <f>TRIM(Procurement_Raw!G1012)</f>
        <v>INV-2025-01011</v>
      </c>
      <c r="H1012" s="77">
        <f>Procurement_Raw!H1012</f>
        <v>20</v>
      </c>
      <c r="I1012" s="124">
        <f>Procurement_Raw!I1012</f>
        <v>247.66</v>
      </c>
      <c r="J1012" s="125">
        <f>IF(Procurement_Raw!J1012="","",Procurement_Raw!J1012)</f>
        <v>4953.21</v>
      </c>
      <c r="K1012" s="77">
        <f>Procurement_Raw!K1012</f>
        <v>45</v>
      </c>
      <c r="L1012" t="str">
        <f>Procurement_Raw!L1012</f>
        <v>Legacy Spend File</v>
      </c>
      <c r="M1012" t="str">
        <f>Procurement_Raw!O1012</f>
        <v>Y</v>
      </c>
      <c r="N1012" t="str">
        <f>IF(E1012="","Missing supplier",IF(B1012="","Missing site",IF(J1012="","Missing spend",IF(COUNTIFS($G$2:G1012,G1012,$E$2:E1012,E1012,$J$2:J1012,J1012)&gt;1,"Duplicate invoice",IF(COUNTIF($G$2:$G$1801,G1012)&gt;1,"Duplicate ID - review",IF(AND(P1012&lt;&gt;"Unmapped",P1012&lt;&gt;F1012),"Category mismatch","OK"))))))</f>
        <v>OK</v>
      </c>
      <c r="O1012" s="125">
        <f t="shared" si="45"/>
        <v>4953.21</v>
      </c>
      <c r="P1012" t="str">
        <f>IF(E1012="","Unmapped",IFERROR(INDEX(Supplier_Lookup!$B$2:$B$25,MATCH(E1012,Supplier_Lookup!$A$2:$A$25,0)),"Unmapped"))</f>
        <v>Medical Supplies</v>
      </c>
      <c r="Q1012" s="76">
        <f>IFERROR(INDEX(Category_Targets!$B$2:$B$9,MATCH(F1012,Category_Targets!$A$2:$A$9,0)),0)</f>
        <v>0.06</v>
      </c>
      <c r="R1012" s="125">
        <f t="shared" si="46"/>
        <v>297.19259999999997</v>
      </c>
      <c r="S1012" s="78">
        <f t="shared" si="47"/>
        <v>45992</v>
      </c>
      <c r="T1012" t="str">
        <f>IFERROR(VLOOKUP(B1012,Sites!$A$2:$D$21,4,FALSE()),"Unknown")</f>
        <v>Reading</v>
      </c>
      <c r="U1012" t="str">
        <f>IF(N1012="OK","",COUNTIF($N$2:N1012,"&lt;&gt;OK"))</f>
        <v/>
      </c>
      <c r="V1012">
        <f>IF(OR(NOT(EXACT(E1012,TRIM(Procurement_Raw!E1012))),NOT(EXACT(F1012,TRIM(Procurement_Raw!F1012)))),1,0)</f>
        <v>0</v>
      </c>
    </row>
    <row r="1013" spans="1:22" ht="15" customHeight="1" x14ac:dyDescent="0.25">
      <c r="A1013" s="123">
        <f>Procurement_Raw!A1013</f>
        <v>45953</v>
      </c>
      <c r="B1013" t="str">
        <f>TRIM(Procurement_Raw!B1013)</f>
        <v>S020</v>
      </c>
      <c r="C1013" t="str">
        <f>Procurement_Raw!C1013</f>
        <v>Bangor Care &amp; Education Centre</v>
      </c>
      <c r="D1013" t="str">
        <f>Procurement_Raw!D1013</f>
        <v>Wales</v>
      </c>
      <c r="E1013" t="str">
        <f>IF(TRIM(Procurement_Raw!E1013)="","",IFERROR(INDEX(Supplier_Lookup!$A$2:$A$25,MATCH(TRIM(Procurement_Raw!E1013),Supplier_Lookup!$A$2:$A$25,0)),TRIM(Procurement_Raw!E1013)))</f>
        <v>NurseLink</v>
      </c>
      <c r="F1013" t="str">
        <f>IFERROR(INDEX(Category_Targets!$A$2:$A$9,MATCH(TRIM(Procurement_Raw!F1013),Category_Targets!$A$2:$A$9,0)),"Unmapped")</f>
        <v>Agency Labour</v>
      </c>
      <c r="G1013" t="str">
        <f>TRIM(Procurement_Raw!G1013)</f>
        <v>INV-2025-01012</v>
      </c>
      <c r="H1013" s="77">
        <f>Procurement_Raw!H1013</f>
        <v>58</v>
      </c>
      <c r="I1013" s="124">
        <f>Procurement_Raw!I1013</f>
        <v>334.44</v>
      </c>
      <c r="J1013" s="125">
        <f>IF(Procurement_Raw!J1013="","",Procurement_Raw!J1013)</f>
        <v>19397.61</v>
      </c>
      <c r="K1013" s="77">
        <f>Procurement_Raw!K1013</f>
        <v>30</v>
      </c>
      <c r="L1013" t="str">
        <f>Procurement_Raw!L1013</f>
        <v>ERP</v>
      </c>
      <c r="M1013" t="str">
        <f>Procurement_Raw!O1013</f>
        <v>N</v>
      </c>
      <c r="N1013" t="str">
        <f>IF(E1013="","Missing supplier",IF(B1013="","Missing site",IF(J1013="","Missing spend",IF(COUNTIFS($G$2:G1013,G1013,$E$2:E1013,E1013,$J$2:J1013,J1013)&gt;1,"Duplicate invoice",IF(COUNTIF($G$2:$G$1801,G1013)&gt;1,"Duplicate ID - review",IF(AND(P1013&lt;&gt;"Unmapped",P1013&lt;&gt;F1013),"Category mismatch","OK"))))))</f>
        <v>OK</v>
      </c>
      <c r="O1013" s="125">
        <f t="shared" si="45"/>
        <v>19397.61</v>
      </c>
      <c r="P1013" t="str">
        <f>IF(E1013="","Unmapped",IFERROR(INDEX(Supplier_Lookup!$B$2:$B$25,MATCH(E1013,Supplier_Lookup!$A$2:$A$25,0)),"Unmapped"))</f>
        <v>Agency Labour</v>
      </c>
      <c r="Q1013" s="76">
        <f>IFERROR(INDEX(Category_Targets!$B$2:$B$9,MATCH(F1013,Category_Targets!$A$2:$A$9,0)),0)</f>
        <v>7.0000000000000007E-2</v>
      </c>
      <c r="R1013" s="125">
        <f t="shared" si="46"/>
        <v>1357.8327000000002</v>
      </c>
      <c r="S1013" s="78">
        <f t="shared" si="47"/>
        <v>45931</v>
      </c>
      <c r="T1013" t="str">
        <f>IFERROR(VLOOKUP(B1013,Sites!$A$2:$D$21,4,FALSE()),"Unknown")</f>
        <v>Bangor</v>
      </c>
      <c r="U1013" t="str">
        <f>IF(N1013="OK","",COUNTIF($N$2:N1013,"&lt;&gt;OK"))</f>
        <v/>
      </c>
      <c r="V1013">
        <f>IF(OR(NOT(EXACT(E1013,TRIM(Procurement_Raw!E1013))),NOT(EXACT(F1013,TRIM(Procurement_Raw!F1013)))),1,0)</f>
        <v>0</v>
      </c>
    </row>
    <row r="1014" spans="1:22" ht="15" customHeight="1" x14ac:dyDescent="0.25">
      <c r="A1014" s="123">
        <f>Procurement_Raw!A1014</f>
        <v>45949</v>
      </c>
      <c r="B1014" t="str">
        <f>TRIM(Procurement_Raw!B1014)</f>
        <v>S012</v>
      </c>
      <c r="C1014" t="str">
        <f>Procurement_Raw!C1014</f>
        <v>Bristol Care &amp; Education Centre</v>
      </c>
      <c r="D1014" t="str">
        <f>Procurement_Raw!D1014</f>
        <v>South</v>
      </c>
      <c r="E1014" t="str">
        <f>IF(TRIM(Procurement_Raw!E1014)="","",IFERROR(INDEX(Supplier_Lookup!$A$2:$A$25,MATCH(TRIM(Procurement_Raw!E1014),Supplier_Lookup!$A$2:$A$25,0)),TRIM(Procurement_Raw!E1014)))</f>
        <v>RoadReady</v>
      </c>
      <c r="F1014" t="str">
        <f>IFERROR(INDEX(Category_Targets!$A$2:$A$9,MATCH(TRIM(Procurement_Raw!F1014),Category_Targets!$A$2:$A$9,0)),"Unmapped")</f>
        <v>Vehicle &amp; Fuel</v>
      </c>
      <c r="G1014" t="str">
        <f>TRIM(Procurement_Raw!G1014)</f>
        <v>INV-2025-01013</v>
      </c>
      <c r="H1014" s="77">
        <f>Procurement_Raw!H1014</f>
        <v>39</v>
      </c>
      <c r="I1014" s="124">
        <f>Procurement_Raw!I1014</f>
        <v>297.45999999999998</v>
      </c>
      <c r="J1014" s="125">
        <f>IF(Procurement_Raw!J1014="","",Procurement_Raw!J1014)</f>
        <v>11600.83</v>
      </c>
      <c r="K1014" s="77">
        <f>Procurement_Raw!K1014</f>
        <v>45</v>
      </c>
      <c r="L1014" t="str">
        <f>Procurement_Raw!L1014</f>
        <v>Legacy Spend File</v>
      </c>
      <c r="M1014" t="str">
        <f>Procurement_Raw!O1014</f>
        <v>N</v>
      </c>
      <c r="N1014" t="str">
        <f>IF(E1014="","Missing supplier",IF(B1014="","Missing site",IF(J1014="","Missing spend",IF(COUNTIFS($G$2:G1014,G1014,$E$2:E1014,E1014,$J$2:J1014,J1014)&gt;1,"Duplicate invoice",IF(COUNTIF($G$2:$G$1801,G1014)&gt;1,"Duplicate ID - review",IF(AND(P1014&lt;&gt;"Unmapped",P1014&lt;&gt;F1014),"Category mismatch","OK"))))))</f>
        <v>OK</v>
      </c>
      <c r="O1014" s="125">
        <f t="shared" si="45"/>
        <v>11600.83</v>
      </c>
      <c r="P1014" t="str">
        <f>IF(E1014="","Unmapped",IFERROR(INDEX(Supplier_Lookup!$B$2:$B$25,MATCH(E1014,Supplier_Lookup!$A$2:$A$25,0)),"Unmapped"))</f>
        <v>Vehicle &amp; Fuel</v>
      </c>
      <c r="Q1014" s="76">
        <f>IFERROR(INDEX(Category_Targets!$B$2:$B$9,MATCH(F1014,Category_Targets!$A$2:$A$9,0)),0)</f>
        <v>0.05</v>
      </c>
      <c r="R1014" s="125">
        <f t="shared" si="46"/>
        <v>580.04150000000004</v>
      </c>
      <c r="S1014" s="78">
        <f t="shared" si="47"/>
        <v>45931</v>
      </c>
      <c r="T1014" t="str">
        <f>IFERROR(VLOOKUP(B1014,Sites!$A$2:$D$21,4,FALSE()),"Unknown")</f>
        <v>Bristol</v>
      </c>
      <c r="U1014" t="str">
        <f>IF(N1014="OK","",COUNTIF($N$2:N1014,"&lt;&gt;OK"))</f>
        <v/>
      </c>
      <c r="V1014">
        <f>IF(OR(NOT(EXACT(E1014,TRIM(Procurement_Raw!E1014))),NOT(EXACT(F1014,TRIM(Procurement_Raw!F1014)))),1,0)</f>
        <v>0</v>
      </c>
    </row>
    <row r="1015" spans="1:22" ht="15" customHeight="1" x14ac:dyDescent="0.25">
      <c r="A1015" s="123">
        <f>Procurement_Raw!A1015</f>
        <v>45662</v>
      </c>
      <c r="B1015" t="str">
        <f>TRIM(Procurement_Raw!B1015)</f>
        <v>S010</v>
      </c>
      <c r="C1015" t="str">
        <f>Procurement_Raw!C1015</f>
        <v>Coventry Care &amp; Education Centre</v>
      </c>
      <c r="D1015" t="str">
        <f>Procurement_Raw!D1015</f>
        <v>Midlands</v>
      </c>
      <c r="E1015" t="str">
        <f>IF(TRIM(Procurement_Raw!E1015)="","",IFERROR(INDEX(Supplier_Lookup!$A$2:$A$25,MATCH(TRIM(Procurement_Raw!E1015),Supplier_Lookup!$A$2:$A$25,0)),TRIM(Procurement_Raw!E1015)))</f>
        <v>KitchenPro</v>
      </c>
      <c r="F1015" t="str">
        <f>IFERROR(INDEX(Category_Targets!$A$2:$A$9,MATCH(TRIM(Procurement_Raw!F1015),Category_Targets!$A$2:$A$9,0)),"Unmapped")</f>
        <v>Food &amp; Catering</v>
      </c>
      <c r="G1015" t="str">
        <f>TRIM(Procurement_Raw!G1015)</f>
        <v>INV-2025-01014</v>
      </c>
      <c r="H1015" s="77">
        <f>Procurement_Raw!H1015</f>
        <v>79</v>
      </c>
      <c r="I1015" s="124">
        <f>Procurement_Raw!I1015</f>
        <v>44.49</v>
      </c>
      <c r="J1015" s="125">
        <f>IF(Procurement_Raw!J1015="","",Procurement_Raw!J1015)</f>
        <v>3514.95</v>
      </c>
      <c r="K1015" s="77">
        <f>Procurement_Raw!K1015</f>
        <v>60</v>
      </c>
      <c r="L1015" t="str">
        <f>Procurement_Raw!L1015</f>
        <v>Procurement Portal</v>
      </c>
      <c r="M1015" t="str">
        <f>Procurement_Raw!O1015</f>
        <v>N</v>
      </c>
      <c r="N1015" t="str">
        <f>IF(E1015="","Missing supplier",IF(B1015="","Missing site",IF(J1015="","Missing spend",IF(COUNTIFS($G$2:G1015,G1015,$E$2:E1015,E1015,$J$2:J1015,J1015)&gt;1,"Duplicate invoice",IF(COUNTIF($G$2:$G$1801,G1015)&gt;1,"Duplicate ID - review",IF(AND(P1015&lt;&gt;"Unmapped",P1015&lt;&gt;F1015),"Category mismatch","OK"))))))</f>
        <v>OK</v>
      </c>
      <c r="O1015" s="125">
        <f t="shared" si="45"/>
        <v>3514.95</v>
      </c>
      <c r="P1015" t="str">
        <f>IF(E1015="","Unmapped",IFERROR(INDEX(Supplier_Lookup!$B$2:$B$25,MATCH(E1015,Supplier_Lookup!$A$2:$A$25,0)),"Unmapped"))</f>
        <v>Food &amp; Catering</v>
      </c>
      <c r="Q1015" s="76">
        <f>IFERROR(INDEX(Category_Targets!$B$2:$B$9,MATCH(F1015,Category_Targets!$A$2:$A$9,0)),0)</f>
        <v>0.04</v>
      </c>
      <c r="R1015" s="125">
        <f t="shared" si="46"/>
        <v>140.59799999999998</v>
      </c>
      <c r="S1015" s="78">
        <f t="shared" si="47"/>
        <v>45658</v>
      </c>
      <c r="T1015" t="str">
        <f>IFERROR(VLOOKUP(B1015,Sites!$A$2:$D$21,4,FALSE()),"Unknown")</f>
        <v>Coventry</v>
      </c>
      <c r="U1015" t="str">
        <f>IF(N1015="OK","",COUNTIF($N$2:N1015,"&lt;&gt;OK"))</f>
        <v/>
      </c>
      <c r="V1015">
        <f>IF(OR(NOT(EXACT(E1015,TRIM(Procurement_Raw!E1015))),NOT(EXACT(F1015,TRIM(Procurement_Raw!F1015)))),1,0)</f>
        <v>0</v>
      </c>
    </row>
    <row r="1016" spans="1:22" ht="15" customHeight="1" x14ac:dyDescent="0.25">
      <c r="A1016" s="123">
        <f>Procurement_Raw!A1016</f>
        <v>45847</v>
      </c>
      <c r="B1016" t="str">
        <f>TRIM(Procurement_Raw!B1016)</f>
        <v>S018</v>
      </c>
      <c r="C1016" t="str">
        <f>Procurement_Raw!C1016</f>
        <v>Newport Care &amp; Education Centre</v>
      </c>
      <c r="D1016" t="str">
        <f>Procurement_Raw!D1016</f>
        <v>Wales</v>
      </c>
      <c r="E1016" t="str">
        <f>IF(TRIM(Procurement_Raw!E1016)="","",IFERROR(INDEX(Supplier_Lookup!$A$2:$A$25,MATCH(TRIM(Procurement_Raw!E1016),Supplier_Lookup!$A$2:$A$25,0)),TRIM(Procurement_Raw!E1016)))</f>
        <v>CloudLink</v>
      </c>
      <c r="F1016" t="str">
        <f>IFERROR(INDEX(Category_Targets!$A$2:$A$9,MATCH(TRIM(Procurement_Raw!F1016),Category_Targets!$A$2:$A$9,0)),"Unmapped")</f>
        <v>IT &amp; Telecoms</v>
      </c>
      <c r="G1016" t="str">
        <f>TRIM(Procurement_Raw!G1016)</f>
        <v>INV-2025-01015</v>
      </c>
      <c r="H1016" s="77">
        <f>Procurement_Raw!H1016</f>
        <v>71</v>
      </c>
      <c r="I1016" s="124">
        <f>Procurement_Raw!I1016</f>
        <v>571.58000000000004</v>
      </c>
      <c r="J1016" s="125">
        <f>IF(Procurement_Raw!J1016="","",Procurement_Raw!J1016)</f>
        <v>40582.31</v>
      </c>
      <c r="K1016" s="77">
        <f>Procurement_Raw!K1016</f>
        <v>30</v>
      </c>
      <c r="L1016" t="str">
        <f>Procurement_Raw!L1016</f>
        <v>ERP</v>
      </c>
      <c r="M1016" t="str">
        <f>Procurement_Raw!O1016</f>
        <v>Y</v>
      </c>
      <c r="N1016" t="str">
        <f>IF(E1016="","Missing supplier",IF(B1016="","Missing site",IF(J1016="","Missing spend",IF(COUNTIFS($G$2:G1016,G1016,$E$2:E1016,E1016,$J$2:J1016,J1016)&gt;1,"Duplicate invoice",IF(COUNTIF($G$2:$G$1801,G1016)&gt;1,"Duplicate ID - review",IF(AND(P1016&lt;&gt;"Unmapped",P1016&lt;&gt;F1016),"Category mismatch","OK"))))))</f>
        <v>OK</v>
      </c>
      <c r="O1016" s="125">
        <f t="shared" si="45"/>
        <v>40582.31</v>
      </c>
      <c r="P1016" t="str">
        <f>IF(E1016="","Unmapped",IFERROR(INDEX(Supplier_Lookup!$B$2:$B$25,MATCH(E1016,Supplier_Lookup!$A$2:$A$25,0)),"Unmapped"))</f>
        <v>IT &amp; Telecoms</v>
      </c>
      <c r="Q1016" s="76">
        <f>IFERROR(INDEX(Category_Targets!$B$2:$B$9,MATCH(F1016,Category_Targets!$A$2:$A$9,0)),0)</f>
        <v>0.08</v>
      </c>
      <c r="R1016" s="125">
        <f t="shared" si="46"/>
        <v>3246.5848000000001</v>
      </c>
      <c r="S1016" s="78">
        <f t="shared" si="47"/>
        <v>45839</v>
      </c>
      <c r="T1016" t="str">
        <f>IFERROR(VLOOKUP(B1016,Sites!$A$2:$D$21,4,FALSE()),"Unknown")</f>
        <v>Newport</v>
      </c>
      <c r="U1016" t="str">
        <f>IF(N1016="OK","",COUNTIF($N$2:N1016,"&lt;&gt;OK"))</f>
        <v/>
      </c>
      <c r="V1016">
        <f>IF(OR(NOT(EXACT(E1016,TRIM(Procurement_Raw!E1016))),NOT(EXACT(F1016,TRIM(Procurement_Raw!F1016)))),1,0)</f>
        <v>0</v>
      </c>
    </row>
    <row r="1017" spans="1:22" ht="15" customHeight="1" x14ac:dyDescent="0.25">
      <c r="A1017" s="123">
        <f>Procurement_Raw!A1017</f>
        <v>45802</v>
      </c>
      <c r="B1017" t="str">
        <f>TRIM(Procurement_Raw!B1017)</f>
        <v>S017</v>
      </c>
      <c r="C1017" t="str">
        <f>Procurement_Raw!C1017</f>
        <v>Swansea Care &amp; Education Centre</v>
      </c>
      <c r="D1017" t="str">
        <f>Procurement_Raw!D1017</f>
        <v>Wales</v>
      </c>
      <c r="E1017" t="str">
        <f>IF(TRIM(Procurement_Raw!E1017)="","",IFERROR(INDEX(Supplier_Lookup!$A$2:$A$25,MATCH(TRIM(Procurement_Raw!E1017),Supplier_Lookup!$A$2:$A$25,0)),TRIM(Procurement_Raw!E1017)))</f>
        <v>FleetFuel</v>
      </c>
      <c r="F1017" t="str">
        <f>IFERROR(INDEX(Category_Targets!$A$2:$A$9,MATCH(TRIM(Procurement_Raw!F1017),Category_Targets!$A$2:$A$9,0)),"Unmapped")</f>
        <v>Vehicle &amp; Fuel</v>
      </c>
      <c r="G1017" t="str">
        <f>TRIM(Procurement_Raw!G1017)</f>
        <v>INV-2025-01016</v>
      </c>
      <c r="H1017" s="77">
        <f>Procurement_Raw!H1017</f>
        <v>4</v>
      </c>
      <c r="I1017" s="124">
        <f>Procurement_Raw!I1017</f>
        <v>105.92</v>
      </c>
      <c r="J1017" s="125">
        <f>IF(Procurement_Raw!J1017="","",Procurement_Raw!J1017)</f>
        <v>423.7</v>
      </c>
      <c r="K1017" s="77">
        <f>Procurement_Raw!K1017</f>
        <v>30</v>
      </c>
      <c r="L1017" t="str">
        <f>Procurement_Raw!L1017</f>
        <v>Procurement Portal</v>
      </c>
      <c r="M1017" t="str">
        <f>Procurement_Raw!O1017</f>
        <v>Y</v>
      </c>
      <c r="N1017" t="str">
        <f>IF(E1017="","Missing supplier",IF(B1017="","Missing site",IF(J1017="","Missing spend",IF(COUNTIFS($G$2:G1017,G1017,$E$2:E1017,E1017,$J$2:J1017,J1017)&gt;1,"Duplicate invoice",IF(COUNTIF($G$2:$G$1801,G1017)&gt;1,"Duplicate ID - review",IF(AND(P1017&lt;&gt;"Unmapped",P1017&lt;&gt;F1017),"Category mismatch","OK"))))))</f>
        <v>OK</v>
      </c>
      <c r="O1017" s="125">
        <f t="shared" si="45"/>
        <v>423.7</v>
      </c>
      <c r="P1017" t="str">
        <f>IF(E1017="","Unmapped",IFERROR(INDEX(Supplier_Lookup!$B$2:$B$25,MATCH(E1017,Supplier_Lookup!$A$2:$A$25,0)),"Unmapped"))</f>
        <v>Vehicle &amp; Fuel</v>
      </c>
      <c r="Q1017" s="76">
        <f>IFERROR(INDEX(Category_Targets!$B$2:$B$9,MATCH(F1017,Category_Targets!$A$2:$A$9,0)),0)</f>
        <v>0.05</v>
      </c>
      <c r="R1017" s="125">
        <f t="shared" si="46"/>
        <v>21.185000000000002</v>
      </c>
      <c r="S1017" s="78">
        <f t="shared" si="47"/>
        <v>45778</v>
      </c>
      <c r="T1017" t="str">
        <f>IFERROR(VLOOKUP(B1017,Sites!$A$2:$D$21,4,FALSE()),"Unknown")</f>
        <v>Swansea</v>
      </c>
      <c r="U1017" t="str">
        <f>IF(N1017="OK","",COUNTIF($N$2:N1017,"&lt;&gt;OK"))</f>
        <v/>
      </c>
      <c r="V1017">
        <f>IF(OR(NOT(EXACT(E1017,TRIM(Procurement_Raw!E1017))),NOT(EXACT(F1017,TRIM(Procurement_Raw!F1017)))),1,0)</f>
        <v>0</v>
      </c>
    </row>
    <row r="1018" spans="1:22" ht="15" customHeight="1" x14ac:dyDescent="0.25">
      <c r="A1018" s="123">
        <f>Procurement_Raw!A1018</f>
        <v>45820</v>
      </c>
      <c r="B1018" t="str">
        <f>TRIM(Procurement_Raw!B1018)</f>
        <v>S005</v>
      </c>
      <c r="C1018" t="str">
        <f>Procurement_Raw!C1018</f>
        <v>Sheffield Care &amp; Education Centre</v>
      </c>
      <c r="D1018" t="str">
        <f>Procurement_Raw!D1018</f>
        <v>North</v>
      </c>
      <c r="E1018" t="str">
        <f>IF(TRIM(Procurement_Raw!E1018)="","",IFERROR(INDEX(Supplier_Lookup!$A$2:$A$25,MATCH(TRIM(Procurement_Raw!E1018),Supplier_Lookup!$A$2:$A$25,0)),TRIM(Procurement_Raw!E1018)))</f>
        <v>NurseLink</v>
      </c>
      <c r="F1018" t="str">
        <f>IFERROR(INDEX(Category_Targets!$A$2:$A$9,MATCH(TRIM(Procurement_Raw!F1018),Category_Targets!$A$2:$A$9,0)),"Unmapped")</f>
        <v>Agency Labour</v>
      </c>
      <c r="G1018" t="str">
        <f>TRIM(Procurement_Raw!G1018)</f>
        <v>INV-2025-01017</v>
      </c>
      <c r="H1018" s="77">
        <f>Procurement_Raw!H1018</f>
        <v>49</v>
      </c>
      <c r="I1018" s="124">
        <f>Procurement_Raw!I1018</f>
        <v>209.66</v>
      </c>
      <c r="J1018" s="125">
        <f>IF(Procurement_Raw!J1018="","",Procurement_Raw!J1018)</f>
        <v>10273.5</v>
      </c>
      <c r="K1018" s="77">
        <f>Procurement_Raw!K1018</f>
        <v>45</v>
      </c>
      <c r="L1018" t="str">
        <f>Procurement_Raw!L1018</f>
        <v>Procurement Portal</v>
      </c>
      <c r="M1018" t="str">
        <f>Procurement_Raw!O1018</f>
        <v>N</v>
      </c>
      <c r="N1018" t="str">
        <f>IF(E1018="","Missing supplier",IF(B1018="","Missing site",IF(J1018="","Missing spend",IF(COUNTIFS($G$2:G1018,G1018,$E$2:E1018,E1018,$J$2:J1018,J1018)&gt;1,"Duplicate invoice",IF(COUNTIF($G$2:$G$1801,G1018)&gt;1,"Duplicate ID - review",IF(AND(P1018&lt;&gt;"Unmapped",P1018&lt;&gt;F1018),"Category mismatch","OK"))))))</f>
        <v>OK</v>
      </c>
      <c r="O1018" s="125">
        <f t="shared" si="45"/>
        <v>10273.5</v>
      </c>
      <c r="P1018" t="str">
        <f>IF(E1018="","Unmapped",IFERROR(INDEX(Supplier_Lookup!$B$2:$B$25,MATCH(E1018,Supplier_Lookup!$A$2:$A$25,0)),"Unmapped"))</f>
        <v>Agency Labour</v>
      </c>
      <c r="Q1018" s="76">
        <f>IFERROR(INDEX(Category_Targets!$B$2:$B$9,MATCH(F1018,Category_Targets!$A$2:$A$9,0)),0)</f>
        <v>7.0000000000000007E-2</v>
      </c>
      <c r="R1018" s="125">
        <f t="shared" si="46"/>
        <v>719.1450000000001</v>
      </c>
      <c r="S1018" s="78">
        <f t="shared" si="47"/>
        <v>45809</v>
      </c>
      <c r="T1018" t="str">
        <f>IFERROR(VLOOKUP(B1018,Sites!$A$2:$D$21,4,FALSE()),"Unknown")</f>
        <v>Sheffield</v>
      </c>
      <c r="U1018" t="str">
        <f>IF(N1018="OK","",COUNTIF($N$2:N1018,"&lt;&gt;OK"))</f>
        <v/>
      </c>
      <c r="V1018">
        <f>IF(OR(NOT(EXACT(E1018,TRIM(Procurement_Raw!E1018))),NOT(EXACT(F1018,TRIM(Procurement_Raw!F1018)))),1,0)</f>
        <v>0</v>
      </c>
    </row>
    <row r="1019" spans="1:22" ht="15" customHeight="1" x14ac:dyDescent="0.25">
      <c r="A1019" s="123">
        <f>Procurement_Raw!A1019</f>
        <v>45746</v>
      </c>
      <c r="B1019" t="str">
        <f>TRIM(Procurement_Raw!B1019)</f>
        <v>S013</v>
      </c>
      <c r="C1019" t="str">
        <f>Procurement_Raw!C1019</f>
        <v>Reading Care &amp; Education Centre</v>
      </c>
      <c r="D1019" t="str">
        <f>Procurement_Raw!D1019</f>
        <v>South</v>
      </c>
      <c r="E1019" t="str">
        <f>IF(TRIM(Procurement_Raw!E1019)="","",IFERROR(INDEX(Supplier_Lookup!$A$2:$A$25,MATCH(TRIM(Procurement_Raw!E1019),Supplier_Lookup!$A$2:$A$25,0)),TRIM(Procurement_Raw!E1019)))</f>
        <v>PowerDirect</v>
      </c>
      <c r="F1019" t="str">
        <f>IFERROR(INDEX(Category_Targets!$A$2:$A$9,MATCH(TRIM(Procurement_Raw!F1019),Category_Targets!$A$2:$A$9,0)),"Unmapped")</f>
        <v>Utilities</v>
      </c>
      <c r="G1019" t="str">
        <f>TRIM(Procurement_Raw!G1019)</f>
        <v>INV-2025-01018</v>
      </c>
      <c r="H1019" s="77">
        <f>Procurement_Raw!H1019</f>
        <v>61</v>
      </c>
      <c r="I1019" s="124">
        <f>Procurement_Raw!I1019</f>
        <v>191.58</v>
      </c>
      <c r="J1019" s="125">
        <f>IF(Procurement_Raw!J1019="","",Procurement_Raw!J1019)</f>
        <v>11686.59</v>
      </c>
      <c r="K1019" s="77">
        <f>Procurement_Raw!K1019</f>
        <v>30</v>
      </c>
      <c r="L1019" t="str">
        <f>Procurement_Raw!L1019</f>
        <v>ERP</v>
      </c>
      <c r="M1019" t="str">
        <f>Procurement_Raw!O1019</f>
        <v>N</v>
      </c>
      <c r="N1019" t="str">
        <f>IF(E1019="","Missing supplier",IF(B1019="","Missing site",IF(J1019="","Missing spend",IF(COUNTIFS($G$2:G1019,G1019,$E$2:E1019,E1019,$J$2:J1019,J1019)&gt;1,"Duplicate invoice",IF(COUNTIF($G$2:$G$1801,G1019)&gt;1,"Duplicate ID - review",IF(AND(P1019&lt;&gt;"Unmapped",P1019&lt;&gt;F1019),"Category mismatch","OK"))))))</f>
        <v>OK</v>
      </c>
      <c r="O1019" s="125">
        <f t="shared" si="45"/>
        <v>11686.59</v>
      </c>
      <c r="P1019" t="str">
        <f>IF(E1019="","Unmapped",IFERROR(INDEX(Supplier_Lookup!$B$2:$B$25,MATCH(E1019,Supplier_Lookup!$A$2:$A$25,0)),"Unmapped"))</f>
        <v>Utilities</v>
      </c>
      <c r="Q1019" s="76">
        <f>IFERROR(INDEX(Category_Targets!$B$2:$B$9,MATCH(F1019,Category_Targets!$A$2:$A$9,0)),0)</f>
        <v>0.03</v>
      </c>
      <c r="R1019" s="125">
        <f t="shared" si="46"/>
        <v>350.59769999999997</v>
      </c>
      <c r="S1019" s="78">
        <f t="shared" si="47"/>
        <v>45717</v>
      </c>
      <c r="T1019" t="str">
        <f>IFERROR(VLOOKUP(B1019,Sites!$A$2:$D$21,4,FALSE()),"Unknown")</f>
        <v>Reading</v>
      </c>
      <c r="U1019" t="str">
        <f>IF(N1019="OK","",COUNTIF($N$2:N1019,"&lt;&gt;OK"))</f>
        <v/>
      </c>
      <c r="V1019">
        <f>IF(OR(NOT(EXACT(E1019,TRIM(Procurement_Raw!E1019))),NOT(EXACT(F1019,TRIM(Procurement_Raw!F1019)))),1,0)</f>
        <v>0</v>
      </c>
    </row>
    <row r="1020" spans="1:22" ht="15" customHeight="1" x14ac:dyDescent="0.25">
      <c r="A1020" s="123">
        <f>Procurement_Raw!A1020</f>
        <v>45871</v>
      </c>
      <c r="B1020" t="str">
        <f>TRIM(Procurement_Raw!B1020)</f>
        <v>S018</v>
      </c>
      <c r="C1020" t="str">
        <f>Procurement_Raw!C1020</f>
        <v>Newport Care &amp; Education Centre</v>
      </c>
      <c r="D1020" t="str">
        <f>Procurement_Raw!D1020</f>
        <v>Wales</v>
      </c>
      <c r="E1020" t="str">
        <f>IF(TRIM(Procurement_Raw!E1020)="","",IFERROR(INDEX(Supplier_Lookup!$A$2:$A$25,MATCH(TRIM(Procurement_Raw!E1020),Supplier_Lookup!$A$2:$A$25,0)),TRIM(Procurement_Raw!E1020)))</f>
        <v>CareTemps</v>
      </c>
      <c r="F1020" t="str">
        <f>IFERROR(INDEX(Category_Targets!$A$2:$A$9,MATCH(TRIM(Procurement_Raw!F1020),Category_Targets!$A$2:$A$9,0)),"Unmapped")</f>
        <v>Agency Labour</v>
      </c>
      <c r="G1020" t="str">
        <f>TRIM(Procurement_Raw!G1020)</f>
        <v>INV-2025-01019</v>
      </c>
      <c r="H1020" s="77">
        <f>Procurement_Raw!H1020</f>
        <v>20</v>
      </c>
      <c r="I1020" s="124">
        <f>Procurement_Raw!I1020</f>
        <v>251.54</v>
      </c>
      <c r="J1020" s="125">
        <f>IF(Procurement_Raw!J1020="","",Procurement_Raw!J1020)</f>
        <v>5030.75</v>
      </c>
      <c r="K1020" s="77">
        <f>Procurement_Raw!K1020</f>
        <v>45</v>
      </c>
      <c r="L1020" t="str">
        <f>Procurement_Raw!L1020</f>
        <v>Legacy Spend File</v>
      </c>
      <c r="M1020" t="str">
        <f>Procurement_Raw!O1020</f>
        <v>N</v>
      </c>
      <c r="N1020" t="str">
        <f>IF(E1020="","Missing supplier",IF(B1020="","Missing site",IF(J1020="","Missing spend",IF(COUNTIFS($G$2:G1020,G1020,$E$2:E1020,E1020,$J$2:J1020,J1020)&gt;1,"Duplicate invoice",IF(COUNTIF($G$2:$G$1801,G1020)&gt;1,"Duplicate ID - review",IF(AND(P1020&lt;&gt;"Unmapped",P1020&lt;&gt;F1020),"Category mismatch","OK"))))))</f>
        <v>OK</v>
      </c>
      <c r="O1020" s="125">
        <f t="shared" si="45"/>
        <v>5030.75</v>
      </c>
      <c r="P1020" t="str">
        <f>IF(E1020="","Unmapped",IFERROR(INDEX(Supplier_Lookup!$B$2:$B$25,MATCH(E1020,Supplier_Lookup!$A$2:$A$25,0)),"Unmapped"))</f>
        <v>Agency Labour</v>
      </c>
      <c r="Q1020" s="76">
        <f>IFERROR(INDEX(Category_Targets!$B$2:$B$9,MATCH(F1020,Category_Targets!$A$2:$A$9,0)),0)</f>
        <v>7.0000000000000007E-2</v>
      </c>
      <c r="R1020" s="125">
        <f t="shared" si="46"/>
        <v>352.15250000000003</v>
      </c>
      <c r="S1020" s="78">
        <f t="shared" si="47"/>
        <v>45870</v>
      </c>
      <c r="T1020" t="str">
        <f>IFERROR(VLOOKUP(B1020,Sites!$A$2:$D$21,4,FALSE()),"Unknown")</f>
        <v>Newport</v>
      </c>
      <c r="U1020" t="str">
        <f>IF(N1020="OK","",COUNTIF($N$2:N1020,"&lt;&gt;OK"))</f>
        <v/>
      </c>
      <c r="V1020">
        <f>IF(OR(NOT(EXACT(E1020,TRIM(Procurement_Raw!E1020))),NOT(EXACT(F1020,TRIM(Procurement_Raw!F1020)))),1,0)</f>
        <v>0</v>
      </c>
    </row>
    <row r="1021" spans="1:22" ht="15" customHeight="1" x14ac:dyDescent="0.25">
      <c r="A1021" s="123">
        <f>Procurement_Raw!A1021</f>
        <v>45694</v>
      </c>
      <c r="B1021" t="str">
        <f>TRIM(Procurement_Raw!B1021)</f>
        <v>S003</v>
      </c>
      <c r="C1021" t="str">
        <f>Procurement_Raw!C1021</f>
        <v>Leeds Care &amp; Education Centre</v>
      </c>
      <c r="D1021" t="str">
        <f>Procurement_Raw!D1021</f>
        <v>North</v>
      </c>
      <c r="E1021" t="str">
        <f>IF(TRIM(Procurement_Raw!E1021)="","",IFERROR(INDEX(Supplier_Lookup!$A$2:$A$25,MATCH(TRIM(Procurement_Raw!E1021),Supplier_Lookup!$A$2:$A$25,0)),TRIM(Procurement_Raw!E1021)))</f>
        <v>CleanWorks</v>
      </c>
      <c r="F1021" t="str">
        <f>IFERROR(INDEX(Category_Targets!$A$2:$A$9,MATCH(TRIM(Procurement_Raw!F1021),Category_Targets!$A$2:$A$9,0)),"Unmapped")</f>
        <v>Facilities</v>
      </c>
      <c r="G1021" t="str">
        <f>TRIM(Procurement_Raw!G1021)</f>
        <v>INV-2025-01020</v>
      </c>
      <c r="H1021" s="77">
        <f>Procurement_Raw!H1021</f>
        <v>3</v>
      </c>
      <c r="I1021" s="124">
        <f>Procurement_Raw!I1021</f>
        <v>227.29</v>
      </c>
      <c r="J1021" s="125">
        <f>IF(Procurement_Raw!J1021="","",Procurement_Raw!J1021)</f>
        <v>681.88</v>
      </c>
      <c r="K1021" s="77">
        <f>Procurement_Raw!K1021</f>
        <v>30</v>
      </c>
      <c r="L1021" t="str">
        <f>Procurement_Raw!L1021</f>
        <v>Legacy Spend File</v>
      </c>
      <c r="M1021" t="str">
        <f>Procurement_Raw!O1021</f>
        <v>Y</v>
      </c>
      <c r="N1021" t="str">
        <f>IF(E1021="","Missing supplier",IF(B1021="","Missing site",IF(J1021="","Missing spend",IF(COUNTIFS($G$2:G1021,G1021,$E$2:E1021,E1021,$J$2:J1021,J1021)&gt;1,"Duplicate invoice",IF(COUNTIF($G$2:$G$1801,G1021)&gt;1,"Duplicate ID - review",IF(AND(P1021&lt;&gt;"Unmapped",P1021&lt;&gt;F1021),"Category mismatch","OK"))))))</f>
        <v>OK</v>
      </c>
      <c r="O1021" s="125">
        <f t="shared" si="45"/>
        <v>681.88</v>
      </c>
      <c r="P1021" t="str">
        <f>IF(E1021="","Unmapped",IFERROR(INDEX(Supplier_Lookup!$B$2:$B$25,MATCH(E1021,Supplier_Lookup!$A$2:$A$25,0)),"Unmapped"))</f>
        <v>Facilities</v>
      </c>
      <c r="Q1021" s="76">
        <f>IFERROR(INDEX(Category_Targets!$B$2:$B$9,MATCH(F1021,Category_Targets!$A$2:$A$9,0)),0)</f>
        <v>0.05</v>
      </c>
      <c r="R1021" s="125">
        <f t="shared" si="46"/>
        <v>34.094000000000001</v>
      </c>
      <c r="S1021" s="78">
        <f t="shared" si="47"/>
        <v>45689</v>
      </c>
      <c r="T1021" t="str">
        <f>IFERROR(VLOOKUP(B1021,Sites!$A$2:$D$21,4,FALSE()),"Unknown")</f>
        <v>Leeds</v>
      </c>
      <c r="U1021" t="str">
        <f>IF(N1021="OK","",COUNTIF($N$2:N1021,"&lt;&gt;OK"))</f>
        <v/>
      </c>
      <c r="V1021">
        <f>IF(OR(NOT(EXACT(E1021,TRIM(Procurement_Raw!E1021))),NOT(EXACT(F1021,TRIM(Procurement_Raw!F1021)))),1,0)</f>
        <v>0</v>
      </c>
    </row>
    <row r="1022" spans="1:22" ht="15" customHeight="1" x14ac:dyDescent="0.25">
      <c r="A1022" s="123">
        <f>Procurement_Raw!A1022</f>
        <v>45701</v>
      </c>
      <c r="B1022" t="str">
        <f>TRIM(Procurement_Raw!B1022)</f>
        <v>S005</v>
      </c>
      <c r="C1022" t="str">
        <f>Procurement_Raw!C1022</f>
        <v>Sheffield Care &amp; Education Centre</v>
      </c>
      <c r="D1022" t="str">
        <f>Procurement_Raw!D1022</f>
        <v>North</v>
      </c>
      <c r="E1022" t="str">
        <f>IF(TRIM(Procurement_Raw!E1022)="","",IFERROR(INDEX(Supplier_Lookup!$A$2:$A$25,MATCH(TRIM(Procurement_Raw!E1022),Supplier_Lookup!$A$2:$A$25,0)),TRIM(Procurement_Raw!E1022)))</f>
        <v>HealthStaffing</v>
      </c>
      <c r="F1022" t="str">
        <f>IFERROR(INDEX(Category_Targets!$A$2:$A$9,MATCH(TRIM(Procurement_Raw!F1022),Category_Targets!$A$2:$A$9,0)),"Unmapped")</f>
        <v>Agency Labour</v>
      </c>
      <c r="G1022" t="str">
        <f>TRIM(Procurement_Raw!G1022)</f>
        <v>INV-2025-01021</v>
      </c>
      <c r="H1022" s="77">
        <f>Procurement_Raw!H1022</f>
        <v>18</v>
      </c>
      <c r="I1022" s="124">
        <f>Procurement_Raw!I1022</f>
        <v>399.95</v>
      </c>
      <c r="J1022" s="125">
        <f>IF(Procurement_Raw!J1022="","",Procurement_Raw!J1022)</f>
        <v>7199.12</v>
      </c>
      <c r="K1022" s="77">
        <f>Procurement_Raw!K1022</f>
        <v>60</v>
      </c>
      <c r="L1022" t="str">
        <f>Procurement_Raw!L1022</f>
        <v>Procurement Portal</v>
      </c>
      <c r="M1022" t="str">
        <f>Procurement_Raw!O1022</f>
        <v>N</v>
      </c>
      <c r="N1022" t="str">
        <f>IF(E1022="","Missing supplier",IF(B1022="","Missing site",IF(J1022="","Missing spend",IF(COUNTIFS($G$2:G1022,G1022,$E$2:E1022,E1022,$J$2:J1022,J1022)&gt;1,"Duplicate invoice",IF(COUNTIF($G$2:$G$1801,G1022)&gt;1,"Duplicate ID - review",IF(AND(P1022&lt;&gt;"Unmapped",P1022&lt;&gt;F1022),"Category mismatch","OK"))))))</f>
        <v>OK</v>
      </c>
      <c r="O1022" s="125">
        <f t="shared" si="45"/>
        <v>7199.12</v>
      </c>
      <c r="P1022" t="str">
        <f>IF(E1022="","Unmapped",IFERROR(INDEX(Supplier_Lookup!$B$2:$B$25,MATCH(E1022,Supplier_Lookup!$A$2:$A$25,0)),"Unmapped"))</f>
        <v>Agency Labour</v>
      </c>
      <c r="Q1022" s="76">
        <f>IFERROR(INDEX(Category_Targets!$B$2:$B$9,MATCH(F1022,Category_Targets!$A$2:$A$9,0)),0)</f>
        <v>7.0000000000000007E-2</v>
      </c>
      <c r="R1022" s="125">
        <f t="shared" si="46"/>
        <v>503.93840000000006</v>
      </c>
      <c r="S1022" s="78">
        <f t="shared" si="47"/>
        <v>45689</v>
      </c>
      <c r="T1022" t="str">
        <f>IFERROR(VLOOKUP(B1022,Sites!$A$2:$D$21,4,FALSE()),"Unknown")</f>
        <v>Sheffield</v>
      </c>
      <c r="U1022" t="str">
        <f>IF(N1022="OK","",COUNTIF($N$2:N1022,"&lt;&gt;OK"))</f>
        <v/>
      </c>
      <c r="V1022">
        <f>IF(OR(NOT(EXACT(E1022,TRIM(Procurement_Raw!E1022))),NOT(EXACT(F1022,TRIM(Procurement_Raw!F1022)))),1,0)</f>
        <v>0</v>
      </c>
    </row>
    <row r="1023" spans="1:22" ht="15" customHeight="1" x14ac:dyDescent="0.25">
      <c r="A1023" s="123">
        <f>Procurement_Raw!A1023</f>
        <v>45750</v>
      </c>
      <c r="B1023" t="str">
        <f>TRIM(Procurement_Raw!B1023)</f>
        <v>S016</v>
      </c>
      <c r="C1023" t="str">
        <f>Procurement_Raw!C1023</f>
        <v>Cardiff Care &amp; Education Centre</v>
      </c>
      <c r="D1023" t="str">
        <f>Procurement_Raw!D1023</f>
        <v>Wales</v>
      </c>
      <c r="E1023" t="str">
        <f>IF(TRIM(Procurement_Raw!E1023)="","",IFERROR(INDEX(Supplier_Lookup!$A$2:$A$25,MATCH(TRIM(Procurement_Raw!E1023),Supplier_Lookup!$A$2:$A$25,0)),TRIM(Procurement_Raw!E1023)))</f>
        <v>NurseLink</v>
      </c>
      <c r="F1023" t="str">
        <f>IFERROR(INDEX(Category_Targets!$A$2:$A$9,MATCH(TRIM(Procurement_Raw!F1023),Category_Targets!$A$2:$A$9,0)),"Unmapped")</f>
        <v>Agency Labour</v>
      </c>
      <c r="G1023" t="str">
        <f>TRIM(Procurement_Raw!G1023)</f>
        <v>INV-2025-01022</v>
      </c>
      <c r="H1023" s="77">
        <f>Procurement_Raw!H1023</f>
        <v>59</v>
      </c>
      <c r="I1023" s="124">
        <f>Procurement_Raw!I1023</f>
        <v>218.82</v>
      </c>
      <c r="J1023" s="125">
        <f>IF(Procurement_Raw!J1023="","",Procurement_Raw!J1023)</f>
        <v>12910.35</v>
      </c>
      <c r="K1023" s="77">
        <f>Procurement_Raw!K1023</f>
        <v>60</v>
      </c>
      <c r="L1023" t="str">
        <f>Procurement_Raw!L1023</f>
        <v>Procurement Portal</v>
      </c>
      <c r="M1023" t="str">
        <f>Procurement_Raw!O1023</f>
        <v>N</v>
      </c>
      <c r="N1023" t="str">
        <f>IF(E1023="","Missing supplier",IF(B1023="","Missing site",IF(J1023="","Missing spend",IF(COUNTIFS($G$2:G1023,G1023,$E$2:E1023,E1023,$J$2:J1023,J1023)&gt;1,"Duplicate invoice",IF(COUNTIF($G$2:$G$1801,G1023)&gt;1,"Duplicate ID - review",IF(AND(P1023&lt;&gt;"Unmapped",P1023&lt;&gt;F1023),"Category mismatch","OK"))))))</f>
        <v>OK</v>
      </c>
      <c r="O1023" s="125">
        <f t="shared" si="45"/>
        <v>12910.35</v>
      </c>
      <c r="P1023" t="str">
        <f>IF(E1023="","Unmapped",IFERROR(INDEX(Supplier_Lookup!$B$2:$B$25,MATCH(E1023,Supplier_Lookup!$A$2:$A$25,0)),"Unmapped"))</f>
        <v>Agency Labour</v>
      </c>
      <c r="Q1023" s="76">
        <f>IFERROR(INDEX(Category_Targets!$B$2:$B$9,MATCH(F1023,Category_Targets!$A$2:$A$9,0)),0)</f>
        <v>7.0000000000000007E-2</v>
      </c>
      <c r="R1023" s="125">
        <f t="shared" si="46"/>
        <v>903.72450000000015</v>
      </c>
      <c r="S1023" s="78">
        <f t="shared" si="47"/>
        <v>45748</v>
      </c>
      <c r="T1023" t="str">
        <f>IFERROR(VLOOKUP(B1023,Sites!$A$2:$D$21,4,FALSE()),"Unknown")</f>
        <v>Cardiff</v>
      </c>
      <c r="U1023" t="str">
        <f>IF(N1023="OK","",COUNTIF($N$2:N1023,"&lt;&gt;OK"))</f>
        <v/>
      </c>
      <c r="V1023">
        <f>IF(OR(NOT(EXACT(E1023,TRIM(Procurement_Raw!E1023))),NOT(EXACT(F1023,TRIM(Procurement_Raw!F1023)))),1,0)</f>
        <v>0</v>
      </c>
    </row>
    <row r="1024" spans="1:22" ht="15" customHeight="1" x14ac:dyDescent="0.25">
      <c r="A1024" s="123">
        <f>Procurement_Raw!A1024</f>
        <v>45839</v>
      </c>
      <c r="B1024" t="str">
        <f>TRIM(Procurement_Raw!B1024)</f>
        <v>S020</v>
      </c>
      <c r="C1024" t="str">
        <f>Procurement_Raw!C1024</f>
        <v>Bangor Care &amp; Education Centre</v>
      </c>
      <c r="D1024" t="str">
        <f>Procurement_Raw!D1024</f>
        <v>Wales</v>
      </c>
      <c r="E1024" t="str">
        <f>IF(TRIM(Procurement_Raw!E1024)="","",IFERROR(INDEX(Supplier_Lookup!$A$2:$A$25,MATCH(TRIM(Procurement_Raw!E1024),Supplier_Lookup!$A$2:$A$25,0)),TRIM(Procurement_Raw!E1024)))</f>
        <v>LearnWell</v>
      </c>
      <c r="F1024" t="str">
        <f>IFERROR(INDEX(Category_Targets!$A$2:$A$9,MATCH(TRIM(Procurement_Raw!F1024),Category_Targets!$A$2:$A$9,0)),"Unmapped")</f>
        <v>Office &amp; Training</v>
      </c>
      <c r="G1024" t="str">
        <f>TRIM(Procurement_Raw!G1024)</f>
        <v>INV-2025-01023</v>
      </c>
      <c r="H1024" s="77">
        <f>Procurement_Raw!H1024</f>
        <v>29</v>
      </c>
      <c r="I1024" s="124">
        <f>Procurement_Raw!I1024</f>
        <v>74</v>
      </c>
      <c r="J1024" s="125">
        <f>IF(Procurement_Raw!J1024="","",Procurement_Raw!J1024)</f>
        <v>2146.06</v>
      </c>
      <c r="K1024" s="77">
        <f>Procurement_Raw!K1024</f>
        <v>30</v>
      </c>
      <c r="L1024" t="str">
        <f>Procurement_Raw!L1024</f>
        <v>Procurement Portal</v>
      </c>
      <c r="M1024" t="str">
        <f>Procurement_Raw!O1024</f>
        <v>N</v>
      </c>
      <c r="N1024" t="str">
        <f>IF(E1024="","Missing supplier",IF(B1024="","Missing site",IF(J1024="","Missing spend",IF(COUNTIFS($G$2:G1024,G1024,$E$2:E1024,E1024,$J$2:J1024,J1024)&gt;1,"Duplicate invoice",IF(COUNTIF($G$2:$G$1801,G1024)&gt;1,"Duplicate ID - review",IF(AND(P1024&lt;&gt;"Unmapped",P1024&lt;&gt;F1024),"Category mismatch","OK"))))))</f>
        <v>OK</v>
      </c>
      <c r="O1024" s="125">
        <f t="shared" si="45"/>
        <v>2146.06</v>
      </c>
      <c r="P1024" t="str">
        <f>IF(E1024="","Unmapped",IFERROR(INDEX(Supplier_Lookup!$B$2:$B$25,MATCH(E1024,Supplier_Lookup!$A$2:$A$25,0)),"Unmapped"))</f>
        <v>Office &amp; Training</v>
      </c>
      <c r="Q1024" s="76">
        <f>IFERROR(INDEX(Category_Targets!$B$2:$B$9,MATCH(F1024,Category_Targets!$A$2:$A$9,0)),0)</f>
        <v>0.04</v>
      </c>
      <c r="R1024" s="125">
        <f t="shared" si="46"/>
        <v>85.842399999999998</v>
      </c>
      <c r="S1024" s="78">
        <f t="shared" si="47"/>
        <v>45839</v>
      </c>
      <c r="T1024" t="str">
        <f>IFERROR(VLOOKUP(B1024,Sites!$A$2:$D$21,4,FALSE()),"Unknown")</f>
        <v>Bangor</v>
      </c>
      <c r="U1024" t="str">
        <f>IF(N1024="OK","",COUNTIF($N$2:N1024,"&lt;&gt;OK"))</f>
        <v/>
      </c>
      <c r="V1024">
        <f>IF(OR(NOT(EXACT(E1024,TRIM(Procurement_Raw!E1024))),NOT(EXACT(F1024,TRIM(Procurement_Raw!F1024)))),1,0)</f>
        <v>0</v>
      </c>
    </row>
    <row r="1025" spans="1:22" ht="15" customHeight="1" x14ac:dyDescent="0.25">
      <c r="A1025" s="123">
        <f>Procurement_Raw!A1025</f>
        <v>45913</v>
      </c>
      <c r="B1025" t="str">
        <f>TRIM(Procurement_Raw!B1025)</f>
        <v>S003</v>
      </c>
      <c r="C1025" t="str">
        <f>Procurement_Raw!C1025</f>
        <v>Leeds Care &amp; Education Centre</v>
      </c>
      <c r="D1025" t="str">
        <f>Procurement_Raw!D1025</f>
        <v>North</v>
      </c>
      <c r="E1025" t="str">
        <f>IF(TRIM(Procurement_Raw!E1025)="","",IFERROR(INDEX(Supplier_Lookup!$A$2:$A$25,MATCH(TRIM(Procurement_Raw!E1025),Supplier_Lookup!$A$2:$A$25,0)),TRIM(Procurement_Raw!E1025)))</f>
        <v>ClinEquip</v>
      </c>
      <c r="F1025" t="str">
        <f>IFERROR(INDEX(Category_Targets!$A$2:$A$9,MATCH(TRIM(Procurement_Raw!F1025),Category_Targets!$A$2:$A$9,0)),"Unmapped")</f>
        <v>Medical Supplies</v>
      </c>
      <c r="G1025" t="str">
        <f>TRIM(Procurement_Raw!G1025)</f>
        <v>INV-2025-01024</v>
      </c>
      <c r="H1025" s="77">
        <f>Procurement_Raw!H1025</f>
        <v>31</v>
      </c>
      <c r="I1025" s="124">
        <f>Procurement_Raw!I1025</f>
        <v>389.84</v>
      </c>
      <c r="J1025" s="125">
        <f>IF(Procurement_Raw!J1025="","",Procurement_Raw!J1025)</f>
        <v>12085.09</v>
      </c>
      <c r="K1025" s="77">
        <f>Procurement_Raw!K1025</f>
        <v>60</v>
      </c>
      <c r="L1025" t="str">
        <f>Procurement_Raw!L1025</f>
        <v>Legacy Spend File</v>
      </c>
      <c r="M1025" t="str">
        <f>Procurement_Raw!O1025</f>
        <v>N</v>
      </c>
      <c r="N1025" t="str">
        <f>IF(E1025="","Missing supplier",IF(B1025="","Missing site",IF(J1025="","Missing spend",IF(COUNTIFS($G$2:G1025,G1025,$E$2:E1025,E1025,$J$2:J1025,J1025)&gt;1,"Duplicate invoice",IF(COUNTIF($G$2:$G$1801,G1025)&gt;1,"Duplicate ID - review",IF(AND(P1025&lt;&gt;"Unmapped",P1025&lt;&gt;F1025),"Category mismatch","OK"))))))</f>
        <v>OK</v>
      </c>
      <c r="O1025" s="125">
        <f t="shared" si="45"/>
        <v>12085.09</v>
      </c>
      <c r="P1025" t="str">
        <f>IF(E1025="","Unmapped",IFERROR(INDEX(Supplier_Lookup!$B$2:$B$25,MATCH(E1025,Supplier_Lookup!$A$2:$A$25,0)),"Unmapped"))</f>
        <v>Medical Supplies</v>
      </c>
      <c r="Q1025" s="76">
        <f>IFERROR(INDEX(Category_Targets!$B$2:$B$9,MATCH(F1025,Category_Targets!$A$2:$A$9,0)),0)</f>
        <v>0.06</v>
      </c>
      <c r="R1025" s="125">
        <f t="shared" si="46"/>
        <v>725.10540000000003</v>
      </c>
      <c r="S1025" s="78">
        <f t="shared" si="47"/>
        <v>45901</v>
      </c>
      <c r="T1025" t="str">
        <f>IFERROR(VLOOKUP(B1025,Sites!$A$2:$D$21,4,FALSE()),"Unknown")</f>
        <v>Leeds</v>
      </c>
      <c r="U1025" t="str">
        <f>IF(N1025="OK","",COUNTIF($N$2:N1025,"&lt;&gt;OK"))</f>
        <v/>
      </c>
      <c r="V1025">
        <f>IF(OR(NOT(EXACT(E1025,TRIM(Procurement_Raw!E1025))),NOT(EXACT(F1025,TRIM(Procurement_Raw!F1025)))),1,0)</f>
        <v>0</v>
      </c>
    </row>
    <row r="1026" spans="1:22" ht="15" customHeight="1" x14ac:dyDescent="0.25">
      <c r="A1026" s="123">
        <f>Procurement_Raw!A1026</f>
        <v>45953</v>
      </c>
      <c r="B1026" t="str">
        <f>TRIM(Procurement_Raw!B1026)</f>
        <v>S007</v>
      </c>
      <c r="C1026" t="str">
        <f>Procurement_Raw!C1026</f>
        <v>Nottingham Care &amp; Education Centre</v>
      </c>
      <c r="D1026" t="str">
        <f>Procurement_Raw!D1026</f>
        <v>Midlands</v>
      </c>
      <c r="E1026" t="str">
        <f>IF(TRIM(Procurement_Raw!E1026)="","",IFERROR(INDEX(Supplier_Lookup!$A$2:$A$25,MATCH(TRIM(Procurement_Raw!E1026),Supplier_Lookup!$A$2:$A$25,0)),TRIM(Procurement_Raw!E1026)))</f>
        <v>NurseLink</v>
      </c>
      <c r="F1026" t="str">
        <f>IFERROR(INDEX(Category_Targets!$A$2:$A$9,MATCH(TRIM(Procurement_Raw!F1026),Category_Targets!$A$2:$A$9,0)),"Unmapped")</f>
        <v>Agency Labour</v>
      </c>
      <c r="G1026" t="str">
        <f>TRIM(Procurement_Raw!G1026)</f>
        <v>INV-2025-01025</v>
      </c>
      <c r="H1026" s="77">
        <f>Procurement_Raw!H1026</f>
        <v>47</v>
      </c>
      <c r="I1026" s="124">
        <f>Procurement_Raw!I1026</f>
        <v>775.83</v>
      </c>
      <c r="J1026" s="125">
        <f>IF(Procurement_Raw!J1026="","",Procurement_Raw!J1026)</f>
        <v>36463.93</v>
      </c>
      <c r="K1026" s="77">
        <f>Procurement_Raw!K1026</f>
        <v>30</v>
      </c>
      <c r="L1026" t="str">
        <f>Procurement_Raw!L1026</f>
        <v>ERP</v>
      </c>
      <c r="M1026" t="str">
        <f>Procurement_Raw!O1026</f>
        <v>N</v>
      </c>
      <c r="N1026" t="str">
        <f>IF(E1026="","Missing supplier",IF(B1026="","Missing site",IF(J1026="","Missing spend",IF(COUNTIFS($G$2:G1026,G1026,$E$2:E1026,E1026,$J$2:J1026,J1026)&gt;1,"Duplicate invoice",IF(COUNTIF($G$2:$G$1801,G1026)&gt;1,"Duplicate ID - review",IF(AND(P1026&lt;&gt;"Unmapped",P1026&lt;&gt;F1026),"Category mismatch","OK"))))))</f>
        <v>OK</v>
      </c>
      <c r="O1026" s="125">
        <f t="shared" ref="O1026:O1089" si="48">IF(OR(N1026="Missing spend",N1026="Duplicate invoice"),0,J1026)</f>
        <v>36463.93</v>
      </c>
      <c r="P1026" t="str">
        <f>IF(E1026="","Unmapped",IFERROR(INDEX(Supplier_Lookup!$B$2:$B$25,MATCH(E1026,Supplier_Lookup!$A$2:$A$25,0)),"Unmapped"))</f>
        <v>Agency Labour</v>
      </c>
      <c r="Q1026" s="76">
        <f>IFERROR(INDEX(Category_Targets!$B$2:$B$9,MATCH(F1026,Category_Targets!$A$2:$A$9,0)),0)</f>
        <v>7.0000000000000007E-2</v>
      </c>
      <c r="R1026" s="125">
        <f t="shared" ref="R1026:R1089" si="49">O1026*Q1026</f>
        <v>2552.4751000000001</v>
      </c>
      <c r="S1026" s="78">
        <f t="shared" ref="S1026:S1089" si="50">DATE(YEAR(A1026),MONTH(A1026),1)</f>
        <v>45931</v>
      </c>
      <c r="T1026" t="str">
        <f>IFERROR(VLOOKUP(B1026,Sites!$A$2:$D$21,4,FALSE()),"Unknown")</f>
        <v>Nottingham</v>
      </c>
      <c r="U1026" t="str">
        <f>IF(N1026="OK","",COUNTIF($N$2:N1026,"&lt;&gt;OK"))</f>
        <v/>
      </c>
      <c r="V1026">
        <f>IF(OR(NOT(EXACT(E1026,TRIM(Procurement_Raw!E1026))),NOT(EXACT(F1026,TRIM(Procurement_Raw!F1026)))),1,0)</f>
        <v>0</v>
      </c>
    </row>
    <row r="1027" spans="1:22" ht="15" customHeight="1" x14ac:dyDescent="0.25">
      <c r="A1027" s="123">
        <f>Procurement_Raw!A1027</f>
        <v>45846</v>
      </c>
      <c r="B1027" t="str">
        <f>TRIM(Procurement_Raw!B1027)</f>
        <v>S003</v>
      </c>
      <c r="C1027" t="str">
        <f>Procurement_Raw!C1027</f>
        <v>Leeds Care &amp; Education Centre</v>
      </c>
      <c r="D1027" t="str">
        <f>Procurement_Raw!D1027</f>
        <v>North</v>
      </c>
      <c r="E1027" t="str">
        <f>IF(TRIM(Procurement_Raw!E1027)="","",IFERROR(INDEX(Supplier_Lookup!$A$2:$A$25,MATCH(TRIM(Procurement_Raw!E1027),Supplier_Lookup!$A$2:$A$25,0)),TRIM(Procurement_Raw!E1027)))</f>
        <v>PrintCo</v>
      </c>
      <c r="F1027" t="str">
        <f>IFERROR(INDEX(Category_Targets!$A$2:$A$9,MATCH(TRIM(Procurement_Raw!F1027),Category_Targets!$A$2:$A$9,0)),"Unmapped")</f>
        <v>Office &amp; Training</v>
      </c>
      <c r="G1027" t="str">
        <f>TRIM(Procurement_Raw!G1027)</f>
        <v>INV-2025-01026</v>
      </c>
      <c r="H1027" s="77">
        <f>Procurement_Raw!H1027</f>
        <v>15</v>
      </c>
      <c r="I1027" s="124">
        <f>Procurement_Raw!I1027</f>
        <v>95.34</v>
      </c>
      <c r="J1027" s="125">
        <f>IF(Procurement_Raw!J1027="","",Procurement_Raw!J1027)</f>
        <v>1430.12</v>
      </c>
      <c r="K1027" s="77">
        <f>Procurement_Raw!K1027</f>
        <v>60</v>
      </c>
      <c r="L1027" t="str">
        <f>Procurement_Raw!L1027</f>
        <v>Procurement Portal</v>
      </c>
      <c r="M1027" t="str">
        <f>Procurement_Raw!O1027</f>
        <v>N</v>
      </c>
      <c r="N1027" t="str">
        <f>IF(E1027="","Missing supplier",IF(B1027="","Missing site",IF(J1027="","Missing spend",IF(COUNTIFS($G$2:G1027,G1027,$E$2:E1027,E1027,$J$2:J1027,J1027)&gt;1,"Duplicate invoice",IF(COUNTIF($G$2:$G$1801,G1027)&gt;1,"Duplicate ID - review",IF(AND(P1027&lt;&gt;"Unmapped",P1027&lt;&gt;F1027),"Category mismatch","OK"))))))</f>
        <v>OK</v>
      </c>
      <c r="O1027" s="125">
        <f t="shared" si="48"/>
        <v>1430.12</v>
      </c>
      <c r="P1027" t="str">
        <f>IF(E1027="","Unmapped",IFERROR(INDEX(Supplier_Lookup!$B$2:$B$25,MATCH(E1027,Supplier_Lookup!$A$2:$A$25,0)),"Unmapped"))</f>
        <v>Office &amp; Training</v>
      </c>
      <c r="Q1027" s="76">
        <f>IFERROR(INDEX(Category_Targets!$B$2:$B$9,MATCH(F1027,Category_Targets!$A$2:$A$9,0)),0)</f>
        <v>0.04</v>
      </c>
      <c r="R1027" s="125">
        <f t="shared" si="49"/>
        <v>57.204799999999999</v>
      </c>
      <c r="S1027" s="78">
        <f t="shared" si="50"/>
        <v>45839</v>
      </c>
      <c r="T1027" t="str">
        <f>IFERROR(VLOOKUP(B1027,Sites!$A$2:$D$21,4,FALSE()),"Unknown")</f>
        <v>Leeds</v>
      </c>
      <c r="U1027" t="str">
        <f>IF(N1027="OK","",COUNTIF($N$2:N1027,"&lt;&gt;OK"))</f>
        <v/>
      </c>
      <c r="V1027">
        <f>IF(OR(NOT(EXACT(E1027,TRIM(Procurement_Raw!E1027))),NOT(EXACT(F1027,TRIM(Procurement_Raw!F1027)))),1,0)</f>
        <v>0</v>
      </c>
    </row>
    <row r="1028" spans="1:22" ht="15" customHeight="1" x14ac:dyDescent="0.25">
      <c r="A1028" s="123">
        <f>Procurement_Raw!A1028</f>
        <v>45927</v>
      </c>
      <c r="B1028" t="str">
        <f>TRIM(Procurement_Raw!B1028)</f>
        <v>S012</v>
      </c>
      <c r="C1028" t="str">
        <f>Procurement_Raw!C1028</f>
        <v>Bristol Care &amp; Education Centre</v>
      </c>
      <c r="D1028" t="str">
        <f>Procurement_Raw!D1028</f>
        <v>South</v>
      </c>
      <c r="E1028" t="str">
        <f>IF(TRIM(Procurement_Raw!E1028)="","",IFERROR(INDEX(Supplier_Lookup!$A$2:$A$25,MATCH(TRIM(Procurement_Raw!E1028),Supplier_Lookup!$A$2:$A$25,0)),TRIM(Procurement_Raw!E1028)))</f>
        <v>FreshServe</v>
      </c>
      <c r="F1028" t="str">
        <f>IFERROR(INDEX(Category_Targets!$A$2:$A$9,MATCH(TRIM(Procurement_Raw!F1028),Category_Targets!$A$2:$A$9,0)),"Unmapped")</f>
        <v>Food &amp; Catering</v>
      </c>
      <c r="G1028" t="str">
        <f>TRIM(Procurement_Raw!G1028)</f>
        <v>INV-2025-01027</v>
      </c>
      <c r="H1028" s="77">
        <f>Procurement_Raw!H1028</f>
        <v>36</v>
      </c>
      <c r="I1028" s="124">
        <f>Procurement_Raw!I1028</f>
        <v>66.37</v>
      </c>
      <c r="J1028" s="125">
        <f>IF(Procurement_Raw!J1028="","",Procurement_Raw!J1028)</f>
        <v>2389.4299999999998</v>
      </c>
      <c r="K1028" s="77">
        <f>Procurement_Raw!K1028</f>
        <v>45</v>
      </c>
      <c r="L1028" t="str">
        <f>Procurement_Raw!L1028</f>
        <v>Legacy Spend File</v>
      </c>
      <c r="M1028" t="str">
        <f>Procurement_Raw!O1028</f>
        <v>Y</v>
      </c>
      <c r="N1028" t="str">
        <f>IF(E1028="","Missing supplier",IF(B1028="","Missing site",IF(J1028="","Missing spend",IF(COUNTIFS($G$2:G1028,G1028,$E$2:E1028,E1028,$J$2:J1028,J1028)&gt;1,"Duplicate invoice",IF(COUNTIF($G$2:$G$1801,G1028)&gt;1,"Duplicate ID - review",IF(AND(P1028&lt;&gt;"Unmapped",P1028&lt;&gt;F1028),"Category mismatch","OK"))))))</f>
        <v>OK</v>
      </c>
      <c r="O1028" s="125">
        <f t="shared" si="48"/>
        <v>2389.4299999999998</v>
      </c>
      <c r="P1028" t="str">
        <f>IF(E1028="","Unmapped",IFERROR(INDEX(Supplier_Lookup!$B$2:$B$25,MATCH(E1028,Supplier_Lookup!$A$2:$A$25,0)),"Unmapped"))</f>
        <v>Food &amp; Catering</v>
      </c>
      <c r="Q1028" s="76">
        <f>IFERROR(INDEX(Category_Targets!$B$2:$B$9,MATCH(F1028,Category_Targets!$A$2:$A$9,0)),0)</f>
        <v>0.04</v>
      </c>
      <c r="R1028" s="125">
        <f t="shared" si="49"/>
        <v>95.577199999999991</v>
      </c>
      <c r="S1028" s="78">
        <f t="shared" si="50"/>
        <v>45901</v>
      </c>
      <c r="T1028" t="str">
        <f>IFERROR(VLOOKUP(B1028,Sites!$A$2:$D$21,4,FALSE()),"Unknown")</f>
        <v>Bristol</v>
      </c>
      <c r="U1028" t="str">
        <f>IF(N1028="OK","",COUNTIF($N$2:N1028,"&lt;&gt;OK"))</f>
        <v/>
      </c>
      <c r="V1028">
        <f>IF(OR(NOT(EXACT(E1028,TRIM(Procurement_Raw!E1028))),NOT(EXACT(F1028,TRIM(Procurement_Raw!F1028)))),1,0)</f>
        <v>0</v>
      </c>
    </row>
    <row r="1029" spans="1:22" ht="15" customHeight="1" x14ac:dyDescent="0.25">
      <c r="A1029" s="123">
        <f>Procurement_Raw!A1029</f>
        <v>45899</v>
      </c>
      <c r="B1029" t="str">
        <f>TRIM(Procurement_Raw!B1029)</f>
        <v>S011</v>
      </c>
      <c r="C1029" t="str">
        <f>Procurement_Raw!C1029</f>
        <v>London Care &amp; Education Centre</v>
      </c>
      <c r="D1029" t="str">
        <f>Procurement_Raw!D1029</f>
        <v>South</v>
      </c>
      <c r="E1029" t="str">
        <f>IF(TRIM(Procurement_Raw!E1029)="","",IFERROR(INDEX(Supplier_Lookup!$A$2:$A$25,MATCH(TRIM(Procurement_Raw!E1029),Supplier_Lookup!$A$2:$A$25,0)),TRIM(Procurement_Raw!E1029)))</f>
        <v>FreshServe</v>
      </c>
      <c r="F1029" t="str">
        <f>IFERROR(INDEX(Category_Targets!$A$2:$A$9,MATCH(TRIM(Procurement_Raw!F1029),Category_Targets!$A$2:$A$9,0)),"Unmapped")</f>
        <v>Food &amp; Catering</v>
      </c>
      <c r="G1029" t="str">
        <f>TRIM(Procurement_Raw!G1029)</f>
        <v>INV-2025-01028</v>
      </c>
      <c r="H1029" s="77">
        <f>Procurement_Raw!H1029</f>
        <v>10</v>
      </c>
      <c r="I1029" s="124">
        <f>Procurement_Raw!I1029</f>
        <v>69.44</v>
      </c>
      <c r="J1029" s="125">
        <f>IF(Procurement_Raw!J1029="","",Procurement_Raw!J1029)</f>
        <v>694.36</v>
      </c>
      <c r="K1029" s="77">
        <f>Procurement_Raw!K1029</f>
        <v>60</v>
      </c>
      <c r="L1029" t="str">
        <f>Procurement_Raw!L1029</f>
        <v>Legacy Spend File</v>
      </c>
      <c r="M1029" t="str">
        <f>Procurement_Raw!O1029</f>
        <v>Y</v>
      </c>
      <c r="N1029" t="str">
        <f>IF(E1029="","Missing supplier",IF(B1029="","Missing site",IF(J1029="","Missing spend",IF(COUNTIFS($G$2:G1029,G1029,$E$2:E1029,E1029,$J$2:J1029,J1029)&gt;1,"Duplicate invoice",IF(COUNTIF($G$2:$G$1801,G1029)&gt;1,"Duplicate ID - review",IF(AND(P1029&lt;&gt;"Unmapped",P1029&lt;&gt;F1029),"Category mismatch","OK"))))))</f>
        <v>OK</v>
      </c>
      <c r="O1029" s="125">
        <f t="shared" si="48"/>
        <v>694.36</v>
      </c>
      <c r="P1029" t="str">
        <f>IF(E1029="","Unmapped",IFERROR(INDEX(Supplier_Lookup!$B$2:$B$25,MATCH(E1029,Supplier_Lookup!$A$2:$A$25,0)),"Unmapped"))</f>
        <v>Food &amp; Catering</v>
      </c>
      <c r="Q1029" s="76">
        <f>IFERROR(INDEX(Category_Targets!$B$2:$B$9,MATCH(F1029,Category_Targets!$A$2:$A$9,0)),0)</f>
        <v>0.04</v>
      </c>
      <c r="R1029" s="125">
        <f t="shared" si="49"/>
        <v>27.7744</v>
      </c>
      <c r="S1029" s="78">
        <f t="shared" si="50"/>
        <v>45870</v>
      </c>
      <c r="T1029" t="str">
        <f>IFERROR(VLOOKUP(B1029,Sites!$A$2:$D$21,4,FALSE()),"Unknown")</f>
        <v>London</v>
      </c>
      <c r="U1029" t="str">
        <f>IF(N1029="OK","",COUNTIF($N$2:N1029,"&lt;&gt;OK"))</f>
        <v/>
      </c>
      <c r="V1029">
        <f>IF(OR(NOT(EXACT(E1029,TRIM(Procurement_Raw!E1029))),NOT(EXACT(F1029,TRIM(Procurement_Raw!F1029)))),1,0)</f>
        <v>0</v>
      </c>
    </row>
    <row r="1030" spans="1:22" ht="15" customHeight="1" x14ac:dyDescent="0.25">
      <c r="A1030" s="123">
        <f>Procurement_Raw!A1030</f>
        <v>45685</v>
      </c>
      <c r="B1030" t="str">
        <f>TRIM(Procurement_Raw!B1030)</f>
        <v>S015</v>
      </c>
      <c r="C1030" t="str">
        <f>Procurement_Raw!C1030</f>
        <v>Brighton Care &amp; Education Centre</v>
      </c>
      <c r="D1030" t="str">
        <f>Procurement_Raw!D1030</f>
        <v>South</v>
      </c>
      <c r="E1030" t="str">
        <f>IF(TRIM(Procurement_Raw!E1030)="","",IFERROR(INDEX(Supplier_Lookup!$A$2:$A$25,MATCH(TRIM(Procurement_Raw!E1030),Supplier_Lookup!$A$2:$A$25,0)),TRIM(Procurement_Raw!E1030)))</f>
        <v>NetServe</v>
      </c>
      <c r="F1030" t="str">
        <f>IFERROR(INDEX(Category_Targets!$A$2:$A$9,MATCH(TRIM(Procurement_Raw!F1030),Category_Targets!$A$2:$A$9,0)),"Unmapped")</f>
        <v>IT &amp; Telecoms</v>
      </c>
      <c r="G1030" t="str">
        <f>TRIM(Procurement_Raw!G1030)</f>
        <v>INV-2025-01029</v>
      </c>
      <c r="H1030" s="77">
        <f>Procurement_Raw!H1030</f>
        <v>44</v>
      </c>
      <c r="I1030" s="124">
        <f>Procurement_Raw!I1030</f>
        <v>308.3</v>
      </c>
      <c r="J1030" s="125">
        <f>IF(Procurement_Raw!J1030="","",Procurement_Raw!J1030)</f>
        <v>13565.05</v>
      </c>
      <c r="K1030" s="77">
        <f>Procurement_Raw!K1030</f>
        <v>60</v>
      </c>
      <c r="L1030" t="str">
        <f>Procurement_Raw!L1030</f>
        <v>ERP</v>
      </c>
      <c r="M1030" t="str">
        <f>Procurement_Raw!O1030</f>
        <v>N</v>
      </c>
      <c r="N1030" t="str">
        <f>IF(E1030="","Missing supplier",IF(B1030="","Missing site",IF(J1030="","Missing spend",IF(COUNTIFS($G$2:G1030,G1030,$E$2:E1030,E1030,$J$2:J1030,J1030)&gt;1,"Duplicate invoice",IF(COUNTIF($G$2:$G$1801,G1030)&gt;1,"Duplicate ID - review",IF(AND(P1030&lt;&gt;"Unmapped",P1030&lt;&gt;F1030),"Category mismatch","OK"))))))</f>
        <v>OK</v>
      </c>
      <c r="O1030" s="125">
        <f t="shared" si="48"/>
        <v>13565.05</v>
      </c>
      <c r="P1030" t="str">
        <f>IF(E1030="","Unmapped",IFERROR(INDEX(Supplier_Lookup!$B$2:$B$25,MATCH(E1030,Supplier_Lookup!$A$2:$A$25,0)),"Unmapped"))</f>
        <v>IT &amp; Telecoms</v>
      </c>
      <c r="Q1030" s="76">
        <f>IFERROR(INDEX(Category_Targets!$B$2:$B$9,MATCH(F1030,Category_Targets!$A$2:$A$9,0)),0)</f>
        <v>0.08</v>
      </c>
      <c r="R1030" s="125">
        <f t="shared" si="49"/>
        <v>1085.204</v>
      </c>
      <c r="S1030" s="78">
        <f t="shared" si="50"/>
        <v>45658</v>
      </c>
      <c r="T1030" t="str">
        <f>IFERROR(VLOOKUP(B1030,Sites!$A$2:$D$21,4,FALSE()),"Unknown")</f>
        <v>Brighton</v>
      </c>
      <c r="U1030" t="str">
        <f>IF(N1030="OK","",COUNTIF($N$2:N1030,"&lt;&gt;OK"))</f>
        <v/>
      </c>
      <c r="V1030">
        <f>IF(OR(NOT(EXACT(E1030,TRIM(Procurement_Raw!E1030))),NOT(EXACT(F1030,TRIM(Procurement_Raw!F1030)))),1,0)</f>
        <v>0</v>
      </c>
    </row>
    <row r="1031" spans="1:22" ht="15" customHeight="1" x14ac:dyDescent="0.25">
      <c r="A1031" s="123">
        <f>Procurement_Raw!A1031</f>
        <v>45898</v>
      </c>
      <c r="B1031" t="str">
        <f>TRIM(Procurement_Raw!B1031)</f>
        <v>S018</v>
      </c>
      <c r="C1031" t="str">
        <f>Procurement_Raw!C1031</f>
        <v>Newport Care &amp; Education Centre</v>
      </c>
      <c r="D1031" t="str">
        <f>Procurement_Raw!D1031</f>
        <v>Wales</v>
      </c>
      <c r="E1031" t="str">
        <f>IF(TRIM(Procurement_Raw!E1031)="","",IFERROR(INDEX(Supplier_Lookup!$A$2:$A$25,MATCH(TRIM(Procurement_Raw!E1031),Supplier_Lookup!$A$2:$A$25,0)),TRIM(Procurement_Raw!E1031)))</f>
        <v>PrintCo</v>
      </c>
      <c r="F1031" t="str">
        <f>IFERROR(INDEX(Category_Targets!$A$2:$A$9,MATCH(TRIM(Procurement_Raw!F1031),Category_Targets!$A$2:$A$9,0)),"Unmapped")</f>
        <v>Office &amp; Training</v>
      </c>
      <c r="G1031" t="str">
        <f>TRIM(Procurement_Raw!G1031)</f>
        <v>INV-2025-01030</v>
      </c>
      <c r="H1031" s="77">
        <f>Procurement_Raw!H1031</f>
        <v>74</v>
      </c>
      <c r="I1031" s="124">
        <f>Procurement_Raw!I1031</f>
        <v>42.73</v>
      </c>
      <c r="J1031" s="125">
        <f>IF(Procurement_Raw!J1031="","",Procurement_Raw!J1031)</f>
        <v>3162.18</v>
      </c>
      <c r="K1031" s="77">
        <f>Procurement_Raw!K1031</f>
        <v>60</v>
      </c>
      <c r="L1031" t="str">
        <f>Procurement_Raw!L1031</f>
        <v>Procurement Portal</v>
      </c>
      <c r="M1031" t="str">
        <f>Procurement_Raw!O1031</f>
        <v>N</v>
      </c>
      <c r="N1031" t="str">
        <f>IF(E1031="","Missing supplier",IF(B1031="","Missing site",IF(J1031="","Missing spend",IF(COUNTIFS($G$2:G1031,G1031,$E$2:E1031,E1031,$J$2:J1031,J1031)&gt;1,"Duplicate invoice",IF(COUNTIF($G$2:$G$1801,G1031)&gt;1,"Duplicate ID - review",IF(AND(P1031&lt;&gt;"Unmapped",P1031&lt;&gt;F1031),"Category mismatch","OK"))))))</f>
        <v>OK</v>
      </c>
      <c r="O1031" s="125">
        <f t="shared" si="48"/>
        <v>3162.18</v>
      </c>
      <c r="P1031" t="str">
        <f>IF(E1031="","Unmapped",IFERROR(INDEX(Supplier_Lookup!$B$2:$B$25,MATCH(E1031,Supplier_Lookup!$A$2:$A$25,0)),"Unmapped"))</f>
        <v>Office &amp; Training</v>
      </c>
      <c r="Q1031" s="76">
        <f>IFERROR(INDEX(Category_Targets!$B$2:$B$9,MATCH(F1031,Category_Targets!$A$2:$A$9,0)),0)</f>
        <v>0.04</v>
      </c>
      <c r="R1031" s="125">
        <f t="shared" si="49"/>
        <v>126.4872</v>
      </c>
      <c r="S1031" s="78">
        <f t="shared" si="50"/>
        <v>45870</v>
      </c>
      <c r="T1031" t="str">
        <f>IFERROR(VLOOKUP(B1031,Sites!$A$2:$D$21,4,FALSE()),"Unknown")</f>
        <v>Newport</v>
      </c>
      <c r="U1031" t="str">
        <f>IF(N1031="OK","",COUNTIF($N$2:N1031,"&lt;&gt;OK"))</f>
        <v/>
      </c>
      <c r="V1031">
        <f>IF(OR(NOT(EXACT(E1031,TRIM(Procurement_Raw!E1031))),NOT(EXACT(F1031,TRIM(Procurement_Raw!F1031)))),1,0)</f>
        <v>0</v>
      </c>
    </row>
    <row r="1032" spans="1:22" ht="15" customHeight="1" x14ac:dyDescent="0.25">
      <c r="A1032" s="123">
        <f>Procurement_Raw!A1032</f>
        <v>45806</v>
      </c>
      <c r="B1032" t="str">
        <f>TRIM(Procurement_Raw!B1032)</f>
        <v>S015</v>
      </c>
      <c r="C1032" t="str">
        <f>Procurement_Raw!C1032</f>
        <v>Brighton Care &amp; Education Centre</v>
      </c>
      <c r="D1032" t="str">
        <f>Procurement_Raw!D1032</f>
        <v>South</v>
      </c>
      <c r="E1032" t="str">
        <f>IF(TRIM(Procurement_Raw!E1032)="","",IFERROR(INDEX(Supplier_Lookup!$A$2:$A$25,MATCH(TRIM(Procurement_Raw!E1032),Supplier_Lookup!$A$2:$A$25,0)),TRIM(Procurement_Raw!E1032)))</f>
        <v>RoadReady</v>
      </c>
      <c r="F1032" t="str">
        <f>IFERROR(INDEX(Category_Targets!$A$2:$A$9,MATCH(TRIM(Procurement_Raw!F1032),Category_Targets!$A$2:$A$9,0)),"Unmapped")</f>
        <v>Vehicle &amp; Fuel</v>
      </c>
      <c r="G1032" t="str">
        <f>TRIM(Procurement_Raw!G1032)</f>
        <v>INV-2025-01031</v>
      </c>
      <c r="H1032" s="77">
        <f>Procurement_Raw!H1032</f>
        <v>22</v>
      </c>
      <c r="I1032" s="124">
        <f>Procurement_Raw!I1032</f>
        <v>82.46</v>
      </c>
      <c r="J1032" s="125">
        <f>IF(Procurement_Raw!J1032="","",Procurement_Raw!J1032)</f>
        <v>1814.13</v>
      </c>
      <c r="K1032" s="77">
        <f>Procurement_Raw!K1032</f>
        <v>30</v>
      </c>
      <c r="L1032" t="str">
        <f>Procurement_Raw!L1032</f>
        <v>Legacy Spend File</v>
      </c>
      <c r="M1032" t="str">
        <f>Procurement_Raw!O1032</f>
        <v>N</v>
      </c>
      <c r="N1032" t="str">
        <f>IF(E1032="","Missing supplier",IF(B1032="","Missing site",IF(J1032="","Missing spend",IF(COUNTIFS($G$2:G1032,G1032,$E$2:E1032,E1032,$J$2:J1032,J1032)&gt;1,"Duplicate invoice",IF(COUNTIF($G$2:$G$1801,G1032)&gt;1,"Duplicate ID - review",IF(AND(P1032&lt;&gt;"Unmapped",P1032&lt;&gt;F1032),"Category mismatch","OK"))))))</f>
        <v>OK</v>
      </c>
      <c r="O1032" s="125">
        <f t="shared" si="48"/>
        <v>1814.13</v>
      </c>
      <c r="P1032" t="str">
        <f>IF(E1032="","Unmapped",IFERROR(INDEX(Supplier_Lookup!$B$2:$B$25,MATCH(E1032,Supplier_Lookup!$A$2:$A$25,0)),"Unmapped"))</f>
        <v>Vehicle &amp; Fuel</v>
      </c>
      <c r="Q1032" s="76">
        <f>IFERROR(INDEX(Category_Targets!$B$2:$B$9,MATCH(F1032,Category_Targets!$A$2:$A$9,0)),0)</f>
        <v>0.05</v>
      </c>
      <c r="R1032" s="125">
        <f t="shared" si="49"/>
        <v>90.706500000000005</v>
      </c>
      <c r="S1032" s="78">
        <f t="shared" si="50"/>
        <v>45778</v>
      </c>
      <c r="T1032" t="str">
        <f>IFERROR(VLOOKUP(B1032,Sites!$A$2:$D$21,4,FALSE()),"Unknown")</f>
        <v>Brighton</v>
      </c>
      <c r="U1032" t="str">
        <f>IF(N1032="OK","",COUNTIF($N$2:N1032,"&lt;&gt;OK"))</f>
        <v/>
      </c>
      <c r="V1032">
        <f>IF(OR(NOT(EXACT(E1032,TRIM(Procurement_Raw!E1032))),NOT(EXACT(F1032,TRIM(Procurement_Raw!F1032)))),1,0)</f>
        <v>0</v>
      </c>
    </row>
    <row r="1033" spans="1:22" ht="15" customHeight="1" x14ac:dyDescent="0.25">
      <c r="A1033" s="123">
        <f>Procurement_Raw!A1033</f>
        <v>45946</v>
      </c>
      <c r="B1033" t="str">
        <f>TRIM(Procurement_Raw!B1033)</f>
        <v>S009</v>
      </c>
      <c r="C1033" t="str">
        <f>Procurement_Raw!C1033</f>
        <v>Derby Care &amp; Education Centre</v>
      </c>
      <c r="D1033" t="str">
        <f>Procurement_Raw!D1033</f>
        <v>Midlands</v>
      </c>
      <c r="E1033" t="str">
        <f>IF(TRIM(Procurement_Raw!E1033)="","",IFERROR(INDEX(Supplier_Lookup!$A$2:$A$25,MATCH(TRIM(Procurement_Raw!E1033),Supplier_Lookup!$A$2:$A$25,0)),TRIM(Procurement_Raw!E1033)))</f>
        <v>NetServe</v>
      </c>
      <c r="F1033" t="str">
        <f>IFERROR(INDEX(Category_Targets!$A$2:$A$9,MATCH(TRIM(Procurement_Raw!F1033),Category_Targets!$A$2:$A$9,0)),"Unmapped")</f>
        <v>IT &amp; Telecoms</v>
      </c>
      <c r="G1033" t="str">
        <f>TRIM(Procurement_Raw!G1033)</f>
        <v>INV-2025-01032</v>
      </c>
      <c r="H1033" s="77">
        <f>Procurement_Raw!H1033</f>
        <v>34</v>
      </c>
      <c r="I1033" s="124">
        <f>Procurement_Raw!I1033</f>
        <v>87.87</v>
      </c>
      <c r="J1033" s="125">
        <f>IF(Procurement_Raw!J1033="","",Procurement_Raw!J1033)</f>
        <v>2987.72</v>
      </c>
      <c r="K1033" s="77">
        <f>Procurement_Raw!K1033</f>
        <v>30</v>
      </c>
      <c r="L1033" t="str">
        <f>Procurement_Raw!L1033</f>
        <v>Legacy Spend File</v>
      </c>
      <c r="M1033" t="str">
        <f>Procurement_Raw!O1033</f>
        <v>N</v>
      </c>
      <c r="N1033" t="str">
        <f>IF(E1033="","Missing supplier",IF(B1033="","Missing site",IF(J1033="","Missing spend",IF(COUNTIFS($G$2:G1033,G1033,$E$2:E1033,E1033,$J$2:J1033,J1033)&gt;1,"Duplicate invoice",IF(COUNTIF($G$2:$G$1801,G1033)&gt;1,"Duplicate ID - review",IF(AND(P1033&lt;&gt;"Unmapped",P1033&lt;&gt;F1033),"Category mismatch","OK"))))))</f>
        <v>OK</v>
      </c>
      <c r="O1033" s="125">
        <f t="shared" si="48"/>
        <v>2987.72</v>
      </c>
      <c r="P1033" t="str">
        <f>IF(E1033="","Unmapped",IFERROR(INDEX(Supplier_Lookup!$B$2:$B$25,MATCH(E1033,Supplier_Lookup!$A$2:$A$25,0)),"Unmapped"))</f>
        <v>IT &amp; Telecoms</v>
      </c>
      <c r="Q1033" s="76">
        <f>IFERROR(INDEX(Category_Targets!$B$2:$B$9,MATCH(F1033,Category_Targets!$A$2:$A$9,0)),0)</f>
        <v>0.08</v>
      </c>
      <c r="R1033" s="125">
        <f t="shared" si="49"/>
        <v>239.01759999999999</v>
      </c>
      <c r="S1033" s="78">
        <f t="shared" si="50"/>
        <v>45931</v>
      </c>
      <c r="T1033" t="str">
        <f>IFERROR(VLOOKUP(B1033,Sites!$A$2:$D$21,4,FALSE()),"Unknown")</f>
        <v>Derby</v>
      </c>
      <c r="U1033" t="str">
        <f>IF(N1033="OK","",COUNTIF($N$2:N1033,"&lt;&gt;OK"))</f>
        <v/>
      </c>
      <c r="V1033">
        <f>IF(OR(NOT(EXACT(E1033,TRIM(Procurement_Raw!E1033))),NOT(EXACT(F1033,TRIM(Procurement_Raw!F1033)))),1,0)</f>
        <v>0</v>
      </c>
    </row>
    <row r="1034" spans="1:22" ht="15" customHeight="1" x14ac:dyDescent="0.25">
      <c r="A1034" s="123">
        <f>Procurement_Raw!A1034</f>
        <v>45684</v>
      </c>
      <c r="B1034" t="str">
        <f>TRIM(Procurement_Raw!B1034)</f>
        <v>S019</v>
      </c>
      <c r="C1034" t="str">
        <f>Procurement_Raw!C1034</f>
        <v>Wrexham Care &amp; Education Centre</v>
      </c>
      <c r="D1034" t="str">
        <f>Procurement_Raw!D1034</f>
        <v>Wales</v>
      </c>
      <c r="E1034" t="str">
        <f>IF(TRIM(Procurement_Raw!E1034)="","",IFERROR(INDEX(Supplier_Lookup!$A$2:$A$25,MATCH(TRIM(Procurement_Raw!E1034),Supplier_Lookup!$A$2:$A$25,0)),TRIM(Procurement_Raw!E1034)))</f>
        <v>BuildCare</v>
      </c>
      <c r="F1034" t="str">
        <f>IFERROR(INDEX(Category_Targets!$A$2:$A$9,MATCH(TRIM(Procurement_Raw!F1034),Category_Targets!$A$2:$A$9,0)),"Unmapped")</f>
        <v>Facilities</v>
      </c>
      <c r="G1034" t="str">
        <f>TRIM(Procurement_Raw!G1034)</f>
        <v>INV-2025-01033</v>
      </c>
      <c r="H1034" s="77">
        <f>Procurement_Raw!H1034</f>
        <v>38</v>
      </c>
      <c r="I1034" s="124">
        <f>Procurement_Raw!I1034</f>
        <v>224.2</v>
      </c>
      <c r="J1034" s="125">
        <f>IF(Procurement_Raw!J1034="","",Procurement_Raw!J1034)</f>
        <v>8519.52</v>
      </c>
      <c r="K1034" s="77">
        <f>Procurement_Raw!K1034</f>
        <v>60</v>
      </c>
      <c r="L1034" t="str">
        <f>Procurement_Raw!L1034</f>
        <v>Legacy Spend File</v>
      </c>
      <c r="M1034" t="str">
        <f>Procurement_Raw!O1034</f>
        <v>N</v>
      </c>
      <c r="N1034" t="str">
        <f>IF(E1034="","Missing supplier",IF(B1034="","Missing site",IF(J1034="","Missing spend",IF(COUNTIFS($G$2:G1034,G1034,$E$2:E1034,E1034,$J$2:J1034,J1034)&gt;1,"Duplicate invoice",IF(COUNTIF($G$2:$G$1801,G1034)&gt;1,"Duplicate ID - review",IF(AND(P1034&lt;&gt;"Unmapped",P1034&lt;&gt;F1034),"Category mismatch","OK"))))))</f>
        <v>OK</v>
      </c>
      <c r="O1034" s="125">
        <f t="shared" si="48"/>
        <v>8519.52</v>
      </c>
      <c r="P1034" t="str">
        <f>IF(E1034="","Unmapped",IFERROR(INDEX(Supplier_Lookup!$B$2:$B$25,MATCH(E1034,Supplier_Lookup!$A$2:$A$25,0)),"Unmapped"))</f>
        <v>Facilities</v>
      </c>
      <c r="Q1034" s="76">
        <f>IFERROR(INDEX(Category_Targets!$B$2:$B$9,MATCH(F1034,Category_Targets!$A$2:$A$9,0)),0)</f>
        <v>0.05</v>
      </c>
      <c r="R1034" s="125">
        <f t="shared" si="49"/>
        <v>425.97600000000006</v>
      </c>
      <c r="S1034" s="78">
        <f t="shared" si="50"/>
        <v>45658</v>
      </c>
      <c r="T1034" t="str">
        <f>IFERROR(VLOOKUP(B1034,Sites!$A$2:$D$21,4,FALSE()),"Unknown")</f>
        <v>Wrexham</v>
      </c>
      <c r="U1034" t="str">
        <f>IF(N1034="OK","",COUNTIF($N$2:N1034,"&lt;&gt;OK"))</f>
        <v/>
      </c>
      <c r="V1034">
        <f>IF(OR(NOT(EXACT(E1034,TRIM(Procurement_Raw!E1034))),NOT(EXACT(F1034,TRIM(Procurement_Raw!F1034)))),1,0)</f>
        <v>0</v>
      </c>
    </row>
    <row r="1035" spans="1:22" ht="15" customHeight="1" x14ac:dyDescent="0.25">
      <c r="A1035" s="123">
        <f>Procurement_Raw!A1035</f>
        <v>45700</v>
      </c>
      <c r="B1035" t="str">
        <f>TRIM(Procurement_Raw!B1035)</f>
        <v>S001</v>
      </c>
      <c r="C1035" t="str">
        <f>Procurement_Raw!C1035</f>
        <v>Preston Care &amp; Education Centre</v>
      </c>
      <c r="D1035" t="str">
        <f>Procurement_Raw!D1035</f>
        <v>North</v>
      </c>
      <c r="E1035" t="str">
        <f>IF(TRIM(Procurement_Raw!E1035)="","",IFERROR(INDEX(Supplier_Lookup!$A$2:$A$25,MATCH(TRIM(Procurement_Raw!E1035),Supplier_Lookup!$A$2:$A$25,0)),TRIM(Procurement_Raw!E1035)))</f>
        <v>TeleCare IT</v>
      </c>
      <c r="F1035" t="str">
        <f>IFERROR(INDEX(Category_Targets!$A$2:$A$9,MATCH(TRIM(Procurement_Raw!F1035),Category_Targets!$A$2:$A$9,0)),"Unmapped")</f>
        <v>IT &amp; Telecoms</v>
      </c>
      <c r="G1035" t="str">
        <f>TRIM(Procurement_Raw!G1035)</f>
        <v>INV-2025-01034</v>
      </c>
      <c r="H1035" s="77">
        <f>Procurement_Raw!H1035</f>
        <v>17</v>
      </c>
      <c r="I1035" s="124">
        <f>Procurement_Raw!I1035</f>
        <v>314.06</v>
      </c>
      <c r="J1035" s="125">
        <f>IF(Procurement_Raw!J1035="","",Procurement_Raw!J1035)</f>
        <v>5339.03</v>
      </c>
      <c r="K1035" s="77">
        <f>Procurement_Raw!K1035</f>
        <v>60</v>
      </c>
      <c r="L1035" t="str">
        <f>Procurement_Raw!L1035</f>
        <v>ERP</v>
      </c>
      <c r="M1035" t="str">
        <f>Procurement_Raw!O1035</f>
        <v>N</v>
      </c>
      <c r="N1035" t="str">
        <f>IF(E1035="","Missing supplier",IF(B1035="","Missing site",IF(J1035="","Missing spend",IF(COUNTIFS($G$2:G1035,G1035,$E$2:E1035,E1035,$J$2:J1035,J1035)&gt;1,"Duplicate invoice",IF(COUNTIF($G$2:$G$1801,G1035)&gt;1,"Duplicate ID - review",IF(AND(P1035&lt;&gt;"Unmapped",P1035&lt;&gt;F1035),"Category mismatch","OK"))))))</f>
        <v>OK</v>
      </c>
      <c r="O1035" s="125">
        <f t="shared" si="48"/>
        <v>5339.03</v>
      </c>
      <c r="P1035" t="str">
        <f>IF(E1035="","Unmapped",IFERROR(INDEX(Supplier_Lookup!$B$2:$B$25,MATCH(E1035,Supplier_Lookup!$A$2:$A$25,0)),"Unmapped"))</f>
        <v>IT &amp; Telecoms</v>
      </c>
      <c r="Q1035" s="76">
        <f>IFERROR(INDEX(Category_Targets!$B$2:$B$9,MATCH(F1035,Category_Targets!$A$2:$A$9,0)),0)</f>
        <v>0.08</v>
      </c>
      <c r="R1035" s="125">
        <f t="shared" si="49"/>
        <v>427.12239999999997</v>
      </c>
      <c r="S1035" s="78">
        <f t="shared" si="50"/>
        <v>45689</v>
      </c>
      <c r="T1035" t="str">
        <f>IFERROR(VLOOKUP(B1035,Sites!$A$2:$D$21,4,FALSE()),"Unknown")</f>
        <v>Preston</v>
      </c>
      <c r="U1035" t="str">
        <f>IF(N1035="OK","",COUNTIF($N$2:N1035,"&lt;&gt;OK"))</f>
        <v/>
      </c>
      <c r="V1035">
        <f>IF(OR(NOT(EXACT(E1035,TRIM(Procurement_Raw!E1035))),NOT(EXACT(F1035,TRIM(Procurement_Raw!F1035)))),1,0)</f>
        <v>0</v>
      </c>
    </row>
    <row r="1036" spans="1:22" ht="15" customHeight="1" x14ac:dyDescent="0.25">
      <c r="A1036" s="123">
        <f>Procurement_Raw!A1036</f>
        <v>45973</v>
      </c>
      <c r="B1036" t="str">
        <f>TRIM(Procurement_Raw!B1036)</f>
        <v>S017</v>
      </c>
      <c r="C1036" t="str">
        <f>Procurement_Raw!C1036</f>
        <v>Swansea Care &amp; Education Centre</v>
      </c>
      <c r="D1036" t="str">
        <f>Procurement_Raw!D1036</f>
        <v>Wales</v>
      </c>
      <c r="E1036" t="str">
        <f>IF(TRIM(Procurement_Raw!E1036)="","",IFERROR(INDEX(Supplier_Lookup!$A$2:$A$25,MATCH(TRIM(Procurement_Raw!E1036),Supplier_Lookup!$A$2:$A$25,0)),TRIM(Procurement_Raw!E1036)))</f>
        <v>CloudLink</v>
      </c>
      <c r="F1036" t="str">
        <f>IFERROR(INDEX(Category_Targets!$A$2:$A$9,MATCH(TRIM(Procurement_Raw!F1036),Category_Targets!$A$2:$A$9,0)),"Unmapped")</f>
        <v>IT &amp; Telecoms</v>
      </c>
      <c r="G1036" t="str">
        <f>TRIM(Procurement_Raw!G1036)</f>
        <v>INV-2025-01035</v>
      </c>
      <c r="H1036" s="77">
        <f>Procurement_Raw!H1036</f>
        <v>36</v>
      </c>
      <c r="I1036" s="124">
        <f>Procurement_Raw!I1036</f>
        <v>168.66</v>
      </c>
      <c r="J1036" s="125">
        <f>IF(Procurement_Raw!J1036="","",Procurement_Raw!J1036)</f>
        <v>6071.7</v>
      </c>
      <c r="K1036" s="77">
        <f>Procurement_Raw!K1036</f>
        <v>45</v>
      </c>
      <c r="L1036" t="str">
        <f>Procurement_Raw!L1036</f>
        <v>Procurement Portal</v>
      </c>
      <c r="M1036" t="str">
        <f>Procurement_Raw!O1036</f>
        <v>Y</v>
      </c>
      <c r="N1036" t="str">
        <f>IF(E1036="","Missing supplier",IF(B1036="","Missing site",IF(J1036="","Missing spend",IF(COUNTIFS($G$2:G1036,G1036,$E$2:E1036,E1036,$J$2:J1036,J1036)&gt;1,"Duplicate invoice",IF(COUNTIF($G$2:$G$1801,G1036)&gt;1,"Duplicate ID - review",IF(AND(P1036&lt;&gt;"Unmapped",P1036&lt;&gt;F1036),"Category mismatch","OK"))))))</f>
        <v>OK</v>
      </c>
      <c r="O1036" s="125">
        <f t="shared" si="48"/>
        <v>6071.7</v>
      </c>
      <c r="P1036" t="str">
        <f>IF(E1036="","Unmapped",IFERROR(INDEX(Supplier_Lookup!$B$2:$B$25,MATCH(E1036,Supplier_Lookup!$A$2:$A$25,0)),"Unmapped"))</f>
        <v>IT &amp; Telecoms</v>
      </c>
      <c r="Q1036" s="76">
        <f>IFERROR(INDEX(Category_Targets!$B$2:$B$9,MATCH(F1036,Category_Targets!$A$2:$A$9,0)),0)</f>
        <v>0.08</v>
      </c>
      <c r="R1036" s="125">
        <f t="shared" si="49"/>
        <v>485.73599999999999</v>
      </c>
      <c r="S1036" s="78">
        <f t="shared" si="50"/>
        <v>45962</v>
      </c>
      <c r="T1036" t="str">
        <f>IFERROR(VLOOKUP(B1036,Sites!$A$2:$D$21,4,FALSE()),"Unknown")</f>
        <v>Swansea</v>
      </c>
      <c r="U1036" t="str">
        <f>IF(N1036="OK","",COUNTIF($N$2:N1036,"&lt;&gt;OK"))</f>
        <v/>
      </c>
      <c r="V1036">
        <f>IF(OR(NOT(EXACT(E1036,TRIM(Procurement_Raw!E1036))),NOT(EXACT(F1036,TRIM(Procurement_Raw!F1036)))),1,0)</f>
        <v>0</v>
      </c>
    </row>
    <row r="1037" spans="1:22" ht="15" customHeight="1" x14ac:dyDescent="0.25">
      <c r="A1037" s="123">
        <f>Procurement_Raw!A1037</f>
        <v>45747</v>
      </c>
      <c r="B1037" t="str">
        <f>TRIM(Procurement_Raw!B1037)</f>
        <v>S017</v>
      </c>
      <c r="C1037" t="str">
        <f>Procurement_Raw!C1037</f>
        <v>Swansea Care &amp; Education Centre</v>
      </c>
      <c r="D1037" t="str">
        <f>Procurement_Raw!D1037</f>
        <v>Wales</v>
      </c>
      <c r="E1037" t="str">
        <f>IF(TRIM(Procurement_Raw!E1037)="","",IFERROR(INDEX(Supplier_Lookup!$A$2:$A$25,MATCH(TRIM(Procurement_Raw!E1037),Supplier_Lookup!$A$2:$A$25,0)),TRIM(Procurement_Raw!E1037)))</f>
        <v>KitchenPro</v>
      </c>
      <c r="F1037" t="str">
        <f>IFERROR(INDEX(Category_Targets!$A$2:$A$9,MATCH(TRIM(Procurement_Raw!F1037),Category_Targets!$A$2:$A$9,0)),"Unmapped")</f>
        <v>Food &amp; Catering</v>
      </c>
      <c r="G1037" t="str">
        <f>TRIM(Procurement_Raw!G1037)</f>
        <v>INV-2025-01036</v>
      </c>
      <c r="H1037" s="77">
        <f>Procurement_Raw!H1037</f>
        <v>76</v>
      </c>
      <c r="I1037" s="124">
        <f>Procurement_Raw!I1037</f>
        <v>154.47999999999999</v>
      </c>
      <c r="J1037" s="125">
        <f>IF(Procurement_Raw!J1037="","",Procurement_Raw!J1037)</f>
        <v>11740.66</v>
      </c>
      <c r="K1037" s="77">
        <f>Procurement_Raw!K1037</f>
        <v>60</v>
      </c>
      <c r="L1037" t="str">
        <f>Procurement_Raw!L1037</f>
        <v>ERP</v>
      </c>
      <c r="M1037" t="str">
        <f>Procurement_Raw!O1037</f>
        <v>N</v>
      </c>
      <c r="N1037" t="str">
        <f>IF(E1037="","Missing supplier",IF(B1037="","Missing site",IF(J1037="","Missing spend",IF(COUNTIFS($G$2:G1037,G1037,$E$2:E1037,E1037,$J$2:J1037,J1037)&gt;1,"Duplicate invoice",IF(COUNTIF($G$2:$G$1801,G1037)&gt;1,"Duplicate ID - review",IF(AND(P1037&lt;&gt;"Unmapped",P1037&lt;&gt;F1037),"Category mismatch","OK"))))))</f>
        <v>OK</v>
      </c>
      <c r="O1037" s="125">
        <f t="shared" si="48"/>
        <v>11740.66</v>
      </c>
      <c r="P1037" t="str">
        <f>IF(E1037="","Unmapped",IFERROR(INDEX(Supplier_Lookup!$B$2:$B$25,MATCH(E1037,Supplier_Lookup!$A$2:$A$25,0)),"Unmapped"))</f>
        <v>Food &amp; Catering</v>
      </c>
      <c r="Q1037" s="76">
        <f>IFERROR(INDEX(Category_Targets!$B$2:$B$9,MATCH(F1037,Category_Targets!$A$2:$A$9,0)),0)</f>
        <v>0.04</v>
      </c>
      <c r="R1037" s="125">
        <f t="shared" si="49"/>
        <v>469.62639999999999</v>
      </c>
      <c r="S1037" s="78">
        <f t="shared" si="50"/>
        <v>45717</v>
      </c>
      <c r="T1037" t="str">
        <f>IFERROR(VLOOKUP(B1037,Sites!$A$2:$D$21,4,FALSE()),"Unknown")</f>
        <v>Swansea</v>
      </c>
      <c r="U1037" t="str">
        <f>IF(N1037="OK","",COUNTIF($N$2:N1037,"&lt;&gt;OK"))</f>
        <v/>
      </c>
      <c r="V1037">
        <f>IF(OR(NOT(EXACT(E1037,TRIM(Procurement_Raw!E1037))),NOT(EXACT(F1037,TRIM(Procurement_Raw!F1037)))),1,0)</f>
        <v>0</v>
      </c>
    </row>
    <row r="1038" spans="1:22" ht="15" customHeight="1" x14ac:dyDescent="0.25">
      <c r="A1038" s="123">
        <f>Procurement_Raw!A1038</f>
        <v>45747</v>
      </c>
      <c r="B1038" t="str">
        <f>TRIM(Procurement_Raw!B1038)</f>
        <v>S001</v>
      </c>
      <c r="C1038" t="str">
        <f>Procurement_Raw!C1038</f>
        <v>Preston Care &amp; Education Centre</v>
      </c>
      <c r="D1038" t="str">
        <f>Procurement_Raw!D1038</f>
        <v>North</v>
      </c>
      <c r="E1038" t="str">
        <f>IF(TRIM(Procurement_Raw!E1038)="","",IFERROR(INDEX(Supplier_Lookup!$A$2:$A$25,MATCH(TRIM(Procurement_Raw!E1038),Supplier_Lookup!$A$2:$A$25,0)),TRIM(Procurement_Raw!E1038)))</f>
        <v>LearnWell</v>
      </c>
      <c r="F1038" t="str">
        <f>IFERROR(INDEX(Category_Targets!$A$2:$A$9,MATCH(TRIM(Procurement_Raw!F1038),Category_Targets!$A$2:$A$9,0)),"Unmapped")</f>
        <v>Office &amp; Training</v>
      </c>
      <c r="G1038" t="str">
        <f>TRIM(Procurement_Raw!G1038)</f>
        <v>INV-2025-01037</v>
      </c>
      <c r="H1038" s="77">
        <f>Procurement_Raw!H1038</f>
        <v>34</v>
      </c>
      <c r="I1038" s="124">
        <f>Procurement_Raw!I1038</f>
        <v>38.22</v>
      </c>
      <c r="J1038" s="125">
        <f>IF(Procurement_Raw!J1038="","",Procurement_Raw!J1038)</f>
        <v>1299.43</v>
      </c>
      <c r="K1038" s="77">
        <f>Procurement_Raw!K1038</f>
        <v>60</v>
      </c>
      <c r="L1038" t="str">
        <f>Procurement_Raw!L1038</f>
        <v>ERP</v>
      </c>
      <c r="M1038" t="str">
        <f>Procurement_Raw!O1038</f>
        <v>N</v>
      </c>
      <c r="N1038" t="str">
        <f>IF(E1038="","Missing supplier",IF(B1038="","Missing site",IF(J1038="","Missing spend",IF(COUNTIFS($G$2:G1038,G1038,$E$2:E1038,E1038,$J$2:J1038,J1038)&gt;1,"Duplicate invoice",IF(COUNTIF($G$2:$G$1801,G1038)&gt;1,"Duplicate ID - review",IF(AND(P1038&lt;&gt;"Unmapped",P1038&lt;&gt;F1038),"Category mismatch","OK"))))))</f>
        <v>OK</v>
      </c>
      <c r="O1038" s="125">
        <f t="shared" si="48"/>
        <v>1299.43</v>
      </c>
      <c r="P1038" t="str">
        <f>IF(E1038="","Unmapped",IFERROR(INDEX(Supplier_Lookup!$B$2:$B$25,MATCH(E1038,Supplier_Lookup!$A$2:$A$25,0)),"Unmapped"))</f>
        <v>Office &amp; Training</v>
      </c>
      <c r="Q1038" s="76">
        <f>IFERROR(INDEX(Category_Targets!$B$2:$B$9,MATCH(F1038,Category_Targets!$A$2:$A$9,0)),0)</f>
        <v>0.04</v>
      </c>
      <c r="R1038" s="125">
        <f t="shared" si="49"/>
        <v>51.977200000000003</v>
      </c>
      <c r="S1038" s="78">
        <f t="shared" si="50"/>
        <v>45717</v>
      </c>
      <c r="T1038" t="str">
        <f>IFERROR(VLOOKUP(B1038,Sites!$A$2:$D$21,4,FALSE()),"Unknown")</f>
        <v>Preston</v>
      </c>
      <c r="U1038" t="str">
        <f>IF(N1038="OK","",COUNTIF($N$2:N1038,"&lt;&gt;OK"))</f>
        <v/>
      </c>
      <c r="V1038">
        <f>IF(OR(NOT(EXACT(E1038,TRIM(Procurement_Raw!E1038))),NOT(EXACT(F1038,TRIM(Procurement_Raw!F1038)))),1,0)</f>
        <v>0</v>
      </c>
    </row>
    <row r="1039" spans="1:22" ht="15" customHeight="1" x14ac:dyDescent="0.25">
      <c r="A1039" s="123">
        <f>Procurement_Raw!A1039</f>
        <v>45674</v>
      </c>
      <c r="B1039" t="str">
        <f>TRIM(Procurement_Raw!B1039)</f>
        <v>S005</v>
      </c>
      <c r="C1039" t="str">
        <f>Procurement_Raw!C1039</f>
        <v>Sheffield Care &amp; Education Centre</v>
      </c>
      <c r="D1039" t="str">
        <f>Procurement_Raw!D1039</f>
        <v>North</v>
      </c>
      <c r="E1039" t="str">
        <f>IF(TRIM(Procurement_Raw!E1039)="","",IFERROR(INDEX(Supplier_Lookup!$A$2:$A$25,MATCH(TRIM(Procurement_Raw!E1039),Supplier_Lookup!$A$2:$A$25,0)),TRIM(Procurement_Raw!E1039)))</f>
        <v>BuildCare</v>
      </c>
      <c r="F1039" t="str">
        <f>IFERROR(INDEX(Category_Targets!$A$2:$A$9,MATCH(TRIM(Procurement_Raw!F1039),Category_Targets!$A$2:$A$9,0)),"Unmapped")</f>
        <v>Facilities</v>
      </c>
      <c r="G1039" t="str">
        <f>TRIM(Procurement_Raw!G1039)</f>
        <v>INV-2025-01038</v>
      </c>
      <c r="H1039" s="77">
        <f>Procurement_Raw!H1039</f>
        <v>44</v>
      </c>
      <c r="I1039" s="124">
        <f>Procurement_Raw!I1039</f>
        <v>80.44</v>
      </c>
      <c r="J1039" s="125">
        <f>IF(Procurement_Raw!J1039="","",Procurement_Raw!J1039)</f>
        <v>3539.5</v>
      </c>
      <c r="K1039" s="77">
        <f>Procurement_Raw!K1039</f>
        <v>30</v>
      </c>
      <c r="L1039" t="str">
        <f>Procurement_Raw!L1039</f>
        <v>ERP</v>
      </c>
      <c r="M1039" t="str">
        <f>Procurement_Raw!O1039</f>
        <v>N</v>
      </c>
      <c r="N1039" t="str">
        <f>IF(E1039="","Missing supplier",IF(B1039="","Missing site",IF(J1039="","Missing spend",IF(COUNTIFS($G$2:G1039,G1039,$E$2:E1039,E1039,$J$2:J1039,J1039)&gt;1,"Duplicate invoice",IF(COUNTIF($G$2:$G$1801,G1039)&gt;1,"Duplicate ID - review",IF(AND(P1039&lt;&gt;"Unmapped",P1039&lt;&gt;F1039),"Category mismatch","OK"))))))</f>
        <v>OK</v>
      </c>
      <c r="O1039" s="125">
        <f t="shared" si="48"/>
        <v>3539.5</v>
      </c>
      <c r="P1039" t="str">
        <f>IF(E1039="","Unmapped",IFERROR(INDEX(Supplier_Lookup!$B$2:$B$25,MATCH(E1039,Supplier_Lookup!$A$2:$A$25,0)),"Unmapped"))</f>
        <v>Facilities</v>
      </c>
      <c r="Q1039" s="76">
        <f>IFERROR(INDEX(Category_Targets!$B$2:$B$9,MATCH(F1039,Category_Targets!$A$2:$A$9,0)),0)</f>
        <v>0.05</v>
      </c>
      <c r="R1039" s="125">
        <f t="shared" si="49"/>
        <v>176.97500000000002</v>
      </c>
      <c r="S1039" s="78">
        <f t="shared" si="50"/>
        <v>45658</v>
      </c>
      <c r="T1039" t="str">
        <f>IFERROR(VLOOKUP(B1039,Sites!$A$2:$D$21,4,FALSE()),"Unknown")</f>
        <v>Sheffield</v>
      </c>
      <c r="U1039" t="str">
        <f>IF(N1039="OK","",COUNTIF($N$2:N1039,"&lt;&gt;OK"))</f>
        <v/>
      </c>
      <c r="V1039">
        <f>IF(OR(NOT(EXACT(E1039,TRIM(Procurement_Raw!E1039))),NOT(EXACT(F1039,TRIM(Procurement_Raw!F1039)))),1,0)</f>
        <v>0</v>
      </c>
    </row>
    <row r="1040" spans="1:22" ht="15" customHeight="1" x14ac:dyDescent="0.25">
      <c r="A1040" s="123">
        <f>Procurement_Raw!A1040</f>
        <v>45869</v>
      </c>
      <c r="B1040" t="str">
        <f>TRIM(Procurement_Raw!B1040)</f>
        <v>S015</v>
      </c>
      <c r="C1040" t="str">
        <f>Procurement_Raw!C1040</f>
        <v>Brighton Care &amp; Education Centre</v>
      </c>
      <c r="D1040" t="str">
        <f>Procurement_Raw!D1040</f>
        <v>South</v>
      </c>
      <c r="E1040" t="str">
        <f>IF(TRIM(Procurement_Raw!E1040)="","",IFERROR(INDEX(Supplier_Lookup!$A$2:$A$25,MATCH(TRIM(Procurement_Raw!E1040),Supplier_Lookup!$A$2:$A$25,0)),TRIM(Procurement_Raw!E1040)))</f>
        <v>SafeGuard FM</v>
      </c>
      <c r="F1040" t="str">
        <f>IFERROR(INDEX(Category_Targets!$A$2:$A$9,MATCH(TRIM(Procurement_Raw!F1040),Category_Targets!$A$2:$A$9,0)),"Unmapped")</f>
        <v>Facilities</v>
      </c>
      <c r="G1040" t="str">
        <f>TRIM(Procurement_Raw!G1040)</f>
        <v>INV-2025-01039</v>
      </c>
      <c r="H1040" s="77">
        <f>Procurement_Raw!H1040</f>
        <v>50</v>
      </c>
      <c r="I1040" s="124">
        <f>Procurement_Raw!I1040</f>
        <v>203.65</v>
      </c>
      <c r="J1040" s="125">
        <f>IF(Procurement_Raw!J1040="","",Procurement_Raw!J1040)</f>
        <v>10182.530000000001</v>
      </c>
      <c r="K1040" s="77">
        <f>Procurement_Raw!K1040</f>
        <v>30</v>
      </c>
      <c r="L1040" t="str">
        <f>Procurement_Raw!L1040</f>
        <v>Legacy Spend File</v>
      </c>
      <c r="M1040" t="str">
        <f>Procurement_Raw!O1040</f>
        <v>N</v>
      </c>
      <c r="N1040" t="str">
        <f>IF(E1040="","Missing supplier",IF(B1040="","Missing site",IF(J1040="","Missing spend",IF(COUNTIFS($G$2:G1040,G1040,$E$2:E1040,E1040,$J$2:J1040,J1040)&gt;1,"Duplicate invoice",IF(COUNTIF($G$2:$G$1801,G1040)&gt;1,"Duplicate ID - review",IF(AND(P1040&lt;&gt;"Unmapped",P1040&lt;&gt;F1040),"Category mismatch","OK"))))))</f>
        <v>OK</v>
      </c>
      <c r="O1040" s="125">
        <f t="shared" si="48"/>
        <v>10182.530000000001</v>
      </c>
      <c r="P1040" t="str">
        <f>IF(E1040="","Unmapped",IFERROR(INDEX(Supplier_Lookup!$B$2:$B$25,MATCH(E1040,Supplier_Lookup!$A$2:$A$25,0)),"Unmapped"))</f>
        <v>Facilities</v>
      </c>
      <c r="Q1040" s="76">
        <f>IFERROR(INDEX(Category_Targets!$B$2:$B$9,MATCH(F1040,Category_Targets!$A$2:$A$9,0)),0)</f>
        <v>0.05</v>
      </c>
      <c r="R1040" s="125">
        <f t="shared" si="49"/>
        <v>509.12650000000008</v>
      </c>
      <c r="S1040" s="78">
        <f t="shared" si="50"/>
        <v>45839</v>
      </c>
      <c r="T1040" t="str">
        <f>IFERROR(VLOOKUP(B1040,Sites!$A$2:$D$21,4,FALSE()),"Unknown")</f>
        <v>Brighton</v>
      </c>
      <c r="U1040" t="str">
        <f>IF(N1040="OK","",COUNTIF($N$2:N1040,"&lt;&gt;OK"))</f>
        <v/>
      </c>
      <c r="V1040">
        <f>IF(OR(NOT(EXACT(E1040,TRIM(Procurement_Raw!E1040))),NOT(EXACT(F1040,TRIM(Procurement_Raw!F1040)))),1,0)</f>
        <v>0</v>
      </c>
    </row>
    <row r="1041" spans="1:22" ht="15" customHeight="1" x14ac:dyDescent="0.25">
      <c r="A1041" s="123">
        <f>Procurement_Raw!A1041</f>
        <v>45953</v>
      </c>
      <c r="B1041" t="str">
        <f>TRIM(Procurement_Raw!B1041)</f>
        <v>S017</v>
      </c>
      <c r="C1041" t="str">
        <f>Procurement_Raw!C1041</f>
        <v>Swansea Care &amp; Education Centre</v>
      </c>
      <c r="D1041" t="str">
        <f>Procurement_Raw!D1041</f>
        <v>Wales</v>
      </c>
      <c r="E1041" t="str">
        <f>IF(TRIM(Procurement_Raw!E1041)="","",IFERROR(INDEX(Supplier_Lookup!$A$2:$A$25,MATCH(TRIM(Procurement_Raw!E1041),Supplier_Lookup!$A$2:$A$25,0)),TRIM(Procurement_Raw!E1041)))</f>
        <v>CleanWorks</v>
      </c>
      <c r="F1041" t="str">
        <f>IFERROR(INDEX(Category_Targets!$A$2:$A$9,MATCH(TRIM(Procurement_Raw!F1041),Category_Targets!$A$2:$A$9,0)),"Unmapped")</f>
        <v>Facilities</v>
      </c>
      <c r="G1041" t="str">
        <f>TRIM(Procurement_Raw!G1041)</f>
        <v>INV-2025-01040</v>
      </c>
      <c r="H1041" s="77">
        <f>Procurement_Raw!H1041</f>
        <v>45</v>
      </c>
      <c r="I1041" s="124">
        <f>Procurement_Raw!I1041</f>
        <v>320.17</v>
      </c>
      <c r="J1041" s="125">
        <f>IF(Procurement_Raw!J1041="","",Procurement_Raw!J1041)</f>
        <v>14407.78</v>
      </c>
      <c r="K1041" s="77">
        <f>Procurement_Raw!K1041</f>
        <v>30</v>
      </c>
      <c r="L1041" t="str">
        <f>Procurement_Raw!L1041</f>
        <v>Legacy Spend File</v>
      </c>
      <c r="M1041" t="str">
        <f>Procurement_Raw!O1041</f>
        <v>Y</v>
      </c>
      <c r="N1041" t="str">
        <f>IF(E1041="","Missing supplier",IF(B1041="","Missing site",IF(J1041="","Missing spend",IF(COUNTIFS($G$2:G1041,G1041,$E$2:E1041,E1041,$J$2:J1041,J1041)&gt;1,"Duplicate invoice",IF(COUNTIF($G$2:$G$1801,G1041)&gt;1,"Duplicate ID - review",IF(AND(P1041&lt;&gt;"Unmapped",P1041&lt;&gt;F1041),"Category mismatch","OK"))))))</f>
        <v>OK</v>
      </c>
      <c r="O1041" s="125">
        <f t="shared" si="48"/>
        <v>14407.78</v>
      </c>
      <c r="P1041" t="str">
        <f>IF(E1041="","Unmapped",IFERROR(INDEX(Supplier_Lookup!$B$2:$B$25,MATCH(E1041,Supplier_Lookup!$A$2:$A$25,0)),"Unmapped"))</f>
        <v>Facilities</v>
      </c>
      <c r="Q1041" s="76">
        <f>IFERROR(INDEX(Category_Targets!$B$2:$B$9,MATCH(F1041,Category_Targets!$A$2:$A$9,0)),0)</f>
        <v>0.05</v>
      </c>
      <c r="R1041" s="125">
        <f t="shared" si="49"/>
        <v>720.38900000000012</v>
      </c>
      <c r="S1041" s="78">
        <f t="shared" si="50"/>
        <v>45931</v>
      </c>
      <c r="T1041" t="str">
        <f>IFERROR(VLOOKUP(B1041,Sites!$A$2:$D$21,4,FALSE()),"Unknown")</f>
        <v>Swansea</v>
      </c>
      <c r="U1041" t="str">
        <f>IF(N1041="OK","",COUNTIF($N$2:N1041,"&lt;&gt;OK"))</f>
        <v/>
      </c>
      <c r="V1041">
        <f>IF(OR(NOT(EXACT(E1041,TRIM(Procurement_Raw!E1041))),NOT(EXACT(F1041,TRIM(Procurement_Raw!F1041)))),1,0)</f>
        <v>0</v>
      </c>
    </row>
    <row r="1042" spans="1:22" ht="15" customHeight="1" x14ac:dyDescent="0.25">
      <c r="A1042" s="123">
        <f>Procurement_Raw!A1042</f>
        <v>45743</v>
      </c>
      <c r="B1042" t="str">
        <f>TRIM(Procurement_Raw!B1042)</f>
        <v>S001</v>
      </c>
      <c r="C1042" t="str">
        <f>Procurement_Raw!C1042</f>
        <v>Preston Care &amp; Education Centre</v>
      </c>
      <c r="D1042" t="str">
        <f>Procurement_Raw!D1042</f>
        <v>North</v>
      </c>
      <c r="E1042" t="str">
        <f>IF(TRIM(Procurement_Raw!E1042)="","",IFERROR(INDEX(Supplier_Lookup!$A$2:$A$25,MATCH(TRIM(Procurement_Raw!E1042),Supplier_Lookup!$A$2:$A$25,0)),TRIM(Procurement_Raw!E1042)))</f>
        <v>FreshServe</v>
      </c>
      <c r="F1042" t="str">
        <f>IFERROR(INDEX(Category_Targets!$A$2:$A$9,MATCH(TRIM(Procurement_Raw!F1042),Category_Targets!$A$2:$A$9,0)),"Unmapped")</f>
        <v>Food &amp; Catering</v>
      </c>
      <c r="G1042" t="str">
        <f>TRIM(Procurement_Raw!G1042)</f>
        <v>INV-2025-01041</v>
      </c>
      <c r="H1042" s="77">
        <f>Procurement_Raw!H1042</f>
        <v>60</v>
      </c>
      <c r="I1042" s="124">
        <f>Procurement_Raw!I1042</f>
        <v>164.11</v>
      </c>
      <c r="J1042" s="125">
        <f>IF(Procurement_Raw!J1042="","",Procurement_Raw!J1042)</f>
        <v>9846.7000000000007</v>
      </c>
      <c r="K1042" s="77">
        <f>Procurement_Raw!K1042</f>
        <v>45</v>
      </c>
      <c r="L1042" t="str">
        <f>Procurement_Raw!L1042</f>
        <v>Procurement Portal</v>
      </c>
      <c r="M1042" t="str">
        <f>Procurement_Raw!O1042</f>
        <v>Y</v>
      </c>
      <c r="N1042" t="str">
        <f>IF(E1042="","Missing supplier",IF(B1042="","Missing site",IF(J1042="","Missing spend",IF(COUNTIFS($G$2:G1042,G1042,$E$2:E1042,E1042,$J$2:J1042,J1042)&gt;1,"Duplicate invoice",IF(COUNTIF($G$2:$G$1801,G1042)&gt;1,"Duplicate ID - review",IF(AND(P1042&lt;&gt;"Unmapped",P1042&lt;&gt;F1042),"Category mismatch","OK"))))))</f>
        <v>OK</v>
      </c>
      <c r="O1042" s="125">
        <f t="shared" si="48"/>
        <v>9846.7000000000007</v>
      </c>
      <c r="P1042" t="str">
        <f>IF(E1042="","Unmapped",IFERROR(INDEX(Supplier_Lookup!$B$2:$B$25,MATCH(E1042,Supplier_Lookup!$A$2:$A$25,0)),"Unmapped"))</f>
        <v>Food &amp; Catering</v>
      </c>
      <c r="Q1042" s="76">
        <f>IFERROR(INDEX(Category_Targets!$B$2:$B$9,MATCH(F1042,Category_Targets!$A$2:$A$9,0)),0)</f>
        <v>0.04</v>
      </c>
      <c r="R1042" s="125">
        <f t="shared" si="49"/>
        <v>393.86800000000005</v>
      </c>
      <c r="S1042" s="78">
        <f t="shared" si="50"/>
        <v>45717</v>
      </c>
      <c r="T1042" t="str">
        <f>IFERROR(VLOOKUP(B1042,Sites!$A$2:$D$21,4,FALSE()),"Unknown")</f>
        <v>Preston</v>
      </c>
      <c r="U1042" t="str">
        <f>IF(N1042="OK","",COUNTIF($N$2:N1042,"&lt;&gt;OK"))</f>
        <v/>
      </c>
      <c r="V1042">
        <f>IF(OR(NOT(EXACT(E1042,TRIM(Procurement_Raw!E1042))),NOT(EXACT(F1042,TRIM(Procurement_Raw!F1042)))),1,0)</f>
        <v>0</v>
      </c>
    </row>
    <row r="1043" spans="1:22" ht="15" customHeight="1" x14ac:dyDescent="0.25">
      <c r="A1043" s="123">
        <f>Procurement_Raw!A1043</f>
        <v>45930</v>
      </c>
      <c r="B1043" t="str">
        <f>TRIM(Procurement_Raw!B1043)</f>
        <v>S015</v>
      </c>
      <c r="C1043" t="str">
        <f>Procurement_Raw!C1043</f>
        <v>Brighton Care &amp; Education Centre</v>
      </c>
      <c r="D1043" t="str">
        <f>Procurement_Raw!D1043</f>
        <v>South</v>
      </c>
      <c r="E1043" t="str">
        <f>IF(TRIM(Procurement_Raw!E1043)="","",IFERROR(INDEX(Supplier_Lookup!$A$2:$A$25,MATCH(TRIM(Procurement_Raw!E1043),Supplier_Lookup!$A$2:$A$25,0)),TRIM(Procurement_Raw!E1043)))</f>
        <v>PrintCo</v>
      </c>
      <c r="F1043" t="str">
        <f>IFERROR(INDEX(Category_Targets!$A$2:$A$9,MATCH(TRIM(Procurement_Raw!F1043),Category_Targets!$A$2:$A$9,0)),"Unmapped")</f>
        <v>Office &amp; Training</v>
      </c>
      <c r="G1043" t="str">
        <f>TRIM(Procurement_Raw!G1043)</f>
        <v>INV-2025-01042</v>
      </c>
      <c r="H1043" s="77">
        <f>Procurement_Raw!H1043</f>
        <v>30</v>
      </c>
      <c r="I1043" s="124">
        <f>Procurement_Raw!I1043</f>
        <v>58.27</v>
      </c>
      <c r="J1043" s="125">
        <f>IF(Procurement_Raw!J1043="","",Procurement_Raw!J1043)</f>
        <v>1748.13</v>
      </c>
      <c r="K1043" s="77">
        <f>Procurement_Raw!K1043</f>
        <v>45</v>
      </c>
      <c r="L1043" t="str">
        <f>Procurement_Raw!L1043</f>
        <v>Legacy Spend File</v>
      </c>
      <c r="M1043" t="str">
        <f>Procurement_Raw!O1043</f>
        <v>N</v>
      </c>
      <c r="N1043" t="str">
        <f>IF(E1043="","Missing supplier",IF(B1043="","Missing site",IF(J1043="","Missing spend",IF(COUNTIFS($G$2:G1043,G1043,$E$2:E1043,E1043,$J$2:J1043,J1043)&gt;1,"Duplicate invoice",IF(COUNTIF($G$2:$G$1801,G1043)&gt;1,"Duplicate ID - review",IF(AND(P1043&lt;&gt;"Unmapped",P1043&lt;&gt;F1043),"Category mismatch","OK"))))))</f>
        <v>OK</v>
      </c>
      <c r="O1043" s="125">
        <f t="shared" si="48"/>
        <v>1748.13</v>
      </c>
      <c r="P1043" t="str">
        <f>IF(E1043="","Unmapped",IFERROR(INDEX(Supplier_Lookup!$B$2:$B$25,MATCH(E1043,Supplier_Lookup!$A$2:$A$25,0)),"Unmapped"))</f>
        <v>Office &amp; Training</v>
      </c>
      <c r="Q1043" s="76">
        <f>IFERROR(INDEX(Category_Targets!$B$2:$B$9,MATCH(F1043,Category_Targets!$A$2:$A$9,0)),0)</f>
        <v>0.04</v>
      </c>
      <c r="R1043" s="125">
        <f t="shared" si="49"/>
        <v>69.925200000000004</v>
      </c>
      <c r="S1043" s="78">
        <f t="shared" si="50"/>
        <v>45901</v>
      </c>
      <c r="T1043" t="str">
        <f>IFERROR(VLOOKUP(B1043,Sites!$A$2:$D$21,4,FALSE()),"Unknown")</f>
        <v>Brighton</v>
      </c>
      <c r="U1043" t="str">
        <f>IF(N1043="OK","",COUNTIF($N$2:N1043,"&lt;&gt;OK"))</f>
        <v/>
      </c>
      <c r="V1043">
        <f>IF(OR(NOT(EXACT(E1043,TRIM(Procurement_Raw!E1043))),NOT(EXACT(F1043,TRIM(Procurement_Raw!F1043)))),1,0)</f>
        <v>0</v>
      </c>
    </row>
    <row r="1044" spans="1:22" ht="15" customHeight="1" x14ac:dyDescent="0.25">
      <c r="A1044" s="123">
        <f>Procurement_Raw!A1044</f>
        <v>45792</v>
      </c>
      <c r="B1044" t="str">
        <f>TRIM(Procurement_Raw!B1044)</f>
        <v>S020</v>
      </c>
      <c r="C1044" t="str">
        <f>Procurement_Raw!C1044</f>
        <v>Bangor Care &amp; Education Centre</v>
      </c>
      <c r="D1044" t="str">
        <f>Procurement_Raw!D1044</f>
        <v>Wales</v>
      </c>
      <c r="E1044" t="str">
        <f>IF(TRIM(Procurement_Raw!E1044)="","",IFERROR(INDEX(Supplier_Lookup!$A$2:$A$25,MATCH(TRIM(Procurement_Raw!E1044),Supplier_Lookup!$A$2:$A$25,0)),TRIM(Procurement_Raw!E1044)))</f>
        <v>CareTemps</v>
      </c>
      <c r="F1044" t="str">
        <f>IFERROR(INDEX(Category_Targets!$A$2:$A$9,MATCH(TRIM(Procurement_Raw!F1044),Category_Targets!$A$2:$A$9,0)),"Unmapped")</f>
        <v>Agency Labour</v>
      </c>
      <c r="G1044" t="str">
        <f>TRIM(Procurement_Raw!G1044)</f>
        <v>INV-2025-01043</v>
      </c>
      <c r="H1044" s="77">
        <f>Procurement_Raw!H1044</f>
        <v>19</v>
      </c>
      <c r="I1044" s="124">
        <f>Procurement_Raw!I1044</f>
        <v>542.97</v>
      </c>
      <c r="J1044" s="125">
        <f>IF(Procurement_Raw!J1044="","",Procurement_Raw!J1044)</f>
        <v>10316.459999999999</v>
      </c>
      <c r="K1044" s="77">
        <f>Procurement_Raw!K1044</f>
        <v>60</v>
      </c>
      <c r="L1044" t="str">
        <f>Procurement_Raw!L1044</f>
        <v>Procurement Portal</v>
      </c>
      <c r="M1044" t="str">
        <f>Procurement_Raw!O1044</f>
        <v>N</v>
      </c>
      <c r="N1044" t="str">
        <f>IF(E1044="","Missing supplier",IF(B1044="","Missing site",IF(J1044="","Missing spend",IF(COUNTIFS($G$2:G1044,G1044,$E$2:E1044,E1044,$J$2:J1044,J1044)&gt;1,"Duplicate invoice",IF(COUNTIF($G$2:$G$1801,G1044)&gt;1,"Duplicate ID - review",IF(AND(P1044&lt;&gt;"Unmapped",P1044&lt;&gt;F1044),"Category mismatch","OK"))))))</f>
        <v>OK</v>
      </c>
      <c r="O1044" s="125">
        <f t="shared" si="48"/>
        <v>10316.459999999999</v>
      </c>
      <c r="P1044" t="str">
        <f>IF(E1044="","Unmapped",IFERROR(INDEX(Supplier_Lookup!$B$2:$B$25,MATCH(E1044,Supplier_Lookup!$A$2:$A$25,0)),"Unmapped"))</f>
        <v>Agency Labour</v>
      </c>
      <c r="Q1044" s="76">
        <f>IFERROR(INDEX(Category_Targets!$B$2:$B$9,MATCH(F1044,Category_Targets!$A$2:$A$9,0)),0)</f>
        <v>7.0000000000000007E-2</v>
      </c>
      <c r="R1044" s="125">
        <f t="shared" si="49"/>
        <v>722.15219999999999</v>
      </c>
      <c r="S1044" s="78">
        <f t="shared" si="50"/>
        <v>45778</v>
      </c>
      <c r="T1044" t="str">
        <f>IFERROR(VLOOKUP(B1044,Sites!$A$2:$D$21,4,FALSE()),"Unknown")</f>
        <v>Bangor</v>
      </c>
      <c r="U1044" t="str">
        <f>IF(N1044="OK","",COUNTIF($N$2:N1044,"&lt;&gt;OK"))</f>
        <v/>
      </c>
      <c r="V1044">
        <f>IF(OR(NOT(EXACT(E1044,TRIM(Procurement_Raw!E1044))),NOT(EXACT(F1044,TRIM(Procurement_Raw!F1044)))),1,0)</f>
        <v>0</v>
      </c>
    </row>
    <row r="1045" spans="1:22" ht="15" customHeight="1" x14ac:dyDescent="0.25">
      <c r="A1045" s="123">
        <f>Procurement_Raw!A1045</f>
        <v>45853</v>
      </c>
      <c r="B1045" t="str">
        <f>TRIM(Procurement_Raw!B1045)</f>
        <v>S012</v>
      </c>
      <c r="C1045" t="str">
        <f>Procurement_Raw!C1045</f>
        <v>Bristol Care &amp; Education Centre</v>
      </c>
      <c r="D1045" t="str">
        <f>Procurement_Raw!D1045</f>
        <v>South</v>
      </c>
      <c r="E1045" t="str">
        <f>IF(TRIM(Procurement_Raw!E1045)="","",IFERROR(INDEX(Supplier_Lookup!$A$2:$A$25,MATCH(TRIM(Procurement_Raw!E1045),Supplier_Lookup!$A$2:$A$25,0)),TRIM(Procurement_Raw!E1045)))</f>
        <v>TeleCare IT</v>
      </c>
      <c r="F1045" t="str">
        <f>IFERROR(INDEX(Category_Targets!$A$2:$A$9,MATCH(TRIM(Procurement_Raw!F1045),Category_Targets!$A$2:$A$9,0)),"Unmapped")</f>
        <v>IT &amp; Telecoms</v>
      </c>
      <c r="G1045" t="str">
        <f>TRIM(Procurement_Raw!G1045)</f>
        <v>INV-2025-01044</v>
      </c>
      <c r="H1045" s="77">
        <f>Procurement_Raw!H1045</f>
        <v>41</v>
      </c>
      <c r="I1045" s="124">
        <f>Procurement_Raw!I1045</f>
        <v>215.39</v>
      </c>
      <c r="J1045" s="125">
        <f>IF(Procurement_Raw!J1045="","",Procurement_Raw!J1045)</f>
        <v>8830.9699999999993</v>
      </c>
      <c r="K1045" s="77">
        <f>Procurement_Raw!K1045</f>
        <v>60</v>
      </c>
      <c r="L1045" t="str">
        <f>Procurement_Raw!L1045</f>
        <v>Legacy Spend File</v>
      </c>
      <c r="M1045" t="str">
        <f>Procurement_Raw!O1045</f>
        <v>N</v>
      </c>
      <c r="N1045" t="str">
        <f>IF(E1045="","Missing supplier",IF(B1045="","Missing site",IF(J1045="","Missing spend",IF(COUNTIFS($G$2:G1045,G1045,$E$2:E1045,E1045,$J$2:J1045,J1045)&gt;1,"Duplicate invoice",IF(COUNTIF($G$2:$G$1801,G1045)&gt;1,"Duplicate ID - review",IF(AND(P1045&lt;&gt;"Unmapped",P1045&lt;&gt;F1045),"Category mismatch","OK"))))))</f>
        <v>OK</v>
      </c>
      <c r="O1045" s="125">
        <f t="shared" si="48"/>
        <v>8830.9699999999993</v>
      </c>
      <c r="P1045" t="str">
        <f>IF(E1045="","Unmapped",IFERROR(INDEX(Supplier_Lookup!$B$2:$B$25,MATCH(E1045,Supplier_Lookup!$A$2:$A$25,0)),"Unmapped"))</f>
        <v>IT &amp; Telecoms</v>
      </c>
      <c r="Q1045" s="76">
        <f>IFERROR(INDEX(Category_Targets!$B$2:$B$9,MATCH(F1045,Category_Targets!$A$2:$A$9,0)),0)</f>
        <v>0.08</v>
      </c>
      <c r="R1045" s="125">
        <f t="shared" si="49"/>
        <v>706.47759999999994</v>
      </c>
      <c r="S1045" s="78">
        <f t="shared" si="50"/>
        <v>45839</v>
      </c>
      <c r="T1045" t="str">
        <f>IFERROR(VLOOKUP(B1045,Sites!$A$2:$D$21,4,FALSE()),"Unknown")</f>
        <v>Bristol</v>
      </c>
      <c r="U1045" t="str">
        <f>IF(N1045="OK","",COUNTIF($N$2:N1045,"&lt;&gt;OK"))</f>
        <v/>
      </c>
      <c r="V1045">
        <f>IF(OR(NOT(EXACT(E1045,TRIM(Procurement_Raw!E1045))),NOT(EXACT(F1045,TRIM(Procurement_Raw!F1045)))),1,0)</f>
        <v>0</v>
      </c>
    </row>
    <row r="1046" spans="1:22" ht="15" customHeight="1" x14ac:dyDescent="0.25">
      <c r="A1046" s="123">
        <f>Procurement_Raw!A1046</f>
        <v>45984</v>
      </c>
      <c r="B1046" t="str">
        <f>TRIM(Procurement_Raw!B1046)</f>
        <v>S003</v>
      </c>
      <c r="C1046" t="str">
        <f>Procurement_Raw!C1046</f>
        <v>Leeds Care &amp; Education Centre</v>
      </c>
      <c r="D1046" t="str">
        <f>Procurement_Raw!D1046</f>
        <v>North</v>
      </c>
      <c r="E1046" t="str">
        <f>IF(TRIM(Procurement_Raw!E1046)="","",IFERROR(INDEX(Supplier_Lookup!$A$2:$A$25,MATCH(TRIM(Procurement_Raw!E1046),Supplier_Lookup!$A$2:$A$25,0)),TRIM(Procurement_Raw!E1046)))</f>
        <v>KitchenPro</v>
      </c>
      <c r="F1046" t="str">
        <f>IFERROR(INDEX(Category_Targets!$A$2:$A$9,MATCH(TRIM(Procurement_Raw!F1046),Category_Targets!$A$2:$A$9,0)),"Unmapped")</f>
        <v>Food &amp; Catering</v>
      </c>
      <c r="G1046" t="str">
        <f>TRIM(Procurement_Raw!G1046)</f>
        <v>INV-2025-01045</v>
      </c>
      <c r="H1046" s="77">
        <f>Procurement_Raw!H1046</f>
        <v>46</v>
      </c>
      <c r="I1046" s="124">
        <f>Procurement_Raw!I1046</f>
        <v>59.11</v>
      </c>
      <c r="J1046" s="125">
        <f>IF(Procurement_Raw!J1046="","",Procurement_Raw!J1046)</f>
        <v>2719.17</v>
      </c>
      <c r="K1046" s="77">
        <f>Procurement_Raw!K1046</f>
        <v>45</v>
      </c>
      <c r="L1046" t="str">
        <f>Procurement_Raw!L1046</f>
        <v>Legacy Spend File</v>
      </c>
      <c r="M1046" t="str">
        <f>Procurement_Raw!O1046</f>
        <v>N</v>
      </c>
      <c r="N1046" t="str">
        <f>IF(E1046="","Missing supplier",IF(B1046="","Missing site",IF(J1046="","Missing spend",IF(COUNTIFS($G$2:G1046,G1046,$E$2:E1046,E1046,$J$2:J1046,J1046)&gt;1,"Duplicate invoice",IF(COUNTIF($G$2:$G$1801,G1046)&gt;1,"Duplicate ID - review",IF(AND(P1046&lt;&gt;"Unmapped",P1046&lt;&gt;F1046),"Category mismatch","OK"))))))</f>
        <v>OK</v>
      </c>
      <c r="O1046" s="125">
        <f t="shared" si="48"/>
        <v>2719.17</v>
      </c>
      <c r="P1046" t="str">
        <f>IF(E1046="","Unmapped",IFERROR(INDEX(Supplier_Lookup!$B$2:$B$25,MATCH(E1046,Supplier_Lookup!$A$2:$A$25,0)),"Unmapped"))</f>
        <v>Food &amp; Catering</v>
      </c>
      <c r="Q1046" s="76">
        <f>IFERROR(INDEX(Category_Targets!$B$2:$B$9,MATCH(F1046,Category_Targets!$A$2:$A$9,0)),0)</f>
        <v>0.04</v>
      </c>
      <c r="R1046" s="125">
        <f t="shared" si="49"/>
        <v>108.7668</v>
      </c>
      <c r="S1046" s="78">
        <f t="shared" si="50"/>
        <v>45962</v>
      </c>
      <c r="T1046" t="str">
        <f>IFERROR(VLOOKUP(B1046,Sites!$A$2:$D$21,4,FALSE()),"Unknown")</f>
        <v>Leeds</v>
      </c>
      <c r="U1046" t="str">
        <f>IF(N1046="OK","",COUNTIF($N$2:N1046,"&lt;&gt;OK"))</f>
        <v/>
      </c>
      <c r="V1046">
        <f>IF(OR(NOT(EXACT(E1046,TRIM(Procurement_Raw!E1046))),NOT(EXACT(F1046,TRIM(Procurement_Raw!F1046)))),1,0)</f>
        <v>0</v>
      </c>
    </row>
    <row r="1047" spans="1:22" ht="15" customHeight="1" x14ac:dyDescent="0.25">
      <c r="A1047" s="123">
        <f>Procurement_Raw!A1047</f>
        <v>45796</v>
      </c>
      <c r="B1047" t="str">
        <f>TRIM(Procurement_Raw!B1047)</f>
        <v>S017</v>
      </c>
      <c r="C1047" t="str">
        <f>Procurement_Raw!C1047</f>
        <v>Swansea Care &amp; Education Centre</v>
      </c>
      <c r="D1047" t="str">
        <f>Procurement_Raw!D1047</f>
        <v>Wales</v>
      </c>
      <c r="E1047" t="str">
        <f>IF(TRIM(Procurement_Raw!E1047)="","",IFERROR(INDEX(Supplier_Lookup!$A$2:$A$25,MATCH(TRIM(Procurement_Raw!E1047),Supplier_Lookup!$A$2:$A$25,0)),TRIM(Procurement_Raw!E1047)))</f>
        <v>TeleCare IT</v>
      </c>
      <c r="F1047" t="str">
        <f>IFERROR(INDEX(Category_Targets!$A$2:$A$9,MATCH(TRIM(Procurement_Raw!F1047),Category_Targets!$A$2:$A$9,0)),"Unmapped")</f>
        <v>IT &amp; Telecoms</v>
      </c>
      <c r="G1047" t="str">
        <f>TRIM(Procurement_Raw!G1047)</f>
        <v>INV-2025-01046</v>
      </c>
      <c r="H1047" s="77">
        <f>Procurement_Raw!H1047</f>
        <v>35</v>
      </c>
      <c r="I1047" s="124">
        <f>Procurement_Raw!I1047</f>
        <v>357.68</v>
      </c>
      <c r="J1047" s="125">
        <f>IF(Procurement_Raw!J1047="","",Procurement_Raw!J1047)</f>
        <v>12518.82</v>
      </c>
      <c r="K1047" s="77">
        <f>Procurement_Raw!K1047</f>
        <v>30</v>
      </c>
      <c r="L1047" t="str">
        <f>Procurement_Raw!L1047</f>
        <v>Procurement Portal</v>
      </c>
      <c r="M1047" t="str">
        <f>Procurement_Raw!O1047</f>
        <v>N</v>
      </c>
      <c r="N1047" t="str">
        <f>IF(E1047="","Missing supplier",IF(B1047="","Missing site",IF(J1047="","Missing spend",IF(COUNTIFS($G$2:G1047,G1047,$E$2:E1047,E1047,$J$2:J1047,J1047)&gt;1,"Duplicate invoice",IF(COUNTIF($G$2:$G$1801,G1047)&gt;1,"Duplicate ID - review",IF(AND(P1047&lt;&gt;"Unmapped",P1047&lt;&gt;F1047),"Category mismatch","OK"))))))</f>
        <v>OK</v>
      </c>
      <c r="O1047" s="125">
        <f t="shared" si="48"/>
        <v>12518.82</v>
      </c>
      <c r="P1047" t="str">
        <f>IF(E1047="","Unmapped",IFERROR(INDEX(Supplier_Lookup!$B$2:$B$25,MATCH(E1047,Supplier_Lookup!$A$2:$A$25,0)),"Unmapped"))</f>
        <v>IT &amp; Telecoms</v>
      </c>
      <c r="Q1047" s="76">
        <f>IFERROR(INDEX(Category_Targets!$B$2:$B$9,MATCH(F1047,Category_Targets!$A$2:$A$9,0)),0)</f>
        <v>0.08</v>
      </c>
      <c r="R1047" s="125">
        <f t="shared" si="49"/>
        <v>1001.5056</v>
      </c>
      <c r="S1047" s="78">
        <f t="shared" si="50"/>
        <v>45778</v>
      </c>
      <c r="T1047" t="str">
        <f>IFERROR(VLOOKUP(B1047,Sites!$A$2:$D$21,4,FALSE()),"Unknown")</f>
        <v>Swansea</v>
      </c>
      <c r="U1047" t="str">
        <f>IF(N1047="OK","",COUNTIF($N$2:N1047,"&lt;&gt;OK"))</f>
        <v/>
      </c>
      <c r="V1047">
        <f>IF(OR(NOT(EXACT(E1047,TRIM(Procurement_Raw!E1047))),NOT(EXACT(F1047,TRIM(Procurement_Raw!F1047)))),1,0)</f>
        <v>0</v>
      </c>
    </row>
    <row r="1048" spans="1:22" ht="15" customHeight="1" x14ac:dyDescent="0.25">
      <c r="A1048" s="123">
        <f>Procurement_Raw!A1048</f>
        <v>46003</v>
      </c>
      <c r="B1048" t="str">
        <f>TRIM(Procurement_Raw!B1048)</f>
        <v>S013</v>
      </c>
      <c r="C1048" t="str">
        <f>Procurement_Raw!C1048</f>
        <v>Reading Care &amp; Education Centre</v>
      </c>
      <c r="D1048" t="str">
        <f>Procurement_Raw!D1048</f>
        <v>South</v>
      </c>
      <c r="E1048" t="str">
        <f>IF(TRIM(Procurement_Raw!E1048)="","",IFERROR(INDEX(Supplier_Lookup!$A$2:$A$25,MATCH(TRIM(Procurement_Raw!E1048),Supplier_Lookup!$A$2:$A$25,0)),TRIM(Procurement_Raw!E1048)))</f>
        <v>CareTemps</v>
      </c>
      <c r="F1048" t="str">
        <f>IFERROR(INDEX(Category_Targets!$A$2:$A$9,MATCH(TRIM(Procurement_Raw!F1048),Category_Targets!$A$2:$A$9,0)),"Unmapped")</f>
        <v>Agency Labour</v>
      </c>
      <c r="G1048" t="str">
        <f>TRIM(Procurement_Raw!G1048)</f>
        <v>INV-2025-01047</v>
      </c>
      <c r="H1048" s="77">
        <f>Procurement_Raw!H1048</f>
        <v>31</v>
      </c>
      <c r="I1048" s="124">
        <f>Procurement_Raw!I1048</f>
        <v>429.47</v>
      </c>
      <c r="J1048" s="125">
        <f>IF(Procurement_Raw!J1048="","",Procurement_Raw!J1048)</f>
        <v>13313.68</v>
      </c>
      <c r="K1048" s="77">
        <f>Procurement_Raw!K1048</f>
        <v>60</v>
      </c>
      <c r="L1048" t="str">
        <f>Procurement_Raw!L1048</f>
        <v>Legacy Spend File</v>
      </c>
      <c r="M1048" t="str">
        <f>Procurement_Raw!O1048</f>
        <v>N</v>
      </c>
      <c r="N1048" t="str">
        <f>IF(E1048="","Missing supplier",IF(B1048="","Missing site",IF(J1048="","Missing spend",IF(COUNTIFS($G$2:G1048,G1048,$E$2:E1048,E1048,$J$2:J1048,J1048)&gt;1,"Duplicate invoice",IF(COUNTIF($G$2:$G$1801,G1048)&gt;1,"Duplicate ID - review",IF(AND(P1048&lt;&gt;"Unmapped",P1048&lt;&gt;F1048),"Category mismatch","OK"))))))</f>
        <v>OK</v>
      </c>
      <c r="O1048" s="125">
        <f t="shared" si="48"/>
        <v>13313.68</v>
      </c>
      <c r="P1048" t="str">
        <f>IF(E1048="","Unmapped",IFERROR(INDEX(Supplier_Lookup!$B$2:$B$25,MATCH(E1048,Supplier_Lookup!$A$2:$A$25,0)),"Unmapped"))</f>
        <v>Agency Labour</v>
      </c>
      <c r="Q1048" s="76">
        <f>IFERROR(INDEX(Category_Targets!$B$2:$B$9,MATCH(F1048,Category_Targets!$A$2:$A$9,0)),0)</f>
        <v>7.0000000000000007E-2</v>
      </c>
      <c r="R1048" s="125">
        <f t="shared" si="49"/>
        <v>931.95760000000007</v>
      </c>
      <c r="S1048" s="78">
        <f t="shared" si="50"/>
        <v>45992</v>
      </c>
      <c r="T1048" t="str">
        <f>IFERROR(VLOOKUP(B1048,Sites!$A$2:$D$21,4,FALSE()),"Unknown")</f>
        <v>Reading</v>
      </c>
      <c r="U1048" t="str">
        <f>IF(N1048="OK","",COUNTIF($N$2:N1048,"&lt;&gt;OK"))</f>
        <v/>
      </c>
      <c r="V1048">
        <f>IF(OR(NOT(EXACT(E1048,TRIM(Procurement_Raw!E1048))),NOT(EXACT(F1048,TRIM(Procurement_Raw!F1048)))),1,0)</f>
        <v>0</v>
      </c>
    </row>
    <row r="1049" spans="1:22" ht="15" customHeight="1" x14ac:dyDescent="0.25">
      <c r="A1049" s="123">
        <f>Procurement_Raw!A1049</f>
        <v>45830</v>
      </c>
      <c r="B1049" t="str">
        <f>TRIM(Procurement_Raw!B1049)</f>
        <v>S014</v>
      </c>
      <c r="C1049" t="str">
        <f>Procurement_Raw!C1049</f>
        <v>Southampton Care &amp; Education Centre</v>
      </c>
      <c r="D1049" t="str">
        <f>Procurement_Raw!D1049</f>
        <v>South</v>
      </c>
      <c r="E1049" t="str">
        <f>IF(TRIM(Procurement_Raw!E1049)="","",IFERROR(INDEX(Supplier_Lookup!$A$2:$A$25,MATCH(TRIM(Procurement_Raw!E1049),Supplier_Lookup!$A$2:$A$25,0)),TRIM(Procurement_Raw!E1049)))</f>
        <v>PowerDirect</v>
      </c>
      <c r="F1049" t="str">
        <f>IFERROR(INDEX(Category_Targets!$A$2:$A$9,MATCH(TRIM(Procurement_Raw!F1049),Category_Targets!$A$2:$A$9,0)),"Unmapped")</f>
        <v>Utilities</v>
      </c>
      <c r="G1049" t="str">
        <f>TRIM(Procurement_Raw!G1049)</f>
        <v>INV-2025-01048</v>
      </c>
      <c r="H1049" s="77">
        <f>Procurement_Raw!H1049</f>
        <v>24</v>
      </c>
      <c r="I1049" s="124">
        <f>Procurement_Raw!I1049</f>
        <v>105.05</v>
      </c>
      <c r="J1049" s="125">
        <f>IF(Procurement_Raw!J1049="","",Procurement_Raw!J1049)</f>
        <v>2521.2199999999998</v>
      </c>
      <c r="K1049" s="77">
        <f>Procurement_Raw!K1049</f>
        <v>45</v>
      </c>
      <c r="L1049" t="str">
        <f>Procurement_Raw!L1049</f>
        <v>Legacy Spend File</v>
      </c>
      <c r="M1049" t="str">
        <f>Procurement_Raw!O1049</f>
        <v>N</v>
      </c>
      <c r="N1049" t="str">
        <f>IF(E1049="","Missing supplier",IF(B1049="","Missing site",IF(J1049="","Missing spend",IF(COUNTIFS($G$2:G1049,G1049,$E$2:E1049,E1049,$J$2:J1049,J1049)&gt;1,"Duplicate invoice",IF(COUNTIF($G$2:$G$1801,G1049)&gt;1,"Duplicate ID - review",IF(AND(P1049&lt;&gt;"Unmapped",P1049&lt;&gt;F1049),"Category mismatch","OK"))))))</f>
        <v>OK</v>
      </c>
      <c r="O1049" s="125">
        <f t="shared" si="48"/>
        <v>2521.2199999999998</v>
      </c>
      <c r="P1049" t="str">
        <f>IF(E1049="","Unmapped",IFERROR(INDEX(Supplier_Lookup!$B$2:$B$25,MATCH(E1049,Supplier_Lookup!$A$2:$A$25,0)),"Unmapped"))</f>
        <v>Utilities</v>
      </c>
      <c r="Q1049" s="76">
        <f>IFERROR(INDEX(Category_Targets!$B$2:$B$9,MATCH(F1049,Category_Targets!$A$2:$A$9,0)),0)</f>
        <v>0.03</v>
      </c>
      <c r="R1049" s="125">
        <f t="shared" si="49"/>
        <v>75.636599999999987</v>
      </c>
      <c r="S1049" s="78">
        <f t="shared" si="50"/>
        <v>45809</v>
      </c>
      <c r="T1049" t="str">
        <f>IFERROR(VLOOKUP(B1049,Sites!$A$2:$D$21,4,FALSE()),"Unknown")</f>
        <v>Southampton</v>
      </c>
      <c r="U1049" t="str">
        <f>IF(N1049="OK","",COUNTIF($N$2:N1049,"&lt;&gt;OK"))</f>
        <v/>
      </c>
      <c r="V1049">
        <f>IF(OR(NOT(EXACT(E1049,TRIM(Procurement_Raw!E1049))),NOT(EXACT(F1049,TRIM(Procurement_Raw!F1049)))),1,0)</f>
        <v>0</v>
      </c>
    </row>
    <row r="1050" spans="1:22" ht="15" customHeight="1" x14ac:dyDescent="0.25">
      <c r="A1050" s="123">
        <f>Procurement_Raw!A1050</f>
        <v>45664</v>
      </c>
      <c r="B1050" t="str">
        <f>TRIM(Procurement_Raw!B1050)</f>
        <v>S015</v>
      </c>
      <c r="C1050" t="str">
        <f>Procurement_Raw!C1050</f>
        <v>Brighton Care &amp; Education Centre</v>
      </c>
      <c r="D1050" t="str">
        <f>Procurement_Raw!D1050</f>
        <v>South</v>
      </c>
      <c r="E1050" t="str">
        <f>IF(TRIM(Procurement_Raw!E1050)="","",IFERROR(INDEX(Supplier_Lookup!$A$2:$A$25,MATCH(TRIM(Procurement_Raw!E1050),Supplier_Lookup!$A$2:$A$25,0)),TRIM(Procurement_Raw!E1050)))</f>
        <v>MediSure</v>
      </c>
      <c r="F1050" t="str">
        <f>IFERROR(INDEX(Category_Targets!$A$2:$A$9,MATCH(TRIM(Procurement_Raw!F1050),Category_Targets!$A$2:$A$9,0)),"Unmapped")</f>
        <v>Medical Supplies</v>
      </c>
      <c r="G1050" t="str">
        <f>TRIM(Procurement_Raw!G1050)</f>
        <v>INV-2025-01049</v>
      </c>
      <c r="H1050" s="77">
        <f>Procurement_Raw!H1050</f>
        <v>53</v>
      </c>
      <c r="I1050" s="124">
        <f>Procurement_Raw!I1050</f>
        <v>270.32</v>
      </c>
      <c r="J1050" s="125">
        <f>IF(Procurement_Raw!J1050="","",Procurement_Raw!J1050)</f>
        <v>14326.71</v>
      </c>
      <c r="K1050" s="77">
        <f>Procurement_Raw!K1050</f>
        <v>30</v>
      </c>
      <c r="L1050" t="str">
        <f>Procurement_Raw!L1050</f>
        <v>Legacy Spend File</v>
      </c>
      <c r="M1050" t="str">
        <f>Procurement_Raw!O1050</f>
        <v>Y</v>
      </c>
      <c r="N1050" t="str">
        <f>IF(E1050="","Missing supplier",IF(B1050="","Missing site",IF(J1050="","Missing spend",IF(COUNTIFS($G$2:G1050,G1050,$E$2:E1050,E1050,$J$2:J1050,J1050)&gt;1,"Duplicate invoice",IF(COUNTIF($G$2:$G$1801,G1050)&gt;1,"Duplicate ID - review",IF(AND(P1050&lt;&gt;"Unmapped",P1050&lt;&gt;F1050),"Category mismatch","OK"))))))</f>
        <v>OK</v>
      </c>
      <c r="O1050" s="125">
        <f t="shared" si="48"/>
        <v>14326.71</v>
      </c>
      <c r="P1050" t="str">
        <f>IF(E1050="","Unmapped",IFERROR(INDEX(Supplier_Lookup!$B$2:$B$25,MATCH(E1050,Supplier_Lookup!$A$2:$A$25,0)),"Unmapped"))</f>
        <v>Medical Supplies</v>
      </c>
      <c r="Q1050" s="76">
        <f>IFERROR(INDEX(Category_Targets!$B$2:$B$9,MATCH(F1050,Category_Targets!$A$2:$A$9,0)),0)</f>
        <v>0.06</v>
      </c>
      <c r="R1050" s="125">
        <f t="shared" si="49"/>
        <v>859.60259999999994</v>
      </c>
      <c r="S1050" s="78">
        <f t="shared" si="50"/>
        <v>45658</v>
      </c>
      <c r="T1050" t="str">
        <f>IFERROR(VLOOKUP(B1050,Sites!$A$2:$D$21,4,FALSE()),"Unknown")</f>
        <v>Brighton</v>
      </c>
      <c r="U1050" t="str">
        <f>IF(N1050="OK","",COUNTIF($N$2:N1050,"&lt;&gt;OK"))</f>
        <v/>
      </c>
      <c r="V1050">
        <f>IF(OR(NOT(EXACT(E1050,TRIM(Procurement_Raw!E1050))),NOT(EXACT(F1050,TRIM(Procurement_Raw!F1050)))),1,0)</f>
        <v>0</v>
      </c>
    </row>
    <row r="1051" spans="1:22" ht="15" customHeight="1" x14ac:dyDescent="0.25">
      <c r="A1051" s="123">
        <f>Procurement_Raw!A1051</f>
        <v>45770</v>
      </c>
      <c r="B1051" t="str">
        <f>TRIM(Procurement_Raw!B1051)</f>
        <v>S007</v>
      </c>
      <c r="C1051" t="str">
        <f>Procurement_Raw!C1051</f>
        <v>Nottingham Care &amp; Education Centre</v>
      </c>
      <c r="D1051" t="str">
        <f>Procurement_Raw!D1051</f>
        <v>Midlands</v>
      </c>
      <c r="E1051" t="str">
        <f>IF(TRIM(Procurement_Raw!E1051)="","",IFERROR(INDEX(Supplier_Lookup!$A$2:$A$25,MATCH(TRIM(Procurement_Raw!E1051),Supplier_Lookup!$A$2:$A$25,0)),TRIM(Procurement_Raw!E1051)))</f>
        <v>LearnWell</v>
      </c>
      <c r="F1051" t="str">
        <f>IFERROR(INDEX(Category_Targets!$A$2:$A$9,MATCH(TRIM(Procurement_Raw!F1051),Category_Targets!$A$2:$A$9,0)),"Unmapped")</f>
        <v>Office &amp; Training</v>
      </c>
      <c r="G1051" t="str">
        <f>TRIM(Procurement_Raw!G1051)</f>
        <v>INV-2025-01050</v>
      </c>
      <c r="H1051" s="77">
        <f>Procurement_Raw!H1051</f>
        <v>37</v>
      </c>
      <c r="I1051" s="124">
        <f>Procurement_Raw!I1051</f>
        <v>160.22</v>
      </c>
      <c r="J1051" s="125">
        <f>IF(Procurement_Raw!J1051="","",Procurement_Raw!J1051)</f>
        <v>5928.08</v>
      </c>
      <c r="K1051" s="77">
        <f>Procurement_Raw!K1051</f>
        <v>45</v>
      </c>
      <c r="L1051" t="str">
        <f>Procurement_Raw!L1051</f>
        <v>ERP</v>
      </c>
      <c r="M1051" t="str">
        <f>Procurement_Raw!O1051</f>
        <v>N</v>
      </c>
      <c r="N1051" t="str">
        <f>IF(E1051="","Missing supplier",IF(B1051="","Missing site",IF(J1051="","Missing spend",IF(COUNTIFS($G$2:G1051,G1051,$E$2:E1051,E1051,$J$2:J1051,J1051)&gt;1,"Duplicate invoice",IF(COUNTIF($G$2:$G$1801,G1051)&gt;1,"Duplicate ID - review",IF(AND(P1051&lt;&gt;"Unmapped",P1051&lt;&gt;F1051),"Category mismatch","OK"))))))</f>
        <v>OK</v>
      </c>
      <c r="O1051" s="125">
        <f t="shared" si="48"/>
        <v>5928.08</v>
      </c>
      <c r="P1051" t="str">
        <f>IF(E1051="","Unmapped",IFERROR(INDEX(Supplier_Lookup!$B$2:$B$25,MATCH(E1051,Supplier_Lookup!$A$2:$A$25,0)),"Unmapped"))</f>
        <v>Office &amp; Training</v>
      </c>
      <c r="Q1051" s="76">
        <f>IFERROR(INDEX(Category_Targets!$B$2:$B$9,MATCH(F1051,Category_Targets!$A$2:$A$9,0)),0)</f>
        <v>0.04</v>
      </c>
      <c r="R1051" s="125">
        <f t="shared" si="49"/>
        <v>237.1232</v>
      </c>
      <c r="S1051" s="78">
        <f t="shared" si="50"/>
        <v>45748</v>
      </c>
      <c r="T1051" t="str">
        <f>IFERROR(VLOOKUP(B1051,Sites!$A$2:$D$21,4,FALSE()),"Unknown")</f>
        <v>Nottingham</v>
      </c>
      <c r="U1051" t="str">
        <f>IF(N1051="OK","",COUNTIF($N$2:N1051,"&lt;&gt;OK"))</f>
        <v/>
      </c>
      <c r="V1051">
        <f>IF(OR(NOT(EXACT(E1051,TRIM(Procurement_Raw!E1051))),NOT(EXACT(F1051,TRIM(Procurement_Raw!F1051)))),1,0)</f>
        <v>0</v>
      </c>
    </row>
    <row r="1052" spans="1:22" ht="15" customHeight="1" x14ac:dyDescent="0.25">
      <c r="A1052" s="123">
        <f>Procurement_Raw!A1052</f>
        <v>45705</v>
      </c>
      <c r="B1052" t="str">
        <f>TRIM(Procurement_Raw!B1052)</f>
        <v>S014</v>
      </c>
      <c r="C1052" t="str">
        <f>Procurement_Raw!C1052</f>
        <v>Southampton Care &amp; Education Centre</v>
      </c>
      <c r="D1052" t="str">
        <f>Procurement_Raw!D1052</f>
        <v>South</v>
      </c>
      <c r="E1052" t="str">
        <f>IF(TRIM(Procurement_Raw!E1052)="","",IFERROR(INDEX(Supplier_Lookup!$A$2:$A$25,MATCH(TRIM(Procurement_Raw!E1052),Supplier_Lookup!$A$2:$A$25,0)),TRIM(Procurement_Raw!E1052)))</f>
        <v>ClinEquip</v>
      </c>
      <c r="F1052" t="str">
        <f>IFERROR(INDEX(Category_Targets!$A$2:$A$9,MATCH(TRIM(Procurement_Raw!F1052),Category_Targets!$A$2:$A$9,0)),"Unmapped")</f>
        <v>Medical Supplies</v>
      </c>
      <c r="G1052" t="str">
        <f>TRIM(Procurement_Raw!G1052)</f>
        <v>INV-2025-01051</v>
      </c>
      <c r="H1052" s="77">
        <f>Procurement_Raw!H1052</f>
        <v>8</v>
      </c>
      <c r="I1052" s="124">
        <f>Procurement_Raw!I1052</f>
        <v>85.07</v>
      </c>
      <c r="J1052" s="125">
        <f>IF(Procurement_Raw!J1052="","",Procurement_Raw!J1052)</f>
        <v>680.53</v>
      </c>
      <c r="K1052" s="77">
        <f>Procurement_Raw!K1052</f>
        <v>60</v>
      </c>
      <c r="L1052" t="str">
        <f>Procurement_Raw!L1052</f>
        <v>Legacy Spend File</v>
      </c>
      <c r="M1052" t="str">
        <f>Procurement_Raw!O1052</f>
        <v>N</v>
      </c>
      <c r="N1052" t="str">
        <f>IF(E1052="","Missing supplier",IF(B1052="","Missing site",IF(J1052="","Missing spend",IF(COUNTIFS($G$2:G1052,G1052,$E$2:E1052,E1052,$J$2:J1052,J1052)&gt;1,"Duplicate invoice",IF(COUNTIF($G$2:$G$1801,G1052)&gt;1,"Duplicate ID - review",IF(AND(P1052&lt;&gt;"Unmapped",P1052&lt;&gt;F1052),"Category mismatch","OK"))))))</f>
        <v>OK</v>
      </c>
      <c r="O1052" s="125">
        <f t="shared" si="48"/>
        <v>680.53</v>
      </c>
      <c r="P1052" t="str">
        <f>IF(E1052="","Unmapped",IFERROR(INDEX(Supplier_Lookup!$B$2:$B$25,MATCH(E1052,Supplier_Lookup!$A$2:$A$25,0)),"Unmapped"))</f>
        <v>Medical Supplies</v>
      </c>
      <c r="Q1052" s="76">
        <f>IFERROR(INDEX(Category_Targets!$B$2:$B$9,MATCH(F1052,Category_Targets!$A$2:$A$9,0)),0)</f>
        <v>0.06</v>
      </c>
      <c r="R1052" s="125">
        <f t="shared" si="49"/>
        <v>40.831799999999994</v>
      </c>
      <c r="S1052" s="78">
        <f t="shared" si="50"/>
        <v>45689</v>
      </c>
      <c r="T1052" t="str">
        <f>IFERROR(VLOOKUP(B1052,Sites!$A$2:$D$21,4,FALSE()),"Unknown")</f>
        <v>Southampton</v>
      </c>
      <c r="U1052" t="str">
        <f>IF(N1052="OK","",COUNTIF($N$2:N1052,"&lt;&gt;OK"))</f>
        <v/>
      </c>
      <c r="V1052">
        <f>IF(OR(NOT(EXACT(E1052,TRIM(Procurement_Raw!E1052))),NOT(EXACT(F1052,TRIM(Procurement_Raw!F1052)))),1,0)</f>
        <v>0</v>
      </c>
    </row>
    <row r="1053" spans="1:22" ht="15" customHeight="1" x14ac:dyDescent="0.25">
      <c r="A1053" s="123">
        <f>Procurement_Raw!A1053</f>
        <v>45719</v>
      </c>
      <c r="B1053" t="str">
        <f>TRIM(Procurement_Raw!B1053)</f>
        <v>S011</v>
      </c>
      <c r="C1053" t="str">
        <f>Procurement_Raw!C1053</f>
        <v>London Care &amp; Education Centre</v>
      </c>
      <c r="D1053" t="str">
        <f>Procurement_Raw!D1053</f>
        <v>South</v>
      </c>
      <c r="E1053" t="str">
        <f>IF(TRIM(Procurement_Raw!E1053)="","",IFERROR(INDEX(Supplier_Lookup!$A$2:$A$25,MATCH(TRIM(Procurement_Raw!E1053),Supplier_Lookup!$A$2:$A$25,0)),TRIM(Procurement_Raw!E1053)))</f>
        <v>KitchenPro</v>
      </c>
      <c r="F1053" t="str">
        <f>IFERROR(INDEX(Category_Targets!$A$2:$A$9,MATCH(TRIM(Procurement_Raw!F1053),Category_Targets!$A$2:$A$9,0)),"Unmapped")</f>
        <v>Food &amp; Catering</v>
      </c>
      <c r="G1053" t="str">
        <f>TRIM(Procurement_Raw!G1053)</f>
        <v>INV-2025-01052</v>
      </c>
      <c r="H1053" s="77">
        <f>Procurement_Raw!H1053</f>
        <v>12</v>
      </c>
      <c r="I1053" s="124">
        <f>Procurement_Raw!I1053</f>
        <v>80.81</v>
      </c>
      <c r="J1053" s="125">
        <f>IF(Procurement_Raw!J1053="","",Procurement_Raw!J1053)</f>
        <v>969.7</v>
      </c>
      <c r="K1053" s="77">
        <f>Procurement_Raw!K1053</f>
        <v>60</v>
      </c>
      <c r="L1053" t="str">
        <f>Procurement_Raw!L1053</f>
        <v>ERP</v>
      </c>
      <c r="M1053" t="str">
        <f>Procurement_Raw!O1053</f>
        <v>N</v>
      </c>
      <c r="N1053" t="str">
        <f>IF(E1053="","Missing supplier",IF(B1053="","Missing site",IF(J1053="","Missing spend",IF(COUNTIFS($G$2:G1053,G1053,$E$2:E1053,E1053,$J$2:J1053,J1053)&gt;1,"Duplicate invoice",IF(COUNTIF($G$2:$G$1801,G1053)&gt;1,"Duplicate ID - review",IF(AND(P1053&lt;&gt;"Unmapped",P1053&lt;&gt;F1053),"Category mismatch","OK"))))))</f>
        <v>OK</v>
      </c>
      <c r="O1053" s="125">
        <f t="shared" si="48"/>
        <v>969.7</v>
      </c>
      <c r="P1053" t="str">
        <f>IF(E1053="","Unmapped",IFERROR(INDEX(Supplier_Lookup!$B$2:$B$25,MATCH(E1053,Supplier_Lookup!$A$2:$A$25,0)),"Unmapped"))</f>
        <v>Food &amp; Catering</v>
      </c>
      <c r="Q1053" s="76">
        <f>IFERROR(INDEX(Category_Targets!$B$2:$B$9,MATCH(F1053,Category_Targets!$A$2:$A$9,0)),0)</f>
        <v>0.04</v>
      </c>
      <c r="R1053" s="125">
        <f t="shared" si="49"/>
        <v>38.788000000000004</v>
      </c>
      <c r="S1053" s="78">
        <f t="shared" si="50"/>
        <v>45717</v>
      </c>
      <c r="T1053" t="str">
        <f>IFERROR(VLOOKUP(B1053,Sites!$A$2:$D$21,4,FALSE()),"Unknown")</f>
        <v>London</v>
      </c>
      <c r="U1053" t="str">
        <f>IF(N1053="OK","",COUNTIF($N$2:N1053,"&lt;&gt;OK"))</f>
        <v/>
      </c>
      <c r="V1053">
        <f>IF(OR(NOT(EXACT(E1053,TRIM(Procurement_Raw!E1053))),NOT(EXACT(F1053,TRIM(Procurement_Raw!F1053)))),1,0)</f>
        <v>0</v>
      </c>
    </row>
    <row r="1054" spans="1:22" ht="15" customHeight="1" x14ac:dyDescent="0.25">
      <c r="A1054" s="123">
        <f>Procurement_Raw!A1054</f>
        <v>46014</v>
      </c>
      <c r="B1054" t="str">
        <f>TRIM(Procurement_Raw!B1054)</f>
        <v>S005</v>
      </c>
      <c r="C1054" t="str">
        <f>Procurement_Raw!C1054</f>
        <v>Sheffield Care &amp; Education Centre</v>
      </c>
      <c r="D1054" t="str">
        <f>Procurement_Raw!D1054</f>
        <v>North</v>
      </c>
      <c r="E1054" t="str">
        <f>IF(TRIM(Procurement_Raw!E1054)="","",IFERROR(INDEX(Supplier_Lookup!$A$2:$A$25,MATCH(TRIM(Procurement_Raw!E1054),Supplier_Lookup!$A$2:$A$25,0)),TRIM(Procurement_Raw!E1054)))</f>
        <v>CleanWorks</v>
      </c>
      <c r="F1054" t="str">
        <f>IFERROR(INDEX(Category_Targets!$A$2:$A$9,MATCH(TRIM(Procurement_Raw!F1054),Category_Targets!$A$2:$A$9,0)),"Unmapped")</f>
        <v>Facilities</v>
      </c>
      <c r="G1054" t="str">
        <f>TRIM(Procurement_Raw!G1054)</f>
        <v>INV-2025-01053</v>
      </c>
      <c r="H1054" s="77">
        <f>Procurement_Raw!H1054</f>
        <v>24</v>
      </c>
      <c r="I1054" s="124">
        <f>Procurement_Raw!I1054</f>
        <v>236.2</v>
      </c>
      <c r="J1054" s="125">
        <f>IF(Procurement_Raw!J1054="","",Procurement_Raw!J1054)</f>
        <v>5668.77</v>
      </c>
      <c r="K1054" s="77">
        <f>Procurement_Raw!K1054</f>
        <v>45</v>
      </c>
      <c r="L1054" t="str">
        <f>Procurement_Raw!L1054</f>
        <v>Procurement Portal</v>
      </c>
      <c r="M1054" t="str">
        <f>Procurement_Raw!O1054</f>
        <v>Y</v>
      </c>
      <c r="N1054" t="str">
        <f>IF(E1054="","Missing supplier",IF(B1054="","Missing site",IF(J1054="","Missing spend",IF(COUNTIFS($G$2:G1054,G1054,$E$2:E1054,E1054,$J$2:J1054,J1054)&gt;1,"Duplicate invoice",IF(COUNTIF($G$2:$G$1801,G1054)&gt;1,"Duplicate ID - review",IF(AND(P1054&lt;&gt;"Unmapped",P1054&lt;&gt;F1054),"Category mismatch","OK"))))))</f>
        <v>OK</v>
      </c>
      <c r="O1054" s="125">
        <f t="shared" si="48"/>
        <v>5668.77</v>
      </c>
      <c r="P1054" t="str">
        <f>IF(E1054="","Unmapped",IFERROR(INDEX(Supplier_Lookup!$B$2:$B$25,MATCH(E1054,Supplier_Lookup!$A$2:$A$25,0)),"Unmapped"))</f>
        <v>Facilities</v>
      </c>
      <c r="Q1054" s="76">
        <f>IFERROR(INDEX(Category_Targets!$B$2:$B$9,MATCH(F1054,Category_Targets!$A$2:$A$9,0)),0)</f>
        <v>0.05</v>
      </c>
      <c r="R1054" s="125">
        <f t="shared" si="49"/>
        <v>283.43850000000003</v>
      </c>
      <c r="S1054" s="78">
        <f t="shared" si="50"/>
        <v>45992</v>
      </c>
      <c r="T1054" t="str">
        <f>IFERROR(VLOOKUP(B1054,Sites!$A$2:$D$21,4,FALSE()),"Unknown")</f>
        <v>Sheffield</v>
      </c>
      <c r="U1054" t="str">
        <f>IF(N1054="OK","",COUNTIF($N$2:N1054,"&lt;&gt;OK"))</f>
        <v/>
      </c>
      <c r="V1054">
        <f>IF(OR(NOT(EXACT(E1054,TRIM(Procurement_Raw!E1054))),NOT(EXACT(F1054,TRIM(Procurement_Raw!F1054)))),1,0)</f>
        <v>0</v>
      </c>
    </row>
    <row r="1055" spans="1:22" ht="15" customHeight="1" x14ac:dyDescent="0.25">
      <c r="A1055" s="123">
        <f>Procurement_Raw!A1055</f>
        <v>45890</v>
      </c>
      <c r="B1055" t="str">
        <f>TRIM(Procurement_Raw!B1055)</f>
        <v>S002</v>
      </c>
      <c r="C1055" t="str">
        <f>Procurement_Raw!C1055</f>
        <v>Manchester Care &amp; Education Centre</v>
      </c>
      <c r="D1055" t="str">
        <f>Procurement_Raw!D1055</f>
        <v>North</v>
      </c>
      <c r="E1055" t="str">
        <f>IF(TRIM(Procurement_Raw!E1055)="","",IFERROR(INDEX(Supplier_Lookup!$A$2:$A$25,MATCH(TRIM(Procurement_Raw!E1055),Supplier_Lookup!$A$2:$A$25,0)),TRIM(Procurement_Raw!E1055)))</f>
        <v>KitchenPro</v>
      </c>
      <c r="F1055" t="str">
        <f>IFERROR(INDEX(Category_Targets!$A$2:$A$9,MATCH(TRIM(Procurement_Raw!F1055),Category_Targets!$A$2:$A$9,0)),"Unmapped")</f>
        <v>Food &amp; Catering</v>
      </c>
      <c r="G1055" t="str">
        <f>TRIM(Procurement_Raw!G1055)</f>
        <v>INV-2025-01054</v>
      </c>
      <c r="H1055" s="77">
        <f>Procurement_Raw!H1055</f>
        <v>36</v>
      </c>
      <c r="I1055" s="124">
        <f>Procurement_Raw!I1055</f>
        <v>75.02</v>
      </c>
      <c r="J1055" s="125">
        <f>IF(Procurement_Raw!J1055="","",Procurement_Raw!J1055)</f>
        <v>2700.73</v>
      </c>
      <c r="K1055" s="77">
        <f>Procurement_Raw!K1055</f>
        <v>45</v>
      </c>
      <c r="L1055" t="str">
        <f>Procurement_Raw!L1055</f>
        <v>Legacy Spend File</v>
      </c>
      <c r="M1055" t="str">
        <f>Procurement_Raw!O1055</f>
        <v>N</v>
      </c>
      <c r="N1055" t="str">
        <f>IF(E1055="","Missing supplier",IF(B1055="","Missing site",IF(J1055="","Missing spend",IF(COUNTIFS($G$2:G1055,G1055,$E$2:E1055,E1055,$J$2:J1055,J1055)&gt;1,"Duplicate invoice",IF(COUNTIF($G$2:$G$1801,G1055)&gt;1,"Duplicate ID - review",IF(AND(P1055&lt;&gt;"Unmapped",P1055&lt;&gt;F1055),"Category mismatch","OK"))))))</f>
        <v>OK</v>
      </c>
      <c r="O1055" s="125">
        <f t="shared" si="48"/>
        <v>2700.73</v>
      </c>
      <c r="P1055" t="str">
        <f>IF(E1055="","Unmapped",IFERROR(INDEX(Supplier_Lookup!$B$2:$B$25,MATCH(E1055,Supplier_Lookup!$A$2:$A$25,0)),"Unmapped"))</f>
        <v>Food &amp; Catering</v>
      </c>
      <c r="Q1055" s="76">
        <f>IFERROR(INDEX(Category_Targets!$B$2:$B$9,MATCH(F1055,Category_Targets!$A$2:$A$9,0)),0)</f>
        <v>0.04</v>
      </c>
      <c r="R1055" s="125">
        <f t="shared" si="49"/>
        <v>108.0292</v>
      </c>
      <c r="S1055" s="78">
        <f t="shared" si="50"/>
        <v>45870</v>
      </c>
      <c r="T1055" t="str">
        <f>IFERROR(VLOOKUP(B1055,Sites!$A$2:$D$21,4,FALSE()),"Unknown")</f>
        <v>Manchester</v>
      </c>
      <c r="U1055" t="str">
        <f>IF(N1055="OK","",COUNTIF($N$2:N1055,"&lt;&gt;OK"))</f>
        <v/>
      </c>
      <c r="V1055">
        <f>IF(OR(NOT(EXACT(E1055,TRIM(Procurement_Raw!E1055))),NOT(EXACT(F1055,TRIM(Procurement_Raw!F1055)))),1,0)</f>
        <v>0</v>
      </c>
    </row>
    <row r="1056" spans="1:22" ht="15" customHeight="1" x14ac:dyDescent="0.25">
      <c r="A1056" s="123">
        <f>Procurement_Raw!A1056</f>
        <v>45740</v>
      </c>
      <c r="B1056" t="str">
        <f>TRIM(Procurement_Raw!B1056)</f>
        <v>S001</v>
      </c>
      <c r="C1056" t="str">
        <f>Procurement_Raw!C1056</f>
        <v>Preston Care &amp; Education Centre</v>
      </c>
      <c r="D1056" t="str">
        <f>Procurement_Raw!D1056</f>
        <v>North</v>
      </c>
      <c r="E1056" t="str">
        <f>IF(TRIM(Procurement_Raw!E1056)="","",IFERROR(INDEX(Supplier_Lookup!$A$2:$A$25,MATCH(TRIM(Procurement_Raw!E1056),Supplier_Lookup!$A$2:$A$25,0)),TRIM(Procurement_Raw!E1056)))</f>
        <v>RoadReady</v>
      </c>
      <c r="F1056" t="str">
        <f>IFERROR(INDEX(Category_Targets!$A$2:$A$9,MATCH(TRIM(Procurement_Raw!F1056),Category_Targets!$A$2:$A$9,0)),"Unmapped")</f>
        <v>Vehicle &amp; Fuel</v>
      </c>
      <c r="G1056" t="str">
        <f>TRIM(Procurement_Raw!G1056)</f>
        <v>INV-2025-01055</v>
      </c>
      <c r="H1056" s="77">
        <f>Procurement_Raw!H1056</f>
        <v>10</v>
      </c>
      <c r="I1056" s="124">
        <f>Procurement_Raw!I1056</f>
        <v>70.19</v>
      </c>
      <c r="J1056" s="125">
        <f>IF(Procurement_Raw!J1056="","",Procurement_Raw!J1056)</f>
        <v>701.9</v>
      </c>
      <c r="K1056" s="77">
        <f>Procurement_Raw!K1056</f>
        <v>45</v>
      </c>
      <c r="L1056" t="str">
        <f>Procurement_Raw!L1056</f>
        <v>ERP</v>
      </c>
      <c r="M1056" t="str">
        <f>Procurement_Raw!O1056</f>
        <v>N</v>
      </c>
      <c r="N1056" t="str">
        <f>IF(E1056="","Missing supplier",IF(B1056="","Missing site",IF(J1056="","Missing spend",IF(COUNTIFS($G$2:G1056,G1056,$E$2:E1056,E1056,$J$2:J1056,J1056)&gt;1,"Duplicate invoice",IF(COUNTIF($G$2:$G$1801,G1056)&gt;1,"Duplicate ID - review",IF(AND(P1056&lt;&gt;"Unmapped",P1056&lt;&gt;F1056),"Category mismatch","OK"))))))</f>
        <v>OK</v>
      </c>
      <c r="O1056" s="125">
        <f t="shared" si="48"/>
        <v>701.9</v>
      </c>
      <c r="P1056" t="str">
        <f>IF(E1056="","Unmapped",IFERROR(INDEX(Supplier_Lookup!$B$2:$B$25,MATCH(E1056,Supplier_Lookup!$A$2:$A$25,0)),"Unmapped"))</f>
        <v>Vehicle &amp; Fuel</v>
      </c>
      <c r="Q1056" s="76">
        <f>IFERROR(INDEX(Category_Targets!$B$2:$B$9,MATCH(F1056,Category_Targets!$A$2:$A$9,0)),0)</f>
        <v>0.05</v>
      </c>
      <c r="R1056" s="125">
        <f t="shared" si="49"/>
        <v>35.094999999999999</v>
      </c>
      <c r="S1056" s="78">
        <f t="shared" si="50"/>
        <v>45717</v>
      </c>
      <c r="T1056" t="str">
        <f>IFERROR(VLOOKUP(B1056,Sites!$A$2:$D$21,4,FALSE()),"Unknown")</f>
        <v>Preston</v>
      </c>
      <c r="U1056" t="str">
        <f>IF(N1056="OK","",COUNTIF($N$2:N1056,"&lt;&gt;OK"))</f>
        <v/>
      </c>
      <c r="V1056">
        <f>IF(OR(NOT(EXACT(E1056,TRIM(Procurement_Raw!E1056))),NOT(EXACT(F1056,TRIM(Procurement_Raw!F1056)))),1,0)</f>
        <v>0</v>
      </c>
    </row>
    <row r="1057" spans="1:22" ht="15" customHeight="1" x14ac:dyDescent="0.25">
      <c r="A1057" s="123">
        <f>Procurement_Raw!A1057</f>
        <v>45688</v>
      </c>
      <c r="B1057" t="str">
        <f>TRIM(Procurement_Raw!B1057)</f>
        <v>S018</v>
      </c>
      <c r="C1057" t="str">
        <f>Procurement_Raw!C1057</f>
        <v>Newport Care &amp; Education Centre</v>
      </c>
      <c r="D1057" t="str">
        <f>Procurement_Raw!D1057</f>
        <v>Wales</v>
      </c>
      <c r="E1057" t="str">
        <f>IF(TRIM(Procurement_Raw!E1057)="","",IFERROR(INDEX(Supplier_Lookup!$A$2:$A$25,MATCH(TRIM(Procurement_Raw!E1057),Supplier_Lookup!$A$2:$A$25,0)),TRIM(Procurement_Raw!E1057)))</f>
        <v>CareTemps</v>
      </c>
      <c r="F1057" t="str">
        <f>IFERROR(INDEX(Category_Targets!$A$2:$A$9,MATCH(TRIM(Procurement_Raw!F1057),Category_Targets!$A$2:$A$9,0)),"Unmapped")</f>
        <v>Agency Labour</v>
      </c>
      <c r="G1057" t="str">
        <f>TRIM(Procurement_Raw!G1057)</f>
        <v>INV-2025-01056</v>
      </c>
      <c r="H1057" s="77">
        <f>Procurement_Raw!H1057</f>
        <v>34</v>
      </c>
      <c r="I1057" s="124">
        <f>Procurement_Raw!I1057</f>
        <v>207.35</v>
      </c>
      <c r="J1057" s="125">
        <f>IF(Procurement_Raw!J1057="","",Procurement_Raw!J1057)</f>
        <v>7049.77</v>
      </c>
      <c r="K1057" s="77">
        <f>Procurement_Raw!K1057</f>
        <v>45</v>
      </c>
      <c r="L1057" t="str">
        <f>Procurement_Raw!L1057</f>
        <v>ERP</v>
      </c>
      <c r="M1057" t="str">
        <f>Procurement_Raw!O1057</f>
        <v>N</v>
      </c>
      <c r="N1057" t="str">
        <f>IF(E1057="","Missing supplier",IF(B1057="","Missing site",IF(J1057="","Missing spend",IF(COUNTIFS($G$2:G1057,G1057,$E$2:E1057,E1057,$J$2:J1057,J1057)&gt;1,"Duplicate invoice",IF(COUNTIF($G$2:$G$1801,G1057)&gt;1,"Duplicate ID - review",IF(AND(P1057&lt;&gt;"Unmapped",P1057&lt;&gt;F1057),"Category mismatch","OK"))))))</f>
        <v>OK</v>
      </c>
      <c r="O1057" s="125">
        <f t="shared" si="48"/>
        <v>7049.77</v>
      </c>
      <c r="P1057" t="str">
        <f>IF(E1057="","Unmapped",IFERROR(INDEX(Supplier_Lookup!$B$2:$B$25,MATCH(E1057,Supplier_Lookup!$A$2:$A$25,0)),"Unmapped"))</f>
        <v>Agency Labour</v>
      </c>
      <c r="Q1057" s="76">
        <f>IFERROR(INDEX(Category_Targets!$B$2:$B$9,MATCH(F1057,Category_Targets!$A$2:$A$9,0)),0)</f>
        <v>7.0000000000000007E-2</v>
      </c>
      <c r="R1057" s="125">
        <f t="shared" si="49"/>
        <v>493.48390000000006</v>
      </c>
      <c r="S1057" s="78">
        <f t="shared" si="50"/>
        <v>45658</v>
      </c>
      <c r="T1057" t="str">
        <f>IFERROR(VLOOKUP(B1057,Sites!$A$2:$D$21,4,FALSE()),"Unknown")</f>
        <v>Newport</v>
      </c>
      <c r="U1057" t="str">
        <f>IF(N1057="OK","",COUNTIF($N$2:N1057,"&lt;&gt;OK"))</f>
        <v/>
      </c>
      <c r="V1057">
        <f>IF(OR(NOT(EXACT(E1057,TRIM(Procurement_Raw!E1057))),NOT(EXACT(F1057,TRIM(Procurement_Raw!F1057)))),1,0)</f>
        <v>0</v>
      </c>
    </row>
    <row r="1058" spans="1:22" ht="15" customHeight="1" x14ac:dyDescent="0.25">
      <c r="A1058" s="123">
        <f>Procurement_Raw!A1058</f>
        <v>45760</v>
      </c>
      <c r="B1058" t="str">
        <f>TRIM(Procurement_Raw!B1058)</f>
        <v>S007</v>
      </c>
      <c r="C1058" t="str">
        <f>Procurement_Raw!C1058</f>
        <v>Nottingham Care &amp; Education Centre</v>
      </c>
      <c r="D1058" t="str">
        <f>Procurement_Raw!D1058</f>
        <v>Midlands</v>
      </c>
      <c r="E1058" t="str">
        <f>IF(TRIM(Procurement_Raw!E1058)="","",IFERROR(INDEX(Supplier_Lookup!$A$2:$A$25,MATCH(TRIM(Procurement_Raw!E1058),Supplier_Lookup!$A$2:$A$25,0)),TRIM(Procurement_Raw!E1058)))</f>
        <v>NourishCo</v>
      </c>
      <c r="F1058" t="str">
        <f>IFERROR(INDEX(Category_Targets!$A$2:$A$9,MATCH(TRIM(Procurement_Raw!F1058),Category_Targets!$A$2:$A$9,0)),"Unmapped")</f>
        <v>Food &amp; Catering</v>
      </c>
      <c r="G1058" t="str">
        <f>TRIM(Procurement_Raw!G1058)</f>
        <v>INV-2025-01057</v>
      </c>
      <c r="H1058" s="77">
        <f>Procurement_Raw!H1058</f>
        <v>79</v>
      </c>
      <c r="I1058" s="124">
        <f>Procurement_Raw!I1058</f>
        <v>64.09</v>
      </c>
      <c r="J1058" s="125">
        <f>IF(Procurement_Raw!J1058="","",Procurement_Raw!J1058)</f>
        <v>5063.33</v>
      </c>
      <c r="K1058" s="77">
        <f>Procurement_Raw!K1058</f>
        <v>45</v>
      </c>
      <c r="L1058" t="str">
        <f>Procurement_Raw!L1058</f>
        <v>ERP</v>
      </c>
      <c r="M1058" t="str">
        <f>Procurement_Raw!O1058</f>
        <v>N</v>
      </c>
      <c r="N1058" t="str">
        <f>IF(E1058="","Missing supplier",IF(B1058="","Missing site",IF(J1058="","Missing spend",IF(COUNTIFS($G$2:G1058,G1058,$E$2:E1058,E1058,$J$2:J1058,J1058)&gt;1,"Duplicate invoice",IF(COUNTIF($G$2:$G$1801,G1058)&gt;1,"Duplicate ID - review",IF(AND(P1058&lt;&gt;"Unmapped",P1058&lt;&gt;F1058),"Category mismatch","OK"))))))</f>
        <v>OK</v>
      </c>
      <c r="O1058" s="125">
        <f t="shared" si="48"/>
        <v>5063.33</v>
      </c>
      <c r="P1058" t="str">
        <f>IF(E1058="","Unmapped",IFERROR(INDEX(Supplier_Lookup!$B$2:$B$25,MATCH(E1058,Supplier_Lookup!$A$2:$A$25,0)),"Unmapped"))</f>
        <v>Food &amp; Catering</v>
      </c>
      <c r="Q1058" s="76">
        <f>IFERROR(INDEX(Category_Targets!$B$2:$B$9,MATCH(F1058,Category_Targets!$A$2:$A$9,0)),0)</f>
        <v>0.04</v>
      </c>
      <c r="R1058" s="125">
        <f t="shared" si="49"/>
        <v>202.53319999999999</v>
      </c>
      <c r="S1058" s="78">
        <f t="shared" si="50"/>
        <v>45748</v>
      </c>
      <c r="T1058" t="str">
        <f>IFERROR(VLOOKUP(B1058,Sites!$A$2:$D$21,4,FALSE()),"Unknown")</f>
        <v>Nottingham</v>
      </c>
      <c r="U1058" t="str">
        <f>IF(N1058="OK","",COUNTIF($N$2:N1058,"&lt;&gt;OK"))</f>
        <v/>
      </c>
      <c r="V1058">
        <f>IF(OR(NOT(EXACT(E1058,TRIM(Procurement_Raw!E1058))),NOT(EXACT(F1058,TRIM(Procurement_Raw!F1058)))),1,0)</f>
        <v>0</v>
      </c>
    </row>
    <row r="1059" spans="1:22" ht="15" customHeight="1" x14ac:dyDescent="0.25">
      <c r="A1059" s="123">
        <f>Procurement_Raw!A1059</f>
        <v>45731</v>
      </c>
      <c r="B1059" t="str">
        <f>TRIM(Procurement_Raw!B1059)</f>
        <v>S014</v>
      </c>
      <c r="C1059" t="str">
        <f>Procurement_Raw!C1059</f>
        <v>Southampton Care &amp; Education Centre</v>
      </c>
      <c r="D1059" t="str">
        <f>Procurement_Raw!D1059</f>
        <v>South</v>
      </c>
      <c r="E1059" t="str">
        <f>IF(TRIM(Procurement_Raw!E1059)="","",IFERROR(INDEX(Supplier_Lookup!$A$2:$A$25,MATCH(TRIM(Procurement_Raw!E1059),Supplier_Lookup!$A$2:$A$25,0)),TRIM(Procurement_Raw!E1059)))</f>
        <v>OfficePlus</v>
      </c>
      <c r="F1059" t="str">
        <f>IFERROR(INDEX(Category_Targets!$A$2:$A$9,MATCH(TRIM(Procurement_Raw!F1059),Category_Targets!$A$2:$A$9,0)),"Unmapped")</f>
        <v>Office &amp; Training</v>
      </c>
      <c r="G1059" t="str">
        <f>TRIM(Procurement_Raw!G1059)</f>
        <v>INV-2025-01058</v>
      </c>
      <c r="H1059" s="77">
        <f>Procurement_Raw!H1059</f>
        <v>70</v>
      </c>
      <c r="I1059" s="124">
        <f>Procurement_Raw!I1059</f>
        <v>142.94999999999999</v>
      </c>
      <c r="J1059" s="125">
        <f>IF(Procurement_Raw!J1059="","",Procurement_Raw!J1059)</f>
        <v>10006.44</v>
      </c>
      <c r="K1059" s="77">
        <f>Procurement_Raw!K1059</f>
        <v>45</v>
      </c>
      <c r="L1059" t="str">
        <f>Procurement_Raw!L1059</f>
        <v>ERP</v>
      </c>
      <c r="M1059" t="str">
        <f>Procurement_Raw!O1059</f>
        <v>N</v>
      </c>
      <c r="N1059" t="str">
        <f>IF(E1059="","Missing supplier",IF(B1059="","Missing site",IF(J1059="","Missing spend",IF(COUNTIFS($G$2:G1059,G1059,$E$2:E1059,E1059,$J$2:J1059,J1059)&gt;1,"Duplicate invoice",IF(COUNTIF($G$2:$G$1801,G1059)&gt;1,"Duplicate ID - review",IF(AND(P1059&lt;&gt;"Unmapped",P1059&lt;&gt;F1059),"Category mismatch","OK"))))))</f>
        <v>OK</v>
      </c>
      <c r="O1059" s="125">
        <f t="shared" si="48"/>
        <v>10006.44</v>
      </c>
      <c r="P1059" t="str">
        <f>IF(E1059="","Unmapped",IFERROR(INDEX(Supplier_Lookup!$B$2:$B$25,MATCH(E1059,Supplier_Lookup!$A$2:$A$25,0)),"Unmapped"))</f>
        <v>Office &amp; Training</v>
      </c>
      <c r="Q1059" s="76">
        <f>IFERROR(INDEX(Category_Targets!$B$2:$B$9,MATCH(F1059,Category_Targets!$A$2:$A$9,0)),0)</f>
        <v>0.04</v>
      </c>
      <c r="R1059" s="125">
        <f t="shared" si="49"/>
        <v>400.25760000000002</v>
      </c>
      <c r="S1059" s="78">
        <f t="shared" si="50"/>
        <v>45717</v>
      </c>
      <c r="T1059" t="str">
        <f>IFERROR(VLOOKUP(B1059,Sites!$A$2:$D$21,4,FALSE()),"Unknown")</f>
        <v>Southampton</v>
      </c>
      <c r="U1059" t="str">
        <f>IF(N1059="OK","",COUNTIF($N$2:N1059,"&lt;&gt;OK"))</f>
        <v/>
      </c>
      <c r="V1059">
        <f>IF(OR(NOT(EXACT(E1059,TRIM(Procurement_Raw!E1059))),NOT(EXACT(F1059,TRIM(Procurement_Raw!F1059)))),1,0)</f>
        <v>0</v>
      </c>
    </row>
    <row r="1060" spans="1:22" ht="15" customHeight="1" x14ac:dyDescent="0.25">
      <c r="A1060" s="123">
        <f>Procurement_Raw!A1060</f>
        <v>45790</v>
      </c>
      <c r="B1060" t="str">
        <f>TRIM(Procurement_Raw!B1060)</f>
        <v>S017</v>
      </c>
      <c r="C1060" t="str">
        <f>Procurement_Raw!C1060</f>
        <v>Swansea Care &amp; Education Centre</v>
      </c>
      <c r="D1060" t="str">
        <f>Procurement_Raw!D1060</f>
        <v>Wales</v>
      </c>
      <c r="E1060" t="str">
        <f>IF(TRIM(Procurement_Raw!E1060)="","",IFERROR(INDEX(Supplier_Lookup!$A$2:$A$25,MATCH(TRIM(Procurement_Raw!E1060),Supplier_Lookup!$A$2:$A$25,0)),TRIM(Procurement_Raw!E1060)))</f>
        <v>NourishCo</v>
      </c>
      <c r="F1060" t="str">
        <f>IFERROR(INDEX(Category_Targets!$A$2:$A$9,MATCH(TRIM(Procurement_Raw!F1060),Category_Targets!$A$2:$A$9,0)),"Unmapped")</f>
        <v>Food &amp; Catering</v>
      </c>
      <c r="G1060" t="str">
        <f>TRIM(Procurement_Raw!G1060)</f>
        <v>INV-2025-01059</v>
      </c>
      <c r="H1060" s="77">
        <f>Procurement_Raw!H1060</f>
        <v>14</v>
      </c>
      <c r="I1060" s="124">
        <f>Procurement_Raw!I1060</f>
        <v>87.65</v>
      </c>
      <c r="J1060" s="125">
        <f>IF(Procurement_Raw!J1060="","",Procurement_Raw!J1060)</f>
        <v>1227.1199999999999</v>
      </c>
      <c r="K1060" s="77">
        <f>Procurement_Raw!K1060</f>
        <v>30</v>
      </c>
      <c r="L1060" t="str">
        <f>Procurement_Raw!L1060</f>
        <v>ERP</v>
      </c>
      <c r="M1060" t="str">
        <f>Procurement_Raw!O1060</f>
        <v>N</v>
      </c>
      <c r="N1060" t="str">
        <f>IF(E1060="","Missing supplier",IF(B1060="","Missing site",IF(J1060="","Missing spend",IF(COUNTIFS($G$2:G1060,G1060,$E$2:E1060,E1060,$J$2:J1060,J1060)&gt;1,"Duplicate invoice",IF(COUNTIF($G$2:$G$1801,G1060)&gt;1,"Duplicate ID - review",IF(AND(P1060&lt;&gt;"Unmapped",P1060&lt;&gt;F1060),"Category mismatch","OK"))))))</f>
        <v>OK</v>
      </c>
      <c r="O1060" s="125">
        <f t="shared" si="48"/>
        <v>1227.1199999999999</v>
      </c>
      <c r="P1060" t="str">
        <f>IF(E1060="","Unmapped",IFERROR(INDEX(Supplier_Lookup!$B$2:$B$25,MATCH(E1060,Supplier_Lookup!$A$2:$A$25,0)),"Unmapped"))</f>
        <v>Food &amp; Catering</v>
      </c>
      <c r="Q1060" s="76">
        <f>IFERROR(INDEX(Category_Targets!$B$2:$B$9,MATCH(F1060,Category_Targets!$A$2:$A$9,0)),0)</f>
        <v>0.04</v>
      </c>
      <c r="R1060" s="125">
        <f t="shared" si="49"/>
        <v>49.084799999999994</v>
      </c>
      <c r="S1060" s="78">
        <f t="shared" si="50"/>
        <v>45778</v>
      </c>
      <c r="T1060" t="str">
        <f>IFERROR(VLOOKUP(B1060,Sites!$A$2:$D$21,4,FALSE()),"Unknown")</f>
        <v>Swansea</v>
      </c>
      <c r="U1060" t="str">
        <f>IF(N1060="OK","",COUNTIF($N$2:N1060,"&lt;&gt;OK"))</f>
        <v/>
      </c>
      <c r="V1060">
        <f>IF(OR(NOT(EXACT(E1060,TRIM(Procurement_Raw!E1060))),NOT(EXACT(F1060,TRIM(Procurement_Raw!F1060)))),1,0)</f>
        <v>0</v>
      </c>
    </row>
    <row r="1061" spans="1:22" ht="15" customHeight="1" x14ac:dyDescent="0.25">
      <c r="A1061" s="123">
        <f>Procurement_Raw!A1061</f>
        <v>45667</v>
      </c>
      <c r="B1061" t="str">
        <f>TRIM(Procurement_Raw!B1061)</f>
        <v>S019</v>
      </c>
      <c r="C1061" t="str">
        <f>Procurement_Raw!C1061</f>
        <v>Wrexham Care &amp; Education Centre</v>
      </c>
      <c r="D1061" t="str">
        <f>Procurement_Raw!D1061</f>
        <v>Wales</v>
      </c>
      <c r="E1061" t="str">
        <f>IF(TRIM(Procurement_Raw!E1061)="","",IFERROR(INDEX(Supplier_Lookup!$A$2:$A$25,MATCH(TRIM(Procurement_Raw!E1061),Supplier_Lookup!$A$2:$A$25,0)),TRIM(Procurement_Raw!E1061)))</f>
        <v>TeleCare IT</v>
      </c>
      <c r="F1061" t="str">
        <f>IFERROR(INDEX(Category_Targets!$A$2:$A$9,MATCH(TRIM(Procurement_Raw!F1061),Category_Targets!$A$2:$A$9,0)),"Unmapped")</f>
        <v>IT &amp; Telecoms</v>
      </c>
      <c r="G1061" t="str">
        <f>TRIM(Procurement_Raw!G1061)</f>
        <v>INV-2025-01060</v>
      </c>
      <c r="H1061" s="77">
        <f>Procurement_Raw!H1061</f>
        <v>64</v>
      </c>
      <c r="I1061" s="124">
        <f>Procurement_Raw!I1061</f>
        <v>179.43</v>
      </c>
      <c r="J1061" s="125">
        <f>IF(Procurement_Raw!J1061="","",Procurement_Raw!J1061)</f>
        <v>11483.57</v>
      </c>
      <c r="K1061" s="77">
        <f>Procurement_Raw!K1061</f>
        <v>30</v>
      </c>
      <c r="L1061" t="str">
        <f>Procurement_Raw!L1061</f>
        <v>Legacy Spend File</v>
      </c>
      <c r="M1061" t="str">
        <f>Procurement_Raw!O1061</f>
        <v>N</v>
      </c>
      <c r="N1061" t="str">
        <f>IF(E1061="","Missing supplier",IF(B1061="","Missing site",IF(J1061="","Missing spend",IF(COUNTIFS($G$2:G1061,G1061,$E$2:E1061,E1061,$J$2:J1061,J1061)&gt;1,"Duplicate invoice",IF(COUNTIF($G$2:$G$1801,G1061)&gt;1,"Duplicate ID - review",IF(AND(P1061&lt;&gt;"Unmapped",P1061&lt;&gt;F1061),"Category mismatch","OK"))))))</f>
        <v>OK</v>
      </c>
      <c r="O1061" s="125">
        <f t="shared" si="48"/>
        <v>11483.57</v>
      </c>
      <c r="P1061" t="str">
        <f>IF(E1061="","Unmapped",IFERROR(INDEX(Supplier_Lookup!$B$2:$B$25,MATCH(E1061,Supplier_Lookup!$A$2:$A$25,0)),"Unmapped"))</f>
        <v>IT &amp; Telecoms</v>
      </c>
      <c r="Q1061" s="76">
        <f>IFERROR(INDEX(Category_Targets!$B$2:$B$9,MATCH(F1061,Category_Targets!$A$2:$A$9,0)),0)</f>
        <v>0.08</v>
      </c>
      <c r="R1061" s="125">
        <f t="shared" si="49"/>
        <v>918.68560000000002</v>
      </c>
      <c r="S1061" s="78">
        <f t="shared" si="50"/>
        <v>45658</v>
      </c>
      <c r="T1061" t="str">
        <f>IFERROR(VLOOKUP(B1061,Sites!$A$2:$D$21,4,FALSE()),"Unknown")</f>
        <v>Wrexham</v>
      </c>
      <c r="U1061" t="str">
        <f>IF(N1061="OK","",COUNTIF($N$2:N1061,"&lt;&gt;OK"))</f>
        <v/>
      </c>
      <c r="V1061">
        <f>IF(OR(NOT(EXACT(E1061,TRIM(Procurement_Raw!E1061))),NOT(EXACT(F1061,TRIM(Procurement_Raw!F1061)))),1,0)</f>
        <v>0</v>
      </c>
    </row>
    <row r="1062" spans="1:22" ht="15" customHeight="1" x14ac:dyDescent="0.25">
      <c r="A1062" s="123">
        <f>Procurement_Raw!A1062</f>
        <v>45998</v>
      </c>
      <c r="B1062" t="str">
        <f>TRIM(Procurement_Raw!B1062)</f>
        <v>S016</v>
      </c>
      <c r="C1062" t="str">
        <f>Procurement_Raw!C1062</f>
        <v>Cardiff Care &amp; Education Centre</v>
      </c>
      <c r="D1062" t="str">
        <f>Procurement_Raw!D1062</f>
        <v>Wales</v>
      </c>
      <c r="E1062" t="str">
        <f>IF(TRIM(Procurement_Raw!E1062)="","",IFERROR(INDEX(Supplier_Lookup!$A$2:$A$25,MATCH(TRIM(Procurement_Raw!E1062),Supplier_Lookup!$A$2:$A$25,0)),TRIM(Procurement_Raw!E1062)))</f>
        <v>MediSure</v>
      </c>
      <c r="F1062" t="str">
        <f>IFERROR(INDEX(Category_Targets!$A$2:$A$9,MATCH(TRIM(Procurement_Raw!F1062),Category_Targets!$A$2:$A$9,0)),"Unmapped")</f>
        <v>Medical Supplies</v>
      </c>
      <c r="G1062" t="str">
        <f>TRIM(Procurement_Raw!G1062)</f>
        <v>INV-2025-01061</v>
      </c>
      <c r="H1062" s="77">
        <f>Procurement_Raw!H1062</f>
        <v>50</v>
      </c>
      <c r="I1062" s="124">
        <f>Procurement_Raw!I1062</f>
        <v>183.45</v>
      </c>
      <c r="J1062" s="125">
        <f>IF(Procurement_Raw!J1062="","",Procurement_Raw!J1062)</f>
        <v>9172.35</v>
      </c>
      <c r="K1062" s="77">
        <f>Procurement_Raw!K1062</f>
        <v>45</v>
      </c>
      <c r="L1062" t="str">
        <f>Procurement_Raw!L1062</f>
        <v>ERP</v>
      </c>
      <c r="M1062" t="str">
        <f>Procurement_Raw!O1062</f>
        <v>Y</v>
      </c>
      <c r="N1062" t="str">
        <f>IF(E1062="","Missing supplier",IF(B1062="","Missing site",IF(J1062="","Missing spend",IF(COUNTIFS($G$2:G1062,G1062,$E$2:E1062,E1062,$J$2:J1062,J1062)&gt;1,"Duplicate invoice",IF(COUNTIF($G$2:$G$1801,G1062)&gt;1,"Duplicate ID - review",IF(AND(P1062&lt;&gt;"Unmapped",P1062&lt;&gt;F1062),"Category mismatch","OK"))))))</f>
        <v>OK</v>
      </c>
      <c r="O1062" s="125">
        <f t="shared" si="48"/>
        <v>9172.35</v>
      </c>
      <c r="P1062" t="str">
        <f>IF(E1062="","Unmapped",IFERROR(INDEX(Supplier_Lookup!$B$2:$B$25,MATCH(E1062,Supplier_Lookup!$A$2:$A$25,0)),"Unmapped"))</f>
        <v>Medical Supplies</v>
      </c>
      <c r="Q1062" s="76">
        <f>IFERROR(INDEX(Category_Targets!$B$2:$B$9,MATCH(F1062,Category_Targets!$A$2:$A$9,0)),0)</f>
        <v>0.06</v>
      </c>
      <c r="R1062" s="125">
        <f t="shared" si="49"/>
        <v>550.34100000000001</v>
      </c>
      <c r="S1062" s="78">
        <f t="shared" si="50"/>
        <v>45992</v>
      </c>
      <c r="T1062" t="str">
        <f>IFERROR(VLOOKUP(B1062,Sites!$A$2:$D$21,4,FALSE()),"Unknown")</f>
        <v>Cardiff</v>
      </c>
      <c r="U1062" t="str">
        <f>IF(N1062="OK","",COUNTIF($N$2:N1062,"&lt;&gt;OK"))</f>
        <v/>
      </c>
      <c r="V1062">
        <f>IF(OR(NOT(EXACT(E1062,TRIM(Procurement_Raw!E1062))),NOT(EXACT(F1062,TRIM(Procurement_Raw!F1062)))),1,0)</f>
        <v>0</v>
      </c>
    </row>
    <row r="1063" spans="1:22" ht="15" customHeight="1" x14ac:dyDescent="0.25">
      <c r="A1063" s="123">
        <f>Procurement_Raw!A1063</f>
        <v>45952</v>
      </c>
      <c r="B1063" t="str">
        <f>TRIM(Procurement_Raw!B1063)</f>
        <v>S004</v>
      </c>
      <c r="C1063" t="str">
        <f>Procurement_Raw!C1063</f>
        <v>Newcastle Care &amp; Education Centre</v>
      </c>
      <c r="D1063" t="str">
        <f>Procurement_Raw!D1063</f>
        <v>North</v>
      </c>
      <c r="E1063" t="str">
        <f>IF(TRIM(Procurement_Raw!E1063)="","",IFERROR(INDEX(Supplier_Lookup!$A$2:$A$25,MATCH(TRIM(Procurement_Raw!E1063),Supplier_Lookup!$A$2:$A$25,0)),TRIM(Procurement_Raw!E1063)))</f>
        <v>RoadReady</v>
      </c>
      <c r="F1063" t="str">
        <f>IFERROR(INDEX(Category_Targets!$A$2:$A$9,MATCH(TRIM(Procurement_Raw!F1063),Category_Targets!$A$2:$A$9,0)),"Unmapped")</f>
        <v>Vehicle &amp; Fuel</v>
      </c>
      <c r="G1063" t="str">
        <f>TRIM(Procurement_Raw!G1063)</f>
        <v>INV-2025-01062</v>
      </c>
      <c r="H1063" s="77">
        <f>Procurement_Raw!H1063</f>
        <v>1</v>
      </c>
      <c r="I1063" s="124">
        <f>Procurement_Raw!I1063</f>
        <v>19.829999999999998</v>
      </c>
      <c r="J1063" s="125">
        <f>IF(Procurement_Raw!J1063="","",Procurement_Raw!J1063)</f>
        <v>19.829999999999998</v>
      </c>
      <c r="K1063" s="77">
        <f>Procurement_Raw!K1063</f>
        <v>60</v>
      </c>
      <c r="L1063" t="str">
        <f>Procurement_Raw!L1063</f>
        <v>Legacy Spend File</v>
      </c>
      <c r="M1063" t="str">
        <f>Procurement_Raw!O1063</f>
        <v>N</v>
      </c>
      <c r="N1063" t="str">
        <f>IF(E1063="","Missing supplier",IF(B1063="","Missing site",IF(J1063="","Missing spend",IF(COUNTIFS($G$2:G1063,G1063,$E$2:E1063,E1063,$J$2:J1063,J1063)&gt;1,"Duplicate invoice",IF(COUNTIF($G$2:$G$1801,G1063)&gt;1,"Duplicate ID - review",IF(AND(P1063&lt;&gt;"Unmapped",P1063&lt;&gt;F1063),"Category mismatch","OK"))))))</f>
        <v>OK</v>
      </c>
      <c r="O1063" s="125">
        <f t="shared" si="48"/>
        <v>19.829999999999998</v>
      </c>
      <c r="P1063" t="str">
        <f>IF(E1063="","Unmapped",IFERROR(INDEX(Supplier_Lookup!$B$2:$B$25,MATCH(E1063,Supplier_Lookup!$A$2:$A$25,0)),"Unmapped"))</f>
        <v>Vehicle &amp; Fuel</v>
      </c>
      <c r="Q1063" s="76">
        <f>IFERROR(INDEX(Category_Targets!$B$2:$B$9,MATCH(F1063,Category_Targets!$A$2:$A$9,0)),0)</f>
        <v>0.05</v>
      </c>
      <c r="R1063" s="125">
        <f t="shared" si="49"/>
        <v>0.99149999999999994</v>
      </c>
      <c r="S1063" s="78">
        <f t="shared" si="50"/>
        <v>45931</v>
      </c>
      <c r="T1063" t="str">
        <f>IFERROR(VLOOKUP(B1063,Sites!$A$2:$D$21,4,FALSE()),"Unknown")</f>
        <v>Newcastle</v>
      </c>
      <c r="U1063" t="str">
        <f>IF(N1063="OK","",COUNTIF($N$2:N1063,"&lt;&gt;OK"))</f>
        <v/>
      </c>
      <c r="V1063">
        <f>IF(OR(NOT(EXACT(E1063,TRIM(Procurement_Raw!E1063))),NOT(EXACT(F1063,TRIM(Procurement_Raw!F1063)))),1,0)</f>
        <v>0</v>
      </c>
    </row>
    <row r="1064" spans="1:22" ht="15" customHeight="1" x14ac:dyDescent="0.25">
      <c r="A1064" s="123">
        <f>Procurement_Raw!A1064</f>
        <v>45864</v>
      </c>
      <c r="B1064" t="str">
        <f>TRIM(Procurement_Raw!B1064)</f>
        <v>S002</v>
      </c>
      <c r="C1064" t="str">
        <f>Procurement_Raw!C1064</f>
        <v>Manchester Care &amp; Education Centre</v>
      </c>
      <c r="D1064" t="str">
        <f>Procurement_Raw!D1064</f>
        <v>North</v>
      </c>
      <c r="E1064" t="str">
        <f>IF(TRIM(Procurement_Raw!E1064)="","",IFERROR(INDEX(Supplier_Lookup!$A$2:$A$25,MATCH(TRIM(Procurement_Raw!E1064),Supplier_Lookup!$A$2:$A$25,0)),TRIM(Procurement_Raw!E1064)))</f>
        <v>LearnWell</v>
      </c>
      <c r="F1064" t="str">
        <f>IFERROR(INDEX(Category_Targets!$A$2:$A$9,MATCH(TRIM(Procurement_Raw!F1064),Category_Targets!$A$2:$A$9,0)),"Unmapped")</f>
        <v>Office &amp; Training</v>
      </c>
      <c r="G1064" t="str">
        <f>TRIM(Procurement_Raw!G1064)</f>
        <v>INV-2025-01063</v>
      </c>
      <c r="H1064" s="77">
        <f>Procurement_Raw!H1064</f>
        <v>9</v>
      </c>
      <c r="I1064" s="124">
        <f>Procurement_Raw!I1064</f>
        <v>141.08000000000001</v>
      </c>
      <c r="J1064" s="125">
        <f>IF(Procurement_Raw!J1064="","",Procurement_Raw!J1064)</f>
        <v>1269.7</v>
      </c>
      <c r="K1064" s="77">
        <f>Procurement_Raw!K1064</f>
        <v>60</v>
      </c>
      <c r="L1064" t="str">
        <f>Procurement_Raw!L1064</f>
        <v>ERP</v>
      </c>
      <c r="M1064" t="str">
        <f>Procurement_Raw!O1064</f>
        <v>N</v>
      </c>
      <c r="N1064" t="str">
        <f>IF(E1064="","Missing supplier",IF(B1064="","Missing site",IF(J1064="","Missing spend",IF(COUNTIFS($G$2:G1064,G1064,$E$2:E1064,E1064,$J$2:J1064,J1064)&gt;1,"Duplicate invoice",IF(COUNTIF($G$2:$G$1801,G1064)&gt;1,"Duplicate ID - review",IF(AND(P1064&lt;&gt;"Unmapped",P1064&lt;&gt;F1064),"Category mismatch","OK"))))))</f>
        <v>OK</v>
      </c>
      <c r="O1064" s="125">
        <f t="shared" si="48"/>
        <v>1269.7</v>
      </c>
      <c r="P1064" t="str">
        <f>IF(E1064="","Unmapped",IFERROR(INDEX(Supplier_Lookup!$B$2:$B$25,MATCH(E1064,Supplier_Lookup!$A$2:$A$25,0)),"Unmapped"))</f>
        <v>Office &amp; Training</v>
      </c>
      <c r="Q1064" s="76">
        <f>IFERROR(INDEX(Category_Targets!$B$2:$B$9,MATCH(F1064,Category_Targets!$A$2:$A$9,0)),0)</f>
        <v>0.04</v>
      </c>
      <c r="R1064" s="125">
        <f t="shared" si="49"/>
        <v>50.788000000000004</v>
      </c>
      <c r="S1064" s="78">
        <f t="shared" si="50"/>
        <v>45839</v>
      </c>
      <c r="T1064" t="str">
        <f>IFERROR(VLOOKUP(B1064,Sites!$A$2:$D$21,4,FALSE()),"Unknown")</f>
        <v>Manchester</v>
      </c>
      <c r="U1064" t="str">
        <f>IF(N1064="OK","",COUNTIF($N$2:N1064,"&lt;&gt;OK"))</f>
        <v/>
      </c>
      <c r="V1064">
        <f>IF(OR(NOT(EXACT(E1064,TRIM(Procurement_Raw!E1064))),NOT(EXACT(F1064,TRIM(Procurement_Raw!F1064)))),1,0)</f>
        <v>0</v>
      </c>
    </row>
    <row r="1065" spans="1:22" ht="15" customHeight="1" x14ac:dyDescent="0.25">
      <c r="A1065" s="123">
        <f>Procurement_Raw!A1065</f>
        <v>45904</v>
      </c>
      <c r="B1065" t="str">
        <f>TRIM(Procurement_Raw!B1065)</f>
        <v>S016</v>
      </c>
      <c r="C1065" t="str">
        <f>Procurement_Raw!C1065</f>
        <v>Cardiff Care &amp; Education Centre</v>
      </c>
      <c r="D1065" t="str">
        <f>Procurement_Raw!D1065</f>
        <v>Wales</v>
      </c>
      <c r="E1065" t="str">
        <f>IF(TRIM(Procurement_Raw!E1065)="","",IFERROR(INDEX(Supplier_Lookup!$A$2:$A$25,MATCH(TRIM(Procurement_Raw!E1065),Supplier_Lookup!$A$2:$A$25,0)),TRIM(Procurement_Raw!E1065)))</f>
        <v>NurseLink</v>
      </c>
      <c r="F1065" t="str">
        <f>IFERROR(INDEX(Category_Targets!$A$2:$A$9,MATCH(TRIM(Procurement_Raw!F1065),Category_Targets!$A$2:$A$9,0)),"Unmapped")</f>
        <v>Agency Labour</v>
      </c>
      <c r="G1065" t="str">
        <f>TRIM(Procurement_Raw!G1065)</f>
        <v>INV-2025-01064</v>
      </c>
      <c r="H1065" s="77">
        <f>Procurement_Raw!H1065</f>
        <v>16</v>
      </c>
      <c r="I1065" s="124">
        <f>Procurement_Raw!I1065</f>
        <v>115.23</v>
      </c>
      <c r="J1065" s="125">
        <f>IF(Procurement_Raw!J1065="","",Procurement_Raw!J1065)</f>
        <v>1843.7</v>
      </c>
      <c r="K1065" s="77">
        <f>Procurement_Raw!K1065</f>
        <v>60</v>
      </c>
      <c r="L1065" t="str">
        <f>Procurement_Raw!L1065</f>
        <v>Legacy Spend File</v>
      </c>
      <c r="M1065" t="str">
        <f>Procurement_Raw!O1065</f>
        <v>N</v>
      </c>
      <c r="N1065" t="str">
        <f>IF(E1065="","Missing supplier",IF(B1065="","Missing site",IF(J1065="","Missing spend",IF(COUNTIFS($G$2:G1065,G1065,$E$2:E1065,E1065,$J$2:J1065,J1065)&gt;1,"Duplicate invoice",IF(COUNTIF($G$2:$G$1801,G1065)&gt;1,"Duplicate ID - review",IF(AND(P1065&lt;&gt;"Unmapped",P1065&lt;&gt;F1065),"Category mismatch","OK"))))))</f>
        <v>OK</v>
      </c>
      <c r="O1065" s="125">
        <f t="shared" si="48"/>
        <v>1843.7</v>
      </c>
      <c r="P1065" t="str">
        <f>IF(E1065="","Unmapped",IFERROR(INDEX(Supplier_Lookup!$B$2:$B$25,MATCH(E1065,Supplier_Lookup!$A$2:$A$25,0)),"Unmapped"))</f>
        <v>Agency Labour</v>
      </c>
      <c r="Q1065" s="76">
        <f>IFERROR(INDEX(Category_Targets!$B$2:$B$9,MATCH(F1065,Category_Targets!$A$2:$A$9,0)),0)</f>
        <v>7.0000000000000007E-2</v>
      </c>
      <c r="R1065" s="125">
        <f t="shared" si="49"/>
        <v>129.05900000000003</v>
      </c>
      <c r="S1065" s="78">
        <f t="shared" si="50"/>
        <v>45901</v>
      </c>
      <c r="T1065" t="str">
        <f>IFERROR(VLOOKUP(B1065,Sites!$A$2:$D$21,4,FALSE()),"Unknown")</f>
        <v>Cardiff</v>
      </c>
      <c r="U1065" t="str">
        <f>IF(N1065="OK","",COUNTIF($N$2:N1065,"&lt;&gt;OK"))</f>
        <v/>
      </c>
      <c r="V1065">
        <f>IF(OR(NOT(EXACT(E1065,TRIM(Procurement_Raw!E1065))),NOT(EXACT(F1065,TRIM(Procurement_Raw!F1065)))),1,0)</f>
        <v>0</v>
      </c>
    </row>
    <row r="1066" spans="1:22" ht="15" customHeight="1" x14ac:dyDescent="0.25">
      <c r="A1066" s="123">
        <f>Procurement_Raw!A1066</f>
        <v>45813</v>
      </c>
      <c r="B1066" t="str">
        <f>TRIM(Procurement_Raw!B1066)</f>
        <v>S016</v>
      </c>
      <c r="C1066" t="str">
        <f>Procurement_Raw!C1066</f>
        <v>Cardiff Care &amp; Education Centre</v>
      </c>
      <c r="D1066" t="str">
        <f>Procurement_Raw!D1066</f>
        <v>Wales</v>
      </c>
      <c r="E1066" t="str">
        <f>IF(TRIM(Procurement_Raw!E1066)="","",IFERROR(INDEX(Supplier_Lookup!$A$2:$A$25,MATCH(TRIM(Procurement_Raw!E1066),Supplier_Lookup!$A$2:$A$25,0)),TRIM(Procurement_Raw!E1066)))</f>
        <v>AutoCare</v>
      </c>
      <c r="F1066" t="str">
        <f>IFERROR(INDEX(Category_Targets!$A$2:$A$9,MATCH(TRIM(Procurement_Raw!F1066),Category_Targets!$A$2:$A$9,0)),"Unmapped")</f>
        <v>Vehicle &amp; Fuel</v>
      </c>
      <c r="G1066" t="str">
        <f>TRIM(Procurement_Raw!G1066)</f>
        <v>INV-2025-01065</v>
      </c>
      <c r="H1066" s="77">
        <f>Procurement_Raw!H1066</f>
        <v>52</v>
      </c>
      <c r="I1066" s="124">
        <f>Procurement_Raw!I1066</f>
        <v>77.83</v>
      </c>
      <c r="J1066" s="125">
        <f>IF(Procurement_Raw!J1066="","",Procurement_Raw!J1066)</f>
        <v>4047.19</v>
      </c>
      <c r="K1066" s="77">
        <f>Procurement_Raw!K1066</f>
        <v>30</v>
      </c>
      <c r="L1066" t="str">
        <f>Procurement_Raw!L1066</f>
        <v>Legacy Spend File</v>
      </c>
      <c r="M1066" t="str">
        <f>Procurement_Raw!O1066</f>
        <v>N</v>
      </c>
      <c r="N1066" t="str">
        <f>IF(E1066="","Missing supplier",IF(B1066="","Missing site",IF(J1066="","Missing spend",IF(COUNTIFS($G$2:G1066,G1066,$E$2:E1066,E1066,$J$2:J1066,J1066)&gt;1,"Duplicate invoice",IF(COUNTIF($G$2:$G$1801,G1066)&gt;1,"Duplicate ID - review",IF(AND(P1066&lt;&gt;"Unmapped",P1066&lt;&gt;F1066),"Category mismatch","OK"))))))</f>
        <v>OK</v>
      </c>
      <c r="O1066" s="125">
        <f t="shared" si="48"/>
        <v>4047.19</v>
      </c>
      <c r="P1066" t="str">
        <f>IF(E1066="","Unmapped",IFERROR(INDEX(Supplier_Lookup!$B$2:$B$25,MATCH(E1066,Supplier_Lookup!$A$2:$A$25,0)),"Unmapped"))</f>
        <v>Vehicle &amp; Fuel</v>
      </c>
      <c r="Q1066" s="76">
        <f>IFERROR(INDEX(Category_Targets!$B$2:$B$9,MATCH(F1066,Category_Targets!$A$2:$A$9,0)),0)</f>
        <v>0.05</v>
      </c>
      <c r="R1066" s="125">
        <f t="shared" si="49"/>
        <v>202.35950000000003</v>
      </c>
      <c r="S1066" s="78">
        <f t="shared" si="50"/>
        <v>45809</v>
      </c>
      <c r="T1066" t="str">
        <f>IFERROR(VLOOKUP(B1066,Sites!$A$2:$D$21,4,FALSE()),"Unknown")</f>
        <v>Cardiff</v>
      </c>
      <c r="U1066" t="str">
        <f>IF(N1066="OK","",COUNTIF($N$2:N1066,"&lt;&gt;OK"))</f>
        <v/>
      </c>
      <c r="V1066">
        <f>IF(OR(NOT(EXACT(E1066,TRIM(Procurement_Raw!E1066))),NOT(EXACT(F1066,TRIM(Procurement_Raw!F1066)))),1,0)</f>
        <v>0</v>
      </c>
    </row>
    <row r="1067" spans="1:22" ht="15" customHeight="1" x14ac:dyDescent="0.25">
      <c r="A1067" s="123">
        <f>Procurement_Raw!A1067</f>
        <v>45931</v>
      </c>
      <c r="B1067" t="str">
        <f>TRIM(Procurement_Raw!B1067)</f>
        <v>S008</v>
      </c>
      <c r="C1067" t="str">
        <f>Procurement_Raw!C1067</f>
        <v>Leicester Care &amp; Education Centre</v>
      </c>
      <c r="D1067" t="str">
        <f>Procurement_Raw!D1067</f>
        <v>Midlands</v>
      </c>
      <c r="E1067" t="str">
        <f>IF(TRIM(Procurement_Raw!E1067)="","",IFERROR(INDEX(Supplier_Lookup!$A$2:$A$25,MATCH(TRIM(Procurement_Raw!E1067),Supplier_Lookup!$A$2:$A$25,0)),TRIM(Procurement_Raw!E1067)))</f>
        <v>NourishCo</v>
      </c>
      <c r="F1067" t="str">
        <f>IFERROR(INDEX(Category_Targets!$A$2:$A$9,MATCH(TRIM(Procurement_Raw!F1067),Category_Targets!$A$2:$A$9,0)),"Unmapped")</f>
        <v>Food &amp; Catering</v>
      </c>
      <c r="G1067" t="str">
        <f>TRIM(Procurement_Raw!G1067)</f>
        <v>INV-2025-01066</v>
      </c>
      <c r="H1067" s="77">
        <f>Procurement_Raw!H1067</f>
        <v>44</v>
      </c>
      <c r="I1067" s="124">
        <f>Procurement_Raw!I1067</f>
        <v>35.11</v>
      </c>
      <c r="J1067" s="125">
        <f>IF(Procurement_Raw!J1067="","",Procurement_Raw!J1067)</f>
        <v>1544.97</v>
      </c>
      <c r="K1067" s="77">
        <f>Procurement_Raw!K1067</f>
        <v>30</v>
      </c>
      <c r="L1067" t="str">
        <f>Procurement_Raw!L1067</f>
        <v>Procurement Portal</v>
      </c>
      <c r="M1067" t="str">
        <f>Procurement_Raw!O1067</f>
        <v>N</v>
      </c>
      <c r="N1067" t="str">
        <f>IF(E1067="","Missing supplier",IF(B1067="","Missing site",IF(J1067="","Missing spend",IF(COUNTIFS($G$2:G1067,G1067,$E$2:E1067,E1067,$J$2:J1067,J1067)&gt;1,"Duplicate invoice",IF(COUNTIF($G$2:$G$1801,G1067)&gt;1,"Duplicate ID - review",IF(AND(P1067&lt;&gt;"Unmapped",P1067&lt;&gt;F1067),"Category mismatch","OK"))))))</f>
        <v>OK</v>
      </c>
      <c r="O1067" s="125">
        <f t="shared" si="48"/>
        <v>1544.97</v>
      </c>
      <c r="P1067" t="str">
        <f>IF(E1067="","Unmapped",IFERROR(INDEX(Supplier_Lookup!$B$2:$B$25,MATCH(E1067,Supplier_Lookup!$A$2:$A$25,0)),"Unmapped"))</f>
        <v>Food &amp; Catering</v>
      </c>
      <c r="Q1067" s="76">
        <f>IFERROR(INDEX(Category_Targets!$B$2:$B$9,MATCH(F1067,Category_Targets!$A$2:$A$9,0)),0)</f>
        <v>0.04</v>
      </c>
      <c r="R1067" s="125">
        <f t="shared" si="49"/>
        <v>61.7988</v>
      </c>
      <c r="S1067" s="78">
        <f t="shared" si="50"/>
        <v>45931</v>
      </c>
      <c r="T1067" t="str">
        <f>IFERROR(VLOOKUP(B1067,Sites!$A$2:$D$21,4,FALSE()),"Unknown")</f>
        <v>Leicester</v>
      </c>
      <c r="U1067" t="str">
        <f>IF(N1067="OK","",COUNTIF($N$2:N1067,"&lt;&gt;OK"))</f>
        <v/>
      </c>
      <c r="V1067">
        <f>IF(OR(NOT(EXACT(E1067,TRIM(Procurement_Raw!E1067))),NOT(EXACT(F1067,TRIM(Procurement_Raw!F1067)))),1,0)</f>
        <v>0</v>
      </c>
    </row>
    <row r="1068" spans="1:22" ht="15" customHeight="1" x14ac:dyDescent="0.25">
      <c r="A1068" s="123">
        <f>Procurement_Raw!A1068</f>
        <v>45761</v>
      </c>
      <c r="B1068" t="str">
        <f>TRIM(Procurement_Raw!B1068)</f>
        <v>S002</v>
      </c>
      <c r="C1068" t="str">
        <f>Procurement_Raw!C1068</f>
        <v>Manchester Care &amp; Education Centre</v>
      </c>
      <c r="D1068" t="str">
        <f>Procurement_Raw!D1068</f>
        <v>North</v>
      </c>
      <c r="E1068" t="str">
        <f>IF(TRIM(Procurement_Raw!E1068)="","",IFERROR(INDEX(Supplier_Lookup!$A$2:$A$25,MATCH(TRIM(Procurement_Raw!E1068),Supplier_Lookup!$A$2:$A$25,0)),TRIM(Procurement_Raw!E1068)))</f>
        <v>NetServe</v>
      </c>
      <c r="F1068" t="str">
        <f>IFERROR(INDEX(Category_Targets!$A$2:$A$9,MATCH(TRIM(Procurement_Raw!F1068),Category_Targets!$A$2:$A$9,0)),"Unmapped")</f>
        <v>IT &amp; Telecoms</v>
      </c>
      <c r="G1068" t="str">
        <f>TRIM(Procurement_Raw!G1068)</f>
        <v>INV-2025-01067</v>
      </c>
      <c r="H1068" s="77">
        <f>Procurement_Raw!H1068</f>
        <v>23</v>
      </c>
      <c r="I1068" s="124">
        <f>Procurement_Raw!I1068</f>
        <v>107.94</v>
      </c>
      <c r="J1068" s="125">
        <f>IF(Procurement_Raw!J1068="","",Procurement_Raw!J1068)</f>
        <v>2482.56</v>
      </c>
      <c r="K1068" s="77">
        <f>Procurement_Raw!K1068</f>
        <v>60</v>
      </c>
      <c r="L1068" t="str">
        <f>Procurement_Raw!L1068</f>
        <v>ERP</v>
      </c>
      <c r="M1068" t="str">
        <f>Procurement_Raw!O1068</f>
        <v>N</v>
      </c>
      <c r="N1068" t="str">
        <f>IF(E1068="","Missing supplier",IF(B1068="","Missing site",IF(J1068="","Missing spend",IF(COUNTIFS($G$2:G1068,G1068,$E$2:E1068,E1068,$J$2:J1068,J1068)&gt;1,"Duplicate invoice",IF(COUNTIF($G$2:$G$1801,G1068)&gt;1,"Duplicate ID - review",IF(AND(P1068&lt;&gt;"Unmapped",P1068&lt;&gt;F1068),"Category mismatch","OK"))))))</f>
        <v>OK</v>
      </c>
      <c r="O1068" s="125">
        <f t="shared" si="48"/>
        <v>2482.56</v>
      </c>
      <c r="P1068" t="str">
        <f>IF(E1068="","Unmapped",IFERROR(INDEX(Supplier_Lookup!$B$2:$B$25,MATCH(E1068,Supplier_Lookup!$A$2:$A$25,0)),"Unmapped"))</f>
        <v>IT &amp; Telecoms</v>
      </c>
      <c r="Q1068" s="76">
        <f>IFERROR(INDEX(Category_Targets!$B$2:$B$9,MATCH(F1068,Category_Targets!$A$2:$A$9,0)),0)</f>
        <v>0.08</v>
      </c>
      <c r="R1068" s="125">
        <f t="shared" si="49"/>
        <v>198.60480000000001</v>
      </c>
      <c r="S1068" s="78">
        <f t="shared" si="50"/>
        <v>45748</v>
      </c>
      <c r="T1068" t="str">
        <f>IFERROR(VLOOKUP(B1068,Sites!$A$2:$D$21,4,FALSE()),"Unknown")</f>
        <v>Manchester</v>
      </c>
      <c r="U1068" t="str">
        <f>IF(N1068="OK","",COUNTIF($N$2:N1068,"&lt;&gt;OK"))</f>
        <v/>
      </c>
      <c r="V1068">
        <f>IF(OR(NOT(EXACT(E1068,TRIM(Procurement_Raw!E1068))),NOT(EXACT(F1068,TRIM(Procurement_Raw!F1068)))),1,0)</f>
        <v>0</v>
      </c>
    </row>
    <row r="1069" spans="1:22" ht="15" customHeight="1" x14ac:dyDescent="0.25">
      <c r="A1069" s="123">
        <f>Procurement_Raw!A1069</f>
        <v>46014</v>
      </c>
      <c r="B1069" t="str">
        <f>TRIM(Procurement_Raw!B1069)</f>
        <v>S020</v>
      </c>
      <c r="C1069" t="str">
        <f>Procurement_Raw!C1069</f>
        <v>Bangor Care &amp; Education Centre</v>
      </c>
      <c r="D1069" t="str">
        <f>Procurement_Raw!D1069</f>
        <v>Wales</v>
      </c>
      <c r="E1069" t="str">
        <f>IF(TRIM(Procurement_Raw!E1069)="","",IFERROR(INDEX(Supplier_Lookup!$A$2:$A$25,MATCH(TRIM(Procurement_Raw!E1069),Supplier_Lookup!$A$2:$A$25,0)),TRIM(Procurement_Raw!E1069)))</f>
        <v>WaterGrid</v>
      </c>
      <c r="F1069" t="str">
        <f>IFERROR(INDEX(Category_Targets!$A$2:$A$9,MATCH(TRIM(Procurement_Raw!F1069),Category_Targets!$A$2:$A$9,0)),"Unmapped")</f>
        <v>Utilities</v>
      </c>
      <c r="G1069" t="str">
        <f>TRIM(Procurement_Raw!G1069)</f>
        <v>INV-2025-01068</v>
      </c>
      <c r="H1069" s="77">
        <f>Procurement_Raw!H1069</f>
        <v>50</v>
      </c>
      <c r="I1069" s="124">
        <f>Procurement_Raw!I1069</f>
        <v>473.39</v>
      </c>
      <c r="J1069" s="125">
        <f>IF(Procurement_Raw!J1069="","",Procurement_Raw!J1069)</f>
        <v>23669.41</v>
      </c>
      <c r="K1069" s="77">
        <f>Procurement_Raw!K1069</f>
        <v>30</v>
      </c>
      <c r="L1069" t="str">
        <f>Procurement_Raw!L1069</f>
        <v>Legacy Spend File</v>
      </c>
      <c r="M1069" t="str">
        <f>Procurement_Raw!O1069</f>
        <v>N</v>
      </c>
      <c r="N1069" t="str">
        <f>IF(E1069="","Missing supplier",IF(B1069="","Missing site",IF(J1069="","Missing spend",IF(COUNTIFS($G$2:G1069,G1069,$E$2:E1069,E1069,$J$2:J1069,J1069)&gt;1,"Duplicate invoice",IF(COUNTIF($G$2:$G$1801,G1069)&gt;1,"Duplicate ID - review",IF(AND(P1069&lt;&gt;"Unmapped",P1069&lt;&gt;F1069),"Category mismatch","OK"))))))</f>
        <v>OK</v>
      </c>
      <c r="O1069" s="125">
        <f t="shared" si="48"/>
        <v>23669.41</v>
      </c>
      <c r="P1069" t="str">
        <f>IF(E1069="","Unmapped",IFERROR(INDEX(Supplier_Lookup!$B$2:$B$25,MATCH(E1069,Supplier_Lookup!$A$2:$A$25,0)),"Unmapped"))</f>
        <v>Utilities</v>
      </c>
      <c r="Q1069" s="76">
        <f>IFERROR(INDEX(Category_Targets!$B$2:$B$9,MATCH(F1069,Category_Targets!$A$2:$A$9,0)),0)</f>
        <v>0.03</v>
      </c>
      <c r="R1069" s="125">
        <f t="shared" si="49"/>
        <v>710.08229999999992</v>
      </c>
      <c r="S1069" s="78">
        <f t="shared" si="50"/>
        <v>45992</v>
      </c>
      <c r="T1069" t="str">
        <f>IFERROR(VLOOKUP(B1069,Sites!$A$2:$D$21,4,FALSE()),"Unknown")</f>
        <v>Bangor</v>
      </c>
      <c r="U1069" t="str">
        <f>IF(N1069="OK","",COUNTIF($N$2:N1069,"&lt;&gt;OK"))</f>
        <v/>
      </c>
      <c r="V1069">
        <f>IF(OR(NOT(EXACT(E1069,TRIM(Procurement_Raw!E1069))),NOT(EXACT(F1069,TRIM(Procurement_Raw!F1069)))),1,0)</f>
        <v>0</v>
      </c>
    </row>
    <row r="1070" spans="1:22" ht="15" customHeight="1" x14ac:dyDescent="0.25">
      <c r="A1070" s="123">
        <f>Procurement_Raw!A1070</f>
        <v>45701</v>
      </c>
      <c r="B1070" t="str">
        <f>TRIM(Procurement_Raw!B1070)</f>
        <v>S015</v>
      </c>
      <c r="C1070" t="str">
        <f>Procurement_Raw!C1070</f>
        <v>Brighton Care &amp; Education Centre</v>
      </c>
      <c r="D1070" t="str">
        <f>Procurement_Raw!D1070</f>
        <v>South</v>
      </c>
      <c r="E1070" t="str">
        <f>IF(TRIM(Procurement_Raw!E1070)="","",IFERROR(INDEX(Supplier_Lookup!$A$2:$A$25,MATCH(TRIM(Procurement_Raw!E1070),Supplier_Lookup!$A$2:$A$25,0)),TRIM(Procurement_Raw!E1070)))</f>
        <v>RoadReady</v>
      </c>
      <c r="F1070" t="str">
        <f>IFERROR(INDEX(Category_Targets!$A$2:$A$9,MATCH(TRIM(Procurement_Raw!F1070),Category_Targets!$A$2:$A$9,0)),"Unmapped")</f>
        <v>Vehicle &amp; Fuel</v>
      </c>
      <c r="G1070" t="str">
        <f>TRIM(Procurement_Raw!G1070)</f>
        <v>INV-2025-01069</v>
      </c>
      <c r="H1070" s="77">
        <f>Procurement_Raw!H1070</f>
        <v>57</v>
      </c>
      <c r="I1070" s="124">
        <f>Procurement_Raw!I1070</f>
        <v>73.45</v>
      </c>
      <c r="J1070" s="125">
        <f>IF(Procurement_Raw!J1070="","",Procurement_Raw!J1070)</f>
        <v>4186.8</v>
      </c>
      <c r="K1070" s="77">
        <f>Procurement_Raw!K1070</f>
        <v>60</v>
      </c>
      <c r="L1070" t="str">
        <f>Procurement_Raw!L1070</f>
        <v>ERP</v>
      </c>
      <c r="M1070" t="str">
        <f>Procurement_Raw!O1070</f>
        <v>N</v>
      </c>
      <c r="N1070" t="str">
        <f>IF(E1070="","Missing supplier",IF(B1070="","Missing site",IF(J1070="","Missing spend",IF(COUNTIFS($G$2:G1070,G1070,$E$2:E1070,E1070,$J$2:J1070,J1070)&gt;1,"Duplicate invoice",IF(COUNTIF($G$2:$G$1801,G1070)&gt;1,"Duplicate ID - review",IF(AND(P1070&lt;&gt;"Unmapped",P1070&lt;&gt;F1070),"Category mismatch","OK"))))))</f>
        <v>OK</v>
      </c>
      <c r="O1070" s="125">
        <f t="shared" si="48"/>
        <v>4186.8</v>
      </c>
      <c r="P1070" t="str">
        <f>IF(E1070="","Unmapped",IFERROR(INDEX(Supplier_Lookup!$B$2:$B$25,MATCH(E1070,Supplier_Lookup!$A$2:$A$25,0)),"Unmapped"))</f>
        <v>Vehicle &amp; Fuel</v>
      </c>
      <c r="Q1070" s="76">
        <f>IFERROR(INDEX(Category_Targets!$B$2:$B$9,MATCH(F1070,Category_Targets!$A$2:$A$9,0)),0)</f>
        <v>0.05</v>
      </c>
      <c r="R1070" s="125">
        <f t="shared" si="49"/>
        <v>209.34000000000003</v>
      </c>
      <c r="S1070" s="78">
        <f t="shared" si="50"/>
        <v>45689</v>
      </c>
      <c r="T1070" t="str">
        <f>IFERROR(VLOOKUP(B1070,Sites!$A$2:$D$21,4,FALSE()),"Unknown")</f>
        <v>Brighton</v>
      </c>
      <c r="U1070" t="str">
        <f>IF(N1070="OK","",COUNTIF($N$2:N1070,"&lt;&gt;OK"))</f>
        <v/>
      </c>
      <c r="V1070">
        <f>IF(OR(NOT(EXACT(E1070,TRIM(Procurement_Raw!E1070))),NOT(EXACT(F1070,TRIM(Procurement_Raw!F1070)))),1,0)</f>
        <v>0</v>
      </c>
    </row>
    <row r="1071" spans="1:22" ht="15" customHeight="1" x14ac:dyDescent="0.25">
      <c r="A1071" s="123">
        <f>Procurement_Raw!A1071</f>
        <v>45670</v>
      </c>
      <c r="B1071" t="str">
        <f>TRIM(Procurement_Raw!B1071)</f>
        <v>S016</v>
      </c>
      <c r="C1071" t="str">
        <f>Procurement_Raw!C1071</f>
        <v>Cardiff Care &amp; Education Centre</v>
      </c>
      <c r="D1071" t="str">
        <f>Procurement_Raw!D1071</f>
        <v>Wales</v>
      </c>
      <c r="E1071" t="str">
        <f>IF(TRIM(Procurement_Raw!E1071)="","",IFERROR(INDEX(Supplier_Lookup!$A$2:$A$25,MATCH(TRIM(Procurement_Raw!E1071),Supplier_Lookup!$A$2:$A$25,0)),TRIM(Procurement_Raw!E1071)))</f>
        <v>MediSure</v>
      </c>
      <c r="F1071" t="str">
        <f>IFERROR(INDEX(Category_Targets!$A$2:$A$9,MATCH(TRIM(Procurement_Raw!F1071),Category_Targets!$A$2:$A$9,0)),"Unmapped")</f>
        <v>Medical Supplies</v>
      </c>
      <c r="G1071" t="str">
        <f>TRIM(Procurement_Raw!G1071)</f>
        <v>INV-2025-01070</v>
      </c>
      <c r="H1071" s="77">
        <f>Procurement_Raw!H1071</f>
        <v>76</v>
      </c>
      <c r="I1071" s="124">
        <f>Procurement_Raw!I1071</f>
        <v>145.19</v>
      </c>
      <c r="J1071" s="125">
        <f>IF(Procurement_Raw!J1071="","",Procurement_Raw!J1071)</f>
        <v>11034.72</v>
      </c>
      <c r="K1071" s="77">
        <f>Procurement_Raw!K1071</f>
        <v>30</v>
      </c>
      <c r="L1071" t="str">
        <f>Procurement_Raw!L1071</f>
        <v>Procurement Portal</v>
      </c>
      <c r="M1071" t="str">
        <f>Procurement_Raw!O1071</f>
        <v>Y</v>
      </c>
      <c r="N1071" t="str">
        <f>IF(E1071="","Missing supplier",IF(B1071="","Missing site",IF(J1071="","Missing spend",IF(COUNTIFS($G$2:G1071,G1071,$E$2:E1071,E1071,$J$2:J1071,J1071)&gt;1,"Duplicate invoice",IF(COUNTIF($G$2:$G$1801,G1071)&gt;1,"Duplicate ID - review",IF(AND(P1071&lt;&gt;"Unmapped",P1071&lt;&gt;F1071),"Category mismatch","OK"))))))</f>
        <v>OK</v>
      </c>
      <c r="O1071" s="125">
        <f t="shared" si="48"/>
        <v>11034.72</v>
      </c>
      <c r="P1071" t="str">
        <f>IF(E1071="","Unmapped",IFERROR(INDEX(Supplier_Lookup!$B$2:$B$25,MATCH(E1071,Supplier_Lookup!$A$2:$A$25,0)),"Unmapped"))</f>
        <v>Medical Supplies</v>
      </c>
      <c r="Q1071" s="76">
        <f>IFERROR(INDEX(Category_Targets!$B$2:$B$9,MATCH(F1071,Category_Targets!$A$2:$A$9,0)),0)</f>
        <v>0.06</v>
      </c>
      <c r="R1071" s="125">
        <f t="shared" si="49"/>
        <v>662.08319999999992</v>
      </c>
      <c r="S1071" s="78">
        <f t="shared" si="50"/>
        <v>45658</v>
      </c>
      <c r="T1071" t="str">
        <f>IFERROR(VLOOKUP(B1071,Sites!$A$2:$D$21,4,FALSE()),"Unknown")</f>
        <v>Cardiff</v>
      </c>
      <c r="U1071" t="str">
        <f>IF(N1071="OK","",COUNTIF($N$2:N1071,"&lt;&gt;OK"))</f>
        <v/>
      </c>
      <c r="V1071">
        <f>IF(OR(NOT(EXACT(E1071,TRIM(Procurement_Raw!E1071))),NOT(EXACT(F1071,TRIM(Procurement_Raw!F1071)))),1,0)</f>
        <v>0</v>
      </c>
    </row>
    <row r="1072" spans="1:22" ht="15" customHeight="1" x14ac:dyDescent="0.25">
      <c r="A1072" s="123">
        <f>Procurement_Raw!A1072</f>
        <v>45987</v>
      </c>
      <c r="B1072" t="str">
        <f>TRIM(Procurement_Raw!B1072)</f>
        <v>S016</v>
      </c>
      <c r="C1072" t="str">
        <f>Procurement_Raw!C1072</f>
        <v>Cardiff Care &amp; Education Centre</v>
      </c>
      <c r="D1072" t="str">
        <f>Procurement_Raw!D1072</f>
        <v>Wales</v>
      </c>
      <c r="E1072" t="str">
        <f>IF(TRIM(Procurement_Raw!E1072)="","",IFERROR(INDEX(Supplier_Lookup!$A$2:$A$25,MATCH(TRIM(Procurement_Raw!E1072),Supplier_Lookup!$A$2:$A$25,0)),TRIM(Procurement_Raw!E1072)))</f>
        <v>KitchenPro</v>
      </c>
      <c r="F1072" t="str">
        <f>IFERROR(INDEX(Category_Targets!$A$2:$A$9,MATCH(TRIM(Procurement_Raw!F1072),Category_Targets!$A$2:$A$9,0)),"Unmapped")</f>
        <v>Food &amp; Catering</v>
      </c>
      <c r="G1072" t="str">
        <f>TRIM(Procurement_Raw!G1072)</f>
        <v>INV-2025-01071</v>
      </c>
      <c r="H1072" s="77">
        <f>Procurement_Raw!H1072</f>
        <v>40</v>
      </c>
      <c r="I1072" s="124">
        <f>Procurement_Raw!I1072</f>
        <v>63.34</v>
      </c>
      <c r="J1072" s="125">
        <f>IF(Procurement_Raw!J1072="","",Procurement_Raw!J1072)</f>
        <v>2533.7600000000002</v>
      </c>
      <c r="K1072" s="77">
        <f>Procurement_Raw!K1072</f>
        <v>45</v>
      </c>
      <c r="L1072" t="str">
        <f>Procurement_Raw!L1072</f>
        <v>Legacy Spend File</v>
      </c>
      <c r="M1072" t="str">
        <f>Procurement_Raw!O1072</f>
        <v>N</v>
      </c>
      <c r="N1072" t="str">
        <f>IF(E1072="","Missing supplier",IF(B1072="","Missing site",IF(J1072="","Missing spend",IF(COUNTIFS($G$2:G1072,G1072,$E$2:E1072,E1072,$J$2:J1072,J1072)&gt;1,"Duplicate invoice",IF(COUNTIF($G$2:$G$1801,G1072)&gt;1,"Duplicate ID - review",IF(AND(P1072&lt;&gt;"Unmapped",P1072&lt;&gt;F1072),"Category mismatch","OK"))))))</f>
        <v>OK</v>
      </c>
      <c r="O1072" s="125">
        <f t="shared" si="48"/>
        <v>2533.7600000000002</v>
      </c>
      <c r="P1072" t="str">
        <f>IF(E1072="","Unmapped",IFERROR(INDEX(Supplier_Lookup!$B$2:$B$25,MATCH(E1072,Supplier_Lookup!$A$2:$A$25,0)),"Unmapped"))</f>
        <v>Food &amp; Catering</v>
      </c>
      <c r="Q1072" s="76">
        <f>IFERROR(INDEX(Category_Targets!$B$2:$B$9,MATCH(F1072,Category_Targets!$A$2:$A$9,0)),0)</f>
        <v>0.04</v>
      </c>
      <c r="R1072" s="125">
        <f t="shared" si="49"/>
        <v>101.35040000000001</v>
      </c>
      <c r="S1072" s="78">
        <f t="shared" si="50"/>
        <v>45962</v>
      </c>
      <c r="T1072" t="str">
        <f>IFERROR(VLOOKUP(B1072,Sites!$A$2:$D$21,4,FALSE()),"Unknown")</f>
        <v>Cardiff</v>
      </c>
      <c r="U1072" t="str">
        <f>IF(N1072="OK","",COUNTIF($N$2:N1072,"&lt;&gt;OK"))</f>
        <v/>
      </c>
      <c r="V1072">
        <f>IF(OR(NOT(EXACT(E1072,TRIM(Procurement_Raw!E1072))),NOT(EXACT(F1072,TRIM(Procurement_Raw!F1072)))),1,0)</f>
        <v>0</v>
      </c>
    </row>
    <row r="1073" spans="1:22" ht="15" customHeight="1" x14ac:dyDescent="0.25">
      <c r="A1073" s="123">
        <f>Procurement_Raw!A1073</f>
        <v>45831</v>
      </c>
      <c r="B1073" t="str">
        <f>TRIM(Procurement_Raw!B1073)</f>
        <v>S010</v>
      </c>
      <c r="C1073" t="str">
        <f>Procurement_Raw!C1073</f>
        <v>Coventry Care &amp; Education Centre</v>
      </c>
      <c r="D1073" t="str">
        <f>Procurement_Raw!D1073</f>
        <v>Midlands</v>
      </c>
      <c r="E1073" t="str">
        <f>IF(TRIM(Procurement_Raw!E1073)="","",IFERROR(INDEX(Supplier_Lookup!$A$2:$A$25,MATCH(TRIM(Procurement_Raw!E1073),Supplier_Lookup!$A$2:$A$25,0)),TRIM(Procurement_Raw!E1073)))</f>
        <v>MediSure</v>
      </c>
      <c r="F1073" t="str">
        <f>IFERROR(INDEX(Category_Targets!$A$2:$A$9,MATCH(TRIM(Procurement_Raw!F1073),Category_Targets!$A$2:$A$9,0)),"Unmapped")</f>
        <v>Medical Supplies</v>
      </c>
      <c r="G1073" t="str">
        <f>TRIM(Procurement_Raw!G1073)</f>
        <v>INV-2025-01072</v>
      </c>
      <c r="H1073" s="77">
        <f>Procurement_Raw!H1073</f>
        <v>8</v>
      </c>
      <c r="I1073" s="124">
        <f>Procurement_Raw!I1073</f>
        <v>156</v>
      </c>
      <c r="J1073" s="125">
        <f>IF(Procurement_Raw!J1073="","",Procurement_Raw!J1073)</f>
        <v>1248.01</v>
      </c>
      <c r="K1073" s="77">
        <f>Procurement_Raw!K1073</f>
        <v>45</v>
      </c>
      <c r="L1073" t="str">
        <f>Procurement_Raw!L1073</f>
        <v>Legacy Spend File</v>
      </c>
      <c r="M1073" t="str">
        <f>Procurement_Raw!O1073</f>
        <v>Y</v>
      </c>
      <c r="N1073" t="str">
        <f>IF(E1073="","Missing supplier",IF(B1073="","Missing site",IF(J1073="","Missing spend",IF(COUNTIFS($G$2:G1073,G1073,$E$2:E1073,E1073,$J$2:J1073,J1073)&gt;1,"Duplicate invoice",IF(COUNTIF($G$2:$G$1801,G1073)&gt;1,"Duplicate ID - review",IF(AND(P1073&lt;&gt;"Unmapped",P1073&lt;&gt;F1073),"Category mismatch","OK"))))))</f>
        <v>OK</v>
      </c>
      <c r="O1073" s="125">
        <f t="shared" si="48"/>
        <v>1248.01</v>
      </c>
      <c r="P1073" t="str">
        <f>IF(E1073="","Unmapped",IFERROR(INDEX(Supplier_Lookup!$B$2:$B$25,MATCH(E1073,Supplier_Lookup!$A$2:$A$25,0)),"Unmapped"))</f>
        <v>Medical Supplies</v>
      </c>
      <c r="Q1073" s="76">
        <f>IFERROR(INDEX(Category_Targets!$B$2:$B$9,MATCH(F1073,Category_Targets!$A$2:$A$9,0)),0)</f>
        <v>0.06</v>
      </c>
      <c r="R1073" s="125">
        <f t="shared" si="49"/>
        <v>74.880600000000001</v>
      </c>
      <c r="S1073" s="78">
        <f t="shared" si="50"/>
        <v>45809</v>
      </c>
      <c r="T1073" t="str">
        <f>IFERROR(VLOOKUP(B1073,Sites!$A$2:$D$21,4,FALSE()),"Unknown")</f>
        <v>Coventry</v>
      </c>
      <c r="U1073" t="str">
        <f>IF(N1073="OK","",COUNTIF($N$2:N1073,"&lt;&gt;OK"))</f>
        <v/>
      </c>
      <c r="V1073">
        <f>IF(OR(NOT(EXACT(E1073,TRIM(Procurement_Raw!E1073))),NOT(EXACT(F1073,TRIM(Procurement_Raw!F1073)))),1,0)</f>
        <v>0</v>
      </c>
    </row>
    <row r="1074" spans="1:22" ht="15" customHeight="1" x14ac:dyDescent="0.25">
      <c r="A1074" s="123">
        <f>Procurement_Raw!A1074</f>
        <v>45766</v>
      </c>
      <c r="B1074" t="str">
        <f>TRIM(Procurement_Raw!B1074)</f>
        <v>S001</v>
      </c>
      <c r="C1074" t="str">
        <f>Procurement_Raw!C1074</f>
        <v>Preston Care &amp; Education Centre</v>
      </c>
      <c r="D1074" t="str">
        <f>Procurement_Raw!D1074</f>
        <v>North</v>
      </c>
      <c r="E1074" t="str">
        <f>IF(TRIM(Procurement_Raw!E1074)="","",IFERROR(INDEX(Supplier_Lookup!$A$2:$A$25,MATCH(TRIM(Procurement_Raw!E1074),Supplier_Lookup!$A$2:$A$25,0)),TRIM(Procurement_Raw!E1074)))</f>
        <v>HealthStaffing</v>
      </c>
      <c r="F1074" t="str">
        <f>IFERROR(INDEX(Category_Targets!$A$2:$A$9,MATCH(TRIM(Procurement_Raw!F1074),Category_Targets!$A$2:$A$9,0)),"Unmapped")</f>
        <v>Agency Labour</v>
      </c>
      <c r="G1074" t="str">
        <f>TRIM(Procurement_Raw!G1074)</f>
        <v>INV-2025-01073</v>
      </c>
      <c r="H1074" s="77">
        <f>Procurement_Raw!H1074</f>
        <v>67</v>
      </c>
      <c r="I1074" s="124">
        <f>Procurement_Raw!I1074</f>
        <v>312.95</v>
      </c>
      <c r="J1074" s="125">
        <f>IF(Procurement_Raw!J1074="","",Procurement_Raw!J1074)</f>
        <v>20967.46</v>
      </c>
      <c r="K1074" s="77">
        <f>Procurement_Raw!K1074</f>
        <v>45</v>
      </c>
      <c r="L1074" t="str">
        <f>Procurement_Raw!L1074</f>
        <v>Legacy Spend File</v>
      </c>
      <c r="M1074" t="str">
        <f>Procurement_Raw!O1074</f>
        <v>N</v>
      </c>
      <c r="N1074" t="str">
        <f>IF(E1074="","Missing supplier",IF(B1074="","Missing site",IF(J1074="","Missing spend",IF(COUNTIFS($G$2:G1074,G1074,$E$2:E1074,E1074,$J$2:J1074,J1074)&gt;1,"Duplicate invoice",IF(COUNTIF($G$2:$G$1801,G1074)&gt;1,"Duplicate ID - review",IF(AND(P1074&lt;&gt;"Unmapped",P1074&lt;&gt;F1074),"Category mismatch","OK"))))))</f>
        <v>OK</v>
      </c>
      <c r="O1074" s="125">
        <f t="shared" si="48"/>
        <v>20967.46</v>
      </c>
      <c r="P1074" t="str">
        <f>IF(E1074="","Unmapped",IFERROR(INDEX(Supplier_Lookup!$B$2:$B$25,MATCH(E1074,Supplier_Lookup!$A$2:$A$25,0)),"Unmapped"))</f>
        <v>Agency Labour</v>
      </c>
      <c r="Q1074" s="76">
        <f>IFERROR(INDEX(Category_Targets!$B$2:$B$9,MATCH(F1074,Category_Targets!$A$2:$A$9,0)),0)</f>
        <v>7.0000000000000007E-2</v>
      </c>
      <c r="R1074" s="125">
        <f t="shared" si="49"/>
        <v>1467.7222000000002</v>
      </c>
      <c r="S1074" s="78">
        <f t="shared" si="50"/>
        <v>45748</v>
      </c>
      <c r="T1074" t="str">
        <f>IFERROR(VLOOKUP(B1074,Sites!$A$2:$D$21,4,FALSE()),"Unknown")</f>
        <v>Preston</v>
      </c>
      <c r="U1074" t="str">
        <f>IF(N1074="OK","",COUNTIF($N$2:N1074,"&lt;&gt;OK"))</f>
        <v/>
      </c>
      <c r="V1074">
        <f>IF(OR(NOT(EXACT(E1074,TRIM(Procurement_Raw!E1074))),NOT(EXACT(F1074,TRIM(Procurement_Raw!F1074)))),1,0)</f>
        <v>0</v>
      </c>
    </row>
    <row r="1075" spans="1:22" ht="15" customHeight="1" x14ac:dyDescent="0.25">
      <c r="A1075" s="123">
        <f>Procurement_Raw!A1075</f>
        <v>45954</v>
      </c>
      <c r="B1075" t="str">
        <f>TRIM(Procurement_Raw!B1075)</f>
        <v>S002</v>
      </c>
      <c r="C1075" t="str">
        <f>Procurement_Raw!C1075</f>
        <v>Manchester Care &amp; Education Centre</v>
      </c>
      <c r="D1075" t="str">
        <f>Procurement_Raw!D1075</f>
        <v>North</v>
      </c>
      <c r="E1075" t="str">
        <f>IF(TRIM(Procurement_Raw!E1075)="","",IFERROR(INDEX(Supplier_Lookup!$A$2:$A$25,MATCH(TRIM(Procurement_Raw!E1075),Supplier_Lookup!$A$2:$A$25,0)),TRIM(Procurement_Raw!E1075)))</f>
        <v>BuildCare</v>
      </c>
      <c r="F1075" t="str">
        <f>IFERROR(INDEX(Category_Targets!$A$2:$A$9,MATCH(TRIM(Procurement_Raw!F1075),Category_Targets!$A$2:$A$9,0)),"Unmapped")</f>
        <v>Facilities</v>
      </c>
      <c r="G1075" t="str">
        <f>TRIM(Procurement_Raw!G1075)</f>
        <v>INV-2025-01074</v>
      </c>
      <c r="H1075" s="77">
        <f>Procurement_Raw!H1075</f>
        <v>30</v>
      </c>
      <c r="I1075" s="124">
        <f>Procurement_Raw!I1075</f>
        <v>88.88</v>
      </c>
      <c r="J1075" s="125">
        <f>IF(Procurement_Raw!J1075="","",Procurement_Raw!J1075)</f>
        <v>2666.46</v>
      </c>
      <c r="K1075" s="77">
        <f>Procurement_Raw!K1075</f>
        <v>30</v>
      </c>
      <c r="L1075" t="str">
        <f>Procurement_Raw!L1075</f>
        <v>ERP</v>
      </c>
      <c r="M1075" t="str">
        <f>Procurement_Raw!O1075</f>
        <v>N</v>
      </c>
      <c r="N1075" t="str">
        <f>IF(E1075="","Missing supplier",IF(B1075="","Missing site",IF(J1075="","Missing spend",IF(COUNTIFS($G$2:G1075,G1075,$E$2:E1075,E1075,$J$2:J1075,J1075)&gt;1,"Duplicate invoice",IF(COUNTIF($G$2:$G$1801,G1075)&gt;1,"Duplicate ID - review",IF(AND(P1075&lt;&gt;"Unmapped",P1075&lt;&gt;F1075),"Category mismatch","OK"))))))</f>
        <v>OK</v>
      </c>
      <c r="O1075" s="125">
        <f t="shared" si="48"/>
        <v>2666.46</v>
      </c>
      <c r="P1075" t="str">
        <f>IF(E1075="","Unmapped",IFERROR(INDEX(Supplier_Lookup!$B$2:$B$25,MATCH(E1075,Supplier_Lookup!$A$2:$A$25,0)),"Unmapped"))</f>
        <v>Facilities</v>
      </c>
      <c r="Q1075" s="76">
        <f>IFERROR(INDEX(Category_Targets!$B$2:$B$9,MATCH(F1075,Category_Targets!$A$2:$A$9,0)),0)</f>
        <v>0.05</v>
      </c>
      <c r="R1075" s="125">
        <f t="shared" si="49"/>
        <v>133.32300000000001</v>
      </c>
      <c r="S1075" s="78">
        <f t="shared" si="50"/>
        <v>45931</v>
      </c>
      <c r="T1075" t="str">
        <f>IFERROR(VLOOKUP(B1075,Sites!$A$2:$D$21,4,FALSE()),"Unknown")</f>
        <v>Manchester</v>
      </c>
      <c r="U1075" t="str">
        <f>IF(N1075="OK","",COUNTIF($N$2:N1075,"&lt;&gt;OK"))</f>
        <v/>
      </c>
      <c r="V1075">
        <f>IF(OR(NOT(EXACT(E1075,TRIM(Procurement_Raw!E1075))),NOT(EXACT(F1075,TRIM(Procurement_Raw!F1075)))),1,0)</f>
        <v>0</v>
      </c>
    </row>
    <row r="1076" spans="1:22" ht="15" customHeight="1" x14ac:dyDescent="0.25">
      <c r="A1076" s="123">
        <f>Procurement_Raw!A1076</f>
        <v>45992</v>
      </c>
      <c r="B1076" t="str">
        <f>TRIM(Procurement_Raw!B1076)</f>
        <v>S001</v>
      </c>
      <c r="C1076" t="str">
        <f>Procurement_Raw!C1076</f>
        <v>Preston Care &amp; Education Centre</v>
      </c>
      <c r="D1076" t="str">
        <f>Procurement_Raw!D1076</f>
        <v>North</v>
      </c>
      <c r="E1076" t="str">
        <f>IF(TRIM(Procurement_Raw!E1076)="","",IFERROR(INDEX(Supplier_Lookup!$A$2:$A$25,MATCH(TRIM(Procurement_Raw!E1076),Supplier_Lookup!$A$2:$A$25,0)),TRIM(Procurement_Raw!E1076)))</f>
        <v>SafeGuard FM</v>
      </c>
      <c r="F1076" t="str">
        <f>IFERROR(INDEX(Category_Targets!$A$2:$A$9,MATCH(TRIM(Procurement_Raw!F1076),Category_Targets!$A$2:$A$9,0)),"Unmapped")</f>
        <v>Facilities</v>
      </c>
      <c r="G1076" t="str">
        <f>TRIM(Procurement_Raw!G1076)</f>
        <v>INV-2025-01075</v>
      </c>
      <c r="H1076" s="77">
        <f>Procurement_Raw!H1076</f>
        <v>3</v>
      </c>
      <c r="I1076" s="124">
        <f>Procurement_Raw!I1076</f>
        <v>311.35000000000002</v>
      </c>
      <c r="J1076" s="125">
        <f>IF(Procurement_Raw!J1076="","",Procurement_Raw!J1076)</f>
        <v>934.04</v>
      </c>
      <c r="K1076" s="77">
        <f>Procurement_Raw!K1076</f>
        <v>45</v>
      </c>
      <c r="L1076" t="str">
        <f>Procurement_Raw!L1076</f>
        <v>Legacy Spend File</v>
      </c>
      <c r="M1076" t="str">
        <f>Procurement_Raw!O1076</f>
        <v>N</v>
      </c>
      <c r="N1076" t="str">
        <f>IF(E1076="","Missing supplier",IF(B1076="","Missing site",IF(J1076="","Missing spend",IF(COUNTIFS($G$2:G1076,G1076,$E$2:E1076,E1076,$J$2:J1076,J1076)&gt;1,"Duplicate invoice",IF(COUNTIF($G$2:$G$1801,G1076)&gt;1,"Duplicate ID - review",IF(AND(P1076&lt;&gt;"Unmapped",P1076&lt;&gt;F1076),"Category mismatch","OK"))))))</f>
        <v>OK</v>
      </c>
      <c r="O1076" s="125">
        <f t="shared" si="48"/>
        <v>934.04</v>
      </c>
      <c r="P1076" t="str">
        <f>IF(E1076="","Unmapped",IFERROR(INDEX(Supplier_Lookup!$B$2:$B$25,MATCH(E1076,Supplier_Lookup!$A$2:$A$25,0)),"Unmapped"))</f>
        <v>Facilities</v>
      </c>
      <c r="Q1076" s="76">
        <f>IFERROR(INDEX(Category_Targets!$B$2:$B$9,MATCH(F1076,Category_Targets!$A$2:$A$9,0)),0)</f>
        <v>0.05</v>
      </c>
      <c r="R1076" s="125">
        <f t="shared" si="49"/>
        <v>46.701999999999998</v>
      </c>
      <c r="S1076" s="78">
        <f t="shared" si="50"/>
        <v>45992</v>
      </c>
      <c r="T1076" t="str">
        <f>IFERROR(VLOOKUP(B1076,Sites!$A$2:$D$21,4,FALSE()),"Unknown")</f>
        <v>Preston</v>
      </c>
      <c r="U1076" t="str">
        <f>IF(N1076="OK","",COUNTIF($N$2:N1076,"&lt;&gt;OK"))</f>
        <v/>
      </c>
      <c r="V1076">
        <f>IF(OR(NOT(EXACT(E1076,TRIM(Procurement_Raw!E1076))),NOT(EXACT(F1076,TRIM(Procurement_Raw!F1076)))),1,0)</f>
        <v>0</v>
      </c>
    </row>
    <row r="1077" spans="1:22" ht="15" customHeight="1" x14ac:dyDescent="0.25">
      <c r="A1077" s="123">
        <f>Procurement_Raw!A1077</f>
        <v>45990</v>
      </c>
      <c r="B1077" t="str">
        <f>TRIM(Procurement_Raw!B1077)</f>
        <v>S009</v>
      </c>
      <c r="C1077" t="str">
        <f>Procurement_Raw!C1077</f>
        <v>Derby Care &amp; Education Centre</v>
      </c>
      <c r="D1077" t="str">
        <f>Procurement_Raw!D1077</f>
        <v>Midlands</v>
      </c>
      <c r="E1077" t="str">
        <f>IF(TRIM(Procurement_Raw!E1077)="","",IFERROR(INDEX(Supplier_Lookup!$A$2:$A$25,MATCH(TRIM(Procurement_Raw!E1077),Supplier_Lookup!$A$2:$A$25,0)),TRIM(Procurement_Raw!E1077)))</f>
        <v>PowerDirect</v>
      </c>
      <c r="F1077" t="str">
        <f>IFERROR(INDEX(Category_Targets!$A$2:$A$9,MATCH(TRIM(Procurement_Raw!F1077),Category_Targets!$A$2:$A$9,0)),"Unmapped")</f>
        <v>Utilities</v>
      </c>
      <c r="G1077" t="str">
        <f>TRIM(Procurement_Raw!G1077)</f>
        <v>INV-2025-01076</v>
      </c>
      <c r="H1077" s="77">
        <f>Procurement_Raw!H1077</f>
        <v>17</v>
      </c>
      <c r="I1077" s="124">
        <f>Procurement_Raw!I1077</f>
        <v>190.55</v>
      </c>
      <c r="J1077" s="125">
        <f>IF(Procurement_Raw!J1077="","",Procurement_Raw!J1077)</f>
        <v>3239.29</v>
      </c>
      <c r="K1077" s="77">
        <f>Procurement_Raw!K1077</f>
        <v>30</v>
      </c>
      <c r="L1077" t="str">
        <f>Procurement_Raw!L1077</f>
        <v>ERP</v>
      </c>
      <c r="M1077" t="str">
        <f>Procurement_Raw!O1077</f>
        <v>N</v>
      </c>
      <c r="N1077" t="str">
        <f>IF(E1077="","Missing supplier",IF(B1077="","Missing site",IF(J1077="","Missing spend",IF(COUNTIFS($G$2:G1077,G1077,$E$2:E1077,E1077,$J$2:J1077,J1077)&gt;1,"Duplicate invoice",IF(COUNTIF($G$2:$G$1801,G1077)&gt;1,"Duplicate ID - review",IF(AND(P1077&lt;&gt;"Unmapped",P1077&lt;&gt;F1077),"Category mismatch","OK"))))))</f>
        <v>OK</v>
      </c>
      <c r="O1077" s="125">
        <f t="shared" si="48"/>
        <v>3239.29</v>
      </c>
      <c r="P1077" t="str">
        <f>IF(E1077="","Unmapped",IFERROR(INDEX(Supplier_Lookup!$B$2:$B$25,MATCH(E1077,Supplier_Lookup!$A$2:$A$25,0)),"Unmapped"))</f>
        <v>Utilities</v>
      </c>
      <c r="Q1077" s="76">
        <f>IFERROR(INDEX(Category_Targets!$B$2:$B$9,MATCH(F1077,Category_Targets!$A$2:$A$9,0)),0)</f>
        <v>0.03</v>
      </c>
      <c r="R1077" s="125">
        <f t="shared" si="49"/>
        <v>97.178699999999992</v>
      </c>
      <c r="S1077" s="78">
        <f t="shared" si="50"/>
        <v>45962</v>
      </c>
      <c r="T1077" t="str">
        <f>IFERROR(VLOOKUP(B1077,Sites!$A$2:$D$21,4,FALSE()),"Unknown")</f>
        <v>Derby</v>
      </c>
      <c r="U1077" t="str">
        <f>IF(N1077="OK","",COUNTIF($N$2:N1077,"&lt;&gt;OK"))</f>
        <v/>
      </c>
      <c r="V1077">
        <f>IF(OR(NOT(EXACT(E1077,TRIM(Procurement_Raw!E1077))),NOT(EXACT(F1077,TRIM(Procurement_Raw!F1077)))),1,0)</f>
        <v>0</v>
      </c>
    </row>
    <row r="1078" spans="1:22" ht="15" customHeight="1" x14ac:dyDescent="0.25">
      <c r="A1078" s="123">
        <f>Procurement_Raw!A1078</f>
        <v>45707</v>
      </c>
      <c r="B1078" t="str">
        <f>TRIM(Procurement_Raw!B1078)</f>
        <v>S003</v>
      </c>
      <c r="C1078" t="str">
        <f>Procurement_Raw!C1078</f>
        <v>Leeds Care &amp; Education Centre</v>
      </c>
      <c r="D1078" t="str">
        <f>Procurement_Raw!D1078</f>
        <v>North</v>
      </c>
      <c r="E1078" t="str">
        <f>IF(TRIM(Procurement_Raw!E1078)="","",IFERROR(INDEX(Supplier_Lookup!$A$2:$A$25,MATCH(TRIM(Procurement_Raw!E1078),Supplier_Lookup!$A$2:$A$25,0)),TRIM(Procurement_Raw!E1078)))</f>
        <v>CareMed</v>
      </c>
      <c r="F1078" t="str">
        <f>IFERROR(INDEX(Category_Targets!$A$2:$A$9,MATCH(TRIM(Procurement_Raw!F1078),Category_Targets!$A$2:$A$9,0)),"Unmapped")</f>
        <v>Medical Supplies</v>
      </c>
      <c r="G1078" t="str">
        <f>TRIM(Procurement_Raw!G1078)</f>
        <v>INV-2025-01077</v>
      </c>
      <c r="H1078" s="77">
        <f>Procurement_Raw!H1078</f>
        <v>59</v>
      </c>
      <c r="I1078" s="124">
        <f>Procurement_Raw!I1078</f>
        <v>50.98</v>
      </c>
      <c r="J1078" s="125">
        <f>IF(Procurement_Raw!J1078="","",Procurement_Raw!J1078)</f>
        <v>3007.63</v>
      </c>
      <c r="K1078" s="77">
        <f>Procurement_Raw!K1078</f>
        <v>60</v>
      </c>
      <c r="L1078" t="str">
        <f>Procurement_Raw!L1078</f>
        <v>ERP</v>
      </c>
      <c r="M1078" t="str">
        <f>Procurement_Raw!O1078</f>
        <v>N</v>
      </c>
      <c r="N1078" t="str">
        <f>IF(E1078="","Missing supplier",IF(B1078="","Missing site",IF(J1078="","Missing spend",IF(COUNTIFS($G$2:G1078,G1078,$E$2:E1078,E1078,$J$2:J1078,J1078)&gt;1,"Duplicate invoice",IF(COUNTIF($G$2:$G$1801,G1078)&gt;1,"Duplicate ID - review",IF(AND(P1078&lt;&gt;"Unmapped",P1078&lt;&gt;F1078),"Category mismatch","OK"))))))</f>
        <v>OK</v>
      </c>
      <c r="O1078" s="125">
        <f t="shared" si="48"/>
        <v>3007.63</v>
      </c>
      <c r="P1078" t="str">
        <f>IF(E1078="","Unmapped",IFERROR(INDEX(Supplier_Lookup!$B$2:$B$25,MATCH(E1078,Supplier_Lookup!$A$2:$A$25,0)),"Unmapped"))</f>
        <v>Medical Supplies</v>
      </c>
      <c r="Q1078" s="76">
        <f>IFERROR(INDEX(Category_Targets!$B$2:$B$9,MATCH(F1078,Category_Targets!$A$2:$A$9,0)),0)</f>
        <v>0.06</v>
      </c>
      <c r="R1078" s="125">
        <f t="shared" si="49"/>
        <v>180.45779999999999</v>
      </c>
      <c r="S1078" s="78">
        <f t="shared" si="50"/>
        <v>45689</v>
      </c>
      <c r="T1078" t="str">
        <f>IFERROR(VLOOKUP(B1078,Sites!$A$2:$D$21,4,FALSE()),"Unknown")</f>
        <v>Leeds</v>
      </c>
      <c r="U1078" t="str">
        <f>IF(N1078="OK","",COUNTIF($N$2:N1078,"&lt;&gt;OK"))</f>
        <v/>
      </c>
      <c r="V1078">
        <f>IF(OR(NOT(EXACT(E1078,TRIM(Procurement_Raw!E1078))),NOT(EXACT(F1078,TRIM(Procurement_Raw!F1078)))),1,0)</f>
        <v>0</v>
      </c>
    </row>
    <row r="1079" spans="1:22" ht="15" customHeight="1" x14ac:dyDescent="0.25">
      <c r="A1079" s="123">
        <f>Procurement_Raw!A1079</f>
        <v>45716</v>
      </c>
      <c r="B1079" t="str">
        <f>TRIM(Procurement_Raw!B1079)</f>
        <v>S016</v>
      </c>
      <c r="C1079" t="str">
        <f>Procurement_Raw!C1079</f>
        <v>Cardiff Care &amp; Education Centre</v>
      </c>
      <c r="D1079" t="str">
        <f>Procurement_Raw!D1079</f>
        <v>Wales</v>
      </c>
      <c r="E1079" t="str">
        <f>IF(TRIM(Procurement_Raw!E1079)="","",IFERROR(INDEX(Supplier_Lookup!$A$2:$A$25,MATCH(TRIM(Procurement_Raw!E1079),Supplier_Lookup!$A$2:$A$25,0)),TRIM(Procurement_Raw!E1079)))</f>
        <v>FreshServe</v>
      </c>
      <c r="F1079" t="str">
        <f>IFERROR(INDEX(Category_Targets!$A$2:$A$9,MATCH(TRIM(Procurement_Raw!F1079),Category_Targets!$A$2:$A$9,0)),"Unmapped")</f>
        <v>Food &amp; Catering</v>
      </c>
      <c r="G1079" t="str">
        <f>TRIM(Procurement_Raw!G1079)</f>
        <v>INV-2025-01078</v>
      </c>
      <c r="H1079" s="77">
        <f>Procurement_Raw!H1079</f>
        <v>64</v>
      </c>
      <c r="I1079" s="124">
        <f>Procurement_Raw!I1079</f>
        <v>51.36</v>
      </c>
      <c r="J1079" s="125">
        <f>IF(Procurement_Raw!J1079="","",Procurement_Raw!J1079)</f>
        <v>3287.25</v>
      </c>
      <c r="K1079" s="77">
        <f>Procurement_Raw!K1079</f>
        <v>60</v>
      </c>
      <c r="L1079" t="str">
        <f>Procurement_Raw!L1079</f>
        <v>Legacy Spend File</v>
      </c>
      <c r="M1079" t="str">
        <f>Procurement_Raw!O1079</f>
        <v>Y</v>
      </c>
      <c r="N1079" t="str">
        <f>IF(E1079="","Missing supplier",IF(B1079="","Missing site",IF(J1079="","Missing spend",IF(COUNTIFS($G$2:G1079,G1079,$E$2:E1079,E1079,$J$2:J1079,J1079)&gt;1,"Duplicate invoice",IF(COUNTIF($G$2:$G$1801,G1079)&gt;1,"Duplicate ID - review",IF(AND(P1079&lt;&gt;"Unmapped",P1079&lt;&gt;F1079),"Category mismatch","OK"))))))</f>
        <v>OK</v>
      </c>
      <c r="O1079" s="125">
        <f t="shared" si="48"/>
        <v>3287.25</v>
      </c>
      <c r="P1079" t="str">
        <f>IF(E1079="","Unmapped",IFERROR(INDEX(Supplier_Lookup!$B$2:$B$25,MATCH(E1079,Supplier_Lookup!$A$2:$A$25,0)),"Unmapped"))</f>
        <v>Food &amp; Catering</v>
      </c>
      <c r="Q1079" s="76">
        <f>IFERROR(INDEX(Category_Targets!$B$2:$B$9,MATCH(F1079,Category_Targets!$A$2:$A$9,0)),0)</f>
        <v>0.04</v>
      </c>
      <c r="R1079" s="125">
        <f t="shared" si="49"/>
        <v>131.49</v>
      </c>
      <c r="S1079" s="78">
        <f t="shared" si="50"/>
        <v>45689</v>
      </c>
      <c r="T1079" t="str">
        <f>IFERROR(VLOOKUP(B1079,Sites!$A$2:$D$21,4,FALSE()),"Unknown")</f>
        <v>Cardiff</v>
      </c>
      <c r="U1079" t="str">
        <f>IF(N1079="OK","",COUNTIF($N$2:N1079,"&lt;&gt;OK"))</f>
        <v/>
      </c>
      <c r="V1079">
        <f>IF(OR(NOT(EXACT(E1079,TRIM(Procurement_Raw!E1079))),NOT(EXACT(F1079,TRIM(Procurement_Raw!F1079)))),1,0)</f>
        <v>0</v>
      </c>
    </row>
    <row r="1080" spans="1:22" ht="15" customHeight="1" x14ac:dyDescent="0.25">
      <c r="A1080" s="123">
        <f>Procurement_Raw!A1080</f>
        <v>45876</v>
      </c>
      <c r="B1080" t="str">
        <f>TRIM(Procurement_Raw!B1080)</f>
        <v>S007</v>
      </c>
      <c r="C1080" t="str">
        <f>Procurement_Raw!C1080</f>
        <v>Nottingham Care &amp; Education Centre</v>
      </c>
      <c r="D1080" t="str">
        <f>Procurement_Raw!D1080</f>
        <v>Midlands</v>
      </c>
      <c r="E1080" t="str">
        <f>IF(TRIM(Procurement_Raw!E1080)="","",IFERROR(INDEX(Supplier_Lookup!$A$2:$A$25,MATCH(TRIM(Procurement_Raw!E1080),Supplier_Lookup!$A$2:$A$25,0)),TRIM(Procurement_Raw!E1080)))</f>
        <v>FreshServe</v>
      </c>
      <c r="F1080" t="str">
        <f>IFERROR(INDEX(Category_Targets!$A$2:$A$9,MATCH(TRIM(Procurement_Raw!F1080),Category_Targets!$A$2:$A$9,0)),"Unmapped")</f>
        <v>Food &amp; Catering</v>
      </c>
      <c r="G1080" t="str">
        <f>TRIM(Procurement_Raw!G1080)</f>
        <v>INV-2025-01079</v>
      </c>
      <c r="H1080" s="77">
        <f>Procurement_Raw!H1080</f>
        <v>44</v>
      </c>
      <c r="I1080" s="124">
        <f>Procurement_Raw!I1080</f>
        <v>148.38</v>
      </c>
      <c r="J1080" s="125">
        <f>IF(Procurement_Raw!J1080="","",Procurement_Raw!J1080)</f>
        <v>6528.91</v>
      </c>
      <c r="K1080" s="77">
        <f>Procurement_Raw!K1080</f>
        <v>60</v>
      </c>
      <c r="L1080" t="str">
        <f>Procurement_Raw!L1080</f>
        <v>Legacy Spend File</v>
      </c>
      <c r="M1080" t="str">
        <f>Procurement_Raw!O1080</f>
        <v>Y</v>
      </c>
      <c r="N1080" t="str">
        <f>IF(E1080="","Missing supplier",IF(B1080="","Missing site",IF(J1080="","Missing spend",IF(COUNTIFS($G$2:G1080,G1080,$E$2:E1080,E1080,$J$2:J1080,J1080)&gt;1,"Duplicate invoice",IF(COUNTIF($G$2:$G$1801,G1080)&gt;1,"Duplicate ID - review",IF(AND(P1080&lt;&gt;"Unmapped",P1080&lt;&gt;F1080),"Category mismatch","OK"))))))</f>
        <v>OK</v>
      </c>
      <c r="O1080" s="125">
        <f t="shared" si="48"/>
        <v>6528.91</v>
      </c>
      <c r="P1080" t="str">
        <f>IF(E1080="","Unmapped",IFERROR(INDEX(Supplier_Lookup!$B$2:$B$25,MATCH(E1080,Supplier_Lookup!$A$2:$A$25,0)),"Unmapped"))</f>
        <v>Food &amp; Catering</v>
      </c>
      <c r="Q1080" s="76">
        <f>IFERROR(INDEX(Category_Targets!$B$2:$B$9,MATCH(F1080,Category_Targets!$A$2:$A$9,0)),0)</f>
        <v>0.04</v>
      </c>
      <c r="R1080" s="125">
        <f t="shared" si="49"/>
        <v>261.15640000000002</v>
      </c>
      <c r="S1080" s="78">
        <f t="shared" si="50"/>
        <v>45870</v>
      </c>
      <c r="T1080" t="str">
        <f>IFERROR(VLOOKUP(B1080,Sites!$A$2:$D$21,4,FALSE()),"Unknown")</f>
        <v>Nottingham</v>
      </c>
      <c r="U1080" t="str">
        <f>IF(N1080="OK","",COUNTIF($N$2:N1080,"&lt;&gt;OK"))</f>
        <v/>
      </c>
      <c r="V1080">
        <f>IF(OR(NOT(EXACT(E1080,TRIM(Procurement_Raw!E1080))),NOT(EXACT(F1080,TRIM(Procurement_Raw!F1080)))),1,0)</f>
        <v>0</v>
      </c>
    </row>
    <row r="1081" spans="1:22" ht="15" customHeight="1" x14ac:dyDescent="0.25">
      <c r="A1081" s="123">
        <f>Procurement_Raw!A1081</f>
        <v>46008</v>
      </c>
      <c r="B1081" t="str">
        <f>TRIM(Procurement_Raw!B1081)</f>
        <v>S019</v>
      </c>
      <c r="C1081" t="str">
        <f>Procurement_Raw!C1081</f>
        <v>Wrexham Care &amp; Education Centre</v>
      </c>
      <c r="D1081" t="str">
        <f>Procurement_Raw!D1081</f>
        <v>Wales</v>
      </c>
      <c r="E1081" t="str">
        <f>IF(TRIM(Procurement_Raw!E1081)="","",IFERROR(INDEX(Supplier_Lookup!$A$2:$A$25,MATCH(TRIM(Procurement_Raw!E1081),Supplier_Lookup!$A$2:$A$25,0)),TRIM(Procurement_Raw!E1081)))</f>
        <v>FleetFuel</v>
      </c>
      <c r="F1081" t="str">
        <f>IFERROR(INDEX(Category_Targets!$A$2:$A$9,MATCH(TRIM(Procurement_Raw!F1081),Category_Targets!$A$2:$A$9,0)),"Unmapped")</f>
        <v>Vehicle &amp; Fuel</v>
      </c>
      <c r="G1081" t="str">
        <f>TRIM(Procurement_Raw!G1081)</f>
        <v>INV-2025-01080</v>
      </c>
      <c r="H1081" s="77">
        <f>Procurement_Raw!H1081</f>
        <v>74</v>
      </c>
      <c r="I1081" s="124">
        <f>Procurement_Raw!I1081</f>
        <v>151.63999999999999</v>
      </c>
      <c r="J1081" s="125">
        <f>IF(Procurement_Raw!J1081="","",Procurement_Raw!J1081)</f>
        <v>11221.24</v>
      </c>
      <c r="K1081" s="77">
        <f>Procurement_Raw!K1081</f>
        <v>60</v>
      </c>
      <c r="L1081" t="str">
        <f>Procurement_Raw!L1081</f>
        <v>ERP</v>
      </c>
      <c r="M1081" t="str">
        <f>Procurement_Raw!O1081</f>
        <v>Y</v>
      </c>
      <c r="N1081" t="str">
        <f>IF(E1081="","Missing supplier",IF(B1081="","Missing site",IF(J1081="","Missing spend",IF(COUNTIFS($G$2:G1081,G1081,$E$2:E1081,E1081,$J$2:J1081,J1081)&gt;1,"Duplicate invoice",IF(COUNTIF($G$2:$G$1801,G1081)&gt;1,"Duplicate ID - review",IF(AND(P1081&lt;&gt;"Unmapped",P1081&lt;&gt;F1081),"Category mismatch","OK"))))))</f>
        <v>OK</v>
      </c>
      <c r="O1081" s="125">
        <f t="shared" si="48"/>
        <v>11221.24</v>
      </c>
      <c r="P1081" t="str">
        <f>IF(E1081="","Unmapped",IFERROR(INDEX(Supplier_Lookup!$B$2:$B$25,MATCH(E1081,Supplier_Lookup!$A$2:$A$25,0)),"Unmapped"))</f>
        <v>Vehicle &amp; Fuel</v>
      </c>
      <c r="Q1081" s="76">
        <f>IFERROR(INDEX(Category_Targets!$B$2:$B$9,MATCH(F1081,Category_Targets!$A$2:$A$9,0)),0)</f>
        <v>0.05</v>
      </c>
      <c r="R1081" s="125">
        <f t="shared" si="49"/>
        <v>561.06200000000001</v>
      </c>
      <c r="S1081" s="78">
        <f t="shared" si="50"/>
        <v>45992</v>
      </c>
      <c r="T1081" t="str">
        <f>IFERROR(VLOOKUP(B1081,Sites!$A$2:$D$21,4,FALSE()),"Unknown")</f>
        <v>Wrexham</v>
      </c>
      <c r="U1081" t="str">
        <f>IF(N1081="OK","",COUNTIF($N$2:N1081,"&lt;&gt;OK"))</f>
        <v/>
      </c>
      <c r="V1081">
        <f>IF(OR(NOT(EXACT(E1081,TRIM(Procurement_Raw!E1081))),NOT(EXACT(F1081,TRIM(Procurement_Raw!F1081)))),1,0)</f>
        <v>0</v>
      </c>
    </row>
    <row r="1082" spans="1:22" ht="15" customHeight="1" x14ac:dyDescent="0.25">
      <c r="A1082" s="123">
        <f>Procurement_Raw!A1082</f>
        <v>45961</v>
      </c>
      <c r="B1082" t="str">
        <f>TRIM(Procurement_Raw!B1082)</f>
        <v>S009</v>
      </c>
      <c r="C1082" t="str">
        <f>Procurement_Raw!C1082</f>
        <v>Derby Care &amp; Education Centre</v>
      </c>
      <c r="D1082" t="str">
        <f>Procurement_Raw!D1082</f>
        <v>Midlands</v>
      </c>
      <c r="E1082" t="str">
        <f>IF(TRIM(Procurement_Raw!E1082)="","",IFERROR(INDEX(Supplier_Lookup!$A$2:$A$25,MATCH(TRIM(Procurement_Raw!E1082),Supplier_Lookup!$A$2:$A$25,0)),TRIM(Procurement_Raw!E1082)))</f>
        <v>UK Energy Partners</v>
      </c>
      <c r="F1082" t="str">
        <f>IFERROR(INDEX(Category_Targets!$A$2:$A$9,MATCH(TRIM(Procurement_Raw!F1082),Category_Targets!$A$2:$A$9,0)),"Unmapped")</f>
        <v>Utilities</v>
      </c>
      <c r="G1082" t="str">
        <f>TRIM(Procurement_Raw!G1082)</f>
        <v>INV-2025-01081</v>
      </c>
      <c r="H1082" s="77">
        <f>Procurement_Raw!H1082</f>
        <v>23</v>
      </c>
      <c r="I1082" s="124">
        <f>Procurement_Raw!I1082</f>
        <v>206.38</v>
      </c>
      <c r="J1082" s="125">
        <f>IF(Procurement_Raw!J1082="","",Procurement_Raw!J1082)</f>
        <v>4746.66</v>
      </c>
      <c r="K1082" s="77">
        <f>Procurement_Raw!K1082</f>
        <v>45</v>
      </c>
      <c r="L1082" t="str">
        <f>Procurement_Raw!L1082</f>
        <v>ERP</v>
      </c>
      <c r="M1082" t="str">
        <f>Procurement_Raw!O1082</f>
        <v>N</v>
      </c>
      <c r="N1082" t="str">
        <f>IF(E1082="","Missing supplier",IF(B1082="","Missing site",IF(J1082="","Missing spend",IF(COUNTIFS($G$2:G1082,G1082,$E$2:E1082,E1082,$J$2:J1082,J1082)&gt;1,"Duplicate invoice",IF(COUNTIF($G$2:$G$1801,G1082)&gt;1,"Duplicate ID - review",IF(AND(P1082&lt;&gt;"Unmapped",P1082&lt;&gt;F1082),"Category mismatch","OK"))))))</f>
        <v>OK</v>
      </c>
      <c r="O1082" s="125">
        <f t="shared" si="48"/>
        <v>4746.66</v>
      </c>
      <c r="P1082" t="str">
        <f>IF(E1082="","Unmapped",IFERROR(INDEX(Supplier_Lookup!$B$2:$B$25,MATCH(E1082,Supplier_Lookup!$A$2:$A$25,0)),"Unmapped"))</f>
        <v>Utilities</v>
      </c>
      <c r="Q1082" s="76">
        <f>IFERROR(INDEX(Category_Targets!$B$2:$B$9,MATCH(F1082,Category_Targets!$A$2:$A$9,0)),0)</f>
        <v>0.03</v>
      </c>
      <c r="R1082" s="125">
        <f t="shared" si="49"/>
        <v>142.3998</v>
      </c>
      <c r="S1082" s="78">
        <f t="shared" si="50"/>
        <v>45931</v>
      </c>
      <c r="T1082" t="str">
        <f>IFERROR(VLOOKUP(B1082,Sites!$A$2:$D$21,4,FALSE()),"Unknown")</f>
        <v>Derby</v>
      </c>
      <c r="U1082" t="str">
        <f>IF(N1082="OK","",COUNTIF($N$2:N1082,"&lt;&gt;OK"))</f>
        <v/>
      </c>
      <c r="V1082">
        <f>IF(OR(NOT(EXACT(E1082,TRIM(Procurement_Raw!E1082))),NOT(EXACT(F1082,TRIM(Procurement_Raw!F1082)))),1,0)</f>
        <v>0</v>
      </c>
    </row>
    <row r="1083" spans="1:22" ht="15" customHeight="1" x14ac:dyDescent="0.25">
      <c r="A1083" s="123">
        <f>Procurement_Raw!A1083</f>
        <v>45870</v>
      </c>
      <c r="B1083" t="str">
        <f>TRIM(Procurement_Raw!B1083)</f>
        <v>S006</v>
      </c>
      <c r="C1083" t="str">
        <f>Procurement_Raw!C1083</f>
        <v>Birmingham Care &amp; Education Centre</v>
      </c>
      <c r="D1083" t="str">
        <f>Procurement_Raw!D1083</f>
        <v>Midlands</v>
      </c>
      <c r="E1083" t="str">
        <f>IF(TRIM(Procurement_Raw!E1083)="","",IFERROR(INDEX(Supplier_Lookup!$A$2:$A$25,MATCH(TRIM(Procurement_Raw!E1083),Supplier_Lookup!$A$2:$A$25,0)),TRIM(Procurement_Raw!E1083)))</f>
        <v>CloudLink</v>
      </c>
      <c r="F1083" t="str">
        <f>IFERROR(INDEX(Category_Targets!$A$2:$A$9,MATCH(TRIM(Procurement_Raw!F1083),Category_Targets!$A$2:$A$9,0)),"Unmapped")</f>
        <v>IT &amp; Telecoms</v>
      </c>
      <c r="G1083" t="str">
        <f>TRIM(Procurement_Raw!G1083)</f>
        <v>INV-2025-01082</v>
      </c>
      <c r="H1083" s="77">
        <f>Procurement_Raw!H1083</f>
        <v>22</v>
      </c>
      <c r="I1083" s="124">
        <f>Procurement_Raw!I1083</f>
        <v>181.55</v>
      </c>
      <c r="J1083" s="125">
        <f>IF(Procurement_Raw!J1083="","",Procurement_Raw!J1083)</f>
        <v>3994.12</v>
      </c>
      <c r="K1083" s="77">
        <f>Procurement_Raw!K1083</f>
        <v>60</v>
      </c>
      <c r="L1083" t="str">
        <f>Procurement_Raw!L1083</f>
        <v>Procurement Portal</v>
      </c>
      <c r="M1083" t="str">
        <f>Procurement_Raw!O1083</f>
        <v>Y</v>
      </c>
      <c r="N1083" t="str">
        <f>IF(E1083="","Missing supplier",IF(B1083="","Missing site",IF(J1083="","Missing spend",IF(COUNTIFS($G$2:G1083,G1083,$E$2:E1083,E1083,$J$2:J1083,J1083)&gt;1,"Duplicate invoice",IF(COUNTIF($G$2:$G$1801,G1083)&gt;1,"Duplicate ID - review",IF(AND(P1083&lt;&gt;"Unmapped",P1083&lt;&gt;F1083),"Category mismatch","OK"))))))</f>
        <v>OK</v>
      </c>
      <c r="O1083" s="125">
        <f t="shared" si="48"/>
        <v>3994.12</v>
      </c>
      <c r="P1083" t="str">
        <f>IF(E1083="","Unmapped",IFERROR(INDEX(Supplier_Lookup!$B$2:$B$25,MATCH(E1083,Supplier_Lookup!$A$2:$A$25,0)),"Unmapped"))</f>
        <v>IT &amp; Telecoms</v>
      </c>
      <c r="Q1083" s="76">
        <f>IFERROR(INDEX(Category_Targets!$B$2:$B$9,MATCH(F1083,Category_Targets!$A$2:$A$9,0)),0)</f>
        <v>0.08</v>
      </c>
      <c r="R1083" s="125">
        <f t="shared" si="49"/>
        <v>319.52960000000002</v>
      </c>
      <c r="S1083" s="78">
        <f t="shared" si="50"/>
        <v>45870</v>
      </c>
      <c r="T1083" t="str">
        <f>IFERROR(VLOOKUP(B1083,Sites!$A$2:$D$21,4,FALSE()),"Unknown")</f>
        <v>Birmingham</v>
      </c>
      <c r="U1083" t="str">
        <f>IF(N1083="OK","",COUNTIF($N$2:N1083,"&lt;&gt;OK"))</f>
        <v/>
      </c>
      <c r="V1083">
        <f>IF(OR(NOT(EXACT(E1083,TRIM(Procurement_Raw!E1083))),NOT(EXACT(F1083,TRIM(Procurement_Raw!F1083)))),1,0)</f>
        <v>0</v>
      </c>
    </row>
    <row r="1084" spans="1:22" ht="15" customHeight="1" x14ac:dyDescent="0.25">
      <c r="A1084" s="123">
        <f>Procurement_Raw!A1084</f>
        <v>45782</v>
      </c>
      <c r="B1084" t="str">
        <f>TRIM(Procurement_Raw!B1084)</f>
        <v>S002</v>
      </c>
      <c r="C1084" t="str">
        <f>Procurement_Raw!C1084</f>
        <v>Manchester Care &amp; Education Centre</v>
      </c>
      <c r="D1084" t="str">
        <f>Procurement_Raw!D1084</f>
        <v>North</v>
      </c>
      <c r="E1084" t="str">
        <f>IF(TRIM(Procurement_Raw!E1084)="","",IFERROR(INDEX(Supplier_Lookup!$A$2:$A$25,MATCH(TRIM(Procurement_Raw!E1084),Supplier_Lookup!$A$2:$A$25,0)),TRIM(Procurement_Raw!E1084)))</f>
        <v>SafeGuard FM</v>
      </c>
      <c r="F1084" t="str">
        <f>IFERROR(INDEX(Category_Targets!$A$2:$A$9,MATCH(TRIM(Procurement_Raw!F1084),Category_Targets!$A$2:$A$9,0)),"Unmapped")</f>
        <v>Facilities</v>
      </c>
      <c r="G1084" t="str">
        <f>TRIM(Procurement_Raw!G1084)</f>
        <v>INV-2025-01083</v>
      </c>
      <c r="H1084" s="77">
        <f>Procurement_Raw!H1084</f>
        <v>75</v>
      </c>
      <c r="I1084" s="124">
        <f>Procurement_Raw!I1084</f>
        <v>150.82</v>
      </c>
      <c r="J1084" s="125">
        <f>IF(Procurement_Raw!J1084="","",Procurement_Raw!J1084)</f>
        <v>11311.17</v>
      </c>
      <c r="K1084" s="77">
        <f>Procurement_Raw!K1084</f>
        <v>30</v>
      </c>
      <c r="L1084" t="str">
        <f>Procurement_Raw!L1084</f>
        <v>ERP</v>
      </c>
      <c r="M1084" t="str">
        <f>Procurement_Raw!O1084</f>
        <v>N</v>
      </c>
      <c r="N1084" t="str">
        <f>IF(E1084="","Missing supplier",IF(B1084="","Missing site",IF(J1084="","Missing spend",IF(COUNTIFS($G$2:G1084,G1084,$E$2:E1084,E1084,$J$2:J1084,J1084)&gt;1,"Duplicate invoice",IF(COUNTIF($G$2:$G$1801,G1084)&gt;1,"Duplicate ID - review",IF(AND(P1084&lt;&gt;"Unmapped",P1084&lt;&gt;F1084),"Category mismatch","OK"))))))</f>
        <v>OK</v>
      </c>
      <c r="O1084" s="125">
        <f t="shared" si="48"/>
        <v>11311.17</v>
      </c>
      <c r="P1084" t="str">
        <f>IF(E1084="","Unmapped",IFERROR(INDEX(Supplier_Lookup!$B$2:$B$25,MATCH(E1084,Supplier_Lookup!$A$2:$A$25,0)),"Unmapped"))</f>
        <v>Facilities</v>
      </c>
      <c r="Q1084" s="76">
        <f>IFERROR(INDEX(Category_Targets!$B$2:$B$9,MATCH(F1084,Category_Targets!$A$2:$A$9,0)),0)</f>
        <v>0.05</v>
      </c>
      <c r="R1084" s="125">
        <f t="shared" si="49"/>
        <v>565.55849999999998</v>
      </c>
      <c r="S1084" s="78">
        <f t="shared" si="50"/>
        <v>45778</v>
      </c>
      <c r="T1084" t="str">
        <f>IFERROR(VLOOKUP(B1084,Sites!$A$2:$D$21,4,FALSE()),"Unknown")</f>
        <v>Manchester</v>
      </c>
      <c r="U1084" t="str">
        <f>IF(N1084="OK","",COUNTIF($N$2:N1084,"&lt;&gt;OK"))</f>
        <v/>
      </c>
      <c r="V1084">
        <f>IF(OR(NOT(EXACT(E1084,TRIM(Procurement_Raw!E1084))),NOT(EXACT(F1084,TRIM(Procurement_Raw!F1084)))),1,0)</f>
        <v>0</v>
      </c>
    </row>
    <row r="1085" spans="1:22" ht="15" customHeight="1" x14ac:dyDescent="0.25">
      <c r="A1085" s="123">
        <f>Procurement_Raw!A1085</f>
        <v>45666</v>
      </c>
      <c r="B1085" t="str">
        <f>TRIM(Procurement_Raw!B1085)</f>
        <v>S005</v>
      </c>
      <c r="C1085" t="str">
        <f>Procurement_Raw!C1085</f>
        <v>Sheffield Care &amp; Education Centre</v>
      </c>
      <c r="D1085" t="str">
        <f>Procurement_Raw!D1085</f>
        <v>North</v>
      </c>
      <c r="E1085" t="str">
        <f>IF(TRIM(Procurement_Raw!E1085)="","",IFERROR(INDEX(Supplier_Lookup!$A$2:$A$25,MATCH(TRIM(Procurement_Raw!E1085),Supplier_Lookup!$A$2:$A$25,0)),TRIM(Procurement_Raw!E1085)))</f>
        <v>HealthStaffing</v>
      </c>
      <c r="F1085" t="str">
        <f>IFERROR(INDEX(Category_Targets!$A$2:$A$9,MATCH(TRIM(Procurement_Raw!F1085),Category_Targets!$A$2:$A$9,0)),"Unmapped")</f>
        <v>Agency Labour</v>
      </c>
      <c r="G1085" t="str">
        <f>TRIM(Procurement_Raw!G1085)</f>
        <v>INV-2025-01084</v>
      </c>
      <c r="H1085" s="77">
        <f>Procurement_Raw!H1085</f>
        <v>63</v>
      </c>
      <c r="I1085" s="124">
        <f>Procurement_Raw!I1085</f>
        <v>940.11</v>
      </c>
      <c r="J1085" s="125">
        <f>IF(Procurement_Raw!J1085="","",Procurement_Raw!J1085)</f>
        <v>59226.75</v>
      </c>
      <c r="K1085" s="77">
        <f>Procurement_Raw!K1085</f>
        <v>30</v>
      </c>
      <c r="L1085" t="str">
        <f>Procurement_Raw!L1085</f>
        <v>ERP</v>
      </c>
      <c r="M1085" t="str">
        <f>Procurement_Raw!O1085</f>
        <v>N</v>
      </c>
      <c r="N1085" t="str">
        <f>IF(E1085="","Missing supplier",IF(B1085="","Missing site",IF(J1085="","Missing spend",IF(COUNTIFS($G$2:G1085,G1085,$E$2:E1085,E1085,$J$2:J1085,J1085)&gt;1,"Duplicate invoice",IF(COUNTIF($G$2:$G$1801,G1085)&gt;1,"Duplicate ID - review",IF(AND(P1085&lt;&gt;"Unmapped",P1085&lt;&gt;F1085),"Category mismatch","OK"))))))</f>
        <v>OK</v>
      </c>
      <c r="O1085" s="125">
        <f t="shared" si="48"/>
        <v>59226.75</v>
      </c>
      <c r="P1085" t="str">
        <f>IF(E1085="","Unmapped",IFERROR(INDEX(Supplier_Lookup!$B$2:$B$25,MATCH(E1085,Supplier_Lookup!$A$2:$A$25,0)),"Unmapped"))</f>
        <v>Agency Labour</v>
      </c>
      <c r="Q1085" s="76">
        <f>IFERROR(INDEX(Category_Targets!$B$2:$B$9,MATCH(F1085,Category_Targets!$A$2:$A$9,0)),0)</f>
        <v>7.0000000000000007E-2</v>
      </c>
      <c r="R1085" s="125">
        <f t="shared" si="49"/>
        <v>4145.8725000000004</v>
      </c>
      <c r="S1085" s="78">
        <f t="shared" si="50"/>
        <v>45658</v>
      </c>
      <c r="T1085" t="str">
        <f>IFERROR(VLOOKUP(B1085,Sites!$A$2:$D$21,4,FALSE()),"Unknown")</f>
        <v>Sheffield</v>
      </c>
      <c r="U1085" t="str">
        <f>IF(N1085="OK","",COUNTIF($N$2:N1085,"&lt;&gt;OK"))</f>
        <v/>
      </c>
      <c r="V1085">
        <f>IF(OR(NOT(EXACT(E1085,TRIM(Procurement_Raw!E1085))),NOT(EXACT(F1085,TRIM(Procurement_Raw!F1085)))),1,0)</f>
        <v>0</v>
      </c>
    </row>
    <row r="1086" spans="1:22" ht="15" customHeight="1" x14ac:dyDescent="0.25">
      <c r="A1086" s="123">
        <f>Procurement_Raw!A1086</f>
        <v>46019</v>
      </c>
      <c r="B1086" t="str">
        <f>TRIM(Procurement_Raw!B1086)</f>
        <v>S006</v>
      </c>
      <c r="C1086" t="str">
        <f>Procurement_Raw!C1086</f>
        <v>Birmingham Care &amp; Education Centre</v>
      </c>
      <c r="D1086" t="str">
        <f>Procurement_Raw!D1086</f>
        <v>Midlands</v>
      </c>
      <c r="E1086" t="str">
        <f>IF(TRIM(Procurement_Raw!E1086)="","",IFERROR(INDEX(Supplier_Lookup!$A$2:$A$25,MATCH(TRIM(Procurement_Raw!E1086),Supplier_Lookup!$A$2:$A$25,0)),TRIM(Procurement_Raw!E1086)))</f>
        <v>CleanWorks</v>
      </c>
      <c r="F1086" t="str">
        <f>IFERROR(INDEX(Category_Targets!$A$2:$A$9,MATCH(TRIM(Procurement_Raw!F1086),Category_Targets!$A$2:$A$9,0)),"Unmapped")</f>
        <v>Facilities</v>
      </c>
      <c r="G1086" t="str">
        <f>TRIM(Procurement_Raw!G1086)</f>
        <v>INV-2025-01085</v>
      </c>
      <c r="H1086" s="77">
        <f>Procurement_Raw!H1086</f>
        <v>76</v>
      </c>
      <c r="I1086" s="124">
        <f>Procurement_Raw!I1086</f>
        <v>222.08</v>
      </c>
      <c r="J1086" s="125">
        <f>IF(Procurement_Raw!J1086="","",Procurement_Raw!J1086)</f>
        <v>16877.8</v>
      </c>
      <c r="K1086" s="77">
        <f>Procurement_Raw!K1086</f>
        <v>45</v>
      </c>
      <c r="L1086" t="str">
        <f>Procurement_Raw!L1086</f>
        <v>Procurement Portal</v>
      </c>
      <c r="M1086" t="str">
        <f>Procurement_Raw!O1086</f>
        <v>Y</v>
      </c>
      <c r="N1086" t="str">
        <f>IF(E1086="","Missing supplier",IF(B1086="","Missing site",IF(J1086="","Missing spend",IF(COUNTIFS($G$2:G1086,G1086,$E$2:E1086,E1086,$J$2:J1086,J1086)&gt;1,"Duplicate invoice",IF(COUNTIF($G$2:$G$1801,G1086)&gt;1,"Duplicate ID - review",IF(AND(P1086&lt;&gt;"Unmapped",P1086&lt;&gt;F1086),"Category mismatch","OK"))))))</f>
        <v>OK</v>
      </c>
      <c r="O1086" s="125">
        <f t="shared" si="48"/>
        <v>16877.8</v>
      </c>
      <c r="P1086" t="str">
        <f>IF(E1086="","Unmapped",IFERROR(INDEX(Supplier_Lookup!$B$2:$B$25,MATCH(E1086,Supplier_Lookup!$A$2:$A$25,0)),"Unmapped"))</f>
        <v>Facilities</v>
      </c>
      <c r="Q1086" s="76">
        <f>IFERROR(INDEX(Category_Targets!$B$2:$B$9,MATCH(F1086,Category_Targets!$A$2:$A$9,0)),0)</f>
        <v>0.05</v>
      </c>
      <c r="R1086" s="125">
        <f t="shared" si="49"/>
        <v>843.89</v>
      </c>
      <c r="S1086" s="78">
        <f t="shared" si="50"/>
        <v>45992</v>
      </c>
      <c r="T1086" t="str">
        <f>IFERROR(VLOOKUP(B1086,Sites!$A$2:$D$21,4,FALSE()),"Unknown")</f>
        <v>Birmingham</v>
      </c>
      <c r="U1086" t="str">
        <f>IF(N1086="OK","",COUNTIF($N$2:N1086,"&lt;&gt;OK"))</f>
        <v/>
      </c>
      <c r="V1086">
        <f>IF(OR(NOT(EXACT(E1086,TRIM(Procurement_Raw!E1086))),NOT(EXACT(F1086,TRIM(Procurement_Raw!F1086)))),1,0)</f>
        <v>0</v>
      </c>
    </row>
    <row r="1087" spans="1:22" ht="15" customHeight="1" x14ac:dyDescent="0.25">
      <c r="A1087" s="123">
        <f>Procurement_Raw!A1087</f>
        <v>45722</v>
      </c>
      <c r="B1087" t="str">
        <f>TRIM(Procurement_Raw!B1087)</f>
        <v>S015</v>
      </c>
      <c r="C1087" t="str">
        <f>Procurement_Raw!C1087</f>
        <v>Brighton Care &amp; Education Centre</v>
      </c>
      <c r="D1087" t="str">
        <f>Procurement_Raw!D1087</f>
        <v>South</v>
      </c>
      <c r="E1087" t="str">
        <f>IF(TRIM(Procurement_Raw!E1087)="","",IFERROR(INDEX(Supplier_Lookup!$A$2:$A$25,MATCH(TRIM(Procurement_Raw!E1087),Supplier_Lookup!$A$2:$A$25,0)),TRIM(Procurement_Raw!E1087)))</f>
        <v>PrintCo</v>
      </c>
      <c r="F1087" t="str">
        <f>IFERROR(INDEX(Category_Targets!$A$2:$A$9,MATCH(TRIM(Procurement_Raw!F1087),Category_Targets!$A$2:$A$9,0)),"Unmapped")</f>
        <v>Office &amp; Training</v>
      </c>
      <c r="G1087" t="str">
        <f>TRIM(Procurement_Raw!G1087)</f>
        <v>INV-2025-01086</v>
      </c>
      <c r="H1087" s="77">
        <f>Procurement_Raw!H1087</f>
        <v>27</v>
      </c>
      <c r="I1087" s="124">
        <f>Procurement_Raw!I1087</f>
        <v>95.01</v>
      </c>
      <c r="J1087" s="125">
        <f>IF(Procurement_Raw!J1087="","",Procurement_Raw!J1087)</f>
        <v>2565.34</v>
      </c>
      <c r="K1087" s="77">
        <f>Procurement_Raw!K1087</f>
        <v>30</v>
      </c>
      <c r="L1087" t="str">
        <f>Procurement_Raw!L1087</f>
        <v>Legacy Spend File</v>
      </c>
      <c r="M1087" t="str">
        <f>Procurement_Raw!O1087</f>
        <v>N</v>
      </c>
      <c r="N1087" t="str">
        <f>IF(E1087="","Missing supplier",IF(B1087="","Missing site",IF(J1087="","Missing spend",IF(COUNTIFS($G$2:G1087,G1087,$E$2:E1087,E1087,$J$2:J1087,J1087)&gt;1,"Duplicate invoice",IF(COUNTIF($G$2:$G$1801,G1087)&gt;1,"Duplicate ID - review",IF(AND(P1087&lt;&gt;"Unmapped",P1087&lt;&gt;F1087),"Category mismatch","OK"))))))</f>
        <v>OK</v>
      </c>
      <c r="O1087" s="125">
        <f t="shared" si="48"/>
        <v>2565.34</v>
      </c>
      <c r="P1087" t="str">
        <f>IF(E1087="","Unmapped",IFERROR(INDEX(Supplier_Lookup!$B$2:$B$25,MATCH(E1087,Supplier_Lookup!$A$2:$A$25,0)),"Unmapped"))</f>
        <v>Office &amp; Training</v>
      </c>
      <c r="Q1087" s="76">
        <f>IFERROR(INDEX(Category_Targets!$B$2:$B$9,MATCH(F1087,Category_Targets!$A$2:$A$9,0)),0)</f>
        <v>0.04</v>
      </c>
      <c r="R1087" s="125">
        <f t="shared" si="49"/>
        <v>102.61360000000001</v>
      </c>
      <c r="S1087" s="78">
        <f t="shared" si="50"/>
        <v>45717</v>
      </c>
      <c r="T1087" t="str">
        <f>IFERROR(VLOOKUP(B1087,Sites!$A$2:$D$21,4,FALSE()),"Unknown")</f>
        <v>Brighton</v>
      </c>
      <c r="U1087" t="str">
        <f>IF(N1087="OK","",COUNTIF($N$2:N1087,"&lt;&gt;OK"))</f>
        <v/>
      </c>
      <c r="V1087">
        <f>IF(OR(NOT(EXACT(E1087,TRIM(Procurement_Raw!E1087))),NOT(EXACT(F1087,TRIM(Procurement_Raw!F1087)))),1,0)</f>
        <v>0</v>
      </c>
    </row>
    <row r="1088" spans="1:22" ht="15" customHeight="1" x14ac:dyDescent="0.25">
      <c r="A1088" s="123">
        <f>Procurement_Raw!A1088</f>
        <v>45780</v>
      </c>
      <c r="B1088" t="str">
        <f>TRIM(Procurement_Raw!B1088)</f>
        <v>S018</v>
      </c>
      <c r="C1088" t="str">
        <f>Procurement_Raw!C1088</f>
        <v>Newport Care &amp; Education Centre</v>
      </c>
      <c r="D1088" t="str">
        <f>Procurement_Raw!D1088</f>
        <v>Wales</v>
      </c>
      <c r="E1088" t="str">
        <f>IF(TRIM(Procurement_Raw!E1088)="","",IFERROR(INDEX(Supplier_Lookup!$A$2:$A$25,MATCH(TRIM(Procurement_Raw!E1088),Supplier_Lookup!$A$2:$A$25,0)),TRIM(Procurement_Raw!E1088)))</f>
        <v>LearnWell</v>
      </c>
      <c r="F1088" t="str">
        <f>IFERROR(INDEX(Category_Targets!$A$2:$A$9,MATCH(TRIM(Procurement_Raw!F1088),Category_Targets!$A$2:$A$9,0)),"Unmapped")</f>
        <v>Office &amp; Training</v>
      </c>
      <c r="G1088" t="str">
        <f>TRIM(Procurement_Raw!G1088)</f>
        <v>INV-2025-01087</v>
      </c>
      <c r="H1088" s="77">
        <f>Procurement_Raw!H1088</f>
        <v>23</v>
      </c>
      <c r="I1088" s="124">
        <f>Procurement_Raw!I1088</f>
        <v>132.18</v>
      </c>
      <c r="J1088" s="125">
        <f>IF(Procurement_Raw!J1088="","",Procurement_Raw!J1088)</f>
        <v>3040.08</v>
      </c>
      <c r="K1088" s="77">
        <f>Procurement_Raw!K1088</f>
        <v>60</v>
      </c>
      <c r="L1088" t="str">
        <f>Procurement_Raw!L1088</f>
        <v>Legacy Spend File</v>
      </c>
      <c r="M1088" t="str">
        <f>Procurement_Raw!O1088</f>
        <v>N</v>
      </c>
      <c r="N1088" t="str">
        <f>IF(E1088="","Missing supplier",IF(B1088="","Missing site",IF(J1088="","Missing spend",IF(COUNTIFS($G$2:G1088,G1088,$E$2:E1088,E1088,$J$2:J1088,J1088)&gt;1,"Duplicate invoice",IF(COUNTIF($G$2:$G$1801,G1088)&gt;1,"Duplicate ID - review",IF(AND(P1088&lt;&gt;"Unmapped",P1088&lt;&gt;F1088),"Category mismatch","OK"))))))</f>
        <v>OK</v>
      </c>
      <c r="O1088" s="125">
        <f t="shared" si="48"/>
        <v>3040.08</v>
      </c>
      <c r="P1088" t="str">
        <f>IF(E1088="","Unmapped",IFERROR(INDEX(Supplier_Lookup!$B$2:$B$25,MATCH(E1088,Supplier_Lookup!$A$2:$A$25,0)),"Unmapped"))</f>
        <v>Office &amp; Training</v>
      </c>
      <c r="Q1088" s="76">
        <f>IFERROR(INDEX(Category_Targets!$B$2:$B$9,MATCH(F1088,Category_Targets!$A$2:$A$9,0)),0)</f>
        <v>0.04</v>
      </c>
      <c r="R1088" s="125">
        <f t="shared" si="49"/>
        <v>121.6032</v>
      </c>
      <c r="S1088" s="78">
        <f t="shared" si="50"/>
        <v>45778</v>
      </c>
      <c r="T1088" t="str">
        <f>IFERROR(VLOOKUP(B1088,Sites!$A$2:$D$21,4,FALSE()),"Unknown")</f>
        <v>Newport</v>
      </c>
      <c r="U1088" t="str">
        <f>IF(N1088="OK","",COUNTIF($N$2:N1088,"&lt;&gt;OK"))</f>
        <v/>
      </c>
      <c r="V1088">
        <f>IF(OR(NOT(EXACT(E1088,TRIM(Procurement_Raw!E1088))),NOT(EXACT(F1088,TRIM(Procurement_Raw!F1088)))),1,0)</f>
        <v>0</v>
      </c>
    </row>
    <row r="1089" spans="1:22" ht="15" customHeight="1" x14ac:dyDescent="0.25">
      <c r="A1089" s="123">
        <f>Procurement_Raw!A1089</f>
        <v>45913</v>
      </c>
      <c r="B1089" t="str">
        <f>TRIM(Procurement_Raw!B1089)</f>
        <v>S004</v>
      </c>
      <c r="C1089" t="str">
        <f>Procurement_Raw!C1089</f>
        <v>Newcastle Care &amp; Education Centre</v>
      </c>
      <c r="D1089" t="str">
        <f>Procurement_Raw!D1089</f>
        <v>North</v>
      </c>
      <c r="E1089" t="str">
        <f>IF(TRIM(Procurement_Raw!E1089)="","",IFERROR(INDEX(Supplier_Lookup!$A$2:$A$25,MATCH(TRIM(Procurement_Raw!E1089),Supplier_Lookup!$A$2:$A$25,0)),TRIM(Procurement_Raw!E1089)))</f>
        <v>BuildCare</v>
      </c>
      <c r="F1089" t="str">
        <f>IFERROR(INDEX(Category_Targets!$A$2:$A$9,MATCH(TRIM(Procurement_Raw!F1089),Category_Targets!$A$2:$A$9,0)),"Unmapped")</f>
        <v>Facilities</v>
      </c>
      <c r="G1089" t="str">
        <f>TRIM(Procurement_Raw!G1089)</f>
        <v>INV-2025-01088</v>
      </c>
      <c r="H1089" s="77">
        <f>Procurement_Raw!H1089</f>
        <v>79</v>
      </c>
      <c r="I1089" s="124">
        <f>Procurement_Raw!I1089</f>
        <v>205.26</v>
      </c>
      <c r="J1089" s="125">
        <f>IF(Procurement_Raw!J1089="","",Procurement_Raw!J1089)</f>
        <v>16215.76</v>
      </c>
      <c r="K1089" s="77">
        <f>Procurement_Raw!K1089</f>
        <v>30</v>
      </c>
      <c r="L1089" t="str">
        <f>Procurement_Raw!L1089</f>
        <v>Legacy Spend File</v>
      </c>
      <c r="M1089" t="str">
        <f>Procurement_Raw!O1089</f>
        <v>N</v>
      </c>
      <c r="N1089" t="str">
        <f>IF(E1089="","Missing supplier",IF(B1089="","Missing site",IF(J1089="","Missing spend",IF(COUNTIFS($G$2:G1089,G1089,$E$2:E1089,E1089,$J$2:J1089,J1089)&gt;1,"Duplicate invoice",IF(COUNTIF($G$2:$G$1801,G1089)&gt;1,"Duplicate ID - review",IF(AND(P1089&lt;&gt;"Unmapped",P1089&lt;&gt;F1089),"Category mismatch","OK"))))))</f>
        <v>OK</v>
      </c>
      <c r="O1089" s="125">
        <f t="shared" si="48"/>
        <v>16215.76</v>
      </c>
      <c r="P1089" t="str">
        <f>IF(E1089="","Unmapped",IFERROR(INDEX(Supplier_Lookup!$B$2:$B$25,MATCH(E1089,Supplier_Lookup!$A$2:$A$25,0)),"Unmapped"))</f>
        <v>Facilities</v>
      </c>
      <c r="Q1089" s="76">
        <f>IFERROR(INDEX(Category_Targets!$B$2:$B$9,MATCH(F1089,Category_Targets!$A$2:$A$9,0)),0)</f>
        <v>0.05</v>
      </c>
      <c r="R1089" s="125">
        <f t="shared" si="49"/>
        <v>810.78800000000001</v>
      </c>
      <c r="S1089" s="78">
        <f t="shared" si="50"/>
        <v>45901</v>
      </c>
      <c r="T1089" t="str">
        <f>IFERROR(VLOOKUP(B1089,Sites!$A$2:$D$21,4,FALSE()),"Unknown")</f>
        <v>Newcastle</v>
      </c>
      <c r="U1089" t="str">
        <f>IF(N1089="OK","",COUNTIF($N$2:N1089,"&lt;&gt;OK"))</f>
        <v/>
      </c>
      <c r="V1089">
        <f>IF(OR(NOT(EXACT(E1089,TRIM(Procurement_Raw!E1089))),NOT(EXACT(F1089,TRIM(Procurement_Raw!F1089)))),1,0)</f>
        <v>0</v>
      </c>
    </row>
    <row r="1090" spans="1:22" ht="15" customHeight="1" x14ac:dyDescent="0.25">
      <c r="A1090" s="123">
        <f>Procurement_Raw!A1090</f>
        <v>45660</v>
      </c>
      <c r="B1090" t="str">
        <f>TRIM(Procurement_Raw!B1090)</f>
        <v>S020</v>
      </c>
      <c r="C1090" t="str">
        <f>Procurement_Raw!C1090</f>
        <v>Bangor Care &amp; Education Centre</v>
      </c>
      <c r="D1090" t="str">
        <f>Procurement_Raw!D1090</f>
        <v>Wales</v>
      </c>
      <c r="E1090" t="str">
        <f>IF(TRIM(Procurement_Raw!E1090)="","",IFERROR(INDEX(Supplier_Lookup!$A$2:$A$25,MATCH(TRIM(Procurement_Raw!E1090),Supplier_Lookup!$A$2:$A$25,0)),TRIM(Procurement_Raw!E1090)))</f>
        <v>RoadReady</v>
      </c>
      <c r="F1090" t="str">
        <f>IFERROR(INDEX(Category_Targets!$A$2:$A$9,MATCH(TRIM(Procurement_Raw!F1090),Category_Targets!$A$2:$A$9,0)),"Unmapped")</f>
        <v>Vehicle &amp; Fuel</v>
      </c>
      <c r="G1090" t="str">
        <f>TRIM(Procurement_Raw!G1090)</f>
        <v>INV-2025-01089</v>
      </c>
      <c r="H1090" s="77">
        <f>Procurement_Raw!H1090</f>
        <v>72</v>
      </c>
      <c r="I1090" s="124">
        <f>Procurement_Raw!I1090</f>
        <v>82.39</v>
      </c>
      <c r="J1090" s="125">
        <f>IF(Procurement_Raw!J1090="","",Procurement_Raw!J1090)</f>
        <v>5931.72</v>
      </c>
      <c r="K1090" s="77">
        <f>Procurement_Raw!K1090</f>
        <v>30</v>
      </c>
      <c r="L1090" t="str">
        <f>Procurement_Raw!L1090</f>
        <v>ERP</v>
      </c>
      <c r="M1090" t="str">
        <f>Procurement_Raw!O1090</f>
        <v>N</v>
      </c>
      <c r="N1090" t="str">
        <f>IF(E1090="","Missing supplier",IF(B1090="","Missing site",IF(J1090="","Missing spend",IF(COUNTIFS($G$2:G1090,G1090,$E$2:E1090,E1090,$J$2:J1090,J1090)&gt;1,"Duplicate invoice",IF(COUNTIF($G$2:$G$1801,G1090)&gt;1,"Duplicate ID - review",IF(AND(P1090&lt;&gt;"Unmapped",P1090&lt;&gt;F1090),"Category mismatch","OK"))))))</f>
        <v>OK</v>
      </c>
      <c r="O1090" s="125">
        <f t="shared" ref="O1090:O1153" si="51">IF(OR(N1090="Missing spend",N1090="Duplicate invoice"),0,J1090)</f>
        <v>5931.72</v>
      </c>
      <c r="P1090" t="str">
        <f>IF(E1090="","Unmapped",IFERROR(INDEX(Supplier_Lookup!$B$2:$B$25,MATCH(E1090,Supplier_Lookup!$A$2:$A$25,0)),"Unmapped"))</f>
        <v>Vehicle &amp; Fuel</v>
      </c>
      <c r="Q1090" s="76">
        <f>IFERROR(INDEX(Category_Targets!$B$2:$B$9,MATCH(F1090,Category_Targets!$A$2:$A$9,0)),0)</f>
        <v>0.05</v>
      </c>
      <c r="R1090" s="125">
        <f t="shared" ref="R1090:R1153" si="52">O1090*Q1090</f>
        <v>296.58600000000001</v>
      </c>
      <c r="S1090" s="78">
        <f t="shared" ref="S1090:S1153" si="53">DATE(YEAR(A1090),MONTH(A1090),1)</f>
        <v>45658</v>
      </c>
      <c r="T1090" t="str">
        <f>IFERROR(VLOOKUP(B1090,Sites!$A$2:$D$21,4,FALSE()),"Unknown")</f>
        <v>Bangor</v>
      </c>
      <c r="U1090" t="str">
        <f>IF(N1090="OK","",COUNTIF($N$2:N1090,"&lt;&gt;OK"))</f>
        <v/>
      </c>
      <c r="V1090">
        <f>IF(OR(NOT(EXACT(E1090,TRIM(Procurement_Raw!E1090))),NOT(EXACT(F1090,TRIM(Procurement_Raw!F1090)))),1,0)</f>
        <v>0</v>
      </c>
    </row>
    <row r="1091" spans="1:22" ht="15" customHeight="1" x14ac:dyDescent="0.25">
      <c r="A1091" s="123">
        <f>Procurement_Raw!A1091</f>
        <v>45843</v>
      </c>
      <c r="B1091" t="str">
        <f>TRIM(Procurement_Raw!B1091)</f>
        <v>S007</v>
      </c>
      <c r="C1091" t="str">
        <f>Procurement_Raw!C1091</f>
        <v>Nottingham Care &amp; Education Centre</v>
      </c>
      <c r="D1091" t="str">
        <f>Procurement_Raw!D1091</f>
        <v>Midlands</v>
      </c>
      <c r="E1091" t="str">
        <f>IF(TRIM(Procurement_Raw!E1091)="","",IFERROR(INDEX(Supplier_Lookup!$A$2:$A$25,MATCH(TRIM(Procurement_Raw!E1091),Supplier_Lookup!$A$2:$A$25,0)),TRIM(Procurement_Raw!E1091)))</f>
        <v>KitchenPro</v>
      </c>
      <c r="F1091" t="str">
        <f>IFERROR(INDEX(Category_Targets!$A$2:$A$9,MATCH(TRIM(Procurement_Raw!F1091),Category_Targets!$A$2:$A$9,0)),"Unmapped")</f>
        <v>Food &amp; Catering</v>
      </c>
      <c r="G1091" t="str">
        <f>TRIM(Procurement_Raw!G1091)</f>
        <v>INV-2025-01090</v>
      </c>
      <c r="H1091" s="77">
        <f>Procurement_Raw!H1091</f>
        <v>70</v>
      </c>
      <c r="I1091" s="124">
        <f>Procurement_Raw!I1091</f>
        <v>58.35</v>
      </c>
      <c r="J1091" s="125">
        <f>IF(Procurement_Raw!J1091="","",Procurement_Raw!J1091)</f>
        <v>4084.24</v>
      </c>
      <c r="K1091" s="77">
        <f>Procurement_Raw!K1091</f>
        <v>60</v>
      </c>
      <c r="L1091" t="str">
        <f>Procurement_Raw!L1091</f>
        <v>ERP</v>
      </c>
      <c r="M1091" t="str">
        <f>Procurement_Raw!O1091</f>
        <v>N</v>
      </c>
      <c r="N1091" t="str">
        <f>IF(E1091="","Missing supplier",IF(B1091="","Missing site",IF(J1091="","Missing spend",IF(COUNTIFS($G$2:G1091,G1091,$E$2:E1091,E1091,$J$2:J1091,J1091)&gt;1,"Duplicate invoice",IF(COUNTIF($G$2:$G$1801,G1091)&gt;1,"Duplicate ID - review",IF(AND(P1091&lt;&gt;"Unmapped",P1091&lt;&gt;F1091),"Category mismatch","OK"))))))</f>
        <v>OK</v>
      </c>
      <c r="O1091" s="125">
        <f t="shared" si="51"/>
        <v>4084.24</v>
      </c>
      <c r="P1091" t="str">
        <f>IF(E1091="","Unmapped",IFERROR(INDEX(Supplier_Lookup!$B$2:$B$25,MATCH(E1091,Supplier_Lookup!$A$2:$A$25,0)),"Unmapped"))</f>
        <v>Food &amp; Catering</v>
      </c>
      <c r="Q1091" s="76">
        <f>IFERROR(INDEX(Category_Targets!$B$2:$B$9,MATCH(F1091,Category_Targets!$A$2:$A$9,0)),0)</f>
        <v>0.04</v>
      </c>
      <c r="R1091" s="125">
        <f t="shared" si="52"/>
        <v>163.36959999999999</v>
      </c>
      <c r="S1091" s="78">
        <f t="shared" si="53"/>
        <v>45839</v>
      </c>
      <c r="T1091" t="str">
        <f>IFERROR(VLOOKUP(B1091,Sites!$A$2:$D$21,4,FALSE()),"Unknown")</f>
        <v>Nottingham</v>
      </c>
      <c r="U1091" t="str">
        <f>IF(N1091="OK","",COUNTIF($N$2:N1091,"&lt;&gt;OK"))</f>
        <v/>
      </c>
      <c r="V1091">
        <f>IF(OR(NOT(EXACT(E1091,TRIM(Procurement_Raw!E1091))),NOT(EXACT(F1091,TRIM(Procurement_Raw!F1091)))),1,0)</f>
        <v>0</v>
      </c>
    </row>
    <row r="1092" spans="1:22" ht="15" customHeight="1" x14ac:dyDescent="0.25">
      <c r="A1092" s="123">
        <f>Procurement_Raw!A1092</f>
        <v>45685</v>
      </c>
      <c r="B1092" t="str">
        <f>TRIM(Procurement_Raw!B1092)</f>
        <v>S001</v>
      </c>
      <c r="C1092" t="str">
        <f>Procurement_Raw!C1092</f>
        <v>Preston Care &amp; Education Centre</v>
      </c>
      <c r="D1092" t="str">
        <f>Procurement_Raw!D1092</f>
        <v>North</v>
      </c>
      <c r="E1092" t="str">
        <f>IF(TRIM(Procurement_Raw!E1092)="","",IFERROR(INDEX(Supplier_Lookup!$A$2:$A$25,MATCH(TRIM(Procurement_Raw!E1092),Supplier_Lookup!$A$2:$A$25,0)),TRIM(Procurement_Raw!E1092)))</f>
        <v>WaterGrid</v>
      </c>
      <c r="F1092" t="str">
        <f>IFERROR(INDEX(Category_Targets!$A$2:$A$9,MATCH(TRIM(Procurement_Raw!F1092),Category_Targets!$A$2:$A$9,0)),"Unmapped")</f>
        <v>Utilities</v>
      </c>
      <c r="G1092" t="str">
        <f>TRIM(Procurement_Raw!G1092)</f>
        <v>INV-2025-01091</v>
      </c>
      <c r="H1092" s="77">
        <f>Procurement_Raw!H1092</f>
        <v>25</v>
      </c>
      <c r="I1092" s="124">
        <f>Procurement_Raw!I1092</f>
        <v>240.35</v>
      </c>
      <c r="J1092" s="125">
        <f>IF(Procurement_Raw!J1092="","",Procurement_Raw!J1092)</f>
        <v>6008.65</v>
      </c>
      <c r="K1092" s="77">
        <f>Procurement_Raw!K1092</f>
        <v>30</v>
      </c>
      <c r="L1092" t="str">
        <f>Procurement_Raw!L1092</f>
        <v>ERP</v>
      </c>
      <c r="M1092" t="str">
        <f>Procurement_Raw!O1092</f>
        <v>N</v>
      </c>
      <c r="N1092" t="str">
        <f>IF(E1092="","Missing supplier",IF(B1092="","Missing site",IF(J1092="","Missing spend",IF(COUNTIFS($G$2:G1092,G1092,$E$2:E1092,E1092,$J$2:J1092,J1092)&gt;1,"Duplicate invoice",IF(COUNTIF($G$2:$G$1801,G1092)&gt;1,"Duplicate ID - review",IF(AND(P1092&lt;&gt;"Unmapped",P1092&lt;&gt;F1092),"Category mismatch","OK"))))))</f>
        <v>OK</v>
      </c>
      <c r="O1092" s="125">
        <f t="shared" si="51"/>
        <v>6008.65</v>
      </c>
      <c r="P1092" t="str">
        <f>IF(E1092="","Unmapped",IFERROR(INDEX(Supplier_Lookup!$B$2:$B$25,MATCH(E1092,Supplier_Lookup!$A$2:$A$25,0)),"Unmapped"))</f>
        <v>Utilities</v>
      </c>
      <c r="Q1092" s="76">
        <f>IFERROR(INDEX(Category_Targets!$B$2:$B$9,MATCH(F1092,Category_Targets!$A$2:$A$9,0)),0)</f>
        <v>0.03</v>
      </c>
      <c r="R1092" s="125">
        <f t="shared" si="52"/>
        <v>180.25949999999997</v>
      </c>
      <c r="S1092" s="78">
        <f t="shared" si="53"/>
        <v>45658</v>
      </c>
      <c r="T1092" t="str">
        <f>IFERROR(VLOOKUP(B1092,Sites!$A$2:$D$21,4,FALSE()),"Unknown")</f>
        <v>Preston</v>
      </c>
      <c r="U1092" t="str">
        <f>IF(N1092="OK","",COUNTIF($N$2:N1092,"&lt;&gt;OK"))</f>
        <v/>
      </c>
      <c r="V1092">
        <f>IF(OR(NOT(EXACT(E1092,TRIM(Procurement_Raw!E1092))),NOT(EXACT(F1092,TRIM(Procurement_Raw!F1092)))),1,0)</f>
        <v>0</v>
      </c>
    </row>
    <row r="1093" spans="1:22" ht="15" customHeight="1" x14ac:dyDescent="0.25">
      <c r="A1093" s="123">
        <f>Procurement_Raw!A1093</f>
        <v>45748</v>
      </c>
      <c r="B1093" t="str">
        <f>TRIM(Procurement_Raw!B1093)</f>
        <v>S008</v>
      </c>
      <c r="C1093" t="str">
        <f>Procurement_Raw!C1093</f>
        <v>Leicester Care &amp; Education Centre</v>
      </c>
      <c r="D1093" t="str">
        <f>Procurement_Raw!D1093</f>
        <v>Midlands</v>
      </c>
      <c r="E1093" t="str">
        <f>IF(TRIM(Procurement_Raw!E1093)="","",IFERROR(INDEX(Supplier_Lookup!$A$2:$A$25,MATCH(TRIM(Procurement_Raw!E1093),Supplier_Lookup!$A$2:$A$25,0)),TRIM(Procurement_Raw!E1093)))</f>
        <v>LearnWell</v>
      </c>
      <c r="F1093" t="str">
        <f>IFERROR(INDEX(Category_Targets!$A$2:$A$9,MATCH(TRIM(Procurement_Raw!F1093),Category_Targets!$A$2:$A$9,0)),"Unmapped")</f>
        <v>Office &amp; Training</v>
      </c>
      <c r="G1093" t="str">
        <f>TRIM(Procurement_Raw!G1093)</f>
        <v>INV-2025-01092</v>
      </c>
      <c r="H1093" s="77">
        <f>Procurement_Raw!H1093</f>
        <v>21</v>
      </c>
      <c r="I1093" s="124">
        <f>Procurement_Raw!I1093</f>
        <v>73.48</v>
      </c>
      <c r="J1093" s="125">
        <f>IF(Procurement_Raw!J1093="","",Procurement_Raw!J1093)</f>
        <v>1543.08</v>
      </c>
      <c r="K1093" s="77">
        <f>Procurement_Raw!K1093</f>
        <v>60</v>
      </c>
      <c r="L1093" t="str">
        <f>Procurement_Raw!L1093</f>
        <v>ERP</v>
      </c>
      <c r="M1093" t="str">
        <f>Procurement_Raw!O1093</f>
        <v>N</v>
      </c>
      <c r="N1093" t="str">
        <f>IF(E1093="","Missing supplier",IF(B1093="","Missing site",IF(J1093="","Missing spend",IF(COUNTIFS($G$2:G1093,G1093,$E$2:E1093,E1093,$J$2:J1093,J1093)&gt;1,"Duplicate invoice",IF(COUNTIF($G$2:$G$1801,G1093)&gt;1,"Duplicate ID - review",IF(AND(P1093&lt;&gt;"Unmapped",P1093&lt;&gt;F1093),"Category mismatch","OK"))))))</f>
        <v>OK</v>
      </c>
      <c r="O1093" s="125">
        <f t="shared" si="51"/>
        <v>1543.08</v>
      </c>
      <c r="P1093" t="str">
        <f>IF(E1093="","Unmapped",IFERROR(INDEX(Supplier_Lookup!$B$2:$B$25,MATCH(E1093,Supplier_Lookup!$A$2:$A$25,0)),"Unmapped"))</f>
        <v>Office &amp; Training</v>
      </c>
      <c r="Q1093" s="76">
        <f>IFERROR(INDEX(Category_Targets!$B$2:$B$9,MATCH(F1093,Category_Targets!$A$2:$A$9,0)),0)</f>
        <v>0.04</v>
      </c>
      <c r="R1093" s="125">
        <f t="shared" si="52"/>
        <v>61.723199999999999</v>
      </c>
      <c r="S1093" s="78">
        <f t="shared" si="53"/>
        <v>45748</v>
      </c>
      <c r="T1093" t="str">
        <f>IFERROR(VLOOKUP(B1093,Sites!$A$2:$D$21,4,FALSE()),"Unknown")</f>
        <v>Leicester</v>
      </c>
      <c r="U1093" t="str">
        <f>IF(N1093="OK","",COUNTIF($N$2:N1093,"&lt;&gt;OK"))</f>
        <v/>
      </c>
      <c r="V1093">
        <f>IF(OR(NOT(EXACT(E1093,TRIM(Procurement_Raw!E1093))),NOT(EXACT(F1093,TRIM(Procurement_Raw!F1093)))),1,0)</f>
        <v>0</v>
      </c>
    </row>
    <row r="1094" spans="1:22" ht="15" customHeight="1" x14ac:dyDescent="0.25">
      <c r="A1094" s="123">
        <f>Procurement_Raw!A1094</f>
        <v>45765</v>
      </c>
      <c r="B1094" t="str">
        <f>TRIM(Procurement_Raw!B1094)</f>
        <v>S007</v>
      </c>
      <c r="C1094" t="str">
        <f>Procurement_Raw!C1094</f>
        <v>Nottingham Care &amp; Education Centre</v>
      </c>
      <c r="D1094" t="str">
        <f>Procurement_Raw!D1094</f>
        <v>Midlands</v>
      </c>
      <c r="E1094" t="str">
        <f>IF(TRIM(Procurement_Raw!E1094)="","",IFERROR(INDEX(Supplier_Lookup!$A$2:$A$25,MATCH(TRIM(Procurement_Raw!E1094),Supplier_Lookup!$A$2:$A$25,0)),TRIM(Procurement_Raw!E1094)))</f>
        <v>RoadReady</v>
      </c>
      <c r="F1094" t="str">
        <f>IFERROR(INDEX(Category_Targets!$A$2:$A$9,MATCH(TRIM(Procurement_Raw!F1094),Category_Targets!$A$2:$A$9,0)),"Unmapped")</f>
        <v>Vehicle &amp; Fuel</v>
      </c>
      <c r="G1094" t="str">
        <f>TRIM(Procurement_Raw!G1094)</f>
        <v>INV-2025-01093</v>
      </c>
      <c r="H1094" s="77">
        <f>Procurement_Raw!H1094</f>
        <v>56</v>
      </c>
      <c r="I1094" s="124">
        <f>Procurement_Raw!I1094</f>
        <v>141.75</v>
      </c>
      <c r="J1094" s="125">
        <f>IF(Procurement_Raw!J1094="","",Procurement_Raw!J1094)</f>
        <v>7938.07</v>
      </c>
      <c r="K1094" s="77">
        <f>Procurement_Raw!K1094</f>
        <v>45</v>
      </c>
      <c r="L1094" t="str">
        <f>Procurement_Raw!L1094</f>
        <v>Procurement Portal</v>
      </c>
      <c r="M1094" t="str">
        <f>Procurement_Raw!O1094</f>
        <v>N</v>
      </c>
      <c r="N1094" t="str">
        <f>IF(E1094="","Missing supplier",IF(B1094="","Missing site",IF(J1094="","Missing spend",IF(COUNTIFS($G$2:G1094,G1094,$E$2:E1094,E1094,$J$2:J1094,J1094)&gt;1,"Duplicate invoice",IF(COUNTIF($G$2:$G$1801,G1094)&gt;1,"Duplicate ID - review",IF(AND(P1094&lt;&gt;"Unmapped",P1094&lt;&gt;F1094),"Category mismatch","OK"))))))</f>
        <v>OK</v>
      </c>
      <c r="O1094" s="125">
        <f t="shared" si="51"/>
        <v>7938.07</v>
      </c>
      <c r="P1094" t="str">
        <f>IF(E1094="","Unmapped",IFERROR(INDEX(Supplier_Lookup!$B$2:$B$25,MATCH(E1094,Supplier_Lookup!$A$2:$A$25,0)),"Unmapped"))</f>
        <v>Vehicle &amp; Fuel</v>
      </c>
      <c r="Q1094" s="76">
        <f>IFERROR(INDEX(Category_Targets!$B$2:$B$9,MATCH(F1094,Category_Targets!$A$2:$A$9,0)),0)</f>
        <v>0.05</v>
      </c>
      <c r="R1094" s="125">
        <f t="shared" si="52"/>
        <v>396.90350000000001</v>
      </c>
      <c r="S1094" s="78">
        <f t="shared" si="53"/>
        <v>45748</v>
      </c>
      <c r="T1094" t="str">
        <f>IFERROR(VLOOKUP(B1094,Sites!$A$2:$D$21,4,FALSE()),"Unknown")</f>
        <v>Nottingham</v>
      </c>
      <c r="U1094" t="str">
        <f>IF(N1094="OK","",COUNTIF($N$2:N1094,"&lt;&gt;OK"))</f>
        <v/>
      </c>
      <c r="V1094">
        <f>IF(OR(NOT(EXACT(E1094,TRIM(Procurement_Raw!E1094))),NOT(EXACT(F1094,TRIM(Procurement_Raw!F1094)))),1,0)</f>
        <v>0</v>
      </c>
    </row>
    <row r="1095" spans="1:22" ht="15" customHeight="1" x14ac:dyDescent="0.25">
      <c r="A1095" s="123">
        <f>Procurement_Raw!A1095</f>
        <v>45711</v>
      </c>
      <c r="B1095" t="str">
        <f>TRIM(Procurement_Raw!B1095)</f>
        <v>S011</v>
      </c>
      <c r="C1095" t="str">
        <f>Procurement_Raw!C1095</f>
        <v>London Care &amp; Education Centre</v>
      </c>
      <c r="D1095" t="str">
        <f>Procurement_Raw!D1095</f>
        <v>South</v>
      </c>
      <c r="E1095" t="str">
        <f>IF(TRIM(Procurement_Raw!E1095)="","",IFERROR(INDEX(Supplier_Lookup!$A$2:$A$25,MATCH(TRIM(Procurement_Raw!E1095),Supplier_Lookup!$A$2:$A$25,0)),TRIM(Procurement_Raw!E1095)))</f>
        <v>OfficePlus</v>
      </c>
      <c r="F1095" t="str">
        <f>IFERROR(INDEX(Category_Targets!$A$2:$A$9,MATCH(TRIM(Procurement_Raw!F1095),Category_Targets!$A$2:$A$9,0)),"Unmapped")</f>
        <v>Office &amp; Training</v>
      </c>
      <c r="G1095" t="str">
        <f>TRIM(Procurement_Raw!G1095)</f>
        <v>INV-2025-01094</v>
      </c>
      <c r="H1095" s="77">
        <f>Procurement_Raw!H1095</f>
        <v>7</v>
      </c>
      <c r="I1095" s="124">
        <f>Procurement_Raw!I1095</f>
        <v>77.17</v>
      </c>
      <c r="J1095" s="125">
        <f>IF(Procurement_Raw!J1095="","",Procurement_Raw!J1095)</f>
        <v>540.22</v>
      </c>
      <c r="K1095" s="77">
        <f>Procurement_Raw!K1095</f>
        <v>60</v>
      </c>
      <c r="L1095" t="str">
        <f>Procurement_Raw!L1095</f>
        <v>ERP</v>
      </c>
      <c r="M1095" t="str">
        <f>Procurement_Raw!O1095</f>
        <v>N</v>
      </c>
      <c r="N1095" t="str">
        <f>IF(E1095="","Missing supplier",IF(B1095="","Missing site",IF(J1095="","Missing spend",IF(COUNTIFS($G$2:G1095,G1095,$E$2:E1095,E1095,$J$2:J1095,J1095)&gt;1,"Duplicate invoice",IF(COUNTIF($G$2:$G$1801,G1095)&gt;1,"Duplicate ID - review",IF(AND(P1095&lt;&gt;"Unmapped",P1095&lt;&gt;F1095),"Category mismatch","OK"))))))</f>
        <v>OK</v>
      </c>
      <c r="O1095" s="125">
        <f t="shared" si="51"/>
        <v>540.22</v>
      </c>
      <c r="P1095" t="str">
        <f>IF(E1095="","Unmapped",IFERROR(INDEX(Supplier_Lookup!$B$2:$B$25,MATCH(E1095,Supplier_Lookup!$A$2:$A$25,0)),"Unmapped"))</f>
        <v>Office &amp; Training</v>
      </c>
      <c r="Q1095" s="76">
        <f>IFERROR(INDEX(Category_Targets!$B$2:$B$9,MATCH(F1095,Category_Targets!$A$2:$A$9,0)),0)</f>
        <v>0.04</v>
      </c>
      <c r="R1095" s="125">
        <f t="shared" si="52"/>
        <v>21.608800000000002</v>
      </c>
      <c r="S1095" s="78">
        <f t="shared" si="53"/>
        <v>45689</v>
      </c>
      <c r="T1095" t="str">
        <f>IFERROR(VLOOKUP(B1095,Sites!$A$2:$D$21,4,FALSE()),"Unknown")</f>
        <v>London</v>
      </c>
      <c r="U1095" t="str">
        <f>IF(N1095="OK","",COUNTIF($N$2:N1095,"&lt;&gt;OK"))</f>
        <v/>
      </c>
      <c r="V1095">
        <f>IF(OR(NOT(EXACT(E1095,TRIM(Procurement_Raw!E1095))),NOT(EXACT(F1095,TRIM(Procurement_Raw!F1095)))),1,0)</f>
        <v>0</v>
      </c>
    </row>
    <row r="1096" spans="1:22" ht="15" customHeight="1" x14ac:dyDescent="0.25">
      <c r="A1096" s="123">
        <f>Procurement_Raw!A1096</f>
        <v>45921</v>
      </c>
      <c r="B1096" t="str">
        <f>TRIM(Procurement_Raw!B1096)</f>
        <v>S013</v>
      </c>
      <c r="C1096" t="str">
        <f>Procurement_Raw!C1096</f>
        <v>Reading Care &amp; Education Centre</v>
      </c>
      <c r="D1096" t="str">
        <f>Procurement_Raw!D1096</f>
        <v>South</v>
      </c>
      <c r="E1096" t="str">
        <f>IF(TRIM(Procurement_Raw!E1096)="","",IFERROR(INDEX(Supplier_Lookup!$A$2:$A$25,MATCH(TRIM(Procurement_Raw!E1096),Supplier_Lookup!$A$2:$A$25,0)),TRIM(Procurement_Raw!E1096)))</f>
        <v>CareMed</v>
      </c>
      <c r="F1096" t="str">
        <f>IFERROR(INDEX(Category_Targets!$A$2:$A$9,MATCH(TRIM(Procurement_Raw!F1096),Category_Targets!$A$2:$A$9,0)),"Unmapped")</f>
        <v>Medical Supplies</v>
      </c>
      <c r="G1096" t="str">
        <f>TRIM(Procurement_Raw!G1096)</f>
        <v>INV-2025-01095</v>
      </c>
      <c r="H1096" s="77">
        <f>Procurement_Raw!H1096</f>
        <v>15</v>
      </c>
      <c r="I1096" s="124">
        <f>Procurement_Raw!I1096</f>
        <v>179.55</v>
      </c>
      <c r="J1096" s="125">
        <f>IF(Procurement_Raw!J1096="","",Procurement_Raw!J1096)</f>
        <v>2693.22</v>
      </c>
      <c r="K1096" s="77">
        <f>Procurement_Raw!K1096</f>
        <v>30</v>
      </c>
      <c r="L1096" t="str">
        <f>Procurement_Raw!L1096</f>
        <v>ERP</v>
      </c>
      <c r="M1096" t="str">
        <f>Procurement_Raw!O1096</f>
        <v>N</v>
      </c>
      <c r="N1096" t="str">
        <f>IF(E1096="","Missing supplier",IF(B1096="","Missing site",IF(J1096="","Missing spend",IF(COUNTIFS($G$2:G1096,G1096,$E$2:E1096,E1096,$J$2:J1096,J1096)&gt;1,"Duplicate invoice",IF(COUNTIF($G$2:$G$1801,G1096)&gt;1,"Duplicate ID - review",IF(AND(P1096&lt;&gt;"Unmapped",P1096&lt;&gt;F1096),"Category mismatch","OK"))))))</f>
        <v>OK</v>
      </c>
      <c r="O1096" s="125">
        <f t="shared" si="51"/>
        <v>2693.22</v>
      </c>
      <c r="P1096" t="str">
        <f>IF(E1096="","Unmapped",IFERROR(INDEX(Supplier_Lookup!$B$2:$B$25,MATCH(E1096,Supplier_Lookup!$A$2:$A$25,0)),"Unmapped"))</f>
        <v>Medical Supplies</v>
      </c>
      <c r="Q1096" s="76">
        <f>IFERROR(INDEX(Category_Targets!$B$2:$B$9,MATCH(F1096,Category_Targets!$A$2:$A$9,0)),0)</f>
        <v>0.06</v>
      </c>
      <c r="R1096" s="125">
        <f t="shared" si="52"/>
        <v>161.5932</v>
      </c>
      <c r="S1096" s="78">
        <f t="shared" si="53"/>
        <v>45901</v>
      </c>
      <c r="T1096" t="str">
        <f>IFERROR(VLOOKUP(B1096,Sites!$A$2:$D$21,4,FALSE()),"Unknown")</f>
        <v>Reading</v>
      </c>
      <c r="U1096" t="str">
        <f>IF(N1096="OK","",COUNTIF($N$2:N1096,"&lt;&gt;OK"))</f>
        <v/>
      </c>
      <c r="V1096">
        <f>IF(OR(NOT(EXACT(E1096,TRIM(Procurement_Raw!E1096))),NOT(EXACT(F1096,TRIM(Procurement_Raw!F1096)))),1,0)</f>
        <v>0</v>
      </c>
    </row>
    <row r="1097" spans="1:22" ht="15" customHeight="1" x14ac:dyDescent="0.25">
      <c r="A1097" s="123">
        <f>Procurement_Raw!A1097</f>
        <v>45954</v>
      </c>
      <c r="B1097" t="str">
        <f>TRIM(Procurement_Raw!B1097)</f>
        <v>S011</v>
      </c>
      <c r="C1097" t="str">
        <f>Procurement_Raw!C1097</f>
        <v>London Care &amp; Education Centre</v>
      </c>
      <c r="D1097" t="str">
        <f>Procurement_Raw!D1097</f>
        <v>South</v>
      </c>
      <c r="E1097" t="str">
        <f>IF(TRIM(Procurement_Raw!E1097)="","",IFERROR(INDEX(Supplier_Lookup!$A$2:$A$25,MATCH(TRIM(Procurement_Raw!E1097),Supplier_Lookup!$A$2:$A$25,0)),TRIM(Procurement_Raw!E1097)))</f>
        <v>PrintCo</v>
      </c>
      <c r="F1097" t="str">
        <f>IFERROR(INDEX(Category_Targets!$A$2:$A$9,MATCH(TRIM(Procurement_Raw!F1097),Category_Targets!$A$2:$A$9,0)),"Unmapped")</f>
        <v>Office &amp; Training</v>
      </c>
      <c r="G1097" t="str">
        <f>TRIM(Procurement_Raw!G1097)</f>
        <v>INV-2025-01096</v>
      </c>
      <c r="H1097" s="77">
        <f>Procurement_Raw!H1097</f>
        <v>42</v>
      </c>
      <c r="I1097" s="124">
        <f>Procurement_Raw!I1097</f>
        <v>71.739999999999995</v>
      </c>
      <c r="J1097" s="125">
        <f>IF(Procurement_Raw!J1097="","",Procurement_Raw!J1097)</f>
        <v>3013.22</v>
      </c>
      <c r="K1097" s="77">
        <f>Procurement_Raw!K1097</f>
        <v>45</v>
      </c>
      <c r="L1097" t="str">
        <f>Procurement_Raw!L1097</f>
        <v>ERP</v>
      </c>
      <c r="M1097" t="str">
        <f>Procurement_Raw!O1097</f>
        <v>N</v>
      </c>
      <c r="N1097" t="str">
        <f>IF(E1097="","Missing supplier",IF(B1097="","Missing site",IF(J1097="","Missing spend",IF(COUNTIFS($G$2:G1097,G1097,$E$2:E1097,E1097,$J$2:J1097,J1097)&gt;1,"Duplicate invoice",IF(COUNTIF($G$2:$G$1801,G1097)&gt;1,"Duplicate ID - review",IF(AND(P1097&lt;&gt;"Unmapped",P1097&lt;&gt;F1097),"Category mismatch","OK"))))))</f>
        <v>OK</v>
      </c>
      <c r="O1097" s="125">
        <f t="shared" si="51"/>
        <v>3013.22</v>
      </c>
      <c r="P1097" t="str">
        <f>IF(E1097="","Unmapped",IFERROR(INDEX(Supplier_Lookup!$B$2:$B$25,MATCH(E1097,Supplier_Lookup!$A$2:$A$25,0)),"Unmapped"))</f>
        <v>Office &amp; Training</v>
      </c>
      <c r="Q1097" s="76">
        <f>IFERROR(INDEX(Category_Targets!$B$2:$B$9,MATCH(F1097,Category_Targets!$A$2:$A$9,0)),0)</f>
        <v>0.04</v>
      </c>
      <c r="R1097" s="125">
        <f t="shared" si="52"/>
        <v>120.52879999999999</v>
      </c>
      <c r="S1097" s="78">
        <f t="shared" si="53"/>
        <v>45931</v>
      </c>
      <c r="T1097" t="str">
        <f>IFERROR(VLOOKUP(B1097,Sites!$A$2:$D$21,4,FALSE()),"Unknown")</f>
        <v>London</v>
      </c>
      <c r="U1097" t="str">
        <f>IF(N1097="OK","",COUNTIF($N$2:N1097,"&lt;&gt;OK"))</f>
        <v/>
      </c>
      <c r="V1097">
        <f>IF(OR(NOT(EXACT(E1097,TRIM(Procurement_Raw!E1097))),NOT(EXACT(F1097,TRIM(Procurement_Raw!F1097)))),1,0)</f>
        <v>0</v>
      </c>
    </row>
    <row r="1098" spans="1:22" ht="15" customHeight="1" x14ac:dyDescent="0.25">
      <c r="A1098" s="123">
        <f>Procurement_Raw!A1098</f>
        <v>45714</v>
      </c>
      <c r="B1098" t="str">
        <f>TRIM(Procurement_Raw!B1098)</f>
        <v>S002</v>
      </c>
      <c r="C1098" t="str">
        <f>Procurement_Raw!C1098</f>
        <v>Manchester Care &amp; Education Centre</v>
      </c>
      <c r="D1098" t="str">
        <f>Procurement_Raw!D1098</f>
        <v>North</v>
      </c>
      <c r="E1098" t="str">
        <f>IF(TRIM(Procurement_Raw!E1098)="","",IFERROR(INDEX(Supplier_Lookup!$A$2:$A$25,MATCH(TRIM(Procurement_Raw!E1098),Supplier_Lookup!$A$2:$A$25,0)),TRIM(Procurement_Raw!E1098)))</f>
        <v>FleetFuel</v>
      </c>
      <c r="F1098" t="str">
        <f>IFERROR(INDEX(Category_Targets!$A$2:$A$9,MATCH(TRIM(Procurement_Raw!F1098),Category_Targets!$A$2:$A$9,0)),"Unmapped")</f>
        <v>Vehicle &amp; Fuel</v>
      </c>
      <c r="G1098" t="str">
        <f>TRIM(Procurement_Raw!G1098)</f>
        <v>INV-2025-01097</v>
      </c>
      <c r="H1098" s="77">
        <f>Procurement_Raw!H1098</f>
        <v>42</v>
      </c>
      <c r="I1098" s="124">
        <f>Procurement_Raw!I1098</f>
        <v>99.2</v>
      </c>
      <c r="J1098" s="125">
        <f>IF(Procurement_Raw!J1098="","",Procurement_Raw!J1098)</f>
        <v>4166.3500000000004</v>
      </c>
      <c r="K1098" s="77">
        <f>Procurement_Raw!K1098</f>
        <v>30</v>
      </c>
      <c r="L1098" t="str">
        <f>Procurement_Raw!L1098</f>
        <v>ERP</v>
      </c>
      <c r="M1098" t="str">
        <f>Procurement_Raw!O1098</f>
        <v>Y</v>
      </c>
      <c r="N1098" t="str">
        <f>IF(E1098="","Missing supplier",IF(B1098="","Missing site",IF(J1098="","Missing spend",IF(COUNTIFS($G$2:G1098,G1098,$E$2:E1098,E1098,$J$2:J1098,J1098)&gt;1,"Duplicate invoice",IF(COUNTIF($G$2:$G$1801,G1098)&gt;1,"Duplicate ID - review",IF(AND(P1098&lt;&gt;"Unmapped",P1098&lt;&gt;F1098),"Category mismatch","OK"))))))</f>
        <v>OK</v>
      </c>
      <c r="O1098" s="125">
        <f t="shared" si="51"/>
        <v>4166.3500000000004</v>
      </c>
      <c r="P1098" t="str">
        <f>IF(E1098="","Unmapped",IFERROR(INDEX(Supplier_Lookup!$B$2:$B$25,MATCH(E1098,Supplier_Lookup!$A$2:$A$25,0)),"Unmapped"))</f>
        <v>Vehicle &amp; Fuel</v>
      </c>
      <c r="Q1098" s="76">
        <f>IFERROR(INDEX(Category_Targets!$B$2:$B$9,MATCH(F1098,Category_Targets!$A$2:$A$9,0)),0)</f>
        <v>0.05</v>
      </c>
      <c r="R1098" s="125">
        <f t="shared" si="52"/>
        <v>208.31750000000002</v>
      </c>
      <c r="S1098" s="78">
        <f t="shared" si="53"/>
        <v>45689</v>
      </c>
      <c r="T1098" t="str">
        <f>IFERROR(VLOOKUP(B1098,Sites!$A$2:$D$21,4,FALSE()),"Unknown")</f>
        <v>Manchester</v>
      </c>
      <c r="U1098" t="str">
        <f>IF(N1098="OK","",COUNTIF($N$2:N1098,"&lt;&gt;OK"))</f>
        <v/>
      </c>
      <c r="V1098">
        <f>IF(OR(NOT(EXACT(E1098,TRIM(Procurement_Raw!E1098))),NOT(EXACT(F1098,TRIM(Procurement_Raw!F1098)))),1,0)</f>
        <v>1</v>
      </c>
    </row>
    <row r="1099" spans="1:22" ht="15" customHeight="1" x14ac:dyDescent="0.25">
      <c r="A1099" s="123">
        <f>Procurement_Raw!A1099</f>
        <v>45850</v>
      </c>
      <c r="B1099" t="str">
        <f>TRIM(Procurement_Raw!B1099)</f>
        <v>S015</v>
      </c>
      <c r="C1099" t="str">
        <f>Procurement_Raw!C1099</f>
        <v>Brighton Care &amp; Education Centre</v>
      </c>
      <c r="D1099" t="str">
        <f>Procurement_Raw!D1099</f>
        <v>South</v>
      </c>
      <c r="E1099" t="str">
        <f>IF(TRIM(Procurement_Raw!E1099)="","",IFERROR(INDEX(Supplier_Lookup!$A$2:$A$25,MATCH(TRIM(Procurement_Raw!E1099),Supplier_Lookup!$A$2:$A$25,0)),TRIM(Procurement_Raw!E1099)))</f>
        <v>HealthStaffing</v>
      </c>
      <c r="F1099" t="str">
        <f>IFERROR(INDEX(Category_Targets!$A$2:$A$9,MATCH(TRIM(Procurement_Raw!F1099),Category_Targets!$A$2:$A$9,0)),"Unmapped")</f>
        <v>Agency Labour</v>
      </c>
      <c r="G1099" t="str">
        <f>TRIM(Procurement_Raw!G1099)</f>
        <v>INV-2025-01098</v>
      </c>
      <c r="H1099" s="77">
        <f>Procurement_Raw!H1099</f>
        <v>29</v>
      </c>
      <c r="I1099" s="124">
        <f>Procurement_Raw!I1099</f>
        <v>99.96</v>
      </c>
      <c r="J1099" s="125">
        <f>IF(Procurement_Raw!J1099="","",Procurement_Raw!J1099)</f>
        <v>2898.85</v>
      </c>
      <c r="K1099" s="77">
        <f>Procurement_Raw!K1099</f>
        <v>30</v>
      </c>
      <c r="L1099" t="str">
        <f>Procurement_Raw!L1099</f>
        <v>Procurement Portal</v>
      </c>
      <c r="M1099" t="str">
        <f>Procurement_Raw!O1099</f>
        <v>N</v>
      </c>
      <c r="N1099" t="str">
        <f>IF(E1099="","Missing supplier",IF(B1099="","Missing site",IF(J1099="","Missing spend",IF(COUNTIFS($G$2:G1099,G1099,$E$2:E1099,E1099,$J$2:J1099,J1099)&gt;1,"Duplicate invoice",IF(COUNTIF($G$2:$G$1801,G1099)&gt;1,"Duplicate ID - review",IF(AND(P1099&lt;&gt;"Unmapped",P1099&lt;&gt;F1099),"Category mismatch","OK"))))))</f>
        <v>OK</v>
      </c>
      <c r="O1099" s="125">
        <f t="shared" si="51"/>
        <v>2898.85</v>
      </c>
      <c r="P1099" t="str">
        <f>IF(E1099="","Unmapped",IFERROR(INDEX(Supplier_Lookup!$B$2:$B$25,MATCH(E1099,Supplier_Lookup!$A$2:$A$25,0)),"Unmapped"))</f>
        <v>Agency Labour</v>
      </c>
      <c r="Q1099" s="76">
        <f>IFERROR(INDEX(Category_Targets!$B$2:$B$9,MATCH(F1099,Category_Targets!$A$2:$A$9,0)),0)</f>
        <v>7.0000000000000007E-2</v>
      </c>
      <c r="R1099" s="125">
        <f t="shared" si="52"/>
        <v>202.9195</v>
      </c>
      <c r="S1099" s="78">
        <f t="shared" si="53"/>
        <v>45839</v>
      </c>
      <c r="T1099" t="str">
        <f>IFERROR(VLOOKUP(B1099,Sites!$A$2:$D$21,4,FALSE()),"Unknown")</f>
        <v>Brighton</v>
      </c>
      <c r="U1099" t="str">
        <f>IF(N1099="OK","",COUNTIF($N$2:N1099,"&lt;&gt;OK"))</f>
        <v/>
      </c>
      <c r="V1099">
        <f>IF(OR(NOT(EXACT(E1099,TRIM(Procurement_Raw!E1099))),NOT(EXACT(F1099,TRIM(Procurement_Raw!F1099)))),1,0)</f>
        <v>0</v>
      </c>
    </row>
    <row r="1100" spans="1:22" ht="15" customHeight="1" x14ac:dyDescent="0.25">
      <c r="A1100" s="123">
        <f>Procurement_Raw!A1100</f>
        <v>45881</v>
      </c>
      <c r="B1100" t="str">
        <f>TRIM(Procurement_Raw!B1100)</f>
        <v>S018</v>
      </c>
      <c r="C1100" t="str">
        <f>Procurement_Raw!C1100</f>
        <v>Newport Care &amp; Education Centre</v>
      </c>
      <c r="D1100" t="str">
        <f>Procurement_Raw!D1100</f>
        <v>Wales</v>
      </c>
      <c r="E1100" t="str">
        <f>IF(TRIM(Procurement_Raw!E1100)="","",IFERROR(INDEX(Supplier_Lookup!$A$2:$A$25,MATCH(TRIM(Procurement_Raw!E1100),Supplier_Lookup!$A$2:$A$25,0)),TRIM(Procurement_Raw!E1100)))</f>
        <v>OfficePlus</v>
      </c>
      <c r="F1100" t="str">
        <f>IFERROR(INDEX(Category_Targets!$A$2:$A$9,MATCH(TRIM(Procurement_Raw!F1100),Category_Targets!$A$2:$A$9,0)),"Unmapped")</f>
        <v>Office &amp; Training</v>
      </c>
      <c r="G1100" t="str">
        <f>TRIM(Procurement_Raw!G1100)</f>
        <v>INV-2025-01099</v>
      </c>
      <c r="H1100" s="77">
        <f>Procurement_Raw!H1100</f>
        <v>19</v>
      </c>
      <c r="I1100" s="124">
        <f>Procurement_Raw!I1100</f>
        <v>124.15</v>
      </c>
      <c r="J1100" s="125">
        <f>IF(Procurement_Raw!J1100="","",Procurement_Raw!J1100)</f>
        <v>2358.8000000000002</v>
      </c>
      <c r="K1100" s="77">
        <f>Procurement_Raw!K1100</f>
        <v>30</v>
      </c>
      <c r="L1100" t="str">
        <f>Procurement_Raw!L1100</f>
        <v>Legacy Spend File</v>
      </c>
      <c r="M1100" t="str">
        <f>Procurement_Raw!O1100</f>
        <v>N</v>
      </c>
      <c r="N1100" t="str">
        <f>IF(E1100="","Missing supplier",IF(B1100="","Missing site",IF(J1100="","Missing spend",IF(COUNTIFS($G$2:G1100,G1100,$E$2:E1100,E1100,$J$2:J1100,J1100)&gt;1,"Duplicate invoice",IF(COUNTIF($G$2:$G$1801,G1100)&gt;1,"Duplicate ID - review",IF(AND(P1100&lt;&gt;"Unmapped",P1100&lt;&gt;F1100),"Category mismatch","OK"))))))</f>
        <v>OK</v>
      </c>
      <c r="O1100" s="125">
        <f t="shared" si="51"/>
        <v>2358.8000000000002</v>
      </c>
      <c r="P1100" t="str">
        <f>IF(E1100="","Unmapped",IFERROR(INDEX(Supplier_Lookup!$B$2:$B$25,MATCH(E1100,Supplier_Lookup!$A$2:$A$25,0)),"Unmapped"))</f>
        <v>Office &amp; Training</v>
      </c>
      <c r="Q1100" s="76">
        <f>IFERROR(INDEX(Category_Targets!$B$2:$B$9,MATCH(F1100,Category_Targets!$A$2:$A$9,0)),0)</f>
        <v>0.04</v>
      </c>
      <c r="R1100" s="125">
        <f t="shared" si="52"/>
        <v>94.352000000000004</v>
      </c>
      <c r="S1100" s="78">
        <f t="shared" si="53"/>
        <v>45870</v>
      </c>
      <c r="T1100" t="str">
        <f>IFERROR(VLOOKUP(B1100,Sites!$A$2:$D$21,4,FALSE()),"Unknown")</f>
        <v>Newport</v>
      </c>
      <c r="U1100" t="str">
        <f>IF(N1100="OK","",COUNTIF($N$2:N1100,"&lt;&gt;OK"))</f>
        <v/>
      </c>
      <c r="V1100">
        <f>IF(OR(NOT(EXACT(E1100,TRIM(Procurement_Raw!E1100))),NOT(EXACT(F1100,TRIM(Procurement_Raw!F1100)))),1,0)</f>
        <v>0</v>
      </c>
    </row>
    <row r="1101" spans="1:22" ht="15" customHeight="1" x14ac:dyDescent="0.25">
      <c r="A1101" s="123">
        <f>Procurement_Raw!A1101</f>
        <v>45849</v>
      </c>
      <c r="B1101" t="str">
        <f>TRIM(Procurement_Raw!B1101)</f>
        <v>S001</v>
      </c>
      <c r="C1101" t="str">
        <f>Procurement_Raw!C1101</f>
        <v>Preston Care &amp; Education Centre</v>
      </c>
      <c r="D1101" t="str">
        <f>Procurement_Raw!D1101</f>
        <v>North</v>
      </c>
      <c r="E1101" t="str">
        <f>IF(TRIM(Procurement_Raw!E1101)="","",IFERROR(INDEX(Supplier_Lookup!$A$2:$A$25,MATCH(TRIM(Procurement_Raw!E1101),Supplier_Lookup!$A$2:$A$25,0)),TRIM(Procurement_Raw!E1101)))</f>
        <v>SafeGuard FM</v>
      </c>
      <c r="F1101" t="str">
        <f>IFERROR(INDEX(Category_Targets!$A$2:$A$9,MATCH(TRIM(Procurement_Raw!F1101),Category_Targets!$A$2:$A$9,0)),"Unmapped")</f>
        <v>Facilities</v>
      </c>
      <c r="G1101" t="str">
        <f>TRIM(Procurement_Raw!G1101)</f>
        <v>INV-2025-01100</v>
      </c>
      <c r="H1101" s="77">
        <f>Procurement_Raw!H1101</f>
        <v>18</v>
      </c>
      <c r="I1101" s="124">
        <f>Procurement_Raw!I1101</f>
        <v>217.79</v>
      </c>
      <c r="J1101" s="125">
        <f>IF(Procurement_Raw!J1101="","",Procurement_Raw!J1101)</f>
        <v>3920.2</v>
      </c>
      <c r="K1101" s="77">
        <f>Procurement_Raw!K1101</f>
        <v>45</v>
      </c>
      <c r="L1101" t="str">
        <f>Procurement_Raw!L1101</f>
        <v>Legacy Spend File</v>
      </c>
      <c r="M1101" t="str">
        <f>Procurement_Raw!O1101</f>
        <v>N</v>
      </c>
      <c r="N1101" t="str">
        <f>IF(E1101="","Missing supplier",IF(B1101="","Missing site",IF(J1101="","Missing spend",IF(COUNTIFS($G$2:G1101,G1101,$E$2:E1101,E1101,$J$2:J1101,J1101)&gt;1,"Duplicate invoice",IF(COUNTIF($G$2:$G$1801,G1101)&gt;1,"Duplicate ID - review",IF(AND(P1101&lt;&gt;"Unmapped",P1101&lt;&gt;F1101),"Category mismatch","OK"))))))</f>
        <v>OK</v>
      </c>
      <c r="O1101" s="125">
        <f t="shared" si="51"/>
        <v>3920.2</v>
      </c>
      <c r="P1101" t="str">
        <f>IF(E1101="","Unmapped",IFERROR(INDEX(Supplier_Lookup!$B$2:$B$25,MATCH(E1101,Supplier_Lookup!$A$2:$A$25,0)),"Unmapped"))</f>
        <v>Facilities</v>
      </c>
      <c r="Q1101" s="76">
        <f>IFERROR(INDEX(Category_Targets!$B$2:$B$9,MATCH(F1101,Category_Targets!$A$2:$A$9,0)),0)</f>
        <v>0.05</v>
      </c>
      <c r="R1101" s="125">
        <f t="shared" si="52"/>
        <v>196.01</v>
      </c>
      <c r="S1101" s="78">
        <f t="shared" si="53"/>
        <v>45839</v>
      </c>
      <c r="T1101" t="str">
        <f>IFERROR(VLOOKUP(B1101,Sites!$A$2:$D$21,4,FALSE()),"Unknown")</f>
        <v>Preston</v>
      </c>
      <c r="U1101" t="str">
        <f>IF(N1101="OK","",COUNTIF($N$2:N1101,"&lt;&gt;OK"))</f>
        <v/>
      </c>
      <c r="V1101">
        <f>IF(OR(NOT(EXACT(E1101,TRIM(Procurement_Raw!E1101))),NOT(EXACT(F1101,TRIM(Procurement_Raw!F1101)))),1,0)</f>
        <v>0</v>
      </c>
    </row>
    <row r="1102" spans="1:22" ht="15" customHeight="1" x14ac:dyDescent="0.25">
      <c r="A1102" s="123">
        <f>Procurement_Raw!A1102</f>
        <v>45761</v>
      </c>
      <c r="B1102" t="str">
        <f>TRIM(Procurement_Raw!B1102)</f>
        <v>S020</v>
      </c>
      <c r="C1102" t="str">
        <f>Procurement_Raw!C1102</f>
        <v>Bangor Care &amp; Education Centre</v>
      </c>
      <c r="D1102" t="str">
        <f>Procurement_Raw!D1102</f>
        <v>Wales</v>
      </c>
      <c r="E1102" t="str">
        <f>IF(TRIM(Procurement_Raw!E1102)="","",IFERROR(INDEX(Supplier_Lookup!$A$2:$A$25,MATCH(TRIM(Procurement_Raw!E1102),Supplier_Lookup!$A$2:$A$25,0)),TRIM(Procurement_Raw!E1102)))</f>
        <v>RoadReady</v>
      </c>
      <c r="F1102" t="str">
        <f>IFERROR(INDEX(Category_Targets!$A$2:$A$9,MATCH(TRIM(Procurement_Raw!F1102),Category_Targets!$A$2:$A$9,0)),"Unmapped")</f>
        <v>Vehicle &amp; Fuel</v>
      </c>
      <c r="G1102" t="str">
        <f>TRIM(Procurement_Raw!G1102)</f>
        <v>INV-2025-01101</v>
      </c>
      <c r="H1102" s="77">
        <f>Procurement_Raw!H1102</f>
        <v>43</v>
      </c>
      <c r="I1102" s="124">
        <f>Procurement_Raw!I1102</f>
        <v>164.48</v>
      </c>
      <c r="J1102" s="125" t="str">
        <f>IF(Procurement_Raw!J1102="","",Procurement_Raw!J1102)</f>
        <v/>
      </c>
      <c r="K1102" s="77">
        <f>Procurement_Raw!K1102</f>
        <v>30</v>
      </c>
      <c r="L1102" t="str">
        <f>Procurement_Raw!L1102</f>
        <v>ERP</v>
      </c>
      <c r="M1102" t="str">
        <f>Procurement_Raw!O1102</f>
        <v>N</v>
      </c>
      <c r="N1102" t="str">
        <f>IF(E1102="","Missing supplier",IF(B1102="","Missing site",IF(J1102="","Missing spend",IF(COUNTIFS($G$2:G1102,G1102,$E$2:E1102,E1102,$J$2:J1102,J1102)&gt;1,"Duplicate invoice",IF(COUNTIF($G$2:$G$1801,G1102)&gt;1,"Duplicate ID - review",IF(AND(P1102&lt;&gt;"Unmapped",P1102&lt;&gt;F1102),"Category mismatch","OK"))))))</f>
        <v>Missing spend</v>
      </c>
      <c r="O1102" s="125">
        <f t="shared" si="51"/>
        <v>0</v>
      </c>
      <c r="P1102" t="str">
        <f>IF(E1102="","Unmapped",IFERROR(INDEX(Supplier_Lookup!$B$2:$B$25,MATCH(E1102,Supplier_Lookup!$A$2:$A$25,0)),"Unmapped"))</f>
        <v>Vehicle &amp; Fuel</v>
      </c>
      <c r="Q1102" s="76">
        <f>IFERROR(INDEX(Category_Targets!$B$2:$B$9,MATCH(F1102,Category_Targets!$A$2:$A$9,0)),0)</f>
        <v>0.05</v>
      </c>
      <c r="R1102" s="125">
        <f t="shared" si="52"/>
        <v>0</v>
      </c>
      <c r="S1102" s="78">
        <f t="shared" si="53"/>
        <v>45748</v>
      </c>
      <c r="T1102" t="str">
        <f>IFERROR(VLOOKUP(B1102,Sites!$A$2:$D$21,4,FALSE()),"Unknown")</f>
        <v>Bangor</v>
      </c>
      <c r="U1102">
        <f>IF(N1102="OK","",COUNTIF($N$2:N1102,"&lt;&gt;OK"))</f>
        <v>6</v>
      </c>
      <c r="V1102">
        <f>IF(OR(NOT(EXACT(E1102,TRIM(Procurement_Raw!E1102))),NOT(EXACT(F1102,TRIM(Procurement_Raw!F1102)))),1,0)</f>
        <v>0</v>
      </c>
    </row>
    <row r="1103" spans="1:22" ht="15" customHeight="1" x14ac:dyDescent="0.25">
      <c r="A1103" s="123">
        <f>Procurement_Raw!A1103</f>
        <v>45727</v>
      </c>
      <c r="B1103" t="str">
        <f>TRIM(Procurement_Raw!B1103)</f>
        <v>S006</v>
      </c>
      <c r="C1103" t="str">
        <f>Procurement_Raw!C1103</f>
        <v>Birmingham Care &amp; Education Centre</v>
      </c>
      <c r="D1103" t="str">
        <f>Procurement_Raw!D1103</f>
        <v>Midlands</v>
      </c>
      <c r="E1103" t="str">
        <f>IF(TRIM(Procurement_Raw!E1103)="","",IFERROR(INDEX(Supplier_Lookup!$A$2:$A$25,MATCH(TRIM(Procurement_Raw!E1103),Supplier_Lookup!$A$2:$A$25,0)),TRIM(Procurement_Raw!E1103)))</f>
        <v>CareMed</v>
      </c>
      <c r="F1103" t="str">
        <f>IFERROR(INDEX(Category_Targets!$A$2:$A$9,MATCH(TRIM(Procurement_Raw!F1103),Category_Targets!$A$2:$A$9,0)),"Unmapped")</f>
        <v>Medical Supplies</v>
      </c>
      <c r="G1103" t="str">
        <f>TRIM(Procurement_Raw!G1103)</f>
        <v>INV-2025-01102</v>
      </c>
      <c r="H1103" s="77">
        <f>Procurement_Raw!H1103</f>
        <v>15</v>
      </c>
      <c r="I1103" s="124">
        <f>Procurement_Raw!I1103</f>
        <v>24.4</v>
      </c>
      <c r="J1103" s="125">
        <f>IF(Procurement_Raw!J1103="","",Procurement_Raw!J1103)</f>
        <v>365.99</v>
      </c>
      <c r="K1103" s="77">
        <f>Procurement_Raw!K1103</f>
        <v>45</v>
      </c>
      <c r="L1103" t="str">
        <f>Procurement_Raw!L1103</f>
        <v>Procurement Portal</v>
      </c>
      <c r="M1103" t="str">
        <f>Procurement_Raw!O1103</f>
        <v>N</v>
      </c>
      <c r="N1103" t="str">
        <f>IF(E1103="","Missing supplier",IF(B1103="","Missing site",IF(J1103="","Missing spend",IF(COUNTIFS($G$2:G1103,G1103,$E$2:E1103,E1103,$J$2:J1103,J1103)&gt;1,"Duplicate invoice",IF(COUNTIF($G$2:$G$1801,G1103)&gt;1,"Duplicate ID - review",IF(AND(P1103&lt;&gt;"Unmapped",P1103&lt;&gt;F1103),"Category mismatch","OK"))))))</f>
        <v>OK</v>
      </c>
      <c r="O1103" s="125">
        <f t="shared" si="51"/>
        <v>365.99</v>
      </c>
      <c r="P1103" t="str">
        <f>IF(E1103="","Unmapped",IFERROR(INDEX(Supplier_Lookup!$B$2:$B$25,MATCH(E1103,Supplier_Lookup!$A$2:$A$25,0)),"Unmapped"))</f>
        <v>Medical Supplies</v>
      </c>
      <c r="Q1103" s="76">
        <f>IFERROR(INDEX(Category_Targets!$B$2:$B$9,MATCH(F1103,Category_Targets!$A$2:$A$9,0)),0)</f>
        <v>0.06</v>
      </c>
      <c r="R1103" s="125">
        <f t="shared" si="52"/>
        <v>21.959399999999999</v>
      </c>
      <c r="S1103" s="78">
        <f t="shared" si="53"/>
        <v>45717</v>
      </c>
      <c r="T1103" t="str">
        <f>IFERROR(VLOOKUP(B1103,Sites!$A$2:$D$21,4,FALSE()),"Unknown")</f>
        <v>Birmingham</v>
      </c>
      <c r="U1103" t="str">
        <f>IF(N1103="OK","",COUNTIF($N$2:N1103,"&lt;&gt;OK"))</f>
        <v/>
      </c>
      <c r="V1103">
        <f>IF(OR(NOT(EXACT(E1103,TRIM(Procurement_Raw!E1103))),NOT(EXACT(F1103,TRIM(Procurement_Raw!F1103)))),1,0)</f>
        <v>0</v>
      </c>
    </row>
    <row r="1104" spans="1:22" ht="15" customHeight="1" x14ac:dyDescent="0.25">
      <c r="A1104" s="123">
        <f>Procurement_Raw!A1104</f>
        <v>45770</v>
      </c>
      <c r="B1104" t="str">
        <f>TRIM(Procurement_Raw!B1104)</f>
        <v>S016</v>
      </c>
      <c r="C1104" t="str">
        <f>Procurement_Raw!C1104</f>
        <v>Cardiff Care &amp; Education Centre</v>
      </c>
      <c r="D1104" t="str">
        <f>Procurement_Raw!D1104</f>
        <v>Wales</v>
      </c>
      <c r="E1104" t="str">
        <f>IF(TRIM(Procurement_Raw!E1104)="","",IFERROR(INDEX(Supplier_Lookup!$A$2:$A$25,MATCH(TRIM(Procurement_Raw!E1104),Supplier_Lookup!$A$2:$A$25,0)),TRIM(Procurement_Raw!E1104)))</f>
        <v>SafeGuard FM</v>
      </c>
      <c r="F1104" t="str">
        <f>IFERROR(INDEX(Category_Targets!$A$2:$A$9,MATCH(TRIM(Procurement_Raw!F1104),Category_Targets!$A$2:$A$9,0)),"Unmapped")</f>
        <v>Facilities</v>
      </c>
      <c r="G1104" t="str">
        <f>TRIM(Procurement_Raw!G1104)</f>
        <v>INV-2025-01103</v>
      </c>
      <c r="H1104" s="77">
        <f>Procurement_Raw!H1104</f>
        <v>38</v>
      </c>
      <c r="I1104" s="124">
        <f>Procurement_Raw!I1104</f>
        <v>567.67999999999995</v>
      </c>
      <c r="J1104" s="125">
        <f>IF(Procurement_Raw!J1104="","",Procurement_Raw!J1104)</f>
        <v>21571.95</v>
      </c>
      <c r="K1104" s="77">
        <f>Procurement_Raw!K1104</f>
        <v>60</v>
      </c>
      <c r="L1104" t="str">
        <f>Procurement_Raw!L1104</f>
        <v>ERP</v>
      </c>
      <c r="M1104" t="str">
        <f>Procurement_Raw!O1104</f>
        <v>N</v>
      </c>
      <c r="N1104" t="str">
        <f>IF(E1104="","Missing supplier",IF(B1104="","Missing site",IF(J1104="","Missing spend",IF(COUNTIFS($G$2:G1104,G1104,$E$2:E1104,E1104,$J$2:J1104,J1104)&gt;1,"Duplicate invoice",IF(COUNTIF($G$2:$G$1801,G1104)&gt;1,"Duplicate ID - review",IF(AND(P1104&lt;&gt;"Unmapped",P1104&lt;&gt;F1104),"Category mismatch","OK"))))))</f>
        <v>OK</v>
      </c>
      <c r="O1104" s="125">
        <f t="shared" si="51"/>
        <v>21571.95</v>
      </c>
      <c r="P1104" t="str">
        <f>IF(E1104="","Unmapped",IFERROR(INDEX(Supplier_Lookup!$B$2:$B$25,MATCH(E1104,Supplier_Lookup!$A$2:$A$25,0)),"Unmapped"))</f>
        <v>Facilities</v>
      </c>
      <c r="Q1104" s="76">
        <f>IFERROR(INDEX(Category_Targets!$B$2:$B$9,MATCH(F1104,Category_Targets!$A$2:$A$9,0)),0)</f>
        <v>0.05</v>
      </c>
      <c r="R1104" s="125">
        <f t="shared" si="52"/>
        <v>1078.5975000000001</v>
      </c>
      <c r="S1104" s="78">
        <f t="shared" si="53"/>
        <v>45748</v>
      </c>
      <c r="T1104" t="str">
        <f>IFERROR(VLOOKUP(B1104,Sites!$A$2:$D$21,4,FALSE()),"Unknown")</f>
        <v>Cardiff</v>
      </c>
      <c r="U1104" t="str">
        <f>IF(N1104="OK","",COUNTIF($N$2:N1104,"&lt;&gt;OK"))</f>
        <v/>
      </c>
      <c r="V1104">
        <f>IF(OR(NOT(EXACT(E1104,TRIM(Procurement_Raw!E1104))),NOT(EXACT(F1104,TRIM(Procurement_Raw!F1104)))),1,0)</f>
        <v>0</v>
      </c>
    </row>
    <row r="1105" spans="1:22" ht="15" customHeight="1" x14ac:dyDescent="0.25">
      <c r="A1105" s="123">
        <f>Procurement_Raw!A1105</f>
        <v>45941</v>
      </c>
      <c r="B1105" t="str">
        <f>TRIM(Procurement_Raw!B1105)</f>
        <v>S012</v>
      </c>
      <c r="C1105" t="str">
        <f>Procurement_Raw!C1105</f>
        <v>Bristol Care &amp; Education Centre</v>
      </c>
      <c r="D1105" t="str">
        <f>Procurement_Raw!D1105</f>
        <v>South</v>
      </c>
      <c r="E1105" t="str">
        <f>IF(TRIM(Procurement_Raw!E1105)="","",IFERROR(INDEX(Supplier_Lookup!$A$2:$A$25,MATCH(TRIM(Procurement_Raw!E1105),Supplier_Lookup!$A$2:$A$25,0)),TRIM(Procurement_Raw!E1105)))</f>
        <v>BuildCare</v>
      </c>
      <c r="F1105" t="str">
        <f>IFERROR(INDEX(Category_Targets!$A$2:$A$9,MATCH(TRIM(Procurement_Raw!F1105),Category_Targets!$A$2:$A$9,0)),"Unmapped")</f>
        <v>Facilities</v>
      </c>
      <c r="G1105" t="str">
        <f>TRIM(Procurement_Raw!G1105)</f>
        <v>INV-2025-01104</v>
      </c>
      <c r="H1105" s="77">
        <f>Procurement_Raw!H1105</f>
        <v>30</v>
      </c>
      <c r="I1105" s="124">
        <f>Procurement_Raw!I1105</f>
        <v>166.7</v>
      </c>
      <c r="J1105" s="125">
        <f>IF(Procurement_Raw!J1105="","",Procurement_Raw!J1105)</f>
        <v>5000.93</v>
      </c>
      <c r="K1105" s="77">
        <f>Procurement_Raw!K1105</f>
        <v>30</v>
      </c>
      <c r="L1105" t="str">
        <f>Procurement_Raw!L1105</f>
        <v>Procurement Portal</v>
      </c>
      <c r="M1105" t="str">
        <f>Procurement_Raw!O1105</f>
        <v>N</v>
      </c>
      <c r="N1105" t="str">
        <f>IF(E1105="","Missing supplier",IF(B1105="","Missing site",IF(J1105="","Missing spend",IF(COUNTIFS($G$2:G1105,G1105,$E$2:E1105,E1105,$J$2:J1105,J1105)&gt;1,"Duplicate invoice",IF(COUNTIF($G$2:$G$1801,G1105)&gt;1,"Duplicate ID - review",IF(AND(P1105&lt;&gt;"Unmapped",P1105&lt;&gt;F1105),"Category mismatch","OK"))))))</f>
        <v>OK</v>
      </c>
      <c r="O1105" s="125">
        <f t="shared" si="51"/>
        <v>5000.93</v>
      </c>
      <c r="P1105" t="str">
        <f>IF(E1105="","Unmapped",IFERROR(INDEX(Supplier_Lookup!$B$2:$B$25,MATCH(E1105,Supplier_Lookup!$A$2:$A$25,0)),"Unmapped"))</f>
        <v>Facilities</v>
      </c>
      <c r="Q1105" s="76">
        <f>IFERROR(INDEX(Category_Targets!$B$2:$B$9,MATCH(F1105,Category_Targets!$A$2:$A$9,0)),0)</f>
        <v>0.05</v>
      </c>
      <c r="R1105" s="125">
        <f t="shared" si="52"/>
        <v>250.04650000000004</v>
      </c>
      <c r="S1105" s="78">
        <f t="shared" si="53"/>
        <v>45931</v>
      </c>
      <c r="T1105" t="str">
        <f>IFERROR(VLOOKUP(B1105,Sites!$A$2:$D$21,4,FALSE()),"Unknown")</f>
        <v>Bristol</v>
      </c>
      <c r="U1105" t="str">
        <f>IF(N1105="OK","",COUNTIF($N$2:N1105,"&lt;&gt;OK"))</f>
        <v/>
      </c>
      <c r="V1105">
        <f>IF(OR(NOT(EXACT(E1105,TRIM(Procurement_Raw!E1105))),NOT(EXACT(F1105,TRIM(Procurement_Raw!F1105)))),1,0)</f>
        <v>0</v>
      </c>
    </row>
    <row r="1106" spans="1:22" ht="15" customHeight="1" x14ac:dyDescent="0.25">
      <c r="A1106" s="123">
        <f>Procurement_Raw!A1106</f>
        <v>45960</v>
      </c>
      <c r="B1106" t="str">
        <f>TRIM(Procurement_Raw!B1106)</f>
        <v>S015</v>
      </c>
      <c r="C1106" t="str">
        <f>Procurement_Raw!C1106</f>
        <v>Brighton Care &amp; Education Centre</v>
      </c>
      <c r="D1106" t="str">
        <f>Procurement_Raw!D1106</f>
        <v>South</v>
      </c>
      <c r="E1106" t="str">
        <f>IF(TRIM(Procurement_Raw!E1106)="","",IFERROR(INDEX(Supplier_Lookup!$A$2:$A$25,MATCH(TRIM(Procurement_Raw!E1106),Supplier_Lookup!$A$2:$A$25,0)),TRIM(Procurement_Raw!E1106)))</f>
        <v>OfficePlus</v>
      </c>
      <c r="F1106" t="str">
        <f>IFERROR(INDEX(Category_Targets!$A$2:$A$9,MATCH(TRIM(Procurement_Raw!F1106),Category_Targets!$A$2:$A$9,0)),"Unmapped")</f>
        <v>Office &amp; Training</v>
      </c>
      <c r="G1106" t="str">
        <f>TRIM(Procurement_Raw!G1106)</f>
        <v>INV-2025-01105</v>
      </c>
      <c r="H1106" s="77">
        <f>Procurement_Raw!H1106</f>
        <v>61</v>
      </c>
      <c r="I1106" s="124">
        <f>Procurement_Raw!I1106</f>
        <v>137.96</v>
      </c>
      <c r="J1106" s="125">
        <f>IF(Procurement_Raw!J1106="","",Procurement_Raw!J1106)</f>
        <v>8415.77</v>
      </c>
      <c r="K1106" s="77">
        <f>Procurement_Raw!K1106</f>
        <v>45</v>
      </c>
      <c r="L1106" t="str">
        <f>Procurement_Raw!L1106</f>
        <v>Procurement Portal</v>
      </c>
      <c r="M1106" t="str">
        <f>Procurement_Raw!O1106</f>
        <v>N</v>
      </c>
      <c r="N1106" t="str">
        <f>IF(E1106="","Missing supplier",IF(B1106="","Missing site",IF(J1106="","Missing spend",IF(COUNTIFS($G$2:G1106,G1106,$E$2:E1106,E1106,$J$2:J1106,J1106)&gt;1,"Duplicate invoice",IF(COUNTIF($G$2:$G$1801,G1106)&gt;1,"Duplicate ID - review",IF(AND(P1106&lt;&gt;"Unmapped",P1106&lt;&gt;F1106),"Category mismatch","OK"))))))</f>
        <v>OK</v>
      </c>
      <c r="O1106" s="125">
        <f t="shared" si="51"/>
        <v>8415.77</v>
      </c>
      <c r="P1106" t="str">
        <f>IF(E1106="","Unmapped",IFERROR(INDEX(Supplier_Lookup!$B$2:$B$25,MATCH(E1106,Supplier_Lookup!$A$2:$A$25,0)),"Unmapped"))</f>
        <v>Office &amp; Training</v>
      </c>
      <c r="Q1106" s="76">
        <f>IFERROR(INDEX(Category_Targets!$B$2:$B$9,MATCH(F1106,Category_Targets!$A$2:$A$9,0)),0)</f>
        <v>0.04</v>
      </c>
      <c r="R1106" s="125">
        <f t="shared" si="52"/>
        <v>336.63080000000002</v>
      </c>
      <c r="S1106" s="78">
        <f t="shared" si="53"/>
        <v>45931</v>
      </c>
      <c r="T1106" t="str">
        <f>IFERROR(VLOOKUP(B1106,Sites!$A$2:$D$21,4,FALSE()),"Unknown")</f>
        <v>Brighton</v>
      </c>
      <c r="U1106" t="str">
        <f>IF(N1106="OK","",COUNTIF($N$2:N1106,"&lt;&gt;OK"))</f>
        <v/>
      </c>
      <c r="V1106">
        <f>IF(OR(NOT(EXACT(E1106,TRIM(Procurement_Raw!E1106))),NOT(EXACT(F1106,TRIM(Procurement_Raw!F1106)))),1,0)</f>
        <v>0</v>
      </c>
    </row>
    <row r="1107" spans="1:22" ht="15" customHeight="1" x14ac:dyDescent="0.25">
      <c r="A1107" s="123">
        <f>Procurement_Raw!A1107</f>
        <v>45784</v>
      </c>
      <c r="B1107" t="str">
        <f>TRIM(Procurement_Raw!B1107)</f>
        <v>S004</v>
      </c>
      <c r="C1107" t="str">
        <f>Procurement_Raw!C1107</f>
        <v>Newcastle Care &amp; Education Centre</v>
      </c>
      <c r="D1107" t="str">
        <f>Procurement_Raw!D1107</f>
        <v>North</v>
      </c>
      <c r="E1107" t="str">
        <f>IF(TRIM(Procurement_Raw!E1107)="","",IFERROR(INDEX(Supplier_Lookup!$A$2:$A$25,MATCH(TRIM(Procurement_Raw!E1107),Supplier_Lookup!$A$2:$A$25,0)),TRIM(Procurement_Raw!E1107)))</f>
        <v>NurseLink</v>
      </c>
      <c r="F1107" t="str">
        <f>IFERROR(INDEX(Category_Targets!$A$2:$A$9,MATCH(TRIM(Procurement_Raw!F1107),Category_Targets!$A$2:$A$9,0)),"Unmapped")</f>
        <v>Agency Labour</v>
      </c>
      <c r="G1107" t="str">
        <f>TRIM(Procurement_Raw!G1107)</f>
        <v>INV-2025-01106</v>
      </c>
      <c r="H1107" s="77">
        <f>Procurement_Raw!H1107</f>
        <v>32</v>
      </c>
      <c r="I1107" s="124">
        <f>Procurement_Raw!I1107</f>
        <v>169.33</v>
      </c>
      <c r="J1107" s="125">
        <f>IF(Procurement_Raw!J1107="","",Procurement_Raw!J1107)</f>
        <v>5418.48</v>
      </c>
      <c r="K1107" s="77">
        <f>Procurement_Raw!K1107</f>
        <v>45</v>
      </c>
      <c r="L1107" t="str">
        <f>Procurement_Raw!L1107</f>
        <v>Procurement Portal</v>
      </c>
      <c r="M1107" t="str">
        <f>Procurement_Raw!O1107</f>
        <v>N</v>
      </c>
      <c r="N1107" t="str">
        <f>IF(E1107="","Missing supplier",IF(B1107="","Missing site",IF(J1107="","Missing spend",IF(COUNTIFS($G$2:G1107,G1107,$E$2:E1107,E1107,$J$2:J1107,J1107)&gt;1,"Duplicate invoice",IF(COUNTIF($G$2:$G$1801,G1107)&gt;1,"Duplicate ID - review",IF(AND(P1107&lt;&gt;"Unmapped",P1107&lt;&gt;F1107),"Category mismatch","OK"))))))</f>
        <v>OK</v>
      </c>
      <c r="O1107" s="125">
        <f t="shared" si="51"/>
        <v>5418.48</v>
      </c>
      <c r="P1107" t="str">
        <f>IF(E1107="","Unmapped",IFERROR(INDEX(Supplier_Lookup!$B$2:$B$25,MATCH(E1107,Supplier_Lookup!$A$2:$A$25,0)),"Unmapped"))</f>
        <v>Agency Labour</v>
      </c>
      <c r="Q1107" s="76">
        <f>IFERROR(INDEX(Category_Targets!$B$2:$B$9,MATCH(F1107,Category_Targets!$A$2:$A$9,0)),0)</f>
        <v>7.0000000000000007E-2</v>
      </c>
      <c r="R1107" s="125">
        <f t="shared" si="52"/>
        <v>379.29360000000003</v>
      </c>
      <c r="S1107" s="78">
        <f t="shared" si="53"/>
        <v>45778</v>
      </c>
      <c r="T1107" t="str">
        <f>IFERROR(VLOOKUP(B1107,Sites!$A$2:$D$21,4,FALSE()),"Unknown")</f>
        <v>Newcastle</v>
      </c>
      <c r="U1107" t="str">
        <f>IF(N1107="OK","",COUNTIF($N$2:N1107,"&lt;&gt;OK"))</f>
        <v/>
      </c>
      <c r="V1107">
        <f>IF(OR(NOT(EXACT(E1107,TRIM(Procurement_Raw!E1107))),NOT(EXACT(F1107,TRIM(Procurement_Raw!F1107)))),1,0)</f>
        <v>0</v>
      </c>
    </row>
    <row r="1108" spans="1:22" ht="15" customHeight="1" x14ac:dyDescent="0.25">
      <c r="A1108" s="123">
        <f>Procurement_Raw!A1108</f>
        <v>45734</v>
      </c>
      <c r="B1108" t="str">
        <f>TRIM(Procurement_Raw!B1108)</f>
        <v>S003</v>
      </c>
      <c r="C1108" t="str">
        <f>Procurement_Raw!C1108</f>
        <v>Leeds Care &amp; Education Centre</v>
      </c>
      <c r="D1108" t="str">
        <f>Procurement_Raw!D1108</f>
        <v>North</v>
      </c>
      <c r="E1108" t="str">
        <f>IF(TRIM(Procurement_Raw!E1108)="","",IFERROR(INDEX(Supplier_Lookup!$A$2:$A$25,MATCH(TRIM(Procurement_Raw!E1108),Supplier_Lookup!$A$2:$A$25,0)),TRIM(Procurement_Raw!E1108)))</f>
        <v>PowerDirect</v>
      </c>
      <c r="F1108" t="str">
        <f>IFERROR(INDEX(Category_Targets!$A$2:$A$9,MATCH(TRIM(Procurement_Raw!F1108),Category_Targets!$A$2:$A$9,0)),"Unmapped")</f>
        <v>Utilities</v>
      </c>
      <c r="G1108" t="str">
        <f>TRIM(Procurement_Raw!G1108)</f>
        <v>INV-2025-01107</v>
      </c>
      <c r="H1108" s="77">
        <f>Procurement_Raw!H1108</f>
        <v>74</v>
      </c>
      <c r="I1108" s="124">
        <f>Procurement_Raw!I1108</f>
        <v>350.19</v>
      </c>
      <c r="J1108" s="125">
        <f>IF(Procurement_Raw!J1108="","",Procurement_Raw!J1108)</f>
        <v>25914.34</v>
      </c>
      <c r="K1108" s="77">
        <f>Procurement_Raw!K1108</f>
        <v>30</v>
      </c>
      <c r="L1108" t="str">
        <f>Procurement_Raw!L1108</f>
        <v>Procurement Portal</v>
      </c>
      <c r="M1108" t="str">
        <f>Procurement_Raw!O1108</f>
        <v>N</v>
      </c>
      <c r="N1108" t="str">
        <f>IF(E1108="","Missing supplier",IF(B1108="","Missing site",IF(J1108="","Missing spend",IF(COUNTIFS($G$2:G1108,G1108,$E$2:E1108,E1108,$J$2:J1108,J1108)&gt;1,"Duplicate invoice",IF(COUNTIF($G$2:$G$1801,G1108)&gt;1,"Duplicate ID - review",IF(AND(P1108&lt;&gt;"Unmapped",P1108&lt;&gt;F1108),"Category mismatch","OK"))))))</f>
        <v>OK</v>
      </c>
      <c r="O1108" s="125">
        <f t="shared" si="51"/>
        <v>25914.34</v>
      </c>
      <c r="P1108" t="str">
        <f>IF(E1108="","Unmapped",IFERROR(INDEX(Supplier_Lookup!$B$2:$B$25,MATCH(E1108,Supplier_Lookup!$A$2:$A$25,0)),"Unmapped"))</f>
        <v>Utilities</v>
      </c>
      <c r="Q1108" s="76">
        <f>IFERROR(INDEX(Category_Targets!$B$2:$B$9,MATCH(F1108,Category_Targets!$A$2:$A$9,0)),0)</f>
        <v>0.03</v>
      </c>
      <c r="R1108" s="125">
        <f t="shared" si="52"/>
        <v>777.43020000000001</v>
      </c>
      <c r="S1108" s="78">
        <f t="shared" si="53"/>
        <v>45717</v>
      </c>
      <c r="T1108" t="str">
        <f>IFERROR(VLOOKUP(B1108,Sites!$A$2:$D$21,4,FALSE()),"Unknown")</f>
        <v>Leeds</v>
      </c>
      <c r="U1108" t="str">
        <f>IF(N1108="OK","",COUNTIF($N$2:N1108,"&lt;&gt;OK"))</f>
        <v/>
      </c>
      <c r="V1108">
        <f>IF(OR(NOT(EXACT(E1108,TRIM(Procurement_Raw!E1108))),NOT(EXACT(F1108,TRIM(Procurement_Raw!F1108)))),1,0)</f>
        <v>0</v>
      </c>
    </row>
    <row r="1109" spans="1:22" ht="15" customHeight="1" x14ac:dyDescent="0.25">
      <c r="A1109" s="123">
        <f>Procurement_Raw!A1109</f>
        <v>45916</v>
      </c>
      <c r="B1109" t="str">
        <f>TRIM(Procurement_Raw!B1109)</f>
        <v>S009</v>
      </c>
      <c r="C1109" t="str">
        <f>Procurement_Raw!C1109</f>
        <v>Derby Care &amp; Education Centre</v>
      </c>
      <c r="D1109" t="str">
        <f>Procurement_Raw!D1109</f>
        <v>Midlands</v>
      </c>
      <c r="E1109" t="str">
        <f>IF(TRIM(Procurement_Raw!E1109)="","",IFERROR(INDEX(Supplier_Lookup!$A$2:$A$25,MATCH(TRIM(Procurement_Raw!E1109),Supplier_Lookup!$A$2:$A$25,0)),TRIM(Procurement_Raw!E1109)))</f>
        <v>CareMed</v>
      </c>
      <c r="F1109" t="str">
        <f>IFERROR(INDEX(Category_Targets!$A$2:$A$9,MATCH(TRIM(Procurement_Raw!F1109),Category_Targets!$A$2:$A$9,0)),"Unmapped")</f>
        <v>Medical Supplies</v>
      </c>
      <c r="G1109" t="str">
        <f>TRIM(Procurement_Raw!G1109)</f>
        <v>INV-2025-01108</v>
      </c>
      <c r="H1109" s="77">
        <f>Procurement_Raw!H1109</f>
        <v>5</v>
      </c>
      <c r="I1109" s="124">
        <f>Procurement_Raw!I1109</f>
        <v>67.23</v>
      </c>
      <c r="J1109" s="125">
        <f>IF(Procurement_Raw!J1109="","",Procurement_Raw!J1109)</f>
        <v>336.15</v>
      </c>
      <c r="K1109" s="77">
        <f>Procurement_Raw!K1109</f>
        <v>45</v>
      </c>
      <c r="L1109" t="str">
        <f>Procurement_Raw!L1109</f>
        <v>Legacy Spend File</v>
      </c>
      <c r="M1109" t="str">
        <f>Procurement_Raw!O1109</f>
        <v>N</v>
      </c>
      <c r="N1109" t="str">
        <f>IF(E1109="","Missing supplier",IF(B1109="","Missing site",IF(J1109="","Missing spend",IF(COUNTIFS($G$2:G1109,G1109,$E$2:E1109,E1109,$J$2:J1109,J1109)&gt;1,"Duplicate invoice",IF(COUNTIF($G$2:$G$1801,G1109)&gt;1,"Duplicate ID - review",IF(AND(P1109&lt;&gt;"Unmapped",P1109&lt;&gt;F1109),"Category mismatch","OK"))))))</f>
        <v>OK</v>
      </c>
      <c r="O1109" s="125">
        <f t="shared" si="51"/>
        <v>336.15</v>
      </c>
      <c r="P1109" t="str">
        <f>IF(E1109="","Unmapped",IFERROR(INDEX(Supplier_Lookup!$B$2:$B$25,MATCH(E1109,Supplier_Lookup!$A$2:$A$25,0)),"Unmapped"))</f>
        <v>Medical Supplies</v>
      </c>
      <c r="Q1109" s="76">
        <f>IFERROR(INDEX(Category_Targets!$B$2:$B$9,MATCH(F1109,Category_Targets!$A$2:$A$9,0)),0)</f>
        <v>0.06</v>
      </c>
      <c r="R1109" s="125">
        <f t="shared" si="52"/>
        <v>20.168999999999997</v>
      </c>
      <c r="S1109" s="78">
        <f t="shared" si="53"/>
        <v>45901</v>
      </c>
      <c r="T1109" t="str">
        <f>IFERROR(VLOOKUP(B1109,Sites!$A$2:$D$21,4,FALSE()),"Unknown")</f>
        <v>Derby</v>
      </c>
      <c r="U1109" t="str">
        <f>IF(N1109="OK","",COUNTIF($N$2:N1109,"&lt;&gt;OK"))</f>
        <v/>
      </c>
      <c r="V1109">
        <f>IF(OR(NOT(EXACT(E1109,TRIM(Procurement_Raw!E1109))),NOT(EXACT(F1109,TRIM(Procurement_Raw!F1109)))),1,0)</f>
        <v>0</v>
      </c>
    </row>
    <row r="1110" spans="1:22" ht="15" customHeight="1" x14ac:dyDescent="0.25">
      <c r="A1110" s="123">
        <f>Procurement_Raw!A1110</f>
        <v>45708</v>
      </c>
      <c r="B1110" t="str">
        <f>TRIM(Procurement_Raw!B1110)</f>
        <v>S001</v>
      </c>
      <c r="C1110" t="str">
        <f>Procurement_Raw!C1110</f>
        <v>Preston Care &amp; Education Centre</v>
      </c>
      <c r="D1110" t="str">
        <f>Procurement_Raw!D1110</f>
        <v>North</v>
      </c>
      <c r="E1110" t="str">
        <f>IF(TRIM(Procurement_Raw!E1110)="","",IFERROR(INDEX(Supplier_Lookup!$A$2:$A$25,MATCH(TRIM(Procurement_Raw!E1110),Supplier_Lookup!$A$2:$A$25,0)),TRIM(Procurement_Raw!E1110)))</f>
        <v>PrintCo</v>
      </c>
      <c r="F1110" t="str">
        <f>IFERROR(INDEX(Category_Targets!$A$2:$A$9,MATCH(TRIM(Procurement_Raw!F1110),Category_Targets!$A$2:$A$9,0)),"Unmapped")</f>
        <v>Office &amp; Training</v>
      </c>
      <c r="G1110" t="str">
        <f>TRIM(Procurement_Raw!G1110)</f>
        <v>INV-2025-01109</v>
      </c>
      <c r="H1110" s="77">
        <f>Procurement_Raw!H1110</f>
        <v>58</v>
      </c>
      <c r="I1110" s="124">
        <f>Procurement_Raw!I1110</f>
        <v>53.22</v>
      </c>
      <c r="J1110" s="125">
        <f>IF(Procurement_Raw!J1110="","",Procurement_Raw!J1110)</f>
        <v>3086.7</v>
      </c>
      <c r="K1110" s="77">
        <f>Procurement_Raw!K1110</f>
        <v>45</v>
      </c>
      <c r="L1110" t="str">
        <f>Procurement_Raw!L1110</f>
        <v>ERP</v>
      </c>
      <c r="M1110" t="str">
        <f>Procurement_Raw!O1110</f>
        <v>N</v>
      </c>
      <c r="N1110" t="str">
        <f>IF(E1110="","Missing supplier",IF(B1110="","Missing site",IF(J1110="","Missing spend",IF(COUNTIFS($G$2:G1110,G1110,$E$2:E1110,E1110,$J$2:J1110,J1110)&gt;1,"Duplicate invoice",IF(COUNTIF($G$2:$G$1801,G1110)&gt;1,"Duplicate ID - review",IF(AND(P1110&lt;&gt;"Unmapped",P1110&lt;&gt;F1110),"Category mismatch","OK"))))))</f>
        <v>OK</v>
      </c>
      <c r="O1110" s="125">
        <f t="shared" si="51"/>
        <v>3086.7</v>
      </c>
      <c r="P1110" t="str">
        <f>IF(E1110="","Unmapped",IFERROR(INDEX(Supplier_Lookup!$B$2:$B$25,MATCH(E1110,Supplier_Lookup!$A$2:$A$25,0)),"Unmapped"))</f>
        <v>Office &amp; Training</v>
      </c>
      <c r="Q1110" s="76">
        <f>IFERROR(INDEX(Category_Targets!$B$2:$B$9,MATCH(F1110,Category_Targets!$A$2:$A$9,0)),0)</f>
        <v>0.04</v>
      </c>
      <c r="R1110" s="125">
        <f t="shared" si="52"/>
        <v>123.46799999999999</v>
      </c>
      <c r="S1110" s="78">
        <f t="shared" si="53"/>
        <v>45689</v>
      </c>
      <c r="T1110" t="str">
        <f>IFERROR(VLOOKUP(B1110,Sites!$A$2:$D$21,4,FALSE()),"Unknown")</f>
        <v>Preston</v>
      </c>
      <c r="U1110" t="str">
        <f>IF(N1110="OK","",COUNTIF($N$2:N1110,"&lt;&gt;OK"))</f>
        <v/>
      </c>
      <c r="V1110">
        <f>IF(OR(NOT(EXACT(E1110,TRIM(Procurement_Raw!E1110))),NOT(EXACT(F1110,TRIM(Procurement_Raw!F1110)))),1,0)</f>
        <v>0</v>
      </c>
    </row>
    <row r="1111" spans="1:22" ht="15" customHeight="1" x14ac:dyDescent="0.25">
      <c r="A1111" s="123">
        <f>Procurement_Raw!A1111</f>
        <v>45866</v>
      </c>
      <c r="B1111" t="str">
        <f>TRIM(Procurement_Raw!B1111)</f>
        <v>S007</v>
      </c>
      <c r="C1111" t="str">
        <f>Procurement_Raw!C1111</f>
        <v>Nottingham Care &amp; Education Centre</v>
      </c>
      <c r="D1111" t="str">
        <f>Procurement_Raw!D1111</f>
        <v>Midlands</v>
      </c>
      <c r="E1111" t="str">
        <f>IF(TRIM(Procurement_Raw!E1111)="","",IFERROR(INDEX(Supplier_Lookup!$A$2:$A$25,MATCH(TRIM(Procurement_Raw!E1111),Supplier_Lookup!$A$2:$A$25,0)),TRIM(Procurement_Raw!E1111)))</f>
        <v>ClinEquip</v>
      </c>
      <c r="F1111" t="str">
        <f>IFERROR(INDEX(Category_Targets!$A$2:$A$9,MATCH(TRIM(Procurement_Raw!F1111),Category_Targets!$A$2:$A$9,0)),"Unmapped")</f>
        <v>Medical Supplies</v>
      </c>
      <c r="G1111" t="str">
        <f>TRIM(Procurement_Raw!G1111)</f>
        <v>INV-2025-01110</v>
      </c>
      <c r="H1111" s="77">
        <f>Procurement_Raw!H1111</f>
        <v>28</v>
      </c>
      <c r="I1111" s="124">
        <f>Procurement_Raw!I1111</f>
        <v>343.85</v>
      </c>
      <c r="J1111" s="125">
        <f>IF(Procurement_Raw!J1111="","",Procurement_Raw!J1111)</f>
        <v>9627.83</v>
      </c>
      <c r="K1111" s="77">
        <f>Procurement_Raw!K1111</f>
        <v>30</v>
      </c>
      <c r="L1111" t="str">
        <f>Procurement_Raw!L1111</f>
        <v>Procurement Portal</v>
      </c>
      <c r="M1111" t="str">
        <f>Procurement_Raw!O1111</f>
        <v>N</v>
      </c>
      <c r="N1111" t="str">
        <f>IF(E1111="","Missing supplier",IF(B1111="","Missing site",IF(J1111="","Missing spend",IF(COUNTIFS($G$2:G1111,G1111,$E$2:E1111,E1111,$J$2:J1111,J1111)&gt;1,"Duplicate invoice",IF(COUNTIF($G$2:$G$1801,G1111)&gt;1,"Duplicate ID - review",IF(AND(P1111&lt;&gt;"Unmapped",P1111&lt;&gt;F1111),"Category mismatch","OK"))))))</f>
        <v>OK</v>
      </c>
      <c r="O1111" s="125">
        <f t="shared" si="51"/>
        <v>9627.83</v>
      </c>
      <c r="P1111" t="str">
        <f>IF(E1111="","Unmapped",IFERROR(INDEX(Supplier_Lookup!$B$2:$B$25,MATCH(E1111,Supplier_Lookup!$A$2:$A$25,0)),"Unmapped"))</f>
        <v>Medical Supplies</v>
      </c>
      <c r="Q1111" s="76">
        <f>IFERROR(INDEX(Category_Targets!$B$2:$B$9,MATCH(F1111,Category_Targets!$A$2:$A$9,0)),0)</f>
        <v>0.06</v>
      </c>
      <c r="R1111" s="125">
        <f t="shared" si="52"/>
        <v>577.66980000000001</v>
      </c>
      <c r="S1111" s="78">
        <f t="shared" si="53"/>
        <v>45839</v>
      </c>
      <c r="T1111" t="str">
        <f>IFERROR(VLOOKUP(B1111,Sites!$A$2:$D$21,4,FALSE()),"Unknown")</f>
        <v>Nottingham</v>
      </c>
      <c r="U1111" t="str">
        <f>IF(N1111="OK","",COUNTIF($N$2:N1111,"&lt;&gt;OK"))</f>
        <v/>
      </c>
      <c r="V1111">
        <f>IF(OR(NOT(EXACT(E1111,TRIM(Procurement_Raw!E1111))),NOT(EXACT(F1111,TRIM(Procurement_Raw!F1111)))),1,0)</f>
        <v>0</v>
      </c>
    </row>
    <row r="1112" spans="1:22" ht="15" customHeight="1" x14ac:dyDescent="0.25">
      <c r="A1112" s="123">
        <f>Procurement_Raw!A1112</f>
        <v>45704</v>
      </c>
      <c r="B1112" t="str">
        <f>TRIM(Procurement_Raw!B1112)</f>
        <v>S002</v>
      </c>
      <c r="C1112" t="str">
        <f>Procurement_Raw!C1112</f>
        <v>Manchester Care &amp; Education Centre</v>
      </c>
      <c r="D1112" t="str">
        <f>Procurement_Raw!D1112</f>
        <v>North</v>
      </c>
      <c r="E1112" t="str">
        <f>IF(TRIM(Procurement_Raw!E1112)="","",IFERROR(INDEX(Supplier_Lookup!$A$2:$A$25,MATCH(TRIM(Procurement_Raw!E1112),Supplier_Lookup!$A$2:$A$25,0)),TRIM(Procurement_Raw!E1112)))</f>
        <v>PowerDirect</v>
      </c>
      <c r="F1112" t="str">
        <f>IFERROR(INDEX(Category_Targets!$A$2:$A$9,MATCH(TRIM(Procurement_Raw!F1112),Category_Targets!$A$2:$A$9,0)),"Unmapped")</f>
        <v>Utilities</v>
      </c>
      <c r="G1112" t="str">
        <f>TRIM(Procurement_Raw!G1112)</f>
        <v>INV-2025-01111</v>
      </c>
      <c r="H1112" s="77">
        <f>Procurement_Raw!H1112</f>
        <v>3</v>
      </c>
      <c r="I1112" s="124">
        <f>Procurement_Raw!I1112</f>
        <v>225.11</v>
      </c>
      <c r="J1112" s="125">
        <f>IF(Procurement_Raw!J1112="","",Procurement_Raw!J1112)</f>
        <v>675.33</v>
      </c>
      <c r="K1112" s="77">
        <f>Procurement_Raw!K1112</f>
        <v>45</v>
      </c>
      <c r="L1112" t="str">
        <f>Procurement_Raw!L1112</f>
        <v>Legacy Spend File</v>
      </c>
      <c r="M1112" t="str">
        <f>Procurement_Raw!O1112</f>
        <v>N</v>
      </c>
      <c r="N1112" t="str">
        <f>IF(E1112="","Missing supplier",IF(B1112="","Missing site",IF(J1112="","Missing spend",IF(COUNTIFS($G$2:G1112,G1112,$E$2:E1112,E1112,$J$2:J1112,J1112)&gt;1,"Duplicate invoice",IF(COUNTIF($G$2:$G$1801,G1112)&gt;1,"Duplicate ID - review",IF(AND(P1112&lt;&gt;"Unmapped",P1112&lt;&gt;F1112),"Category mismatch","OK"))))))</f>
        <v>OK</v>
      </c>
      <c r="O1112" s="125">
        <f t="shared" si="51"/>
        <v>675.33</v>
      </c>
      <c r="P1112" t="str">
        <f>IF(E1112="","Unmapped",IFERROR(INDEX(Supplier_Lookup!$B$2:$B$25,MATCH(E1112,Supplier_Lookup!$A$2:$A$25,0)),"Unmapped"))</f>
        <v>Utilities</v>
      </c>
      <c r="Q1112" s="76">
        <f>IFERROR(INDEX(Category_Targets!$B$2:$B$9,MATCH(F1112,Category_Targets!$A$2:$A$9,0)),0)</f>
        <v>0.03</v>
      </c>
      <c r="R1112" s="125">
        <f t="shared" si="52"/>
        <v>20.259900000000002</v>
      </c>
      <c r="S1112" s="78">
        <f t="shared" si="53"/>
        <v>45689</v>
      </c>
      <c r="T1112" t="str">
        <f>IFERROR(VLOOKUP(B1112,Sites!$A$2:$D$21,4,FALSE()),"Unknown")</f>
        <v>Manchester</v>
      </c>
      <c r="U1112" t="str">
        <f>IF(N1112="OK","",COUNTIF($N$2:N1112,"&lt;&gt;OK"))</f>
        <v/>
      </c>
      <c r="V1112">
        <f>IF(OR(NOT(EXACT(E1112,TRIM(Procurement_Raw!E1112))),NOT(EXACT(F1112,TRIM(Procurement_Raw!F1112)))),1,0)</f>
        <v>0</v>
      </c>
    </row>
    <row r="1113" spans="1:22" ht="15" customHeight="1" x14ac:dyDescent="0.25">
      <c r="A1113" s="123">
        <f>Procurement_Raw!A1113</f>
        <v>45893</v>
      </c>
      <c r="B1113" t="str">
        <f>TRIM(Procurement_Raw!B1113)</f>
        <v>S003</v>
      </c>
      <c r="C1113" t="str">
        <f>Procurement_Raw!C1113</f>
        <v>Leeds Care &amp; Education Centre</v>
      </c>
      <c r="D1113" t="str">
        <f>Procurement_Raw!D1113</f>
        <v>North</v>
      </c>
      <c r="E1113" t="str">
        <f>IF(TRIM(Procurement_Raw!E1113)="","",IFERROR(INDEX(Supplier_Lookup!$A$2:$A$25,MATCH(TRIM(Procurement_Raw!E1113),Supplier_Lookup!$A$2:$A$25,0)),TRIM(Procurement_Raw!E1113)))</f>
        <v>BuildCare</v>
      </c>
      <c r="F1113" t="str">
        <f>IFERROR(INDEX(Category_Targets!$A$2:$A$9,MATCH(TRIM(Procurement_Raw!F1113),Category_Targets!$A$2:$A$9,0)),"Unmapped")</f>
        <v>Facilities</v>
      </c>
      <c r="G1113" t="str">
        <f>TRIM(Procurement_Raw!G1113)</f>
        <v>INV-2025-01112</v>
      </c>
      <c r="H1113" s="77">
        <f>Procurement_Raw!H1113</f>
        <v>74</v>
      </c>
      <c r="I1113" s="124">
        <f>Procurement_Raw!I1113</f>
        <v>202.87</v>
      </c>
      <c r="J1113" s="125">
        <f>IF(Procurement_Raw!J1113="","",Procurement_Raw!J1113)</f>
        <v>15012.07</v>
      </c>
      <c r="K1113" s="77">
        <f>Procurement_Raw!K1113</f>
        <v>60</v>
      </c>
      <c r="L1113" t="str">
        <f>Procurement_Raw!L1113</f>
        <v>Legacy Spend File</v>
      </c>
      <c r="M1113" t="str">
        <f>Procurement_Raw!O1113</f>
        <v>N</v>
      </c>
      <c r="N1113" t="str">
        <f>IF(E1113="","Missing supplier",IF(B1113="","Missing site",IF(J1113="","Missing spend",IF(COUNTIFS($G$2:G1113,G1113,$E$2:E1113,E1113,$J$2:J1113,J1113)&gt;1,"Duplicate invoice",IF(COUNTIF($G$2:$G$1801,G1113)&gt;1,"Duplicate ID - review",IF(AND(P1113&lt;&gt;"Unmapped",P1113&lt;&gt;F1113),"Category mismatch","OK"))))))</f>
        <v>OK</v>
      </c>
      <c r="O1113" s="125">
        <f t="shared" si="51"/>
        <v>15012.07</v>
      </c>
      <c r="P1113" t="str">
        <f>IF(E1113="","Unmapped",IFERROR(INDEX(Supplier_Lookup!$B$2:$B$25,MATCH(E1113,Supplier_Lookup!$A$2:$A$25,0)),"Unmapped"))</f>
        <v>Facilities</v>
      </c>
      <c r="Q1113" s="76">
        <f>IFERROR(INDEX(Category_Targets!$B$2:$B$9,MATCH(F1113,Category_Targets!$A$2:$A$9,0)),0)</f>
        <v>0.05</v>
      </c>
      <c r="R1113" s="125">
        <f t="shared" si="52"/>
        <v>750.60350000000005</v>
      </c>
      <c r="S1113" s="78">
        <f t="shared" si="53"/>
        <v>45870</v>
      </c>
      <c r="T1113" t="str">
        <f>IFERROR(VLOOKUP(B1113,Sites!$A$2:$D$21,4,FALSE()),"Unknown")</f>
        <v>Leeds</v>
      </c>
      <c r="U1113" t="str">
        <f>IF(N1113="OK","",COUNTIF($N$2:N1113,"&lt;&gt;OK"))</f>
        <v/>
      </c>
      <c r="V1113">
        <f>IF(OR(NOT(EXACT(E1113,TRIM(Procurement_Raw!E1113))),NOT(EXACT(F1113,TRIM(Procurement_Raw!F1113)))),1,0)</f>
        <v>0</v>
      </c>
    </row>
    <row r="1114" spans="1:22" ht="15" customHeight="1" x14ac:dyDescent="0.25">
      <c r="A1114" s="123">
        <f>Procurement_Raw!A1114</f>
        <v>45728</v>
      </c>
      <c r="B1114" t="str">
        <f>TRIM(Procurement_Raw!B1114)</f>
        <v>S003</v>
      </c>
      <c r="C1114" t="str">
        <f>Procurement_Raw!C1114</f>
        <v>Leeds Care &amp; Education Centre</v>
      </c>
      <c r="D1114" t="str">
        <f>Procurement_Raw!D1114</f>
        <v>North</v>
      </c>
      <c r="E1114" t="str">
        <f>IF(TRIM(Procurement_Raw!E1114)="","",IFERROR(INDEX(Supplier_Lookup!$A$2:$A$25,MATCH(TRIM(Procurement_Raw!E1114),Supplier_Lookup!$A$2:$A$25,0)),TRIM(Procurement_Raw!E1114)))</f>
        <v>LearnWell</v>
      </c>
      <c r="F1114" t="str">
        <f>IFERROR(INDEX(Category_Targets!$A$2:$A$9,MATCH(TRIM(Procurement_Raw!F1114),Category_Targets!$A$2:$A$9,0)),"Unmapped")</f>
        <v>Office &amp; Training</v>
      </c>
      <c r="G1114" t="str">
        <f>TRIM(Procurement_Raw!G1114)</f>
        <v>INV-2025-01113</v>
      </c>
      <c r="H1114" s="77">
        <f>Procurement_Raw!H1114</f>
        <v>52</v>
      </c>
      <c r="I1114" s="124">
        <f>Procurement_Raw!I1114</f>
        <v>121.03</v>
      </c>
      <c r="J1114" s="125">
        <f>IF(Procurement_Raw!J1114="","",Procurement_Raw!J1114)</f>
        <v>6293.48</v>
      </c>
      <c r="K1114" s="77">
        <f>Procurement_Raw!K1114</f>
        <v>30</v>
      </c>
      <c r="L1114" t="str">
        <f>Procurement_Raw!L1114</f>
        <v>Procurement Portal</v>
      </c>
      <c r="M1114" t="str">
        <f>Procurement_Raw!O1114</f>
        <v>N</v>
      </c>
      <c r="N1114" t="str">
        <f>IF(E1114="","Missing supplier",IF(B1114="","Missing site",IF(J1114="","Missing spend",IF(COUNTIFS($G$2:G1114,G1114,$E$2:E1114,E1114,$J$2:J1114,J1114)&gt;1,"Duplicate invoice",IF(COUNTIF($G$2:$G$1801,G1114)&gt;1,"Duplicate ID - review",IF(AND(P1114&lt;&gt;"Unmapped",P1114&lt;&gt;F1114),"Category mismatch","OK"))))))</f>
        <v>OK</v>
      </c>
      <c r="O1114" s="125">
        <f t="shared" si="51"/>
        <v>6293.48</v>
      </c>
      <c r="P1114" t="str">
        <f>IF(E1114="","Unmapped",IFERROR(INDEX(Supplier_Lookup!$B$2:$B$25,MATCH(E1114,Supplier_Lookup!$A$2:$A$25,0)),"Unmapped"))</f>
        <v>Office &amp; Training</v>
      </c>
      <c r="Q1114" s="76">
        <f>IFERROR(INDEX(Category_Targets!$B$2:$B$9,MATCH(F1114,Category_Targets!$A$2:$A$9,0)),0)</f>
        <v>0.04</v>
      </c>
      <c r="R1114" s="125">
        <f t="shared" si="52"/>
        <v>251.73919999999998</v>
      </c>
      <c r="S1114" s="78">
        <f t="shared" si="53"/>
        <v>45717</v>
      </c>
      <c r="T1114" t="str">
        <f>IFERROR(VLOOKUP(B1114,Sites!$A$2:$D$21,4,FALSE()),"Unknown")</f>
        <v>Leeds</v>
      </c>
      <c r="U1114" t="str">
        <f>IF(N1114="OK","",COUNTIF($N$2:N1114,"&lt;&gt;OK"))</f>
        <v/>
      </c>
      <c r="V1114">
        <f>IF(OR(NOT(EXACT(E1114,TRIM(Procurement_Raw!E1114))),NOT(EXACT(F1114,TRIM(Procurement_Raw!F1114)))),1,0)</f>
        <v>0</v>
      </c>
    </row>
    <row r="1115" spans="1:22" ht="15" customHeight="1" x14ac:dyDescent="0.25">
      <c r="A1115" s="123">
        <f>Procurement_Raw!A1115</f>
        <v>45982</v>
      </c>
      <c r="B1115" t="str">
        <f>TRIM(Procurement_Raw!B1115)</f>
        <v>S001</v>
      </c>
      <c r="C1115" t="str">
        <f>Procurement_Raw!C1115</f>
        <v>Preston Care &amp; Education Centre</v>
      </c>
      <c r="D1115" t="str">
        <f>Procurement_Raw!D1115</f>
        <v>North</v>
      </c>
      <c r="E1115" t="str">
        <f>IF(TRIM(Procurement_Raw!E1115)="","",IFERROR(INDEX(Supplier_Lookup!$A$2:$A$25,MATCH(TRIM(Procurement_Raw!E1115),Supplier_Lookup!$A$2:$A$25,0)),TRIM(Procurement_Raw!E1115)))</f>
        <v>PrintCo</v>
      </c>
      <c r="F1115" t="str">
        <f>IFERROR(INDEX(Category_Targets!$A$2:$A$9,MATCH(TRIM(Procurement_Raw!F1115),Category_Targets!$A$2:$A$9,0)),"Unmapped")</f>
        <v>Office &amp; Training</v>
      </c>
      <c r="G1115" t="str">
        <f>TRIM(Procurement_Raw!G1115)</f>
        <v>INV-2025-01114</v>
      </c>
      <c r="H1115" s="77">
        <f>Procurement_Raw!H1115</f>
        <v>1</v>
      </c>
      <c r="I1115" s="124">
        <f>Procurement_Raw!I1115</f>
        <v>98.51</v>
      </c>
      <c r="J1115" s="125">
        <f>IF(Procurement_Raw!J1115="","",Procurement_Raw!J1115)</f>
        <v>98.51</v>
      </c>
      <c r="K1115" s="77">
        <f>Procurement_Raw!K1115</f>
        <v>60</v>
      </c>
      <c r="L1115" t="str">
        <f>Procurement_Raw!L1115</f>
        <v>ERP</v>
      </c>
      <c r="M1115" t="str">
        <f>Procurement_Raw!O1115</f>
        <v>N</v>
      </c>
      <c r="N1115" t="str">
        <f>IF(E1115="","Missing supplier",IF(B1115="","Missing site",IF(J1115="","Missing spend",IF(COUNTIFS($G$2:G1115,G1115,$E$2:E1115,E1115,$J$2:J1115,J1115)&gt;1,"Duplicate invoice",IF(COUNTIF($G$2:$G$1801,G1115)&gt;1,"Duplicate ID - review",IF(AND(P1115&lt;&gt;"Unmapped",P1115&lt;&gt;F1115),"Category mismatch","OK"))))))</f>
        <v>OK</v>
      </c>
      <c r="O1115" s="125">
        <f t="shared" si="51"/>
        <v>98.51</v>
      </c>
      <c r="P1115" t="str">
        <f>IF(E1115="","Unmapped",IFERROR(INDEX(Supplier_Lookup!$B$2:$B$25,MATCH(E1115,Supplier_Lookup!$A$2:$A$25,0)),"Unmapped"))</f>
        <v>Office &amp; Training</v>
      </c>
      <c r="Q1115" s="76">
        <f>IFERROR(INDEX(Category_Targets!$B$2:$B$9,MATCH(F1115,Category_Targets!$A$2:$A$9,0)),0)</f>
        <v>0.04</v>
      </c>
      <c r="R1115" s="125">
        <f t="shared" si="52"/>
        <v>3.9404000000000003</v>
      </c>
      <c r="S1115" s="78">
        <f t="shared" si="53"/>
        <v>45962</v>
      </c>
      <c r="T1115" t="str">
        <f>IFERROR(VLOOKUP(B1115,Sites!$A$2:$D$21,4,FALSE()),"Unknown")</f>
        <v>Preston</v>
      </c>
      <c r="U1115" t="str">
        <f>IF(N1115="OK","",COUNTIF($N$2:N1115,"&lt;&gt;OK"))</f>
        <v/>
      </c>
      <c r="V1115">
        <f>IF(OR(NOT(EXACT(E1115,TRIM(Procurement_Raw!E1115))),NOT(EXACT(F1115,TRIM(Procurement_Raw!F1115)))),1,0)</f>
        <v>0</v>
      </c>
    </row>
    <row r="1116" spans="1:22" ht="15" customHeight="1" x14ac:dyDescent="0.25">
      <c r="A1116" s="123">
        <f>Procurement_Raw!A1116</f>
        <v>45674</v>
      </c>
      <c r="B1116" t="str">
        <f>TRIM(Procurement_Raw!B1116)</f>
        <v>S018</v>
      </c>
      <c r="C1116" t="str">
        <f>Procurement_Raw!C1116</f>
        <v>Newport Care &amp; Education Centre</v>
      </c>
      <c r="D1116" t="str">
        <f>Procurement_Raw!D1116</f>
        <v>Wales</v>
      </c>
      <c r="E1116" t="str">
        <f>IF(TRIM(Procurement_Raw!E1116)="","",IFERROR(INDEX(Supplier_Lookup!$A$2:$A$25,MATCH(TRIM(Procurement_Raw!E1116),Supplier_Lookup!$A$2:$A$25,0)),TRIM(Procurement_Raw!E1116)))</f>
        <v>AutoCare</v>
      </c>
      <c r="F1116" t="str">
        <f>IFERROR(INDEX(Category_Targets!$A$2:$A$9,MATCH(TRIM(Procurement_Raw!F1116),Category_Targets!$A$2:$A$9,0)),"Unmapped")</f>
        <v>Vehicle &amp; Fuel</v>
      </c>
      <c r="G1116" t="str">
        <f>TRIM(Procurement_Raw!G1116)</f>
        <v>INV-2025-01115</v>
      </c>
      <c r="H1116" s="77">
        <f>Procurement_Raw!H1116</f>
        <v>38</v>
      </c>
      <c r="I1116" s="124">
        <f>Procurement_Raw!I1116</f>
        <v>103.19</v>
      </c>
      <c r="J1116" s="125">
        <f>IF(Procurement_Raw!J1116="","",Procurement_Raw!J1116)</f>
        <v>3921.36</v>
      </c>
      <c r="K1116" s="77">
        <f>Procurement_Raw!K1116</f>
        <v>45</v>
      </c>
      <c r="L1116" t="str">
        <f>Procurement_Raw!L1116</f>
        <v>Procurement Portal</v>
      </c>
      <c r="M1116" t="str">
        <f>Procurement_Raw!O1116</f>
        <v>N</v>
      </c>
      <c r="N1116" t="str">
        <f>IF(E1116="","Missing supplier",IF(B1116="","Missing site",IF(J1116="","Missing spend",IF(COUNTIFS($G$2:G1116,G1116,$E$2:E1116,E1116,$J$2:J1116,J1116)&gt;1,"Duplicate invoice",IF(COUNTIF($G$2:$G$1801,G1116)&gt;1,"Duplicate ID - review",IF(AND(P1116&lt;&gt;"Unmapped",P1116&lt;&gt;F1116),"Category mismatch","OK"))))))</f>
        <v>OK</v>
      </c>
      <c r="O1116" s="125">
        <f t="shared" si="51"/>
        <v>3921.36</v>
      </c>
      <c r="P1116" t="str">
        <f>IF(E1116="","Unmapped",IFERROR(INDEX(Supplier_Lookup!$B$2:$B$25,MATCH(E1116,Supplier_Lookup!$A$2:$A$25,0)),"Unmapped"))</f>
        <v>Vehicle &amp; Fuel</v>
      </c>
      <c r="Q1116" s="76">
        <f>IFERROR(INDEX(Category_Targets!$B$2:$B$9,MATCH(F1116,Category_Targets!$A$2:$A$9,0)),0)</f>
        <v>0.05</v>
      </c>
      <c r="R1116" s="125">
        <f t="shared" si="52"/>
        <v>196.06800000000001</v>
      </c>
      <c r="S1116" s="78">
        <f t="shared" si="53"/>
        <v>45658</v>
      </c>
      <c r="T1116" t="str">
        <f>IFERROR(VLOOKUP(B1116,Sites!$A$2:$D$21,4,FALSE()),"Unknown")</f>
        <v>Newport</v>
      </c>
      <c r="U1116" t="str">
        <f>IF(N1116="OK","",COUNTIF($N$2:N1116,"&lt;&gt;OK"))</f>
        <v/>
      </c>
      <c r="V1116">
        <f>IF(OR(NOT(EXACT(E1116,TRIM(Procurement_Raw!E1116))),NOT(EXACT(F1116,TRIM(Procurement_Raw!F1116)))),1,0)</f>
        <v>0</v>
      </c>
    </row>
    <row r="1117" spans="1:22" ht="15" customHeight="1" x14ac:dyDescent="0.25">
      <c r="A1117" s="123">
        <f>Procurement_Raw!A1117</f>
        <v>45699</v>
      </c>
      <c r="B1117" t="str">
        <f>TRIM(Procurement_Raw!B1117)</f>
        <v>S014</v>
      </c>
      <c r="C1117" t="str">
        <f>Procurement_Raw!C1117</f>
        <v>Southampton Care &amp; Education Centre</v>
      </c>
      <c r="D1117" t="str">
        <f>Procurement_Raw!D1117</f>
        <v>South</v>
      </c>
      <c r="E1117" t="str">
        <f>IF(TRIM(Procurement_Raw!E1117)="","",IFERROR(INDEX(Supplier_Lookup!$A$2:$A$25,MATCH(TRIM(Procurement_Raw!E1117),Supplier_Lookup!$A$2:$A$25,0)),TRIM(Procurement_Raw!E1117)))</f>
        <v>PowerDirect</v>
      </c>
      <c r="F1117" t="str">
        <f>IFERROR(INDEX(Category_Targets!$A$2:$A$9,MATCH(TRIM(Procurement_Raw!F1117),Category_Targets!$A$2:$A$9,0)),"Unmapped")</f>
        <v>Utilities</v>
      </c>
      <c r="G1117" t="str">
        <f>TRIM(Procurement_Raw!G1117)</f>
        <v>INV-2025-01116</v>
      </c>
      <c r="H1117" s="77">
        <f>Procurement_Raw!H1117</f>
        <v>80</v>
      </c>
      <c r="I1117" s="124">
        <f>Procurement_Raw!I1117</f>
        <v>305.57</v>
      </c>
      <c r="J1117" s="125">
        <f>IF(Procurement_Raw!J1117="","",Procurement_Raw!J1117)</f>
        <v>24445.86</v>
      </c>
      <c r="K1117" s="77">
        <f>Procurement_Raw!K1117</f>
        <v>45</v>
      </c>
      <c r="L1117" t="str">
        <f>Procurement_Raw!L1117</f>
        <v>Legacy Spend File</v>
      </c>
      <c r="M1117" t="str">
        <f>Procurement_Raw!O1117</f>
        <v>N</v>
      </c>
      <c r="N1117" t="str">
        <f>IF(E1117="","Missing supplier",IF(B1117="","Missing site",IF(J1117="","Missing spend",IF(COUNTIFS($G$2:G1117,G1117,$E$2:E1117,E1117,$J$2:J1117,J1117)&gt;1,"Duplicate invoice",IF(COUNTIF($G$2:$G$1801,G1117)&gt;1,"Duplicate ID - review",IF(AND(P1117&lt;&gt;"Unmapped",P1117&lt;&gt;F1117),"Category mismatch","OK"))))))</f>
        <v>OK</v>
      </c>
      <c r="O1117" s="125">
        <f t="shared" si="51"/>
        <v>24445.86</v>
      </c>
      <c r="P1117" t="str">
        <f>IF(E1117="","Unmapped",IFERROR(INDEX(Supplier_Lookup!$B$2:$B$25,MATCH(E1117,Supplier_Lookup!$A$2:$A$25,0)),"Unmapped"))</f>
        <v>Utilities</v>
      </c>
      <c r="Q1117" s="76">
        <f>IFERROR(INDEX(Category_Targets!$B$2:$B$9,MATCH(F1117,Category_Targets!$A$2:$A$9,0)),0)</f>
        <v>0.03</v>
      </c>
      <c r="R1117" s="125">
        <f t="shared" si="52"/>
        <v>733.37580000000003</v>
      </c>
      <c r="S1117" s="78">
        <f t="shared" si="53"/>
        <v>45689</v>
      </c>
      <c r="T1117" t="str">
        <f>IFERROR(VLOOKUP(B1117,Sites!$A$2:$D$21,4,FALSE()),"Unknown")</f>
        <v>Southampton</v>
      </c>
      <c r="U1117" t="str">
        <f>IF(N1117="OK","",COUNTIF($N$2:N1117,"&lt;&gt;OK"))</f>
        <v/>
      </c>
      <c r="V1117">
        <f>IF(OR(NOT(EXACT(E1117,TRIM(Procurement_Raw!E1117))),NOT(EXACT(F1117,TRIM(Procurement_Raw!F1117)))),1,0)</f>
        <v>0</v>
      </c>
    </row>
    <row r="1118" spans="1:22" ht="15" customHeight="1" x14ac:dyDescent="0.25">
      <c r="A1118" s="123">
        <f>Procurement_Raw!A1118</f>
        <v>45714</v>
      </c>
      <c r="B1118" t="str">
        <f>TRIM(Procurement_Raw!B1118)</f>
        <v>S007</v>
      </c>
      <c r="C1118" t="str">
        <f>Procurement_Raw!C1118</f>
        <v>Nottingham Care &amp; Education Centre</v>
      </c>
      <c r="D1118" t="str">
        <f>Procurement_Raw!D1118</f>
        <v>Midlands</v>
      </c>
      <c r="E1118" t="str">
        <f>IF(TRIM(Procurement_Raw!E1118)="","",IFERROR(INDEX(Supplier_Lookup!$A$2:$A$25,MATCH(TRIM(Procurement_Raw!E1118),Supplier_Lookup!$A$2:$A$25,0)),TRIM(Procurement_Raw!E1118)))</f>
        <v>FleetFuel</v>
      </c>
      <c r="F1118" t="str">
        <f>IFERROR(INDEX(Category_Targets!$A$2:$A$9,MATCH(TRIM(Procurement_Raw!F1118),Category_Targets!$A$2:$A$9,0)),"Unmapped")</f>
        <v>Vehicle &amp; Fuel</v>
      </c>
      <c r="G1118" t="str">
        <f>TRIM(Procurement_Raw!G1118)</f>
        <v>INV-2025-01117</v>
      </c>
      <c r="H1118" s="77">
        <f>Procurement_Raw!H1118</f>
        <v>50</v>
      </c>
      <c r="I1118" s="124">
        <f>Procurement_Raw!I1118</f>
        <v>356.29</v>
      </c>
      <c r="J1118" s="125">
        <f>IF(Procurement_Raw!J1118="","",Procurement_Raw!J1118)</f>
        <v>17814.689999999999</v>
      </c>
      <c r="K1118" s="77">
        <f>Procurement_Raw!K1118</f>
        <v>45</v>
      </c>
      <c r="L1118" t="str">
        <f>Procurement_Raw!L1118</f>
        <v>Procurement Portal</v>
      </c>
      <c r="M1118" t="str">
        <f>Procurement_Raw!O1118</f>
        <v>Y</v>
      </c>
      <c r="N1118" t="str">
        <f>IF(E1118="","Missing supplier",IF(B1118="","Missing site",IF(J1118="","Missing spend",IF(COUNTIFS($G$2:G1118,G1118,$E$2:E1118,E1118,$J$2:J1118,J1118)&gt;1,"Duplicate invoice",IF(COUNTIF($G$2:$G$1801,G1118)&gt;1,"Duplicate ID - review",IF(AND(P1118&lt;&gt;"Unmapped",P1118&lt;&gt;F1118),"Category mismatch","OK"))))))</f>
        <v>OK</v>
      </c>
      <c r="O1118" s="125">
        <f t="shared" si="51"/>
        <v>17814.689999999999</v>
      </c>
      <c r="P1118" t="str">
        <f>IF(E1118="","Unmapped",IFERROR(INDEX(Supplier_Lookup!$B$2:$B$25,MATCH(E1118,Supplier_Lookup!$A$2:$A$25,0)),"Unmapped"))</f>
        <v>Vehicle &amp; Fuel</v>
      </c>
      <c r="Q1118" s="76">
        <f>IFERROR(INDEX(Category_Targets!$B$2:$B$9,MATCH(F1118,Category_Targets!$A$2:$A$9,0)),0)</f>
        <v>0.05</v>
      </c>
      <c r="R1118" s="125">
        <f t="shared" si="52"/>
        <v>890.73450000000003</v>
      </c>
      <c r="S1118" s="78">
        <f t="shared" si="53"/>
        <v>45689</v>
      </c>
      <c r="T1118" t="str">
        <f>IFERROR(VLOOKUP(B1118,Sites!$A$2:$D$21,4,FALSE()),"Unknown")</f>
        <v>Nottingham</v>
      </c>
      <c r="U1118" t="str">
        <f>IF(N1118="OK","",COUNTIF($N$2:N1118,"&lt;&gt;OK"))</f>
        <v/>
      </c>
      <c r="V1118">
        <f>IF(OR(NOT(EXACT(E1118,TRIM(Procurement_Raw!E1118))),NOT(EXACT(F1118,TRIM(Procurement_Raw!F1118)))),1,0)</f>
        <v>0</v>
      </c>
    </row>
    <row r="1119" spans="1:22" ht="15" customHeight="1" x14ac:dyDescent="0.25">
      <c r="A1119" s="123">
        <f>Procurement_Raw!A1119</f>
        <v>45845</v>
      </c>
      <c r="B1119" t="str">
        <f>TRIM(Procurement_Raw!B1119)</f>
        <v>S016</v>
      </c>
      <c r="C1119" t="str">
        <f>Procurement_Raw!C1119</f>
        <v>Cardiff Care &amp; Education Centre</v>
      </c>
      <c r="D1119" t="str">
        <f>Procurement_Raw!D1119</f>
        <v>Wales</v>
      </c>
      <c r="E1119" t="str">
        <f>IF(TRIM(Procurement_Raw!E1119)="","",IFERROR(INDEX(Supplier_Lookup!$A$2:$A$25,MATCH(TRIM(Procurement_Raw!E1119),Supplier_Lookup!$A$2:$A$25,0)),TRIM(Procurement_Raw!E1119)))</f>
        <v>CareMed</v>
      </c>
      <c r="F1119" t="str">
        <f>IFERROR(INDEX(Category_Targets!$A$2:$A$9,MATCH(TRIM(Procurement_Raw!F1119),Category_Targets!$A$2:$A$9,0)),"Unmapped")</f>
        <v>Medical Supplies</v>
      </c>
      <c r="G1119" t="str">
        <f>TRIM(Procurement_Raw!G1119)</f>
        <v>INV-2025-01118</v>
      </c>
      <c r="H1119" s="77">
        <f>Procurement_Raw!H1119</f>
        <v>23</v>
      </c>
      <c r="I1119" s="124">
        <f>Procurement_Raw!I1119</f>
        <v>116.26</v>
      </c>
      <c r="J1119" s="125">
        <f>IF(Procurement_Raw!J1119="","",Procurement_Raw!J1119)</f>
        <v>2673.91</v>
      </c>
      <c r="K1119" s="77">
        <f>Procurement_Raw!K1119</f>
        <v>60</v>
      </c>
      <c r="L1119" t="str">
        <f>Procurement_Raw!L1119</f>
        <v>Legacy Spend File</v>
      </c>
      <c r="M1119" t="str">
        <f>Procurement_Raw!O1119</f>
        <v>N</v>
      </c>
      <c r="N1119" t="str">
        <f>IF(E1119="","Missing supplier",IF(B1119="","Missing site",IF(J1119="","Missing spend",IF(COUNTIFS($G$2:G1119,G1119,$E$2:E1119,E1119,$J$2:J1119,J1119)&gt;1,"Duplicate invoice",IF(COUNTIF($G$2:$G$1801,G1119)&gt;1,"Duplicate ID - review",IF(AND(P1119&lt;&gt;"Unmapped",P1119&lt;&gt;F1119),"Category mismatch","OK"))))))</f>
        <v>OK</v>
      </c>
      <c r="O1119" s="125">
        <f t="shared" si="51"/>
        <v>2673.91</v>
      </c>
      <c r="P1119" t="str">
        <f>IF(E1119="","Unmapped",IFERROR(INDEX(Supplier_Lookup!$B$2:$B$25,MATCH(E1119,Supplier_Lookup!$A$2:$A$25,0)),"Unmapped"))</f>
        <v>Medical Supplies</v>
      </c>
      <c r="Q1119" s="76">
        <f>IFERROR(INDEX(Category_Targets!$B$2:$B$9,MATCH(F1119,Category_Targets!$A$2:$A$9,0)),0)</f>
        <v>0.06</v>
      </c>
      <c r="R1119" s="125">
        <f t="shared" si="52"/>
        <v>160.43459999999999</v>
      </c>
      <c r="S1119" s="78">
        <f t="shared" si="53"/>
        <v>45839</v>
      </c>
      <c r="T1119" t="str">
        <f>IFERROR(VLOOKUP(B1119,Sites!$A$2:$D$21,4,FALSE()),"Unknown")</f>
        <v>Cardiff</v>
      </c>
      <c r="U1119" t="str">
        <f>IF(N1119="OK","",COUNTIF($N$2:N1119,"&lt;&gt;OK"))</f>
        <v/>
      </c>
      <c r="V1119">
        <f>IF(OR(NOT(EXACT(E1119,TRIM(Procurement_Raw!E1119))),NOT(EXACT(F1119,TRIM(Procurement_Raw!F1119)))),1,0)</f>
        <v>0</v>
      </c>
    </row>
    <row r="1120" spans="1:22" ht="15" customHeight="1" x14ac:dyDescent="0.25">
      <c r="A1120" s="123">
        <f>Procurement_Raw!A1120</f>
        <v>46021</v>
      </c>
      <c r="B1120" t="str">
        <f>TRIM(Procurement_Raw!B1120)</f>
        <v>S006</v>
      </c>
      <c r="C1120" t="str">
        <f>Procurement_Raw!C1120</f>
        <v>Birmingham Care &amp; Education Centre</v>
      </c>
      <c r="D1120" t="str">
        <f>Procurement_Raw!D1120</f>
        <v>Midlands</v>
      </c>
      <c r="E1120" t="str">
        <f>IF(TRIM(Procurement_Raw!E1120)="","",IFERROR(INDEX(Supplier_Lookup!$A$2:$A$25,MATCH(TRIM(Procurement_Raw!E1120),Supplier_Lookup!$A$2:$A$25,0)),TRIM(Procurement_Raw!E1120)))</f>
        <v>KitchenPro</v>
      </c>
      <c r="F1120" t="str">
        <f>IFERROR(INDEX(Category_Targets!$A$2:$A$9,MATCH(TRIM(Procurement_Raw!F1120),Category_Targets!$A$2:$A$9,0)),"Unmapped")</f>
        <v>Food &amp; Catering</v>
      </c>
      <c r="G1120" t="str">
        <f>TRIM(Procurement_Raw!G1120)</f>
        <v>INV-2025-01119</v>
      </c>
      <c r="H1120" s="77">
        <f>Procurement_Raw!H1120</f>
        <v>27</v>
      </c>
      <c r="I1120" s="124">
        <f>Procurement_Raw!I1120</f>
        <v>72.599999999999994</v>
      </c>
      <c r="J1120" s="125">
        <f>IF(Procurement_Raw!J1120="","",Procurement_Raw!J1120)</f>
        <v>1960.25</v>
      </c>
      <c r="K1120" s="77">
        <f>Procurement_Raw!K1120</f>
        <v>30</v>
      </c>
      <c r="L1120" t="str">
        <f>Procurement_Raw!L1120</f>
        <v>Procurement Portal</v>
      </c>
      <c r="M1120" t="str">
        <f>Procurement_Raw!O1120</f>
        <v>N</v>
      </c>
      <c r="N1120" t="str">
        <f>IF(E1120="","Missing supplier",IF(B1120="","Missing site",IF(J1120="","Missing spend",IF(COUNTIFS($G$2:G1120,G1120,$E$2:E1120,E1120,$J$2:J1120,J1120)&gt;1,"Duplicate invoice",IF(COUNTIF($G$2:$G$1801,G1120)&gt;1,"Duplicate ID - review",IF(AND(P1120&lt;&gt;"Unmapped",P1120&lt;&gt;F1120),"Category mismatch","OK"))))))</f>
        <v>OK</v>
      </c>
      <c r="O1120" s="125">
        <f t="shared" si="51"/>
        <v>1960.25</v>
      </c>
      <c r="P1120" t="str">
        <f>IF(E1120="","Unmapped",IFERROR(INDEX(Supplier_Lookup!$B$2:$B$25,MATCH(E1120,Supplier_Lookup!$A$2:$A$25,0)),"Unmapped"))</f>
        <v>Food &amp; Catering</v>
      </c>
      <c r="Q1120" s="76">
        <f>IFERROR(INDEX(Category_Targets!$B$2:$B$9,MATCH(F1120,Category_Targets!$A$2:$A$9,0)),0)</f>
        <v>0.04</v>
      </c>
      <c r="R1120" s="125">
        <f t="shared" si="52"/>
        <v>78.41</v>
      </c>
      <c r="S1120" s="78">
        <f t="shared" si="53"/>
        <v>45992</v>
      </c>
      <c r="T1120" t="str">
        <f>IFERROR(VLOOKUP(B1120,Sites!$A$2:$D$21,4,FALSE()),"Unknown")</f>
        <v>Birmingham</v>
      </c>
      <c r="U1120" t="str">
        <f>IF(N1120="OK","",COUNTIF($N$2:N1120,"&lt;&gt;OK"))</f>
        <v/>
      </c>
      <c r="V1120">
        <f>IF(OR(NOT(EXACT(E1120,TRIM(Procurement_Raw!E1120))),NOT(EXACT(F1120,TRIM(Procurement_Raw!F1120)))),1,0)</f>
        <v>0</v>
      </c>
    </row>
    <row r="1121" spans="1:22" ht="15" customHeight="1" x14ac:dyDescent="0.25">
      <c r="A1121" s="123">
        <f>Procurement_Raw!A1121</f>
        <v>45902</v>
      </c>
      <c r="B1121" t="str">
        <f>TRIM(Procurement_Raw!B1121)</f>
        <v>S010</v>
      </c>
      <c r="C1121" t="str">
        <f>Procurement_Raw!C1121</f>
        <v>Coventry Care &amp; Education Centre</v>
      </c>
      <c r="D1121" t="str">
        <f>Procurement_Raw!D1121</f>
        <v>Midlands</v>
      </c>
      <c r="E1121" t="str">
        <f>IF(TRIM(Procurement_Raw!E1121)="","",IFERROR(INDEX(Supplier_Lookup!$A$2:$A$25,MATCH(TRIM(Procurement_Raw!E1121),Supplier_Lookup!$A$2:$A$25,0)),TRIM(Procurement_Raw!E1121)))</f>
        <v>KitchenPro</v>
      </c>
      <c r="F1121" t="str">
        <f>IFERROR(INDEX(Category_Targets!$A$2:$A$9,MATCH(TRIM(Procurement_Raw!F1121),Category_Targets!$A$2:$A$9,0)),"Unmapped")</f>
        <v>Food &amp; Catering</v>
      </c>
      <c r="G1121" t="str">
        <f>TRIM(Procurement_Raw!G1121)</f>
        <v>INV-2025-01120</v>
      </c>
      <c r="H1121" s="77">
        <f>Procurement_Raw!H1121</f>
        <v>75</v>
      </c>
      <c r="I1121" s="124">
        <f>Procurement_Raw!I1121</f>
        <v>115.84</v>
      </c>
      <c r="J1121" s="125">
        <f>IF(Procurement_Raw!J1121="","",Procurement_Raw!J1121)</f>
        <v>8688.32</v>
      </c>
      <c r="K1121" s="77">
        <f>Procurement_Raw!K1121</f>
        <v>60</v>
      </c>
      <c r="L1121" t="str">
        <f>Procurement_Raw!L1121</f>
        <v>ERP</v>
      </c>
      <c r="M1121" t="str">
        <f>Procurement_Raw!O1121</f>
        <v>N</v>
      </c>
      <c r="N1121" t="str">
        <f>IF(E1121="","Missing supplier",IF(B1121="","Missing site",IF(J1121="","Missing spend",IF(COUNTIFS($G$2:G1121,G1121,$E$2:E1121,E1121,$J$2:J1121,J1121)&gt;1,"Duplicate invoice",IF(COUNTIF($G$2:$G$1801,G1121)&gt;1,"Duplicate ID - review",IF(AND(P1121&lt;&gt;"Unmapped",P1121&lt;&gt;F1121),"Category mismatch","OK"))))))</f>
        <v>OK</v>
      </c>
      <c r="O1121" s="125">
        <f t="shared" si="51"/>
        <v>8688.32</v>
      </c>
      <c r="P1121" t="str">
        <f>IF(E1121="","Unmapped",IFERROR(INDEX(Supplier_Lookup!$B$2:$B$25,MATCH(E1121,Supplier_Lookup!$A$2:$A$25,0)),"Unmapped"))</f>
        <v>Food &amp; Catering</v>
      </c>
      <c r="Q1121" s="76">
        <f>IFERROR(INDEX(Category_Targets!$B$2:$B$9,MATCH(F1121,Category_Targets!$A$2:$A$9,0)),0)</f>
        <v>0.04</v>
      </c>
      <c r="R1121" s="125">
        <f t="shared" si="52"/>
        <v>347.53280000000001</v>
      </c>
      <c r="S1121" s="78">
        <f t="shared" si="53"/>
        <v>45901</v>
      </c>
      <c r="T1121" t="str">
        <f>IFERROR(VLOOKUP(B1121,Sites!$A$2:$D$21,4,FALSE()),"Unknown")</f>
        <v>Coventry</v>
      </c>
      <c r="U1121" t="str">
        <f>IF(N1121="OK","",COUNTIF($N$2:N1121,"&lt;&gt;OK"))</f>
        <v/>
      </c>
      <c r="V1121">
        <f>IF(OR(NOT(EXACT(E1121,TRIM(Procurement_Raw!E1121))),NOT(EXACT(F1121,TRIM(Procurement_Raw!F1121)))),1,0)</f>
        <v>0</v>
      </c>
    </row>
    <row r="1122" spans="1:22" ht="15" customHeight="1" x14ac:dyDescent="0.25">
      <c r="A1122" s="123">
        <f>Procurement_Raw!A1122</f>
        <v>45838</v>
      </c>
      <c r="B1122" t="str">
        <f>TRIM(Procurement_Raw!B1122)</f>
        <v>S002</v>
      </c>
      <c r="C1122" t="str">
        <f>Procurement_Raw!C1122</f>
        <v>Manchester Care &amp; Education Centre</v>
      </c>
      <c r="D1122" t="str">
        <f>Procurement_Raw!D1122</f>
        <v>North</v>
      </c>
      <c r="E1122" t="str">
        <f>IF(TRIM(Procurement_Raw!E1122)="","",IFERROR(INDEX(Supplier_Lookup!$A$2:$A$25,MATCH(TRIM(Procurement_Raw!E1122),Supplier_Lookup!$A$2:$A$25,0)),TRIM(Procurement_Raw!E1122)))</f>
        <v>WaterGrid</v>
      </c>
      <c r="F1122" t="str">
        <f>IFERROR(INDEX(Category_Targets!$A$2:$A$9,MATCH(TRIM(Procurement_Raw!F1122),Category_Targets!$A$2:$A$9,0)),"Unmapped")</f>
        <v>Utilities</v>
      </c>
      <c r="G1122" t="str">
        <f>TRIM(Procurement_Raw!G1122)</f>
        <v>INV-2025-01121</v>
      </c>
      <c r="H1122" s="77">
        <f>Procurement_Raw!H1122</f>
        <v>35</v>
      </c>
      <c r="I1122" s="124">
        <f>Procurement_Raw!I1122</f>
        <v>459.21</v>
      </c>
      <c r="J1122" s="125">
        <f>IF(Procurement_Raw!J1122="","",Procurement_Raw!J1122)</f>
        <v>16072.23</v>
      </c>
      <c r="K1122" s="77">
        <f>Procurement_Raw!K1122</f>
        <v>60</v>
      </c>
      <c r="L1122" t="str">
        <f>Procurement_Raw!L1122</f>
        <v>Legacy Spend File</v>
      </c>
      <c r="M1122" t="str">
        <f>Procurement_Raw!O1122</f>
        <v>N</v>
      </c>
      <c r="N1122" t="str">
        <f>IF(E1122="","Missing supplier",IF(B1122="","Missing site",IF(J1122="","Missing spend",IF(COUNTIFS($G$2:G1122,G1122,$E$2:E1122,E1122,$J$2:J1122,J1122)&gt;1,"Duplicate invoice",IF(COUNTIF($G$2:$G$1801,G1122)&gt;1,"Duplicate ID - review",IF(AND(P1122&lt;&gt;"Unmapped",P1122&lt;&gt;F1122),"Category mismatch","OK"))))))</f>
        <v>OK</v>
      </c>
      <c r="O1122" s="125">
        <f t="shared" si="51"/>
        <v>16072.23</v>
      </c>
      <c r="P1122" t="str">
        <f>IF(E1122="","Unmapped",IFERROR(INDEX(Supplier_Lookup!$B$2:$B$25,MATCH(E1122,Supplier_Lookup!$A$2:$A$25,0)),"Unmapped"))</f>
        <v>Utilities</v>
      </c>
      <c r="Q1122" s="76">
        <f>IFERROR(INDEX(Category_Targets!$B$2:$B$9,MATCH(F1122,Category_Targets!$A$2:$A$9,0)),0)</f>
        <v>0.03</v>
      </c>
      <c r="R1122" s="125">
        <f t="shared" si="52"/>
        <v>482.16689999999994</v>
      </c>
      <c r="S1122" s="78">
        <f t="shared" si="53"/>
        <v>45809</v>
      </c>
      <c r="T1122" t="str">
        <f>IFERROR(VLOOKUP(B1122,Sites!$A$2:$D$21,4,FALSE()),"Unknown")</f>
        <v>Manchester</v>
      </c>
      <c r="U1122" t="str">
        <f>IF(N1122="OK","",COUNTIF($N$2:N1122,"&lt;&gt;OK"))</f>
        <v/>
      </c>
      <c r="V1122">
        <f>IF(OR(NOT(EXACT(E1122,TRIM(Procurement_Raw!E1122))),NOT(EXACT(F1122,TRIM(Procurement_Raw!F1122)))),1,0)</f>
        <v>0</v>
      </c>
    </row>
    <row r="1123" spans="1:22" ht="15" customHeight="1" x14ac:dyDescent="0.25">
      <c r="A1123" s="123">
        <f>Procurement_Raw!A1123</f>
        <v>45690</v>
      </c>
      <c r="B1123" t="str">
        <f>TRIM(Procurement_Raw!B1123)</f>
        <v>S003</v>
      </c>
      <c r="C1123" t="str">
        <f>Procurement_Raw!C1123</f>
        <v>Leeds Care &amp; Education Centre</v>
      </c>
      <c r="D1123" t="str">
        <f>Procurement_Raw!D1123</f>
        <v>North</v>
      </c>
      <c r="E1123" t="str">
        <f>IF(TRIM(Procurement_Raw!E1123)="","",IFERROR(INDEX(Supplier_Lookup!$A$2:$A$25,MATCH(TRIM(Procurement_Raw!E1123),Supplier_Lookup!$A$2:$A$25,0)),TRIM(Procurement_Raw!E1123)))</f>
        <v>CloudLink</v>
      </c>
      <c r="F1123" t="str">
        <f>IFERROR(INDEX(Category_Targets!$A$2:$A$9,MATCH(TRIM(Procurement_Raw!F1123),Category_Targets!$A$2:$A$9,0)),"Unmapped")</f>
        <v>IT &amp; Telecoms</v>
      </c>
      <c r="G1123" t="str">
        <f>TRIM(Procurement_Raw!G1123)</f>
        <v>INV-2025-01122</v>
      </c>
      <c r="H1123" s="77">
        <f>Procurement_Raw!H1123</f>
        <v>48</v>
      </c>
      <c r="I1123" s="124">
        <f>Procurement_Raw!I1123</f>
        <v>422.63</v>
      </c>
      <c r="J1123" s="125">
        <f>IF(Procurement_Raw!J1123="","",Procurement_Raw!J1123)</f>
        <v>20286.18</v>
      </c>
      <c r="K1123" s="77">
        <f>Procurement_Raw!K1123</f>
        <v>45</v>
      </c>
      <c r="L1123" t="str">
        <f>Procurement_Raw!L1123</f>
        <v>Procurement Portal</v>
      </c>
      <c r="M1123" t="str">
        <f>Procurement_Raw!O1123</f>
        <v>Y</v>
      </c>
      <c r="N1123" t="str">
        <f>IF(E1123="","Missing supplier",IF(B1123="","Missing site",IF(J1123="","Missing spend",IF(COUNTIFS($G$2:G1123,G1123,$E$2:E1123,E1123,$J$2:J1123,J1123)&gt;1,"Duplicate invoice",IF(COUNTIF($G$2:$G$1801,G1123)&gt;1,"Duplicate ID - review",IF(AND(P1123&lt;&gt;"Unmapped",P1123&lt;&gt;F1123),"Category mismatch","OK"))))))</f>
        <v>OK</v>
      </c>
      <c r="O1123" s="125">
        <f t="shared" si="51"/>
        <v>20286.18</v>
      </c>
      <c r="P1123" t="str">
        <f>IF(E1123="","Unmapped",IFERROR(INDEX(Supplier_Lookup!$B$2:$B$25,MATCH(E1123,Supplier_Lookup!$A$2:$A$25,0)),"Unmapped"))</f>
        <v>IT &amp; Telecoms</v>
      </c>
      <c r="Q1123" s="76">
        <f>IFERROR(INDEX(Category_Targets!$B$2:$B$9,MATCH(F1123,Category_Targets!$A$2:$A$9,0)),0)</f>
        <v>0.08</v>
      </c>
      <c r="R1123" s="125">
        <f t="shared" si="52"/>
        <v>1622.8944000000001</v>
      </c>
      <c r="S1123" s="78">
        <f t="shared" si="53"/>
        <v>45689</v>
      </c>
      <c r="T1123" t="str">
        <f>IFERROR(VLOOKUP(B1123,Sites!$A$2:$D$21,4,FALSE()),"Unknown")</f>
        <v>Leeds</v>
      </c>
      <c r="U1123" t="str">
        <f>IF(N1123="OK","",COUNTIF($N$2:N1123,"&lt;&gt;OK"))</f>
        <v/>
      </c>
      <c r="V1123">
        <f>IF(OR(NOT(EXACT(E1123,TRIM(Procurement_Raw!E1123))),NOT(EXACT(F1123,TRIM(Procurement_Raw!F1123)))),1,0)</f>
        <v>0</v>
      </c>
    </row>
    <row r="1124" spans="1:22" ht="15" customHeight="1" x14ac:dyDescent="0.25">
      <c r="A1124" s="123">
        <f>Procurement_Raw!A1124</f>
        <v>46021</v>
      </c>
      <c r="B1124" t="str">
        <f>TRIM(Procurement_Raw!B1124)</f>
        <v>S013</v>
      </c>
      <c r="C1124" t="str">
        <f>Procurement_Raw!C1124</f>
        <v>Reading Care &amp; Education Centre</v>
      </c>
      <c r="D1124" t="str">
        <f>Procurement_Raw!D1124</f>
        <v>South</v>
      </c>
      <c r="E1124" t="str">
        <f>IF(TRIM(Procurement_Raw!E1124)="","",IFERROR(INDEX(Supplier_Lookup!$A$2:$A$25,MATCH(TRIM(Procurement_Raw!E1124),Supplier_Lookup!$A$2:$A$25,0)),TRIM(Procurement_Raw!E1124)))</f>
        <v>NourishCo</v>
      </c>
      <c r="F1124" t="str">
        <f>IFERROR(INDEX(Category_Targets!$A$2:$A$9,MATCH(TRIM(Procurement_Raw!F1124),Category_Targets!$A$2:$A$9,0)),"Unmapped")</f>
        <v>Food &amp; Catering</v>
      </c>
      <c r="G1124" t="str">
        <f>TRIM(Procurement_Raw!G1124)</f>
        <v>INV-2025-01123</v>
      </c>
      <c r="H1124" s="77">
        <f>Procurement_Raw!H1124</f>
        <v>69</v>
      </c>
      <c r="I1124" s="124">
        <f>Procurement_Raw!I1124</f>
        <v>92.36</v>
      </c>
      <c r="J1124" s="125">
        <f>IF(Procurement_Raw!J1124="","",Procurement_Raw!J1124)</f>
        <v>6372.81</v>
      </c>
      <c r="K1124" s="77">
        <f>Procurement_Raw!K1124</f>
        <v>60</v>
      </c>
      <c r="L1124" t="str">
        <f>Procurement_Raw!L1124</f>
        <v>Legacy Spend File</v>
      </c>
      <c r="M1124" t="str">
        <f>Procurement_Raw!O1124</f>
        <v>N</v>
      </c>
      <c r="N1124" t="str">
        <f>IF(E1124="","Missing supplier",IF(B1124="","Missing site",IF(J1124="","Missing spend",IF(COUNTIFS($G$2:G1124,G1124,$E$2:E1124,E1124,$J$2:J1124,J1124)&gt;1,"Duplicate invoice",IF(COUNTIF($G$2:$G$1801,G1124)&gt;1,"Duplicate ID - review",IF(AND(P1124&lt;&gt;"Unmapped",P1124&lt;&gt;F1124),"Category mismatch","OK"))))))</f>
        <v>OK</v>
      </c>
      <c r="O1124" s="125">
        <f t="shared" si="51"/>
        <v>6372.81</v>
      </c>
      <c r="P1124" t="str">
        <f>IF(E1124="","Unmapped",IFERROR(INDEX(Supplier_Lookup!$B$2:$B$25,MATCH(E1124,Supplier_Lookup!$A$2:$A$25,0)),"Unmapped"))</f>
        <v>Food &amp; Catering</v>
      </c>
      <c r="Q1124" s="76">
        <f>IFERROR(INDEX(Category_Targets!$B$2:$B$9,MATCH(F1124,Category_Targets!$A$2:$A$9,0)),0)</f>
        <v>0.04</v>
      </c>
      <c r="R1124" s="125">
        <f t="shared" si="52"/>
        <v>254.91240000000002</v>
      </c>
      <c r="S1124" s="78">
        <f t="shared" si="53"/>
        <v>45992</v>
      </c>
      <c r="T1124" t="str">
        <f>IFERROR(VLOOKUP(B1124,Sites!$A$2:$D$21,4,FALSE()),"Unknown")</f>
        <v>Reading</v>
      </c>
      <c r="U1124" t="str">
        <f>IF(N1124="OK","",COUNTIF($N$2:N1124,"&lt;&gt;OK"))</f>
        <v/>
      </c>
      <c r="V1124">
        <f>IF(OR(NOT(EXACT(E1124,TRIM(Procurement_Raw!E1124))),NOT(EXACT(F1124,TRIM(Procurement_Raw!F1124)))),1,0)</f>
        <v>0</v>
      </c>
    </row>
    <row r="1125" spans="1:22" ht="15" customHeight="1" x14ac:dyDescent="0.25">
      <c r="A1125" s="123">
        <f>Procurement_Raw!A1125</f>
        <v>45846</v>
      </c>
      <c r="B1125" t="str">
        <f>TRIM(Procurement_Raw!B1125)</f>
        <v>S010</v>
      </c>
      <c r="C1125" t="str">
        <f>Procurement_Raw!C1125</f>
        <v>Coventry Care &amp; Education Centre</v>
      </c>
      <c r="D1125" t="str">
        <f>Procurement_Raw!D1125</f>
        <v>Midlands</v>
      </c>
      <c r="E1125" t="str">
        <f>IF(TRIM(Procurement_Raw!E1125)="","",IFERROR(INDEX(Supplier_Lookup!$A$2:$A$25,MATCH(TRIM(Procurement_Raw!E1125),Supplier_Lookup!$A$2:$A$25,0)),TRIM(Procurement_Raw!E1125)))</f>
        <v>PrintCo</v>
      </c>
      <c r="F1125" t="str">
        <f>IFERROR(INDEX(Category_Targets!$A$2:$A$9,MATCH(TRIM(Procurement_Raw!F1125),Category_Targets!$A$2:$A$9,0)),"Unmapped")</f>
        <v>Office &amp; Training</v>
      </c>
      <c r="G1125" t="str">
        <f>TRIM(Procurement_Raw!G1125)</f>
        <v>INV-2025-01124</v>
      </c>
      <c r="H1125" s="77">
        <f>Procurement_Raw!H1125</f>
        <v>9</v>
      </c>
      <c r="I1125" s="124">
        <f>Procurement_Raw!I1125</f>
        <v>40</v>
      </c>
      <c r="J1125" s="125">
        <f>IF(Procurement_Raw!J1125="","",Procurement_Raw!J1125)</f>
        <v>359.98</v>
      </c>
      <c r="K1125" s="77">
        <f>Procurement_Raw!K1125</f>
        <v>30</v>
      </c>
      <c r="L1125" t="str">
        <f>Procurement_Raw!L1125</f>
        <v>Procurement Portal</v>
      </c>
      <c r="M1125" t="str">
        <f>Procurement_Raw!O1125</f>
        <v>N</v>
      </c>
      <c r="N1125" t="str">
        <f>IF(E1125="","Missing supplier",IF(B1125="","Missing site",IF(J1125="","Missing spend",IF(COUNTIFS($G$2:G1125,G1125,$E$2:E1125,E1125,$J$2:J1125,J1125)&gt;1,"Duplicate invoice",IF(COUNTIF($G$2:$G$1801,G1125)&gt;1,"Duplicate ID - review",IF(AND(P1125&lt;&gt;"Unmapped",P1125&lt;&gt;F1125),"Category mismatch","OK"))))))</f>
        <v>OK</v>
      </c>
      <c r="O1125" s="125">
        <f t="shared" si="51"/>
        <v>359.98</v>
      </c>
      <c r="P1125" t="str">
        <f>IF(E1125="","Unmapped",IFERROR(INDEX(Supplier_Lookup!$B$2:$B$25,MATCH(E1125,Supplier_Lookup!$A$2:$A$25,0)),"Unmapped"))</f>
        <v>Office &amp; Training</v>
      </c>
      <c r="Q1125" s="76">
        <f>IFERROR(INDEX(Category_Targets!$B$2:$B$9,MATCH(F1125,Category_Targets!$A$2:$A$9,0)),0)</f>
        <v>0.04</v>
      </c>
      <c r="R1125" s="125">
        <f t="shared" si="52"/>
        <v>14.3992</v>
      </c>
      <c r="S1125" s="78">
        <f t="shared" si="53"/>
        <v>45839</v>
      </c>
      <c r="T1125" t="str">
        <f>IFERROR(VLOOKUP(B1125,Sites!$A$2:$D$21,4,FALSE()),"Unknown")</f>
        <v>Coventry</v>
      </c>
      <c r="U1125" t="str">
        <f>IF(N1125="OK","",COUNTIF($N$2:N1125,"&lt;&gt;OK"))</f>
        <v/>
      </c>
      <c r="V1125">
        <f>IF(OR(NOT(EXACT(E1125,TRIM(Procurement_Raw!E1125))),NOT(EXACT(F1125,TRIM(Procurement_Raw!F1125)))),1,0)</f>
        <v>0</v>
      </c>
    </row>
    <row r="1126" spans="1:22" ht="15" customHeight="1" x14ac:dyDescent="0.25">
      <c r="A1126" s="123">
        <f>Procurement_Raw!A1126</f>
        <v>45749</v>
      </c>
      <c r="B1126" t="str">
        <f>TRIM(Procurement_Raw!B1126)</f>
        <v>S006</v>
      </c>
      <c r="C1126" t="str">
        <f>Procurement_Raw!C1126</f>
        <v>Birmingham Care &amp; Education Centre</v>
      </c>
      <c r="D1126" t="str">
        <f>Procurement_Raw!D1126</f>
        <v>Midlands</v>
      </c>
      <c r="E1126" t="str">
        <f>IF(TRIM(Procurement_Raw!E1126)="","",IFERROR(INDEX(Supplier_Lookup!$A$2:$A$25,MATCH(TRIM(Procurement_Raw!E1126),Supplier_Lookup!$A$2:$A$25,0)),TRIM(Procurement_Raw!E1126)))</f>
        <v>NourishCo</v>
      </c>
      <c r="F1126" t="str">
        <f>IFERROR(INDEX(Category_Targets!$A$2:$A$9,MATCH(TRIM(Procurement_Raw!F1126),Category_Targets!$A$2:$A$9,0)),"Unmapped")</f>
        <v>Food &amp; Catering</v>
      </c>
      <c r="G1126" t="str">
        <f>TRIM(Procurement_Raw!G1126)</f>
        <v>INV-2025-01125</v>
      </c>
      <c r="H1126" s="77">
        <f>Procurement_Raw!H1126</f>
        <v>37</v>
      </c>
      <c r="I1126" s="124">
        <f>Procurement_Raw!I1126</f>
        <v>159.62</v>
      </c>
      <c r="J1126" s="125">
        <f>IF(Procurement_Raw!J1126="","",Procurement_Raw!J1126)</f>
        <v>5905.81</v>
      </c>
      <c r="K1126" s="77">
        <f>Procurement_Raw!K1126</f>
        <v>30</v>
      </c>
      <c r="L1126" t="str">
        <f>Procurement_Raw!L1126</f>
        <v>ERP</v>
      </c>
      <c r="M1126" t="str">
        <f>Procurement_Raw!O1126</f>
        <v>N</v>
      </c>
      <c r="N1126" t="str">
        <f>IF(E1126="","Missing supplier",IF(B1126="","Missing site",IF(J1126="","Missing spend",IF(COUNTIFS($G$2:G1126,G1126,$E$2:E1126,E1126,$J$2:J1126,J1126)&gt;1,"Duplicate invoice",IF(COUNTIF($G$2:$G$1801,G1126)&gt;1,"Duplicate ID - review",IF(AND(P1126&lt;&gt;"Unmapped",P1126&lt;&gt;F1126),"Category mismatch","OK"))))))</f>
        <v>OK</v>
      </c>
      <c r="O1126" s="125">
        <f t="shared" si="51"/>
        <v>5905.81</v>
      </c>
      <c r="P1126" t="str">
        <f>IF(E1126="","Unmapped",IFERROR(INDEX(Supplier_Lookup!$B$2:$B$25,MATCH(E1126,Supplier_Lookup!$A$2:$A$25,0)),"Unmapped"))</f>
        <v>Food &amp; Catering</v>
      </c>
      <c r="Q1126" s="76">
        <f>IFERROR(INDEX(Category_Targets!$B$2:$B$9,MATCH(F1126,Category_Targets!$A$2:$A$9,0)),0)</f>
        <v>0.04</v>
      </c>
      <c r="R1126" s="125">
        <f t="shared" si="52"/>
        <v>236.23240000000001</v>
      </c>
      <c r="S1126" s="78">
        <f t="shared" si="53"/>
        <v>45748</v>
      </c>
      <c r="T1126" t="str">
        <f>IFERROR(VLOOKUP(B1126,Sites!$A$2:$D$21,4,FALSE()),"Unknown")</f>
        <v>Birmingham</v>
      </c>
      <c r="U1126" t="str">
        <f>IF(N1126="OK","",COUNTIF($N$2:N1126,"&lt;&gt;OK"))</f>
        <v/>
      </c>
      <c r="V1126">
        <f>IF(OR(NOT(EXACT(E1126,TRIM(Procurement_Raw!E1126))),NOT(EXACT(F1126,TRIM(Procurement_Raw!F1126)))),1,0)</f>
        <v>0</v>
      </c>
    </row>
    <row r="1127" spans="1:22" ht="15" customHeight="1" x14ac:dyDescent="0.25">
      <c r="A1127" s="123">
        <f>Procurement_Raw!A1127</f>
        <v>46014</v>
      </c>
      <c r="B1127" t="str">
        <f>TRIM(Procurement_Raw!B1127)</f>
        <v>S007</v>
      </c>
      <c r="C1127" t="str">
        <f>Procurement_Raw!C1127</f>
        <v>Nottingham Care &amp; Education Centre</v>
      </c>
      <c r="D1127" t="str">
        <f>Procurement_Raw!D1127</f>
        <v>Midlands</v>
      </c>
      <c r="E1127" t="str">
        <f>IF(TRIM(Procurement_Raw!E1127)="","",IFERROR(INDEX(Supplier_Lookup!$A$2:$A$25,MATCH(TRIM(Procurement_Raw!E1127),Supplier_Lookup!$A$2:$A$25,0)),TRIM(Procurement_Raw!E1127)))</f>
        <v>CloudLink</v>
      </c>
      <c r="F1127" t="str">
        <f>IFERROR(INDEX(Category_Targets!$A$2:$A$9,MATCH(TRIM(Procurement_Raw!F1127),Category_Targets!$A$2:$A$9,0)),"Unmapped")</f>
        <v>IT &amp; Telecoms</v>
      </c>
      <c r="G1127" t="str">
        <f>TRIM(Procurement_Raw!G1127)</f>
        <v>INV-2025-01126</v>
      </c>
      <c r="H1127" s="77">
        <f>Procurement_Raw!H1127</f>
        <v>19</v>
      </c>
      <c r="I1127" s="124">
        <f>Procurement_Raw!I1127</f>
        <v>117.11</v>
      </c>
      <c r="J1127" s="125">
        <f>IF(Procurement_Raw!J1127="","",Procurement_Raw!J1127)</f>
        <v>2225.14</v>
      </c>
      <c r="K1127" s="77">
        <f>Procurement_Raw!K1127</f>
        <v>45</v>
      </c>
      <c r="L1127" t="str">
        <f>Procurement_Raw!L1127</f>
        <v>ERP</v>
      </c>
      <c r="M1127" t="str">
        <f>Procurement_Raw!O1127</f>
        <v>Y</v>
      </c>
      <c r="N1127" t="str">
        <f>IF(E1127="","Missing supplier",IF(B1127="","Missing site",IF(J1127="","Missing spend",IF(COUNTIFS($G$2:G1127,G1127,$E$2:E1127,E1127,$J$2:J1127,J1127)&gt;1,"Duplicate invoice",IF(COUNTIF($G$2:$G$1801,G1127)&gt;1,"Duplicate ID - review",IF(AND(P1127&lt;&gt;"Unmapped",P1127&lt;&gt;F1127),"Category mismatch","OK"))))))</f>
        <v>OK</v>
      </c>
      <c r="O1127" s="125">
        <f t="shared" si="51"/>
        <v>2225.14</v>
      </c>
      <c r="P1127" t="str">
        <f>IF(E1127="","Unmapped",IFERROR(INDEX(Supplier_Lookup!$B$2:$B$25,MATCH(E1127,Supplier_Lookup!$A$2:$A$25,0)),"Unmapped"))</f>
        <v>IT &amp; Telecoms</v>
      </c>
      <c r="Q1127" s="76">
        <f>IFERROR(INDEX(Category_Targets!$B$2:$B$9,MATCH(F1127,Category_Targets!$A$2:$A$9,0)),0)</f>
        <v>0.08</v>
      </c>
      <c r="R1127" s="125">
        <f t="shared" si="52"/>
        <v>178.0112</v>
      </c>
      <c r="S1127" s="78">
        <f t="shared" si="53"/>
        <v>45992</v>
      </c>
      <c r="T1127" t="str">
        <f>IFERROR(VLOOKUP(B1127,Sites!$A$2:$D$21,4,FALSE()),"Unknown")</f>
        <v>Nottingham</v>
      </c>
      <c r="U1127" t="str">
        <f>IF(N1127="OK","",COUNTIF($N$2:N1127,"&lt;&gt;OK"))</f>
        <v/>
      </c>
      <c r="V1127">
        <f>IF(OR(NOT(EXACT(E1127,TRIM(Procurement_Raw!E1127))),NOT(EXACT(F1127,TRIM(Procurement_Raw!F1127)))),1,0)</f>
        <v>0</v>
      </c>
    </row>
    <row r="1128" spans="1:22" ht="15" customHeight="1" x14ac:dyDescent="0.25">
      <c r="A1128" s="123">
        <f>Procurement_Raw!A1128</f>
        <v>45871</v>
      </c>
      <c r="B1128" t="str">
        <f>TRIM(Procurement_Raw!B1128)</f>
        <v>S010</v>
      </c>
      <c r="C1128" t="str">
        <f>Procurement_Raw!C1128</f>
        <v>Coventry Care &amp; Education Centre</v>
      </c>
      <c r="D1128" t="str">
        <f>Procurement_Raw!D1128</f>
        <v>Midlands</v>
      </c>
      <c r="E1128" t="str">
        <f>IF(TRIM(Procurement_Raw!E1128)="","",IFERROR(INDEX(Supplier_Lookup!$A$2:$A$25,MATCH(TRIM(Procurement_Raw!E1128),Supplier_Lookup!$A$2:$A$25,0)),TRIM(Procurement_Raw!E1128)))</f>
        <v>CareMed</v>
      </c>
      <c r="F1128" t="str">
        <f>IFERROR(INDEX(Category_Targets!$A$2:$A$9,MATCH(TRIM(Procurement_Raw!F1128),Category_Targets!$A$2:$A$9,0)),"Unmapped")</f>
        <v>Medical Supplies</v>
      </c>
      <c r="G1128" t="str">
        <f>TRIM(Procurement_Raw!G1128)</f>
        <v>INV-2025-01127</v>
      </c>
      <c r="H1128" s="77">
        <f>Procurement_Raw!H1128</f>
        <v>70</v>
      </c>
      <c r="I1128" s="124">
        <f>Procurement_Raw!I1128</f>
        <v>141.72999999999999</v>
      </c>
      <c r="J1128" s="125">
        <f>IF(Procurement_Raw!J1128="","",Procurement_Raw!J1128)</f>
        <v>9921.27</v>
      </c>
      <c r="K1128" s="77">
        <f>Procurement_Raw!K1128</f>
        <v>30</v>
      </c>
      <c r="L1128" t="str">
        <f>Procurement_Raw!L1128</f>
        <v>Procurement Portal</v>
      </c>
      <c r="M1128" t="str">
        <f>Procurement_Raw!O1128</f>
        <v>N</v>
      </c>
      <c r="N1128" t="str">
        <f>IF(E1128="","Missing supplier",IF(B1128="","Missing site",IF(J1128="","Missing spend",IF(COUNTIFS($G$2:G1128,G1128,$E$2:E1128,E1128,$J$2:J1128,J1128)&gt;1,"Duplicate invoice",IF(COUNTIF($G$2:$G$1801,G1128)&gt;1,"Duplicate ID - review",IF(AND(P1128&lt;&gt;"Unmapped",P1128&lt;&gt;F1128),"Category mismatch","OK"))))))</f>
        <v>OK</v>
      </c>
      <c r="O1128" s="125">
        <f t="shared" si="51"/>
        <v>9921.27</v>
      </c>
      <c r="P1128" t="str">
        <f>IF(E1128="","Unmapped",IFERROR(INDEX(Supplier_Lookup!$B$2:$B$25,MATCH(E1128,Supplier_Lookup!$A$2:$A$25,0)),"Unmapped"))</f>
        <v>Medical Supplies</v>
      </c>
      <c r="Q1128" s="76">
        <f>IFERROR(INDEX(Category_Targets!$B$2:$B$9,MATCH(F1128,Category_Targets!$A$2:$A$9,0)),0)</f>
        <v>0.06</v>
      </c>
      <c r="R1128" s="125">
        <f t="shared" si="52"/>
        <v>595.27620000000002</v>
      </c>
      <c r="S1128" s="78">
        <f t="shared" si="53"/>
        <v>45870</v>
      </c>
      <c r="T1128" t="str">
        <f>IFERROR(VLOOKUP(B1128,Sites!$A$2:$D$21,4,FALSE()),"Unknown")</f>
        <v>Coventry</v>
      </c>
      <c r="U1128" t="str">
        <f>IF(N1128="OK","",COUNTIF($N$2:N1128,"&lt;&gt;OK"))</f>
        <v/>
      </c>
      <c r="V1128">
        <f>IF(OR(NOT(EXACT(E1128,TRIM(Procurement_Raw!E1128))),NOT(EXACT(F1128,TRIM(Procurement_Raw!F1128)))),1,0)</f>
        <v>0</v>
      </c>
    </row>
    <row r="1129" spans="1:22" ht="15" customHeight="1" x14ac:dyDescent="0.25">
      <c r="A1129" s="123">
        <f>Procurement_Raw!A1129</f>
        <v>45988</v>
      </c>
      <c r="B1129" t="str">
        <f>TRIM(Procurement_Raw!B1129)</f>
        <v>S008</v>
      </c>
      <c r="C1129" t="str">
        <f>Procurement_Raw!C1129</f>
        <v>Leicester Care &amp; Education Centre</v>
      </c>
      <c r="D1129" t="str">
        <f>Procurement_Raw!D1129</f>
        <v>Midlands</v>
      </c>
      <c r="E1129" t="str">
        <f>IF(TRIM(Procurement_Raw!E1129)="","",IFERROR(INDEX(Supplier_Lookup!$A$2:$A$25,MATCH(TRIM(Procurement_Raw!E1129),Supplier_Lookup!$A$2:$A$25,0)),TRIM(Procurement_Raw!E1129)))</f>
        <v>CareTemps</v>
      </c>
      <c r="F1129" t="str">
        <f>IFERROR(INDEX(Category_Targets!$A$2:$A$9,MATCH(TRIM(Procurement_Raw!F1129),Category_Targets!$A$2:$A$9,0)),"Unmapped")</f>
        <v>Agency Labour</v>
      </c>
      <c r="G1129" t="str">
        <f>TRIM(Procurement_Raw!G1129)</f>
        <v>INV-2025-01128</v>
      </c>
      <c r="H1129" s="77">
        <f>Procurement_Raw!H1129</f>
        <v>3</v>
      </c>
      <c r="I1129" s="124">
        <f>Procurement_Raw!I1129</f>
        <v>198.13</v>
      </c>
      <c r="J1129" s="125">
        <f>IF(Procurement_Raw!J1129="","",Procurement_Raw!J1129)</f>
        <v>594.39</v>
      </c>
      <c r="K1129" s="77">
        <f>Procurement_Raw!K1129</f>
        <v>45</v>
      </c>
      <c r="L1129" t="str">
        <f>Procurement_Raw!L1129</f>
        <v>ERP</v>
      </c>
      <c r="M1129" t="str">
        <f>Procurement_Raw!O1129</f>
        <v>N</v>
      </c>
      <c r="N1129" t="str">
        <f>IF(E1129="","Missing supplier",IF(B1129="","Missing site",IF(J1129="","Missing spend",IF(COUNTIFS($G$2:G1129,G1129,$E$2:E1129,E1129,$J$2:J1129,J1129)&gt;1,"Duplicate invoice",IF(COUNTIF($G$2:$G$1801,G1129)&gt;1,"Duplicate ID - review",IF(AND(P1129&lt;&gt;"Unmapped",P1129&lt;&gt;F1129),"Category mismatch","OK"))))))</f>
        <v>OK</v>
      </c>
      <c r="O1129" s="125">
        <f t="shared" si="51"/>
        <v>594.39</v>
      </c>
      <c r="P1129" t="str">
        <f>IF(E1129="","Unmapped",IFERROR(INDEX(Supplier_Lookup!$B$2:$B$25,MATCH(E1129,Supplier_Lookup!$A$2:$A$25,0)),"Unmapped"))</f>
        <v>Agency Labour</v>
      </c>
      <c r="Q1129" s="76">
        <f>IFERROR(INDEX(Category_Targets!$B$2:$B$9,MATCH(F1129,Category_Targets!$A$2:$A$9,0)),0)</f>
        <v>7.0000000000000007E-2</v>
      </c>
      <c r="R1129" s="125">
        <f t="shared" si="52"/>
        <v>41.607300000000002</v>
      </c>
      <c r="S1129" s="78">
        <f t="shared" si="53"/>
        <v>45962</v>
      </c>
      <c r="T1129" t="str">
        <f>IFERROR(VLOOKUP(B1129,Sites!$A$2:$D$21,4,FALSE()),"Unknown")</f>
        <v>Leicester</v>
      </c>
      <c r="U1129" t="str">
        <f>IF(N1129="OK","",COUNTIF($N$2:N1129,"&lt;&gt;OK"))</f>
        <v/>
      </c>
      <c r="V1129">
        <f>IF(OR(NOT(EXACT(E1129,TRIM(Procurement_Raw!E1129))),NOT(EXACT(F1129,TRIM(Procurement_Raw!F1129)))),1,0)</f>
        <v>0</v>
      </c>
    </row>
    <row r="1130" spans="1:22" ht="15" customHeight="1" x14ac:dyDescent="0.25">
      <c r="A1130" s="123">
        <f>Procurement_Raw!A1130</f>
        <v>45924</v>
      </c>
      <c r="B1130" t="str">
        <f>TRIM(Procurement_Raw!B1130)</f>
        <v>S015</v>
      </c>
      <c r="C1130" t="str">
        <f>Procurement_Raw!C1130</f>
        <v>Brighton Care &amp; Education Centre</v>
      </c>
      <c r="D1130" t="str">
        <f>Procurement_Raw!D1130</f>
        <v>South</v>
      </c>
      <c r="E1130" t="str">
        <f>IF(TRIM(Procurement_Raw!E1130)="","",IFERROR(INDEX(Supplier_Lookup!$A$2:$A$25,MATCH(TRIM(Procurement_Raw!E1130),Supplier_Lookup!$A$2:$A$25,0)),TRIM(Procurement_Raw!E1130)))</f>
        <v>MediSure</v>
      </c>
      <c r="F1130" t="str">
        <f>IFERROR(INDEX(Category_Targets!$A$2:$A$9,MATCH(TRIM(Procurement_Raw!F1130),Category_Targets!$A$2:$A$9,0)),"Unmapped")</f>
        <v>Medical Supplies</v>
      </c>
      <c r="G1130" t="str">
        <f>TRIM(Procurement_Raw!G1130)</f>
        <v>INV-2025-01129</v>
      </c>
      <c r="H1130" s="77">
        <f>Procurement_Raw!H1130</f>
        <v>43</v>
      </c>
      <c r="I1130" s="124">
        <f>Procurement_Raw!I1130</f>
        <v>115.84</v>
      </c>
      <c r="J1130" s="125">
        <f>IF(Procurement_Raw!J1130="","",Procurement_Raw!J1130)</f>
        <v>4981.1499999999996</v>
      </c>
      <c r="K1130" s="77">
        <f>Procurement_Raw!K1130</f>
        <v>45</v>
      </c>
      <c r="L1130" t="str">
        <f>Procurement_Raw!L1130</f>
        <v>Legacy Spend File</v>
      </c>
      <c r="M1130" t="str">
        <f>Procurement_Raw!O1130</f>
        <v>Y</v>
      </c>
      <c r="N1130" t="str">
        <f>IF(E1130="","Missing supplier",IF(B1130="","Missing site",IF(J1130="","Missing spend",IF(COUNTIFS($G$2:G1130,G1130,$E$2:E1130,E1130,$J$2:J1130,J1130)&gt;1,"Duplicate invoice",IF(COUNTIF($G$2:$G$1801,G1130)&gt;1,"Duplicate ID - review",IF(AND(P1130&lt;&gt;"Unmapped",P1130&lt;&gt;F1130),"Category mismatch","OK"))))))</f>
        <v>OK</v>
      </c>
      <c r="O1130" s="125">
        <f t="shared" si="51"/>
        <v>4981.1499999999996</v>
      </c>
      <c r="P1130" t="str">
        <f>IF(E1130="","Unmapped",IFERROR(INDEX(Supplier_Lookup!$B$2:$B$25,MATCH(E1130,Supplier_Lookup!$A$2:$A$25,0)),"Unmapped"))</f>
        <v>Medical Supplies</v>
      </c>
      <c r="Q1130" s="76">
        <f>IFERROR(INDEX(Category_Targets!$B$2:$B$9,MATCH(F1130,Category_Targets!$A$2:$A$9,0)),0)</f>
        <v>0.06</v>
      </c>
      <c r="R1130" s="125">
        <f t="shared" si="52"/>
        <v>298.86899999999997</v>
      </c>
      <c r="S1130" s="78">
        <f t="shared" si="53"/>
        <v>45901</v>
      </c>
      <c r="T1130" t="str">
        <f>IFERROR(VLOOKUP(B1130,Sites!$A$2:$D$21,4,FALSE()),"Unknown")</f>
        <v>Brighton</v>
      </c>
      <c r="U1130" t="str">
        <f>IF(N1130="OK","",COUNTIF($N$2:N1130,"&lt;&gt;OK"))</f>
        <v/>
      </c>
      <c r="V1130">
        <f>IF(OR(NOT(EXACT(E1130,TRIM(Procurement_Raw!E1130))),NOT(EXACT(F1130,TRIM(Procurement_Raw!F1130)))),1,0)</f>
        <v>0</v>
      </c>
    </row>
    <row r="1131" spans="1:22" ht="15" customHeight="1" x14ac:dyDescent="0.25">
      <c r="A1131" s="123">
        <f>Procurement_Raw!A1131</f>
        <v>45961</v>
      </c>
      <c r="B1131" t="str">
        <f>TRIM(Procurement_Raw!B1131)</f>
        <v>S013</v>
      </c>
      <c r="C1131" t="str">
        <f>Procurement_Raw!C1131</f>
        <v>Reading Care &amp; Education Centre</v>
      </c>
      <c r="D1131" t="str">
        <f>Procurement_Raw!D1131</f>
        <v>South</v>
      </c>
      <c r="E1131" t="str">
        <f>IF(TRIM(Procurement_Raw!E1131)="","",IFERROR(INDEX(Supplier_Lookup!$A$2:$A$25,MATCH(TRIM(Procurement_Raw!E1131),Supplier_Lookup!$A$2:$A$25,0)),TRIM(Procurement_Raw!E1131)))</f>
        <v>RoadReady</v>
      </c>
      <c r="F1131" t="str">
        <f>IFERROR(INDEX(Category_Targets!$A$2:$A$9,MATCH(TRIM(Procurement_Raw!F1131),Category_Targets!$A$2:$A$9,0)),"Unmapped")</f>
        <v>Vehicle &amp; Fuel</v>
      </c>
      <c r="G1131" t="str">
        <f>TRIM(Procurement_Raw!G1131)</f>
        <v>INV-2025-01130</v>
      </c>
      <c r="H1131" s="77">
        <f>Procurement_Raw!H1131</f>
        <v>68</v>
      </c>
      <c r="I1131" s="124">
        <f>Procurement_Raw!I1131</f>
        <v>113.83</v>
      </c>
      <c r="J1131" s="125">
        <f>IF(Procurement_Raw!J1131="","",Procurement_Raw!J1131)</f>
        <v>7740.36</v>
      </c>
      <c r="K1131" s="77">
        <f>Procurement_Raw!K1131</f>
        <v>60</v>
      </c>
      <c r="L1131" t="str">
        <f>Procurement_Raw!L1131</f>
        <v>Procurement Portal</v>
      </c>
      <c r="M1131" t="str">
        <f>Procurement_Raw!O1131</f>
        <v>N</v>
      </c>
      <c r="N1131" t="str">
        <f>IF(E1131="","Missing supplier",IF(B1131="","Missing site",IF(J1131="","Missing spend",IF(COUNTIFS($G$2:G1131,G1131,$E$2:E1131,E1131,$J$2:J1131,J1131)&gt;1,"Duplicate invoice",IF(COUNTIF($G$2:$G$1801,G1131)&gt;1,"Duplicate ID - review",IF(AND(P1131&lt;&gt;"Unmapped",P1131&lt;&gt;F1131),"Category mismatch","OK"))))))</f>
        <v>OK</v>
      </c>
      <c r="O1131" s="125">
        <f t="shared" si="51"/>
        <v>7740.36</v>
      </c>
      <c r="P1131" t="str">
        <f>IF(E1131="","Unmapped",IFERROR(INDEX(Supplier_Lookup!$B$2:$B$25,MATCH(E1131,Supplier_Lookup!$A$2:$A$25,0)),"Unmapped"))</f>
        <v>Vehicle &amp; Fuel</v>
      </c>
      <c r="Q1131" s="76">
        <f>IFERROR(INDEX(Category_Targets!$B$2:$B$9,MATCH(F1131,Category_Targets!$A$2:$A$9,0)),0)</f>
        <v>0.05</v>
      </c>
      <c r="R1131" s="125">
        <f t="shared" si="52"/>
        <v>387.01800000000003</v>
      </c>
      <c r="S1131" s="78">
        <f t="shared" si="53"/>
        <v>45931</v>
      </c>
      <c r="T1131" t="str">
        <f>IFERROR(VLOOKUP(B1131,Sites!$A$2:$D$21,4,FALSE()),"Unknown")</f>
        <v>Reading</v>
      </c>
      <c r="U1131" t="str">
        <f>IF(N1131="OK","",COUNTIF($N$2:N1131,"&lt;&gt;OK"))</f>
        <v/>
      </c>
      <c r="V1131">
        <f>IF(OR(NOT(EXACT(E1131,TRIM(Procurement_Raw!E1131))),NOT(EXACT(F1131,TRIM(Procurement_Raw!F1131)))),1,0)</f>
        <v>0</v>
      </c>
    </row>
    <row r="1132" spans="1:22" ht="15" customHeight="1" x14ac:dyDescent="0.25">
      <c r="A1132" s="123">
        <f>Procurement_Raw!A1132</f>
        <v>45725</v>
      </c>
      <c r="B1132" t="str">
        <f>TRIM(Procurement_Raw!B1132)</f>
        <v>S018</v>
      </c>
      <c r="C1132" t="str">
        <f>Procurement_Raw!C1132</f>
        <v>Newport Care &amp; Education Centre</v>
      </c>
      <c r="D1132" t="str">
        <f>Procurement_Raw!D1132</f>
        <v>Wales</v>
      </c>
      <c r="E1132" t="str">
        <f>IF(TRIM(Procurement_Raw!E1132)="","",IFERROR(INDEX(Supplier_Lookup!$A$2:$A$25,MATCH(TRIM(Procurement_Raw!E1132),Supplier_Lookup!$A$2:$A$25,0)),TRIM(Procurement_Raw!E1132)))</f>
        <v>NetServe</v>
      </c>
      <c r="F1132" t="str">
        <f>IFERROR(INDEX(Category_Targets!$A$2:$A$9,MATCH(TRIM(Procurement_Raw!F1132),Category_Targets!$A$2:$A$9,0)),"Unmapped")</f>
        <v>IT &amp; Telecoms</v>
      </c>
      <c r="G1132" t="str">
        <f>TRIM(Procurement_Raw!G1132)</f>
        <v>INV-2025-01131</v>
      </c>
      <c r="H1132" s="77">
        <f>Procurement_Raw!H1132</f>
        <v>40</v>
      </c>
      <c r="I1132" s="124">
        <f>Procurement_Raw!I1132</f>
        <v>262.52999999999997</v>
      </c>
      <c r="J1132" s="125">
        <f>IF(Procurement_Raw!J1132="","",Procurement_Raw!J1132)</f>
        <v>10501.29</v>
      </c>
      <c r="K1132" s="77">
        <f>Procurement_Raw!K1132</f>
        <v>30</v>
      </c>
      <c r="L1132" t="str">
        <f>Procurement_Raw!L1132</f>
        <v>Procurement Portal</v>
      </c>
      <c r="M1132" t="str">
        <f>Procurement_Raw!O1132</f>
        <v>N</v>
      </c>
      <c r="N1132" t="str">
        <f>IF(E1132="","Missing supplier",IF(B1132="","Missing site",IF(J1132="","Missing spend",IF(COUNTIFS($G$2:G1132,G1132,$E$2:E1132,E1132,$J$2:J1132,J1132)&gt;1,"Duplicate invoice",IF(COUNTIF($G$2:$G$1801,G1132)&gt;1,"Duplicate ID - review",IF(AND(P1132&lt;&gt;"Unmapped",P1132&lt;&gt;F1132),"Category mismatch","OK"))))))</f>
        <v>OK</v>
      </c>
      <c r="O1132" s="125">
        <f t="shared" si="51"/>
        <v>10501.29</v>
      </c>
      <c r="P1132" t="str">
        <f>IF(E1132="","Unmapped",IFERROR(INDEX(Supplier_Lookup!$B$2:$B$25,MATCH(E1132,Supplier_Lookup!$A$2:$A$25,0)),"Unmapped"))</f>
        <v>IT &amp; Telecoms</v>
      </c>
      <c r="Q1132" s="76">
        <f>IFERROR(INDEX(Category_Targets!$B$2:$B$9,MATCH(F1132,Category_Targets!$A$2:$A$9,0)),0)</f>
        <v>0.08</v>
      </c>
      <c r="R1132" s="125">
        <f t="shared" si="52"/>
        <v>840.10320000000013</v>
      </c>
      <c r="S1132" s="78">
        <f t="shared" si="53"/>
        <v>45717</v>
      </c>
      <c r="T1132" t="str">
        <f>IFERROR(VLOOKUP(B1132,Sites!$A$2:$D$21,4,FALSE()),"Unknown")</f>
        <v>Newport</v>
      </c>
      <c r="U1132" t="str">
        <f>IF(N1132="OK","",COUNTIF($N$2:N1132,"&lt;&gt;OK"))</f>
        <v/>
      </c>
      <c r="V1132">
        <f>IF(OR(NOT(EXACT(E1132,TRIM(Procurement_Raw!E1132))),NOT(EXACT(F1132,TRIM(Procurement_Raw!F1132)))),1,0)</f>
        <v>0</v>
      </c>
    </row>
    <row r="1133" spans="1:22" ht="15" customHeight="1" x14ac:dyDescent="0.25">
      <c r="A1133" s="123">
        <f>Procurement_Raw!A1133</f>
        <v>45805</v>
      </c>
      <c r="B1133" t="str">
        <f>TRIM(Procurement_Raw!B1133)</f>
        <v>S002</v>
      </c>
      <c r="C1133" t="str">
        <f>Procurement_Raw!C1133</f>
        <v>Manchester Care &amp; Education Centre</v>
      </c>
      <c r="D1133" t="str">
        <f>Procurement_Raw!D1133</f>
        <v>North</v>
      </c>
      <c r="E1133" t="str">
        <f>IF(TRIM(Procurement_Raw!E1133)="","",IFERROR(INDEX(Supplier_Lookup!$A$2:$A$25,MATCH(TRIM(Procurement_Raw!E1133),Supplier_Lookup!$A$2:$A$25,0)),TRIM(Procurement_Raw!E1133)))</f>
        <v>LearnWell</v>
      </c>
      <c r="F1133" t="str">
        <f>IFERROR(INDEX(Category_Targets!$A$2:$A$9,MATCH(TRIM(Procurement_Raw!F1133),Category_Targets!$A$2:$A$9,0)),"Unmapped")</f>
        <v>Office &amp; Training</v>
      </c>
      <c r="G1133" t="str">
        <f>TRIM(Procurement_Raw!G1133)</f>
        <v>INV-2025-01132</v>
      </c>
      <c r="H1133" s="77">
        <f>Procurement_Raw!H1133</f>
        <v>7</v>
      </c>
      <c r="I1133" s="124">
        <f>Procurement_Raw!I1133</f>
        <v>94.59</v>
      </c>
      <c r="J1133" s="125">
        <f>IF(Procurement_Raw!J1133="","",Procurement_Raw!J1133)</f>
        <v>662.13</v>
      </c>
      <c r="K1133" s="77">
        <f>Procurement_Raw!K1133</f>
        <v>30</v>
      </c>
      <c r="L1133" t="str">
        <f>Procurement_Raw!L1133</f>
        <v>Procurement Portal</v>
      </c>
      <c r="M1133" t="str">
        <f>Procurement_Raw!O1133</f>
        <v>N</v>
      </c>
      <c r="N1133" t="str">
        <f>IF(E1133="","Missing supplier",IF(B1133="","Missing site",IF(J1133="","Missing spend",IF(COUNTIFS($G$2:G1133,G1133,$E$2:E1133,E1133,$J$2:J1133,J1133)&gt;1,"Duplicate invoice",IF(COUNTIF($G$2:$G$1801,G1133)&gt;1,"Duplicate ID - review",IF(AND(P1133&lt;&gt;"Unmapped",P1133&lt;&gt;F1133),"Category mismatch","OK"))))))</f>
        <v>OK</v>
      </c>
      <c r="O1133" s="125">
        <f t="shared" si="51"/>
        <v>662.13</v>
      </c>
      <c r="P1133" t="str">
        <f>IF(E1133="","Unmapped",IFERROR(INDEX(Supplier_Lookup!$B$2:$B$25,MATCH(E1133,Supplier_Lookup!$A$2:$A$25,0)),"Unmapped"))</f>
        <v>Office &amp; Training</v>
      </c>
      <c r="Q1133" s="76">
        <f>IFERROR(INDEX(Category_Targets!$B$2:$B$9,MATCH(F1133,Category_Targets!$A$2:$A$9,0)),0)</f>
        <v>0.04</v>
      </c>
      <c r="R1133" s="125">
        <f t="shared" si="52"/>
        <v>26.485199999999999</v>
      </c>
      <c r="S1133" s="78">
        <f t="shared" si="53"/>
        <v>45778</v>
      </c>
      <c r="T1133" t="str">
        <f>IFERROR(VLOOKUP(B1133,Sites!$A$2:$D$21,4,FALSE()),"Unknown")</f>
        <v>Manchester</v>
      </c>
      <c r="U1133" t="str">
        <f>IF(N1133="OK","",COUNTIF($N$2:N1133,"&lt;&gt;OK"))</f>
        <v/>
      </c>
      <c r="V1133">
        <f>IF(OR(NOT(EXACT(E1133,TRIM(Procurement_Raw!E1133))),NOT(EXACT(F1133,TRIM(Procurement_Raw!F1133)))),1,0)</f>
        <v>0</v>
      </c>
    </row>
    <row r="1134" spans="1:22" ht="15" customHeight="1" x14ac:dyDescent="0.25">
      <c r="A1134" s="123">
        <f>Procurement_Raw!A1134</f>
        <v>45974</v>
      </c>
      <c r="B1134" t="str">
        <f>TRIM(Procurement_Raw!B1134)</f>
        <v>S011</v>
      </c>
      <c r="C1134" t="str">
        <f>Procurement_Raw!C1134</f>
        <v>London Care &amp; Education Centre</v>
      </c>
      <c r="D1134" t="str">
        <f>Procurement_Raw!D1134</f>
        <v>South</v>
      </c>
      <c r="E1134" t="str">
        <f>IF(TRIM(Procurement_Raw!E1134)="","",IFERROR(INDEX(Supplier_Lookup!$A$2:$A$25,MATCH(TRIM(Procurement_Raw!E1134),Supplier_Lookup!$A$2:$A$25,0)),TRIM(Procurement_Raw!E1134)))</f>
        <v>OfficePlus</v>
      </c>
      <c r="F1134" t="str">
        <f>IFERROR(INDEX(Category_Targets!$A$2:$A$9,MATCH(TRIM(Procurement_Raw!F1134),Category_Targets!$A$2:$A$9,0)),"Unmapped")</f>
        <v>Office &amp; Training</v>
      </c>
      <c r="G1134" t="str">
        <f>TRIM(Procurement_Raw!G1134)</f>
        <v>INV-2025-01133</v>
      </c>
      <c r="H1134" s="77">
        <f>Procurement_Raw!H1134</f>
        <v>21</v>
      </c>
      <c r="I1134" s="124">
        <f>Procurement_Raw!I1134</f>
        <v>182.19</v>
      </c>
      <c r="J1134" s="125">
        <f>IF(Procurement_Raw!J1134="","",Procurement_Raw!J1134)</f>
        <v>3825.91</v>
      </c>
      <c r="K1134" s="77">
        <f>Procurement_Raw!K1134</f>
        <v>60</v>
      </c>
      <c r="L1134" t="str">
        <f>Procurement_Raw!L1134</f>
        <v>Legacy Spend File</v>
      </c>
      <c r="M1134" t="str">
        <f>Procurement_Raw!O1134</f>
        <v>N</v>
      </c>
      <c r="N1134" t="str">
        <f>IF(E1134="","Missing supplier",IF(B1134="","Missing site",IF(J1134="","Missing spend",IF(COUNTIFS($G$2:G1134,G1134,$E$2:E1134,E1134,$J$2:J1134,J1134)&gt;1,"Duplicate invoice",IF(COUNTIF($G$2:$G$1801,G1134)&gt;1,"Duplicate ID - review",IF(AND(P1134&lt;&gt;"Unmapped",P1134&lt;&gt;F1134),"Category mismatch","OK"))))))</f>
        <v>OK</v>
      </c>
      <c r="O1134" s="125">
        <f t="shared" si="51"/>
        <v>3825.91</v>
      </c>
      <c r="P1134" t="str">
        <f>IF(E1134="","Unmapped",IFERROR(INDEX(Supplier_Lookup!$B$2:$B$25,MATCH(E1134,Supplier_Lookup!$A$2:$A$25,0)),"Unmapped"))</f>
        <v>Office &amp; Training</v>
      </c>
      <c r="Q1134" s="76">
        <f>IFERROR(INDEX(Category_Targets!$B$2:$B$9,MATCH(F1134,Category_Targets!$A$2:$A$9,0)),0)</f>
        <v>0.04</v>
      </c>
      <c r="R1134" s="125">
        <f t="shared" si="52"/>
        <v>153.03639999999999</v>
      </c>
      <c r="S1134" s="78">
        <f t="shared" si="53"/>
        <v>45962</v>
      </c>
      <c r="T1134" t="str">
        <f>IFERROR(VLOOKUP(B1134,Sites!$A$2:$D$21,4,FALSE()),"Unknown")</f>
        <v>London</v>
      </c>
      <c r="U1134" t="str">
        <f>IF(N1134="OK","",COUNTIF($N$2:N1134,"&lt;&gt;OK"))</f>
        <v/>
      </c>
      <c r="V1134">
        <f>IF(OR(NOT(EXACT(E1134,TRIM(Procurement_Raw!E1134))),NOT(EXACT(F1134,TRIM(Procurement_Raw!F1134)))),1,0)</f>
        <v>0</v>
      </c>
    </row>
    <row r="1135" spans="1:22" ht="15" customHeight="1" x14ac:dyDescent="0.25">
      <c r="A1135" s="123">
        <f>Procurement_Raw!A1135</f>
        <v>46020</v>
      </c>
      <c r="B1135" t="str">
        <f>TRIM(Procurement_Raw!B1135)</f>
        <v>S006</v>
      </c>
      <c r="C1135" t="str">
        <f>Procurement_Raw!C1135</f>
        <v>Birmingham Care &amp; Education Centre</v>
      </c>
      <c r="D1135" t="str">
        <f>Procurement_Raw!D1135</f>
        <v>Midlands</v>
      </c>
      <c r="E1135" t="str">
        <f>IF(TRIM(Procurement_Raw!E1135)="","",IFERROR(INDEX(Supplier_Lookup!$A$2:$A$25,MATCH(TRIM(Procurement_Raw!E1135),Supplier_Lookup!$A$2:$A$25,0)),TRIM(Procurement_Raw!E1135)))</f>
        <v>CleanWorks</v>
      </c>
      <c r="F1135" t="str">
        <f>IFERROR(INDEX(Category_Targets!$A$2:$A$9,MATCH(TRIM(Procurement_Raw!F1135),Category_Targets!$A$2:$A$9,0)),"Unmapped")</f>
        <v>Facilities</v>
      </c>
      <c r="G1135" t="str">
        <f>TRIM(Procurement_Raw!G1135)</f>
        <v>INV-2025-01134</v>
      </c>
      <c r="H1135" s="77">
        <f>Procurement_Raw!H1135</f>
        <v>20</v>
      </c>
      <c r="I1135" s="124">
        <f>Procurement_Raw!I1135</f>
        <v>231</v>
      </c>
      <c r="J1135" s="125">
        <f>IF(Procurement_Raw!J1135="","",Procurement_Raw!J1135)</f>
        <v>4619.92</v>
      </c>
      <c r="K1135" s="77">
        <f>Procurement_Raw!K1135</f>
        <v>30</v>
      </c>
      <c r="L1135" t="str">
        <f>Procurement_Raw!L1135</f>
        <v>ERP</v>
      </c>
      <c r="M1135" t="str">
        <f>Procurement_Raw!O1135</f>
        <v>Y</v>
      </c>
      <c r="N1135" t="str">
        <f>IF(E1135="","Missing supplier",IF(B1135="","Missing site",IF(J1135="","Missing spend",IF(COUNTIFS($G$2:G1135,G1135,$E$2:E1135,E1135,$J$2:J1135,J1135)&gt;1,"Duplicate invoice",IF(COUNTIF($G$2:$G$1801,G1135)&gt;1,"Duplicate ID - review",IF(AND(P1135&lt;&gt;"Unmapped",P1135&lt;&gt;F1135),"Category mismatch","OK"))))))</f>
        <v>OK</v>
      </c>
      <c r="O1135" s="125">
        <f t="shared" si="51"/>
        <v>4619.92</v>
      </c>
      <c r="P1135" t="str">
        <f>IF(E1135="","Unmapped",IFERROR(INDEX(Supplier_Lookup!$B$2:$B$25,MATCH(E1135,Supplier_Lookup!$A$2:$A$25,0)),"Unmapped"))</f>
        <v>Facilities</v>
      </c>
      <c r="Q1135" s="76">
        <f>IFERROR(INDEX(Category_Targets!$B$2:$B$9,MATCH(F1135,Category_Targets!$A$2:$A$9,0)),0)</f>
        <v>0.05</v>
      </c>
      <c r="R1135" s="125">
        <f t="shared" si="52"/>
        <v>230.99600000000001</v>
      </c>
      <c r="S1135" s="78">
        <f t="shared" si="53"/>
        <v>45992</v>
      </c>
      <c r="T1135" t="str">
        <f>IFERROR(VLOOKUP(B1135,Sites!$A$2:$D$21,4,FALSE()),"Unknown")</f>
        <v>Birmingham</v>
      </c>
      <c r="U1135" t="str">
        <f>IF(N1135="OK","",COUNTIF($N$2:N1135,"&lt;&gt;OK"))</f>
        <v/>
      </c>
      <c r="V1135">
        <f>IF(OR(NOT(EXACT(E1135,TRIM(Procurement_Raw!E1135))),NOT(EXACT(F1135,TRIM(Procurement_Raw!F1135)))),1,0)</f>
        <v>0</v>
      </c>
    </row>
    <row r="1136" spans="1:22" ht="15" customHeight="1" x14ac:dyDescent="0.25">
      <c r="A1136" s="123">
        <f>Procurement_Raw!A1136</f>
        <v>45952</v>
      </c>
      <c r="B1136" t="str">
        <f>TRIM(Procurement_Raw!B1136)</f>
        <v>S004</v>
      </c>
      <c r="C1136" t="str">
        <f>Procurement_Raw!C1136</f>
        <v>Newcastle Care &amp; Education Centre</v>
      </c>
      <c r="D1136" t="str">
        <f>Procurement_Raw!D1136</f>
        <v>North</v>
      </c>
      <c r="E1136" t="str">
        <f>IF(TRIM(Procurement_Raw!E1136)="","",IFERROR(INDEX(Supplier_Lookup!$A$2:$A$25,MATCH(TRIM(Procurement_Raw!E1136),Supplier_Lookup!$A$2:$A$25,0)),TRIM(Procurement_Raw!E1136)))</f>
        <v>CareMed</v>
      </c>
      <c r="F1136" t="str">
        <f>IFERROR(INDEX(Category_Targets!$A$2:$A$9,MATCH(TRIM(Procurement_Raw!F1136),Category_Targets!$A$2:$A$9,0)),"Unmapped")</f>
        <v>Medical Supplies</v>
      </c>
      <c r="G1136" t="str">
        <f>TRIM(Procurement_Raw!G1136)</f>
        <v>INV-2025-01135</v>
      </c>
      <c r="H1136" s="77">
        <f>Procurement_Raw!H1136</f>
        <v>17</v>
      </c>
      <c r="I1136" s="124">
        <f>Procurement_Raw!I1136</f>
        <v>104.92</v>
      </c>
      <c r="J1136" s="125">
        <f>IF(Procurement_Raw!J1136="","",Procurement_Raw!J1136)</f>
        <v>1783.65</v>
      </c>
      <c r="K1136" s="77">
        <f>Procurement_Raw!K1136</f>
        <v>45</v>
      </c>
      <c r="L1136" t="str">
        <f>Procurement_Raw!L1136</f>
        <v>Procurement Portal</v>
      </c>
      <c r="M1136" t="str">
        <f>Procurement_Raw!O1136</f>
        <v>N</v>
      </c>
      <c r="N1136" t="str">
        <f>IF(E1136="","Missing supplier",IF(B1136="","Missing site",IF(J1136="","Missing spend",IF(COUNTIFS($G$2:G1136,G1136,$E$2:E1136,E1136,$J$2:J1136,J1136)&gt;1,"Duplicate invoice",IF(COUNTIF($G$2:$G$1801,G1136)&gt;1,"Duplicate ID - review",IF(AND(P1136&lt;&gt;"Unmapped",P1136&lt;&gt;F1136),"Category mismatch","OK"))))))</f>
        <v>OK</v>
      </c>
      <c r="O1136" s="125">
        <f t="shared" si="51"/>
        <v>1783.65</v>
      </c>
      <c r="P1136" t="str">
        <f>IF(E1136="","Unmapped",IFERROR(INDEX(Supplier_Lookup!$B$2:$B$25,MATCH(E1136,Supplier_Lookup!$A$2:$A$25,0)),"Unmapped"))</f>
        <v>Medical Supplies</v>
      </c>
      <c r="Q1136" s="76">
        <f>IFERROR(INDEX(Category_Targets!$B$2:$B$9,MATCH(F1136,Category_Targets!$A$2:$A$9,0)),0)</f>
        <v>0.06</v>
      </c>
      <c r="R1136" s="125">
        <f t="shared" si="52"/>
        <v>107.01900000000001</v>
      </c>
      <c r="S1136" s="78">
        <f t="shared" si="53"/>
        <v>45931</v>
      </c>
      <c r="T1136" t="str">
        <f>IFERROR(VLOOKUP(B1136,Sites!$A$2:$D$21,4,FALSE()),"Unknown")</f>
        <v>Newcastle</v>
      </c>
      <c r="U1136" t="str">
        <f>IF(N1136="OK","",COUNTIF($N$2:N1136,"&lt;&gt;OK"))</f>
        <v/>
      </c>
      <c r="V1136">
        <f>IF(OR(NOT(EXACT(E1136,TRIM(Procurement_Raw!E1136))),NOT(EXACT(F1136,TRIM(Procurement_Raw!F1136)))),1,0)</f>
        <v>0</v>
      </c>
    </row>
    <row r="1137" spans="1:22" ht="15" customHeight="1" x14ac:dyDescent="0.25">
      <c r="A1137" s="123">
        <f>Procurement_Raw!A1137</f>
        <v>45945</v>
      </c>
      <c r="B1137" t="str">
        <f>TRIM(Procurement_Raw!B1137)</f>
        <v>S007</v>
      </c>
      <c r="C1137" t="str">
        <f>Procurement_Raw!C1137</f>
        <v>Nottingham Care &amp; Education Centre</v>
      </c>
      <c r="D1137" t="str">
        <f>Procurement_Raw!D1137</f>
        <v>Midlands</v>
      </c>
      <c r="E1137" t="str">
        <f>IF(TRIM(Procurement_Raw!E1137)="","",IFERROR(INDEX(Supplier_Lookup!$A$2:$A$25,MATCH(TRIM(Procurement_Raw!E1137),Supplier_Lookup!$A$2:$A$25,0)),TRIM(Procurement_Raw!E1137)))</f>
        <v>CleanWorks</v>
      </c>
      <c r="F1137" t="str">
        <f>IFERROR(INDEX(Category_Targets!$A$2:$A$9,MATCH(TRIM(Procurement_Raw!F1137),Category_Targets!$A$2:$A$9,0)),"Unmapped")</f>
        <v>Facilities</v>
      </c>
      <c r="G1137" t="str">
        <f>TRIM(Procurement_Raw!G1137)</f>
        <v>INV-2025-01136</v>
      </c>
      <c r="H1137" s="77">
        <f>Procurement_Raw!H1137</f>
        <v>5</v>
      </c>
      <c r="I1137" s="124">
        <f>Procurement_Raw!I1137</f>
        <v>305.88</v>
      </c>
      <c r="J1137" s="125">
        <f>IF(Procurement_Raw!J1137="","",Procurement_Raw!J1137)</f>
        <v>1529.42</v>
      </c>
      <c r="K1137" s="77">
        <f>Procurement_Raw!K1137</f>
        <v>60</v>
      </c>
      <c r="L1137" t="str">
        <f>Procurement_Raw!L1137</f>
        <v>Procurement Portal</v>
      </c>
      <c r="M1137" t="str">
        <f>Procurement_Raw!O1137</f>
        <v>Y</v>
      </c>
      <c r="N1137" t="str">
        <f>IF(E1137="","Missing supplier",IF(B1137="","Missing site",IF(J1137="","Missing spend",IF(COUNTIFS($G$2:G1137,G1137,$E$2:E1137,E1137,$J$2:J1137,J1137)&gt;1,"Duplicate invoice",IF(COUNTIF($G$2:$G$1801,G1137)&gt;1,"Duplicate ID - review",IF(AND(P1137&lt;&gt;"Unmapped",P1137&lt;&gt;F1137),"Category mismatch","OK"))))))</f>
        <v>OK</v>
      </c>
      <c r="O1137" s="125">
        <f t="shared" si="51"/>
        <v>1529.42</v>
      </c>
      <c r="P1137" t="str">
        <f>IF(E1137="","Unmapped",IFERROR(INDEX(Supplier_Lookup!$B$2:$B$25,MATCH(E1137,Supplier_Lookup!$A$2:$A$25,0)),"Unmapped"))</f>
        <v>Facilities</v>
      </c>
      <c r="Q1137" s="76">
        <f>IFERROR(INDEX(Category_Targets!$B$2:$B$9,MATCH(F1137,Category_Targets!$A$2:$A$9,0)),0)</f>
        <v>0.05</v>
      </c>
      <c r="R1137" s="125">
        <f t="shared" si="52"/>
        <v>76.471000000000004</v>
      </c>
      <c r="S1137" s="78">
        <f t="shared" si="53"/>
        <v>45931</v>
      </c>
      <c r="T1137" t="str">
        <f>IFERROR(VLOOKUP(B1137,Sites!$A$2:$D$21,4,FALSE()),"Unknown")</f>
        <v>Nottingham</v>
      </c>
      <c r="U1137" t="str">
        <f>IF(N1137="OK","",COUNTIF($N$2:N1137,"&lt;&gt;OK"))</f>
        <v/>
      </c>
      <c r="V1137">
        <f>IF(OR(NOT(EXACT(E1137,TRIM(Procurement_Raw!E1137))),NOT(EXACT(F1137,TRIM(Procurement_Raw!F1137)))),1,0)</f>
        <v>0</v>
      </c>
    </row>
    <row r="1138" spans="1:22" ht="15" customHeight="1" x14ac:dyDescent="0.25">
      <c r="A1138" s="123">
        <f>Procurement_Raw!A1138</f>
        <v>45887</v>
      </c>
      <c r="B1138" t="str">
        <f>TRIM(Procurement_Raw!B1138)</f>
        <v>S009</v>
      </c>
      <c r="C1138" t="str">
        <f>Procurement_Raw!C1138</f>
        <v>Derby Care &amp; Education Centre</v>
      </c>
      <c r="D1138" t="str">
        <f>Procurement_Raw!D1138</f>
        <v>Midlands</v>
      </c>
      <c r="E1138" t="str">
        <f>IF(TRIM(Procurement_Raw!E1138)="","",IFERROR(INDEX(Supplier_Lookup!$A$2:$A$25,MATCH(TRIM(Procurement_Raw!E1138),Supplier_Lookup!$A$2:$A$25,0)),TRIM(Procurement_Raw!E1138)))</f>
        <v>SafeGuard FM</v>
      </c>
      <c r="F1138" t="str">
        <f>IFERROR(INDEX(Category_Targets!$A$2:$A$9,MATCH(TRIM(Procurement_Raw!F1138),Category_Targets!$A$2:$A$9,0)),"Unmapped")</f>
        <v>Facilities</v>
      </c>
      <c r="G1138" t="str">
        <f>TRIM(Procurement_Raw!G1138)</f>
        <v>INV-2025-01137</v>
      </c>
      <c r="H1138" s="77">
        <f>Procurement_Raw!H1138</f>
        <v>70</v>
      </c>
      <c r="I1138" s="124">
        <f>Procurement_Raw!I1138</f>
        <v>346.25</v>
      </c>
      <c r="J1138" s="125">
        <f>IF(Procurement_Raw!J1138="","",Procurement_Raw!J1138)</f>
        <v>24237.61</v>
      </c>
      <c r="K1138" s="77">
        <f>Procurement_Raw!K1138</f>
        <v>30</v>
      </c>
      <c r="L1138" t="str">
        <f>Procurement_Raw!L1138</f>
        <v>Legacy Spend File</v>
      </c>
      <c r="M1138" t="str">
        <f>Procurement_Raw!O1138</f>
        <v>N</v>
      </c>
      <c r="N1138" t="str">
        <f>IF(E1138="","Missing supplier",IF(B1138="","Missing site",IF(J1138="","Missing spend",IF(COUNTIFS($G$2:G1138,G1138,$E$2:E1138,E1138,$J$2:J1138,J1138)&gt;1,"Duplicate invoice",IF(COUNTIF($G$2:$G$1801,G1138)&gt;1,"Duplicate ID - review",IF(AND(P1138&lt;&gt;"Unmapped",P1138&lt;&gt;F1138),"Category mismatch","OK"))))))</f>
        <v>OK</v>
      </c>
      <c r="O1138" s="125">
        <f t="shared" si="51"/>
        <v>24237.61</v>
      </c>
      <c r="P1138" t="str">
        <f>IF(E1138="","Unmapped",IFERROR(INDEX(Supplier_Lookup!$B$2:$B$25,MATCH(E1138,Supplier_Lookup!$A$2:$A$25,0)),"Unmapped"))</f>
        <v>Facilities</v>
      </c>
      <c r="Q1138" s="76">
        <f>IFERROR(INDEX(Category_Targets!$B$2:$B$9,MATCH(F1138,Category_Targets!$A$2:$A$9,0)),0)</f>
        <v>0.05</v>
      </c>
      <c r="R1138" s="125">
        <f t="shared" si="52"/>
        <v>1211.8805</v>
      </c>
      <c r="S1138" s="78">
        <f t="shared" si="53"/>
        <v>45870</v>
      </c>
      <c r="T1138" t="str">
        <f>IFERROR(VLOOKUP(B1138,Sites!$A$2:$D$21,4,FALSE()),"Unknown")</f>
        <v>Derby</v>
      </c>
      <c r="U1138" t="str">
        <f>IF(N1138="OK","",COUNTIF($N$2:N1138,"&lt;&gt;OK"))</f>
        <v/>
      </c>
      <c r="V1138">
        <f>IF(OR(NOT(EXACT(E1138,TRIM(Procurement_Raw!E1138))),NOT(EXACT(F1138,TRIM(Procurement_Raw!F1138)))),1,0)</f>
        <v>0</v>
      </c>
    </row>
    <row r="1139" spans="1:22" ht="15" customHeight="1" x14ac:dyDescent="0.25">
      <c r="A1139" s="123">
        <f>Procurement_Raw!A1139</f>
        <v>45865</v>
      </c>
      <c r="B1139" t="str">
        <f>TRIM(Procurement_Raw!B1139)</f>
        <v>S017</v>
      </c>
      <c r="C1139" t="str">
        <f>Procurement_Raw!C1139</f>
        <v>Swansea Care &amp; Education Centre</v>
      </c>
      <c r="D1139" t="str">
        <f>Procurement_Raw!D1139</f>
        <v>Wales</v>
      </c>
      <c r="E1139" t="str">
        <f>IF(TRIM(Procurement_Raw!E1139)="","",IFERROR(INDEX(Supplier_Lookup!$A$2:$A$25,MATCH(TRIM(Procurement_Raw!E1139),Supplier_Lookup!$A$2:$A$25,0)),TRIM(Procurement_Raw!E1139)))</f>
        <v>FreshServe</v>
      </c>
      <c r="F1139" t="str">
        <f>IFERROR(INDEX(Category_Targets!$A$2:$A$9,MATCH(TRIM(Procurement_Raw!F1139),Category_Targets!$A$2:$A$9,0)),"Unmapped")</f>
        <v>Food &amp; Catering</v>
      </c>
      <c r="G1139" t="str">
        <f>TRIM(Procurement_Raw!G1139)</f>
        <v>INV-2025-01138</v>
      </c>
      <c r="H1139" s="77">
        <f>Procurement_Raw!H1139</f>
        <v>64</v>
      </c>
      <c r="I1139" s="124">
        <f>Procurement_Raw!I1139</f>
        <v>33.090000000000003</v>
      </c>
      <c r="J1139" s="125">
        <f>IF(Procurement_Raw!J1139="","",Procurement_Raw!J1139)</f>
        <v>2117.6999999999998</v>
      </c>
      <c r="K1139" s="77">
        <f>Procurement_Raw!K1139</f>
        <v>30</v>
      </c>
      <c r="L1139" t="str">
        <f>Procurement_Raw!L1139</f>
        <v>Procurement Portal</v>
      </c>
      <c r="M1139" t="str">
        <f>Procurement_Raw!O1139</f>
        <v>Y</v>
      </c>
      <c r="N1139" t="str">
        <f>IF(E1139="","Missing supplier",IF(B1139="","Missing site",IF(J1139="","Missing spend",IF(COUNTIFS($G$2:G1139,G1139,$E$2:E1139,E1139,$J$2:J1139,J1139)&gt;1,"Duplicate invoice",IF(COUNTIF($G$2:$G$1801,G1139)&gt;1,"Duplicate ID - review",IF(AND(P1139&lt;&gt;"Unmapped",P1139&lt;&gt;F1139),"Category mismatch","OK"))))))</f>
        <v>OK</v>
      </c>
      <c r="O1139" s="125">
        <f t="shared" si="51"/>
        <v>2117.6999999999998</v>
      </c>
      <c r="P1139" t="str">
        <f>IF(E1139="","Unmapped",IFERROR(INDEX(Supplier_Lookup!$B$2:$B$25,MATCH(E1139,Supplier_Lookup!$A$2:$A$25,0)),"Unmapped"))</f>
        <v>Food &amp; Catering</v>
      </c>
      <c r="Q1139" s="76">
        <f>IFERROR(INDEX(Category_Targets!$B$2:$B$9,MATCH(F1139,Category_Targets!$A$2:$A$9,0)),0)</f>
        <v>0.04</v>
      </c>
      <c r="R1139" s="125">
        <f t="shared" si="52"/>
        <v>84.707999999999998</v>
      </c>
      <c r="S1139" s="78">
        <f t="shared" si="53"/>
        <v>45839</v>
      </c>
      <c r="T1139" t="str">
        <f>IFERROR(VLOOKUP(B1139,Sites!$A$2:$D$21,4,FALSE()),"Unknown")</f>
        <v>Swansea</v>
      </c>
      <c r="U1139" t="str">
        <f>IF(N1139="OK","",COUNTIF($N$2:N1139,"&lt;&gt;OK"))</f>
        <v/>
      </c>
      <c r="V1139">
        <f>IF(OR(NOT(EXACT(E1139,TRIM(Procurement_Raw!E1139))),NOT(EXACT(F1139,TRIM(Procurement_Raw!F1139)))),1,0)</f>
        <v>0</v>
      </c>
    </row>
    <row r="1140" spans="1:22" ht="15" customHeight="1" x14ac:dyDescent="0.25">
      <c r="A1140" s="123">
        <f>Procurement_Raw!A1140</f>
        <v>45937</v>
      </c>
      <c r="B1140" t="str">
        <f>TRIM(Procurement_Raw!B1140)</f>
        <v>S013</v>
      </c>
      <c r="C1140" t="str">
        <f>Procurement_Raw!C1140</f>
        <v>Reading Care &amp; Education Centre</v>
      </c>
      <c r="D1140" t="str">
        <f>Procurement_Raw!D1140</f>
        <v>South</v>
      </c>
      <c r="E1140" t="str">
        <f>IF(TRIM(Procurement_Raw!E1140)="","",IFERROR(INDEX(Supplier_Lookup!$A$2:$A$25,MATCH(TRIM(Procurement_Raw!E1140),Supplier_Lookup!$A$2:$A$25,0)),TRIM(Procurement_Raw!E1140)))</f>
        <v>CleanWorks</v>
      </c>
      <c r="F1140" t="str">
        <f>IFERROR(INDEX(Category_Targets!$A$2:$A$9,MATCH(TRIM(Procurement_Raw!F1140),Category_Targets!$A$2:$A$9,0)),"Unmapped")</f>
        <v>Facilities</v>
      </c>
      <c r="G1140" t="str">
        <f>TRIM(Procurement_Raw!G1140)</f>
        <v>INV-2025-01139</v>
      </c>
      <c r="H1140" s="77">
        <f>Procurement_Raw!H1140</f>
        <v>65</v>
      </c>
      <c r="I1140" s="124">
        <f>Procurement_Raw!I1140</f>
        <v>250.02</v>
      </c>
      <c r="J1140" s="125">
        <f>IF(Procurement_Raw!J1140="","",Procurement_Raw!J1140)</f>
        <v>16251.07</v>
      </c>
      <c r="K1140" s="77">
        <f>Procurement_Raw!K1140</f>
        <v>45</v>
      </c>
      <c r="L1140" t="str">
        <f>Procurement_Raw!L1140</f>
        <v>Legacy Spend File</v>
      </c>
      <c r="M1140" t="str">
        <f>Procurement_Raw!O1140</f>
        <v>Y</v>
      </c>
      <c r="N1140" t="str">
        <f>IF(E1140="","Missing supplier",IF(B1140="","Missing site",IF(J1140="","Missing spend",IF(COUNTIFS($G$2:G1140,G1140,$E$2:E1140,E1140,$J$2:J1140,J1140)&gt;1,"Duplicate invoice",IF(COUNTIF($G$2:$G$1801,G1140)&gt;1,"Duplicate ID - review",IF(AND(P1140&lt;&gt;"Unmapped",P1140&lt;&gt;F1140),"Category mismatch","OK"))))))</f>
        <v>OK</v>
      </c>
      <c r="O1140" s="125">
        <f t="shared" si="51"/>
        <v>16251.07</v>
      </c>
      <c r="P1140" t="str">
        <f>IF(E1140="","Unmapped",IFERROR(INDEX(Supplier_Lookup!$B$2:$B$25,MATCH(E1140,Supplier_Lookup!$A$2:$A$25,0)),"Unmapped"))</f>
        <v>Facilities</v>
      </c>
      <c r="Q1140" s="76">
        <f>IFERROR(INDEX(Category_Targets!$B$2:$B$9,MATCH(F1140,Category_Targets!$A$2:$A$9,0)),0)</f>
        <v>0.05</v>
      </c>
      <c r="R1140" s="125">
        <f t="shared" si="52"/>
        <v>812.55349999999999</v>
      </c>
      <c r="S1140" s="78">
        <f t="shared" si="53"/>
        <v>45931</v>
      </c>
      <c r="T1140" t="str">
        <f>IFERROR(VLOOKUP(B1140,Sites!$A$2:$D$21,4,FALSE()),"Unknown")</f>
        <v>Reading</v>
      </c>
      <c r="U1140" t="str">
        <f>IF(N1140="OK","",COUNTIF($N$2:N1140,"&lt;&gt;OK"))</f>
        <v/>
      </c>
      <c r="V1140">
        <f>IF(OR(NOT(EXACT(E1140,TRIM(Procurement_Raw!E1140))),NOT(EXACT(F1140,TRIM(Procurement_Raw!F1140)))),1,0)</f>
        <v>0</v>
      </c>
    </row>
    <row r="1141" spans="1:22" ht="15" customHeight="1" x14ac:dyDescent="0.25">
      <c r="A1141" s="123">
        <f>Procurement_Raw!A1141</f>
        <v>45806</v>
      </c>
      <c r="B1141" t="str">
        <f>TRIM(Procurement_Raw!B1141)</f>
        <v>S008</v>
      </c>
      <c r="C1141" t="str">
        <f>Procurement_Raw!C1141</f>
        <v>Leicester Care &amp; Education Centre</v>
      </c>
      <c r="D1141" t="str">
        <f>Procurement_Raw!D1141</f>
        <v>Midlands</v>
      </c>
      <c r="E1141" t="str">
        <f>IF(TRIM(Procurement_Raw!E1141)="","",IFERROR(INDEX(Supplier_Lookup!$A$2:$A$25,MATCH(TRIM(Procurement_Raw!E1141),Supplier_Lookup!$A$2:$A$25,0)),TRIM(Procurement_Raw!E1141)))</f>
        <v>TeleCare IT</v>
      </c>
      <c r="F1141" t="str">
        <f>IFERROR(INDEX(Category_Targets!$A$2:$A$9,MATCH(TRIM(Procurement_Raw!F1141),Category_Targets!$A$2:$A$9,0)),"Unmapped")</f>
        <v>IT &amp; Telecoms</v>
      </c>
      <c r="G1141" t="str">
        <f>TRIM(Procurement_Raw!G1141)</f>
        <v>INV-2025-01140</v>
      </c>
      <c r="H1141" s="77">
        <f>Procurement_Raw!H1141</f>
        <v>74</v>
      </c>
      <c r="I1141" s="124">
        <f>Procurement_Raw!I1141</f>
        <v>323.52</v>
      </c>
      <c r="J1141" s="125">
        <f>IF(Procurement_Raw!J1141="","",Procurement_Raw!J1141)</f>
        <v>23940.76</v>
      </c>
      <c r="K1141" s="77">
        <f>Procurement_Raw!K1141</f>
        <v>60</v>
      </c>
      <c r="L1141" t="str">
        <f>Procurement_Raw!L1141</f>
        <v>ERP</v>
      </c>
      <c r="M1141" t="str">
        <f>Procurement_Raw!O1141</f>
        <v>N</v>
      </c>
      <c r="N1141" t="str">
        <f>IF(E1141="","Missing supplier",IF(B1141="","Missing site",IF(J1141="","Missing spend",IF(COUNTIFS($G$2:G1141,G1141,$E$2:E1141,E1141,$J$2:J1141,J1141)&gt;1,"Duplicate invoice",IF(COUNTIF($G$2:$G$1801,G1141)&gt;1,"Duplicate ID - review",IF(AND(P1141&lt;&gt;"Unmapped",P1141&lt;&gt;F1141),"Category mismatch","OK"))))))</f>
        <v>OK</v>
      </c>
      <c r="O1141" s="125">
        <f t="shared" si="51"/>
        <v>23940.76</v>
      </c>
      <c r="P1141" t="str">
        <f>IF(E1141="","Unmapped",IFERROR(INDEX(Supplier_Lookup!$B$2:$B$25,MATCH(E1141,Supplier_Lookup!$A$2:$A$25,0)),"Unmapped"))</f>
        <v>IT &amp; Telecoms</v>
      </c>
      <c r="Q1141" s="76">
        <f>IFERROR(INDEX(Category_Targets!$B$2:$B$9,MATCH(F1141,Category_Targets!$A$2:$A$9,0)),0)</f>
        <v>0.08</v>
      </c>
      <c r="R1141" s="125">
        <f t="shared" si="52"/>
        <v>1915.2608</v>
      </c>
      <c r="S1141" s="78">
        <f t="shared" si="53"/>
        <v>45778</v>
      </c>
      <c r="T1141" t="str">
        <f>IFERROR(VLOOKUP(B1141,Sites!$A$2:$D$21,4,FALSE()),"Unknown")</f>
        <v>Leicester</v>
      </c>
      <c r="U1141" t="str">
        <f>IF(N1141="OK","",COUNTIF($N$2:N1141,"&lt;&gt;OK"))</f>
        <v/>
      </c>
      <c r="V1141">
        <f>IF(OR(NOT(EXACT(E1141,TRIM(Procurement_Raw!E1141))),NOT(EXACT(F1141,TRIM(Procurement_Raw!F1141)))),1,0)</f>
        <v>0</v>
      </c>
    </row>
    <row r="1142" spans="1:22" ht="15" customHeight="1" x14ac:dyDescent="0.25">
      <c r="A1142" s="123">
        <f>Procurement_Raw!A1142</f>
        <v>46010</v>
      </c>
      <c r="B1142" t="str">
        <f>TRIM(Procurement_Raw!B1142)</f>
        <v>S005</v>
      </c>
      <c r="C1142" t="str">
        <f>Procurement_Raw!C1142</f>
        <v>Sheffield Care &amp; Education Centre</v>
      </c>
      <c r="D1142" t="str">
        <f>Procurement_Raw!D1142</f>
        <v>North</v>
      </c>
      <c r="E1142" t="str">
        <f>IF(TRIM(Procurement_Raw!E1142)="","",IFERROR(INDEX(Supplier_Lookup!$A$2:$A$25,MATCH(TRIM(Procurement_Raw!E1142),Supplier_Lookup!$A$2:$A$25,0)),TRIM(Procurement_Raw!E1142)))</f>
        <v>LearnWell</v>
      </c>
      <c r="F1142" t="str">
        <f>IFERROR(INDEX(Category_Targets!$A$2:$A$9,MATCH(TRIM(Procurement_Raw!F1142),Category_Targets!$A$2:$A$9,0)),"Unmapped")</f>
        <v>Office &amp; Training</v>
      </c>
      <c r="G1142" t="str">
        <f>TRIM(Procurement_Raw!G1142)</f>
        <v>INV-2025-01141</v>
      </c>
      <c r="H1142" s="77">
        <f>Procurement_Raw!H1142</f>
        <v>15</v>
      </c>
      <c r="I1142" s="124">
        <f>Procurement_Raw!I1142</f>
        <v>63.68</v>
      </c>
      <c r="J1142" s="125">
        <f>IF(Procurement_Raw!J1142="","",Procurement_Raw!J1142)</f>
        <v>955.16</v>
      </c>
      <c r="K1142" s="77">
        <f>Procurement_Raw!K1142</f>
        <v>60</v>
      </c>
      <c r="L1142" t="str">
        <f>Procurement_Raw!L1142</f>
        <v>Procurement Portal</v>
      </c>
      <c r="M1142" t="str">
        <f>Procurement_Raw!O1142</f>
        <v>N</v>
      </c>
      <c r="N1142" t="str">
        <f>IF(E1142="","Missing supplier",IF(B1142="","Missing site",IF(J1142="","Missing spend",IF(COUNTIFS($G$2:G1142,G1142,$E$2:E1142,E1142,$J$2:J1142,J1142)&gt;1,"Duplicate invoice",IF(COUNTIF($G$2:$G$1801,G1142)&gt;1,"Duplicate ID - review",IF(AND(P1142&lt;&gt;"Unmapped",P1142&lt;&gt;F1142),"Category mismatch","OK"))))))</f>
        <v>OK</v>
      </c>
      <c r="O1142" s="125">
        <f t="shared" si="51"/>
        <v>955.16</v>
      </c>
      <c r="P1142" t="str">
        <f>IF(E1142="","Unmapped",IFERROR(INDEX(Supplier_Lookup!$B$2:$B$25,MATCH(E1142,Supplier_Lookup!$A$2:$A$25,0)),"Unmapped"))</f>
        <v>Office &amp; Training</v>
      </c>
      <c r="Q1142" s="76">
        <f>IFERROR(INDEX(Category_Targets!$B$2:$B$9,MATCH(F1142,Category_Targets!$A$2:$A$9,0)),0)</f>
        <v>0.04</v>
      </c>
      <c r="R1142" s="125">
        <f t="shared" si="52"/>
        <v>38.206400000000002</v>
      </c>
      <c r="S1142" s="78">
        <f t="shared" si="53"/>
        <v>45992</v>
      </c>
      <c r="T1142" t="str">
        <f>IFERROR(VLOOKUP(B1142,Sites!$A$2:$D$21,4,FALSE()),"Unknown")</f>
        <v>Sheffield</v>
      </c>
      <c r="U1142" t="str">
        <f>IF(N1142="OK","",COUNTIF($N$2:N1142,"&lt;&gt;OK"))</f>
        <v/>
      </c>
      <c r="V1142">
        <f>IF(OR(NOT(EXACT(E1142,TRIM(Procurement_Raw!E1142))),NOT(EXACT(F1142,TRIM(Procurement_Raw!F1142)))),1,0)</f>
        <v>0</v>
      </c>
    </row>
    <row r="1143" spans="1:22" ht="15" customHeight="1" x14ac:dyDescent="0.25">
      <c r="A1143" s="123">
        <f>Procurement_Raw!A1143</f>
        <v>45940</v>
      </c>
      <c r="B1143" t="str">
        <f>TRIM(Procurement_Raw!B1143)</f>
        <v>S006</v>
      </c>
      <c r="C1143" t="str">
        <f>Procurement_Raw!C1143</f>
        <v>Birmingham Care &amp; Education Centre</v>
      </c>
      <c r="D1143" t="str">
        <f>Procurement_Raw!D1143</f>
        <v>Midlands</v>
      </c>
      <c r="E1143" t="str">
        <f>IF(TRIM(Procurement_Raw!E1143)="","",IFERROR(INDEX(Supplier_Lookup!$A$2:$A$25,MATCH(TRIM(Procurement_Raw!E1143),Supplier_Lookup!$A$2:$A$25,0)),TRIM(Procurement_Raw!E1143)))</f>
        <v>BuildCare</v>
      </c>
      <c r="F1143" t="str">
        <f>IFERROR(INDEX(Category_Targets!$A$2:$A$9,MATCH(TRIM(Procurement_Raw!F1143),Category_Targets!$A$2:$A$9,0)),"Unmapped")</f>
        <v>Facilities</v>
      </c>
      <c r="G1143" t="str">
        <f>TRIM(Procurement_Raw!G1143)</f>
        <v>INV-2025-01142</v>
      </c>
      <c r="H1143" s="77">
        <f>Procurement_Raw!H1143</f>
        <v>15</v>
      </c>
      <c r="I1143" s="124">
        <f>Procurement_Raw!I1143</f>
        <v>383.6</v>
      </c>
      <c r="J1143" s="125">
        <f>IF(Procurement_Raw!J1143="","",Procurement_Raw!J1143)</f>
        <v>5753.97</v>
      </c>
      <c r="K1143" s="77">
        <f>Procurement_Raw!K1143</f>
        <v>45</v>
      </c>
      <c r="L1143" t="str">
        <f>Procurement_Raw!L1143</f>
        <v>ERP</v>
      </c>
      <c r="M1143" t="str">
        <f>Procurement_Raw!O1143</f>
        <v>N</v>
      </c>
      <c r="N1143" t="str">
        <f>IF(E1143="","Missing supplier",IF(B1143="","Missing site",IF(J1143="","Missing spend",IF(COUNTIFS($G$2:G1143,G1143,$E$2:E1143,E1143,$J$2:J1143,J1143)&gt;1,"Duplicate invoice",IF(COUNTIF($G$2:$G$1801,G1143)&gt;1,"Duplicate ID - review",IF(AND(P1143&lt;&gt;"Unmapped",P1143&lt;&gt;F1143),"Category mismatch","OK"))))))</f>
        <v>OK</v>
      </c>
      <c r="O1143" s="125">
        <f t="shared" si="51"/>
        <v>5753.97</v>
      </c>
      <c r="P1143" t="str">
        <f>IF(E1143="","Unmapped",IFERROR(INDEX(Supplier_Lookup!$B$2:$B$25,MATCH(E1143,Supplier_Lookup!$A$2:$A$25,0)),"Unmapped"))</f>
        <v>Facilities</v>
      </c>
      <c r="Q1143" s="76">
        <f>IFERROR(INDEX(Category_Targets!$B$2:$B$9,MATCH(F1143,Category_Targets!$A$2:$A$9,0)),0)</f>
        <v>0.05</v>
      </c>
      <c r="R1143" s="125">
        <f t="shared" si="52"/>
        <v>287.69850000000002</v>
      </c>
      <c r="S1143" s="78">
        <f t="shared" si="53"/>
        <v>45931</v>
      </c>
      <c r="T1143" t="str">
        <f>IFERROR(VLOOKUP(B1143,Sites!$A$2:$D$21,4,FALSE()),"Unknown")</f>
        <v>Birmingham</v>
      </c>
      <c r="U1143" t="str">
        <f>IF(N1143="OK","",COUNTIF($N$2:N1143,"&lt;&gt;OK"))</f>
        <v/>
      </c>
      <c r="V1143">
        <f>IF(OR(NOT(EXACT(E1143,TRIM(Procurement_Raw!E1143))),NOT(EXACT(F1143,TRIM(Procurement_Raw!F1143)))),1,0)</f>
        <v>0</v>
      </c>
    </row>
    <row r="1144" spans="1:22" ht="15" customHeight="1" x14ac:dyDescent="0.25">
      <c r="A1144" s="123">
        <f>Procurement_Raw!A1144</f>
        <v>45840</v>
      </c>
      <c r="B1144" t="str">
        <f>TRIM(Procurement_Raw!B1144)</f>
        <v>S016</v>
      </c>
      <c r="C1144" t="str">
        <f>Procurement_Raw!C1144</f>
        <v>Cardiff Care &amp; Education Centre</v>
      </c>
      <c r="D1144" t="str">
        <f>Procurement_Raw!D1144</f>
        <v>Wales</v>
      </c>
      <c r="E1144" t="str">
        <f>IF(TRIM(Procurement_Raw!E1144)="","",IFERROR(INDEX(Supplier_Lookup!$A$2:$A$25,MATCH(TRIM(Procurement_Raw!E1144),Supplier_Lookup!$A$2:$A$25,0)),TRIM(Procurement_Raw!E1144)))</f>
        <v>WaterGrid</v>
      </c>
      <c r="F1144" t="str">
        <f>IFERROR(INDEX(Category_Targets!$A$2:$A$9,MATCH(TRIM(Procurement_Raw!F1144),Category_Targets!$A$2:$A$9,0)),"Unmapped")</f>
        <v>Utilities</v>
      </c>
      <c r="G1144" t="str">
        <f>TRIM(Procurement_Raw!G1144)</f>
        <v>INV-2025-01143</v>
      </c>
      <c r="H1144" s="77">
        <f>Procurement_Raw!H1144</f>
        <v>12</v>
      </c>
      <c r="I1144" s="124">
        <f>Procurement_Raw!I1144</f>
        <v>230.2</v>
      </c>
      <c r="J1144" s="125">
        <f>IF(Procurement_Raw!J1144="","",Procurement_Raw!J1144)</f>
        <v>2762.35</v>
      </c>
      <c r="K1144" s="77">
        <f>Procurement_Raw!K1144</f>
        <v>45</v>
      </c>
      <c r="L1144" t="str">
        <f>Procurement_Raw!L1144</f>
        <v>ERP</v>
      </c>
      <c r="M1144" t="str">
        <f>Procurement_Raw!O1144</f>
        <v>N</v>
      </c>
      <c r="N1144" t="str">
        <f>IF(E1144="","Missing supplier",IF(B1144="","Missing site",IF(J1144="","Missing spend",IF(COUNTIFS($G$2:G1144,G1144,$E$2:E1144,E1144,$J$2:J1144,J1144)&gt;1,"Duplicate invoice",IF(COUNTIF($G$2:$G$1801,G1144)&gt;1,"Duplicate ID - review",IF(AND(P1144&lt;&gt;"Unmapped",P1144&lt;&gt;F1144),"Category mismatch","OK"))))))</f>
        <v>OK</v>
      </c>
      <c r="O1144" s="125">
        <f t="shared" si="51"/>
        <v>2762.35</v>
      </c>
      <c r="P1144" t="str">
        <f>IF(E1144="","Unmapped",IFERROR(INDEX(Supplier_Lookup!$B$2:$B$25,MATCH(E1144,Supplier_Lookup!$A$2:$A$25,0)),"Unmapped"))</f>
        <v>Utilities</v>
      </c>
      <c r="Q1144" s="76">
        <f>IFERROR(INDEX(Category_Targets!$B$2:$B$9,MATCH(F1144,Category_Targets!$A$2:$A$9,0)),0)</f>
        <v>0.03</v>
      </c>
      <c r="R1144" s="125">
        <f t="shared" si="52"/>
        <v>82.870499999999993</v>
      </c>
      <c r="S1144" s="78">
        <f t="shared" si="53"/>
        <v>45839</v>
      </c>
      <c r="T1144" t="str">
        <f>IFERROR(VLOOKUP(B1144,Sites!$A$2:$D$21,4,FALSE()),"Unknown")</f>
        <v>Cardiff</v>
      </c>
      <c r="U1144" t="str">
        <f>IF(N1144="OK","",COUNTIF($N$2:N1144,"&lt;&gt;OK"))</f>
        <v/>
      </c>
      <c r="V1144">
        <f>IF(OR(NOT(EXACT(E1144,TRIM(Procurement_Raw!E1144))),NOT(EXACT(F1144,TRIM(Procurement_Raw!F1144)))),1,0)</f>
        <v>0</v>
      </c>
    </row>
    <row r="1145" spans="1:22" ht="15" customHeight="1" x14ac:dyDescent="0.25">
      <c r="A1145" s="123">
        <f>Procurement_Raw!A1145</f>
        <v>45927</v>
      </c>
      <c r="B1145" t="str">
        <f>TRIM(Procurement_Raw!B1145)</f>
        <v>S018</v>
      </c>
      <c r="C1145" t="str">
        <f>Procurement_Raw!C1145</f>
        <v>Newport Care &amp; Education Centre</v>
      </c>
      <c r="D1145" t="str">
        <f>Procurement_Raw!D1145</f>
        <v>Wales</v>
      </c>
      <c r="E1145" t="str">
        <f>IF(TRIM(Procurement_Raw!E1145)="","",IFERROR(INDEX(Supplier_Lookup!$A$2:$A$25,MATCH(TRIM(Procurement_Raw!E1145),Supplier_Lookup!$A$2:$A$25,0)),TRIM(Procurement_Raw!E1145)))</f>
        <v>PowerDirect</v>
      </c>
      <c r="F1145" t="str">
        <f>IFERROR(INDEX(Category_Targets!$A$2:$A$9,MATCH(TRIM(Procurement_Raw!F1145),Category_Targets!$A$2:$A$9,0)),"Unmapped")</f>
        <v>Utilities</v>
      </c>
      <c r="G1145" t="str">
        <f>TRIM(Procurement_Raw!G1145)</f>
        <v>INV-2025-01144</v>
      </c>
      <c r="H1145" s="77">
        <f>Procurement_Raw!H1145</f>
        <v>29</v>
      </c>
      <c r="I1145" s="124">
        <f>Procurement_Raw!I1145</f>
        <v>267.88</v>
      </c>
      <c r="J1145" s="125">
        <f>IF(Procurement_Raw!J1145="","",Procurement_Raw!J1145)</f>
        <v>7768.43</v>
      </c>
      <c r="K1145" s="77">
        <f>Procurement_Raw!K1145</f>
        <v>45</v>
      </c>
      <c r="L1145" t="str">
        <f>Procurement_Raw!L1145</f>
        <v>ERP</v>
      </c>
      <c r="M1145" t="str">
        <f>Procurement_Raw!O1145</f>
        <v>N</v>
      </c>
      <c r="N1145" t="str">
        <f>IF(E1145="","Missing supplier",IF(B1145="","Missing site",IF(J1145="","Missing spend",IF(COUNTIFS($G$2:G1145,G1145,$E$2:E1145,E1145,$J$2:J1145,J1145)&gt;1,"Duplicate invoice",IF(COUNTIF($G$2:$G$1801,G1145)&gt;1,"Duplicate ID - review",IF(AND(P1145&lt;&gt;"Unmapped",P1145&lt;&gt;F1145),"Category mismatch","OK"))))))</f>
        <v>OK</v>
      </c>
      <c r="O1145" s="125">
        <f t="shared" si="51"/>
        <v>7768.43</v>
      </c>
      <c r="P1145" t="str">
        <f>IF(E1145="","Unmapped",IFERROR(INDEX(Supplier_Lookup!$B$2:$B$25,MATCH(E1145,Supplier_Lookup!$A$2:$A$25,0)),"Unmapped"))</f>
        <v>Utilities</v>
      </c>
      <c r="Q1145" s="76">
        <f>IFERROR(INDEX(Category_Targets!$B$2:$B$9,MATCH(F1145,Category_Targets!$A$2:$A$9,0)),0)</f>
        <v>0.03</v>
      </c>
      <c r="R1145" s="125">
        <f t="shared" si="52"/>
        <v>233.05289999999999</v>
      </c>
      <c r="S1145" s="78">
        <f t="shared" si="53"/>
        <v>45901</v>
      </c>
      <c r="T1145" t="str">
        <f>IFERROR(VLOOKUP(B1145,Sites!$A$2:$D$21,4,FALSE()),"Unknown")</f>
        <v>Newport</v>
      </c>
      <c r="U1145" t="str">
        <f>IF(N1145="OK","",COUNTIF($N$2:N1145,"&lt;&gt;OK"))</f>
        <v/>
      </c>
      <c r="V1145">
        <f>IF(OR(NOT(EXACT(E1145,TRIM(Procurement_Raw!E1145))),NOT(EXACT(F1145,TRIM(Procurement_Raw!F1145)))),1,0)</f>
        <v>0</v>
      </c>
    </row>
    <row r="1146" spans="1:22" ht="15" customHeight="1" x14ac:dyDescent="0.25">
      <c r="A1146" s="123">
        <f>Procurement_Raw!A1146</f>
        <v>45886</v>
      </c>
      <c r="B1146" t="str">
        <f>TRIM(Procurement_Raw!B1146)</f>
        <v>S002</v>
      </c>
      <c r="C1146" t="str">
        <f>Procurement_Raw!C1146</f>
        <v>Manchester Care &amp; Education Centre</v>
      </c>
      <c r="D1146" t="str">
        <f>Procurement_Raw!D1146</f>
        <v>North</v>
      </c>
      <c r="E1146" t="str">
        <f>IF(TRIM(Procurement_Raw!E1146)="","",IFERROR(INDEX(Supplier_Lookup!$A$2:$A$25,MATCH(TRIM(Procurement_Raw!E1146),Supplier_Lookup!$A$2:$A$25,0)),TRIM(Procurement_Raw!E1146)))</f>
        <v>KitchenPro</v>
      </c>
      <c r="F1146" t="str">
        <f>IFERROR(INDEX(Category_Targets!$A$2:$A$9,MATCH(TRIM(Procurement_Raw!F1146),Category_Targets!$A$2:$A$9,0)),"Unmapped")</f>
        <v>Food &amp; Catering</v>
      </c>
      <c r="G1146" t="str">
        <f>TRIM(Procurement_Raw!G1146)</f>
        <v>INV-2025-01145</v>
      </c>
      <c r="H1146" s="77">
        <f>Procurement_Raw!H1146</f>
        <v>12</v>
      </c>
      <c r="I1146" s="124">
        <f>Procurement_Raw!I1146</f>
        <v>59.1</v>
      </c>
      <c r="J1146" s="125">
        <f>IF(Procurement_Raw!J1146="","",Procurement_Raw!J1146)</f>
        <v>709.18</v>
      </c>
      <c r="K1146" s="77">
        <f>Procurement_Raw!K1146</f>
        <v>60</v>
      </c>
      <c r="L1146" t="str">
        <f>Procurement_Raw!L1146</f>
        <v>Procurement Portal</v>
      </c>
      <c r="M1146" t="str">
        <f>Procurement_Raw!O1146</f>
        <v>N</v>
      </c>
      <c r="N1146" t="str">
        <f>IF(E1146="","Missing supplier",IF(B1146="","Missing site",IF(J1146="","Missing spend",IF(COUNTIFS($G$2:G1146,G1146,$E$2:E1146,E1146,$J$2:J1146,J1146)&gt;1,"Duplicate invoice",IF(COUNTIF($G$2:$G$1801,G1146)&gt;1,"Duplicate ID - review",IF(AND(P1146&lt;&gt;"Unmapped",P1146&lt;&gt;F1146),"Category mismatch","OK"))))))</f>
        <v>OK</v>
      </c>
      <c r="O1146" s="125">
        <f t="shared" si="51"/>
        <v>709.18</v>
      </c>
      <c r="P1146" t="str">
        <f>IF(E1146="","Unmapped",IFERROR(INDEX(Supplier_Lookup!$B$2:$B$25,MATCH(E1146,Supplier_Lookup!$A$2:$A$25,0)),"Unmapped"))</f>
        <v>Food &amp; Catering</v>
      </c>
      <c r="Q1146" s="76">
        <f>IFERROR(INDEX(Category_Targets!$B$2:$B$9,MATCH(F1146,Category_Targets!$A$2:$A$9,0)),0)</f>
        <v>0.04</v>
      </c>
      <c r="R1146" s="125">
        <f t="shared" si="52"/>
        <v>28.367199999999997</v>
      </c>
      <c r="S1146" s="78">
        <f t="shared" si="53"/>
        <v>45870</v>
      </c>
      <c r="T1146" t="str">
        <f>IFERROR(VLOOKUP(B1146,Sites!$A$2:$D$21,4,FALSE()),"Unknown")</f>
        <v>Manchester</v>
      </c>
      <c r="U1146" t="str">
        <f>IF(N1146="OK","",COUNTIF($N$2:N1146,"&lt;&gt;OK"))</f>
        <v/>
      </c>
      <c r="V1146">
        <f>IF(OR(NOT(EXACT(E1146,TRIM(Procurement_Raw!E1146))),NOT(EXACT(F1146,TRIM(Procurement_Raw!F1146)))),1,0)</f>
        <v>0</v>
      </c>
    </row>
    <row r="1147" spans="1:22" ht="15" customHeight="1" x14ac:dyDescent="0.25">
      <c r="A1147" s="123">
        <f>Procurement_Raw!A1147</f>
        <v>45966</v>
      </c>
      <c r="B1147" t="str">
        <f>TRIM(Procurement_Raw!B1147)</f>
        <v>S003</v>
      </c>
      <c r="C1147" t="str">
        <f>Procurement_Raw!C1147</f>
        <v>Leeds Care &amp; Education Centre</v>
      </c>
      <c r="D1147" t="str">
        <f>Procurement_Raw!D1147</f>
        <v>North</v>
      </c>
      <c r="E1147" t="str">
        <f>IF(TRIM(Procurement_Raw!E1147)="","",IFERROR(INDEX(Supplier_Lookup!$A$2:$A$25,MATCH(TRIM(Procurement_Raw!E1147),Supplier_Lookup!$A$2:$A$25,0)),TRIM(Procurement_Raw!E1147)))</f>
        <v>LearnWell</v>
      </c>
      <c r="F1147" t="str">
        <f>IFERROR(INDEX(Category_Targets!$A$2:$A$9,MATCH(TRIM(Procurement_Raw!F1147),Category_Targets!$A$2:$A$9,0)),"Unmapped")</f>
        <v>Office &amp; Training</v>
      </c>
      <c r="G1147" t="str">
        <f>TRIM(Procurement_Raw!G1147)</f>
        <v>INV-2025-01146</v>
      </c>
      <c r="H1147" s="77">
        <f>Procurement_Raw!H1147</f>
        <v>78</v>
      </c>
      <c r="I1147" s="124">
        <f>Procurement_Raw!I1147</f>
        <v>75.650000000000006</v>
      </c>
      <c r="J1147" s="125">
        <f>IF(Procurement_Raw!J1147="","",Procurement_Raw!J1147)</f>
        <v>5900.34</v>
      </c>
      <c r="K1147" s="77">
        <f>Procurement_Raw!K1147</f>
        <v>60</v>
      </c>
      <c r="L1147" t="str">
        <f>Procurement_Raw!L1147</f>
        <v>ERP</v>
      </c>
      <c r="M1147" t="str">
        <f>Procurement_Raw!O1147</f>
        <v>N</v>
      </c>
      <c r="N1147" t="str">
        <f>IF(E1147="","Missing supplier",IF(B1147="","Missing site",IF(J1147="","Missing spend",IF(COUNTIFS($G$2:G1147,G1147,$E$2:E1147,E1147,$J$2:J1147,J1147)&gt;1,"Duplicate invoice",IF(COUNTIF($G$2:$G$1801,G1147)&gt;1,"Duplicate ID - review",IF(AND(P1147&lt;&gt;"Unmapped",P1147&lt;&gt;F1147),"Category mismatch","OK"))))))</f>
        <v>OK</v>
      </c>
      <c r="O1147" s="125">
        <f t="shared" si="51"/>
        <v>5900.34</v>
      </c>
      <c r="P1147" t="str">
        <f>IF(E1147="","Unmapped",IFERROR(INDEX(Supplier_Lookup!$B$2:$B$25,MATCH(E1147,Supplier_Lookup!$A$2:$A$25,0)),"Unmapped"))</f>
        <v>Office &amp; Training</v>
      </c>
      <c r="Q1147" s="76">
        <f>IFERROR(INDEX(Category_Targets!$B$2:$B$9,MATCH(F1147,Category_Targets!$A$2:$A$9,0)),0)</f>
        <v>0.04</v>
      </c>
      <c r="R1147" s="125">
        <f t="shared" si="52"/>
        <v>236.0136</v>
      </c>
      <c r="S1147" s="78">
        <f t="shared" si="53"/>
        <v>45962</v>
      </c>
      <c r="T1147" t="str">
        <f>IFERROR(VLOOKUP(B1147,Sites!$A$2:$D$21,4,FALSE()),"Unknown")</f>
        <v>Leeds</v>
      </c>
      <c r="U1147" t="str">
        <f>IF(N1147="OK","",COUNTIF($N$2:N1147,"&lt;&gt;OK"))</f>
        <v/>
      </c>
      <c r="V1147">
        <f>IF(OR(NOT(EXACT(E1147,TRIM(Procurement_Raw!E1147))),NOT(EXACT(F1147,TRIM(Procurement_Raw!F1147)))),1,0)</f>
        <v>0</v>
      </c>
    </row>
    <row r="1148" spans="1:22" ht="15" customHeight="1" x14ac:dyDescent="0.25">
      <c r="A1148" s="123">
        <f>Procurement_Raw!A1148</f>
        <v>45733</v>
      </c>
      <c r="B1148" t="str">
        <f>TRIM(Procurement_Raw!B1148)</f>
        <v>S006</v>
      </c>
      <c r="C1148" t="str">
        <f>Procurement_Raw!C1148</f>
        <v>Birmingham Care &amp; Education Centre</v>
      </c>
      <c r="D1148" t="str">
        <f>Procurement_Raw!D1148</f>
        <v>Midlands</v>
      </c>
      <c r="E1148" t="str">
        <f>IF(TRIM(Procurement_Raw!E1148)="","",IFERROR(INDEX(Supplier_Lookup!$A$2:$A$25,MATCH(TRIM(Procurement_Raw!E1148),Supplier_Lookup!$A$2:$A$25,0)),TRIM(Procurement_Raw!E1148)))</f>
        <v>RoadReady</v>
      </c>
      <c r="F1148" t="str">
        <f>IFERROR(INDEX(Category_Targets!$A$2:$A$9,MATCH(TRIM(Procurement_Raw!F1148),Category_Targets!$A$2:$A$9,0)),"Unmapped")</f>
        <v>Vehicle &amp; Fuel</v>
      </c>
      <c r="G1148" t="str">
        <f>TRIM(Procurement_Raw!G1148)</f>
        <v>INV-2025-01147</v>
      </c>
      <c r="H1148" s="77">
        <f>Procurement_Raw!H1148</f>
        <v>55</v>
      </c>
      <c r="I1148" s="124">
        <f>Procurement_Raw!I1148</f>
        <v>51.98</v>
      </c>
      <c r="J1148" s="125">
        <f>IF(Procurement_Raw!J1148="","",Procurement_Raw!J1148)</f>
        <v>2859.09</v>
      </c>
      <c r="K1148" s="77">
        <f>Procurement_Raw!K1148</f>
        <v>45</v>
      </c>
      <c r="L1148" t="str">
        <f>Procurement_Raw!L1148</f>
        <v>Procurement Portal</v>
      </c>
      <c r="M1148" t="str">
        <f>Procurement_Raw!O1148</f>
        <v>N</v>
      </c>
      <c r="N1148" t="str">
        <f>IF(E1148="","Missing supplier",IF(B1148="","Missing site",IF(J1148="","Missing spend",IF(COUNTIFS($G$2:G1148,G1148,$E$2:E1148,E1148,$J$2:J1148,J1148)&gt;1,"Duplicate invoice",IF(COUNTIF($G$2:$G$1801,G1148)&gt;1,"Duplicate ID - review",IF(AND(P1148&lt;&gt;"Unmapped",P1148&lt;&gt;F1148),"Category mismatch","OK"))))))</f>
        <v>OK</v>
      </c>
      <c r="O1148" s="125">
        <f t="shared" si="51"/>
        <v>2859.09</v>
      </c>
      <c r="P1148" t="str">
        <f>IF(E1148="","Unmapped",IFERROR(INDEX(Supplier_Lookup!$B$2:$B$25,MATCH(E1148,Supplier_Lookup!$A$2:$A$25,0)),"Unmapped"))</f>
        <v>Vehicle &amp; Fuel</v>
      </c>
      <c r="Q1148" s="76">
        <f>IFERROR(INDEX(Category_Targets!$B$2:$B$9,MATCH(F1148,Category_Targets!$A$2:$A$9,0)),0)</f>
        <v>0.05</v>
      </c>
      <c r="R1148" s="125">
        <f t="shared" si="52"/>
        <v>142.95450000000002</v>
      </c>
      <c r="S1148" s="78">
        <f t="shared" si="53"/>
        <v>45717</v>
      </c>
      <c r="T1148" t="str">
        <f>IFERROR(VLOOKUP(B1148,Sites!$A$2:$D$21,4,FALSE()),"Unknown")</f>
        <v>Birmingham</v>
      </c>
      <c r="U1148" t="str">
        <f>IF(N1148="OK","",COUNTIF($N$2:N1148,"&lt;&gt;OK"))</f>
        <v/>
      </c>
      <c r="V1148">
        <f>IF(OR(NOT(EXACT(E1148,TRIM(Procurement_Raw!E1148))),NOT(EXACT(F1148,TRIM(Procurement_Raw!F1148)))),1,0)</f>
        <v>0</v>
      </c>
    </row>
    <row r="1149" spans="1:22" ht="15" customHeight="1" x14ac:dyDescent="0.25">
      <c r="A1149" s="123">
        <f>Procurement_Raw!A1149</f>
        <v>45834</v>
      </c>
      <c r="B1149" t="str">
        <f>TRIM(Procurement_Raw!B1149)</f>
        <v>S020</v>
      </c>
      <c r="C1149" t="str">
        <f>Procurement_Raw!C1149</f>
        <v>Bangor Care &amp; Education Centre</v>
      </c>
      <c r="D1149" t="str">
        <f>Procurement_Raw!D1149</f>
        <v>Wales</v>
      </c>
      <c r="E1149" t="str">
        <f>IF(TRIM(Procurement_Raw!E1149)="","",IFERROR(INDEX(Supplier_Lookup!$A$2:$A$25,MATCH(TRIM(Procurement_Raw!E1149),Supplier_Lookup!$A$2:$A$25,0)),TRIM(Procurement_Raw!E1149)))</f>
        <v>CareMed</v>
      </c>
      <c r="F1149" t="str">
        <f>IFERROR(INDEX(Category_Targets!$A$2:$A$9,MATCH(TRIM(Procurement_Raw!F1149),Category_Targets!$A$2:$A$9,0)),"Unmapped")</f>
        <v>Medical Supplies</v>
      </c>
      <c r="G1149" t="str">
        <f>TRIM(Procurement_Raw!G1149)</f>
        <v>INV-2025-01148</v>
      </c>
      <c r="H1149" s="77">
        <f>Procurement_Raw!H1149</f>
        <v>45</v>
      </c>
      <c r="I1149" s="124">
        <f>Procurement_Raw!I1149</f>
        <v>54.35</v>
      </c>
      <c r="J1149" s="125">
        <f>IF(Procurement_Raw!J1149="","",Procurement_Raw!J1149)</f>
        <v>2445.8000000000002</v>
      </c>
      <c r="K1149" s="77">
        <f>Procurement_Raw!K1149</f>
        <v>45</v>
      </c>
      <c r="L1149" t="str">
        <f>Procurement_Raw!L1149</f>
        <v>Procurement Portal</v>
      </c>
      <c r="M1149" t="str">
        <f>Procurement_Raw!O1149</f>
        <v>N</v>
      </c>
      <c r="N1149" t="str">
        <f>IF(E1149="","Missing supplier",IF(B1149="","Missing site",IF(J1149="","Missing spend",IF(COUNTIFS($G$2:G1149,G1149,$E$2:E1149,E1149,$J$2:J1149,J1149)&gt;1,"Duplicate invoice",IF(COUNTIF($G$2:$G$1801,G1149)&gt;1,"Duplicate ID - review",IF(AND(P1149&lt;&gt;"Unmapped",P1149&lt;&gt;F1149),"Category mismatch","OK"))))))</f>
        <v>OK</v>
      </c>
      <c r="O1149" s="125">
        <f t="shared" si="51"/>
        <v>2445.8000000000002</v>
      </c>
      <c r="P1149" t="str">
        <f>IF(E1149="","Unmapped",IFERROR(INDEX(Supplier_Lookup!$B$2:$B$25,MATCH(E1149,Supplier_Lookup!$A$2:$A$25,0)),"Unmapped"))</f>
        <v>Medical Supplies</v>
      </c>
      <c r="Q1149" s="76">
        <f>IFERROR(INDEX(Category_Targets!$B$2:$B$9,MATCH(F1149,Category_Targets!$A$2:$A$9,0)),0)</f>
        <v>0.06</v>
      </c>
      <c r="R1149" s="125">
        <f t="shared" si="52"/>
        <v>146.74800000000002</v>
      </c>
      <c r="S1149" s="78">
        <f t="shared" si="53"/>
        <v>45809</v>
      </c>
      <c r="T1149" t="str">
        <f>IFERROR(VLOOKUP(B1149,Sites!$A$2:$D$21,4,FALSE()),"Unknown")</f>
        <v>Bangor</v>
      </c>
      <c r="U1149" t="str">
        <f>IF(N1149="OK","",COUNTIF($N$2:N1149,"&lt;&gt;OK"))</f>
        <v/>
      </c>
      <c r="V1149">
        <f>IF(OR(NOT(EXACT(E1149,TRIM(Procurement_Raw!E1149))),NOT(EXACT(F1149,TRIM(Procurement_Raw!F1149)))),1,0)</f>
        <v>0</v>
      </c>
    </row>
    <row r="1150" spans="1:22" ht="15" customHeight="1" x14ac:dyDescent="0.25">
      <c r="A1150" s="123">
        <f>Procurement_Raw!A1150</f>
        <v>45885</v>
      </c>
      <c r="B1150" t="str">
        <f>TRIM(Procurement_Raw!B1150)</f>
        <v>S017</v>
      </c>
      <c r="C1150" t="str">
        <f>Procurement_Raw!C1150</f>
        <v>Swansea Care &amp; Education Centre</v>
      </c>
      <c r="D1150" t="str">
        <f>Procurement_Raw!D1150</f>
        <v>Wales</v>
      </c>
      <c r="E1150" t="str">
        <f>IF(TRIM(Procurement_Raw!E1150)="","",IFERROR(INDEX(Supplier_Lookup!$A$2:$A$25,MATCH(TRIM(Procurement_Raw!E1150),Supplier_Lookup!$A$2:$A$25,0)),TRIM(Procurement_Raw!E1150)))</f>
        <v>FreshServe</v>
      </c>
      <c r="F1150" t="str">
        <f>IFERROR(INDEX(Category_Targets!$A$2:$A$9,MATCH(TRIM(Procurement_Raw!F1150),Category_Targets!$A$2:$A$9,0)),"Unmapped")</f>
        <v>Food &amp; Catering</v>
      </c>
      <c r="G1150" t="str">
        <f>TRIM(Procurement_Raw!G1150)</f>
        <v>INV-2025-01149</v>
      </c>
      <c r="H1150" s="77">
        <f>Procurement_Raw!H1150</f>
        <v>54</v>
      </c>
      <c r="I1150" s="124">
        <f>Procurement_Raw!I1150</f>
        <v>156.24</v>
      </c>
      <c r="J1150" s="125">
        <f>IF(Procurement_Raw!J1150="","",Procurement_Raw!J1150)</f>
        <v>8436.7199999999993</v>
      </c>
      <c r="K1150" s="77">
        <f>Procurement_Raw!K1150</f>
        <v>45</v>
      </c>
      <c r="L1150" t="str">
        <f>Procurement_Raw!L1150</f>
        <v>Procurement Portal</v>
      </c>
      <c r="M1150" t="str">
        <f>Procurement_Raw!O1150</f>
        <v>Y</v>
      </c>
      <c r="N1150" t="str">
        <f>IF(E1150="","Missing supplier",IF(B1150="","Missing site",IF(J1150="","Missing spend",IF(COUNTIFS($G$2:G1150,G1150,$E$2:E1150,E1150,$J$2:J1150,J1150)&gt;1,"Duplicate invoice",IF(COUNTIF($G$2:$G$1801,G1150)&gt;1,"Duplicate ID - review",IF(AND(P1150&lt;&gt;"Unmapped",P1150&lt;&gt;F1150),"Category mismatch","OK"))))))</f>
        <v>OK</v>
      </c>
      <c r="O1150" s="125">
        <f t="shared" si="51"/>
        <v>8436.7199999999993</v>
      </c>
      <c r="P1150" t="str">
        <f>IF(E1150="","Unmapped",IFERROR(INDEX(Supplier_Lookup!$B$2:$B$25,MATCH(E1150,Supplier_Lookup!$A$2:$A$25,0)),"Unmapped"))</f>
        <v>Food &amp; Catering</v>
      </c>
      <c r="Q1150" s="76">
        <f>IFERROR(INDEX(Category_Targets!$B$2:$B$9,MATCH(F1150,Category_Targets!$A$2:$A$9,0)),0)</f>
        <v>0.04</v>
      </c>
      <c r="R1150" s="125">
        <f t="shared" si="52"/>
        <v>337.46879999999999</v>
      </c>
      <c r="S1150" s="78">
        <f t="shared" si="53"/>
        <v>45870</v>
      </c>
      <c r="T1150" t="str">
        <f>IFERROR(VLOOKUP(B1150,Sites!$A$2:$D$21,4,FALSE()),"Unknown")</f>
        <v>Swansea</v>
      </c>
      <c r="U1150" t="str">
        <f>IF(N1150="OK","",COUNTIF($N$2:N1150,"&lt;&gt;OK"))</f>
        <v/>
      </c>
      <c r="V1150">
        <f>IF(OR(NOT(EXACT(E1150,TRIM(Procurement_Raw!E1150))),NOT(EXACT(F1150,TRIM(Procurement_Raw!F1150)))),1,0)</f>
        <v>0</v>
      </c>
    </row>
    <row r="1151" spans="1:22" ht="15" customHeight="1" x14ac:dyDescent="0.25">
      <c r="A1151" s="123">
        <f>Procurement_Raw!A1151</f>
        <v>45870</v>
      </c>
      <c r="B1151" t="str">
        <f>TRIM(Procurement_Raw!B1151)</f>
        <v>S019</v>
      </c>
      <c r="C1151" t="str">
        <f>Procurement_Raw!C1151</f>
        <v>Wrexham Care &amp; Education Centre</v>
      </c>
      <c r="D1151" t="str">
        <f>Procurement_Raw!D1151</f>
        <v>Wales</v>
      </c>
      <c r="E1151" t="str">
        <f>IF(TRIM(Procurement_Raw!E1151)="","",IFERROR(INDEX(Supplier_Lookup!$A$2:$A$25,MATCH(TRIM(Procurement_Raw!E1151),Supplier_Lookup!$A$2:$A$25,0)),TRIM(Procurement_Raw!E1151)))</f>
        <v>NurseLink</v>
      </c>
      <c r="F1151" t="str">
        <f>IFERROR(INDEX(Category_Targets!$A$2:$A$9,MATCH(TRIM(Procurement_Raw!F1151),Category_Targets!$A$2:$A$9,0)),"Unmapped")</f>
        <v>Agency Labour</v>
      </c>
      <c r="G1151" t="str">
        <f>TRIM(Procurement_Raw!G1151)</f>
        <v>INV-2025-01150</v>
      </c>
      <c r="H1151" s="77">
        <f>Procurement_Raw!H1151</f>
        <v>18</v>
      </c>
      <c r="I1151" s="124">
        <f>Procurement_Raw!I1151</f>
        <v>188.28</v>
      </c>
      <c r="J1151" s="125">
        <f>IF(Procurement_Raw!J1151="","",Procurement_Raw!J1151)</f>
        <v>3389.12</v>
      </c>
      <c r="K1151" s="77">
        <f>Procurement_Raw!K1151</f>
        <v>60</v>
      </c>
      <c r="L1151" t="str">
        <f>Procurement_Raw!L1151</f>
        <v>Legacy Spend File</v>
      </c>
      <c r="M1151" t="str">
        <f>Procurement_Raw!O1151</f>
        <v>N</v>
      </c>
      <c r="N1151" t="str">
        <f>IF(E1151="","Missing supplier",IF(B1151="","Missing site",IF(J1151="","Missing spend",IF(COUNTIFS($G$2:G1151,G1151,$E$2:E1151,E1151,$J$2:J1151,J1151)&gt;1,"Duplicate invoice",IF(COUNTIF($G$2:$G$1801,G1151)&gt;1,"Duplicate ID - review",IF(AND(P1151&lt;&gt;"Unmapped",P1151&lt;&gt;F1151),"Category mismatch","OK"))))))</f>
        <v>OK</v>
      </c>
      <c r="O1151" s="125">
        <f t="shared" si="51"/>
        <v>3389.12</v>
      </c>
      <c r="P1151" t="str">
        <f>IF(E1151="","Unmapped",IFERROR(INDEX(Supplier_Lookup!$B$2:$B$25,MATCH(E1151,Supplier_Lookup!$A$2:$A$25,0)),"Unmapped"))</f>
        <v>Agency Labour</v>
      </c>
      <c r="Q1151" s="76">
        <f>IFERROR(INDEX(Category_Targets!$B$2:$B$9,MATCH(F1151,Category_Targets!$A$2:$A$9,0)),0)</f>
        <v>7.0000000000000007E-2</v>
      </c>
      <c r="R1151" s="125">
        <f t="shared" si="52"/>
        <v>237.23840000000001</v>
      </c>
      <c r="S1151" s="78">
        <f t="shared" si="53"/>
        <v>45870</v>
      </c>
      <c r="T1151" t="str">
        <f>IFERROR(VLOOKUP(B1151,Sites!$A$2:$D$21,4,FALSE()),"Unknown")</f>
        <v>Wrexham</v>
      </c>
      <c r="U1151" t="str">
        <f>IF(N1151="OK","",COUNTIF($N$2:N1151,"&lt;&gt;OK"))</f>
        <v/>
      </c>
      <c r="V1151">
        <f>IF(OR(NOT(EXACT(E1151,TRIM(Procurement_Raw!E1151))),NOT(EXACT(F1151,TRIM(Procurement_Raw!F1151)))),1,0)</f>
        <v>0</v>
      </c>
    </row>
    <row r="1152" spans="1:22" ht="15" customHeight="1" x14ac:dyDescent="0.25">
      <c r="A1152" s="123">
        <f>Procurement_Raw!A1152</f>
        <v>45813</v>
      </c>
      <c r="B1152" t="str">
        <f>TRIM(Procurement_Raw!B1152)</f>
        <v>S001</v>
      </c>
      <c r="C1152" t="str">
        <f>Procurement_Raw!C1152</f>
        <v>Preston Care &amp; Education Centre</v>
      </c>
      <c r="D1152" t="str">
        <f>Procurement_Raw!D1152</f>
        <v>North</v>
      </c>
      <c r="E1152" t="str">
        <f>IF(TRIM(Procurement_Raw!E1152)="","",IFERROR(INDEX(Supplier_Lookup!$A$2:$A$25,MATCH(TRIM(Procurement_Raw!E1152),Supplier_Lookup!$A$2:$A$25,0)),TRIM(Procurement_Raw!E1152)))</f>
        <v>CleanWorks</v>
      </c>
      <c r="F1152" t="str">
        <f>IFERROR(INDEX(Category_Targets!$A$2:$A$9,MATCH(TRIM(Procurement_Raw!F1152),Category_Targets!$A$2:$A$9,0)),"Unmapped")</f>
        <v>Facilities</v>
      </c>
      <c r="G1152" t="str">
        <f>TRIM(Procurement_Raw!G1152)</f>
        <v>INV-2025-01151</v>
      </c>
      <c r="H1152" s="77">
        <f>Procurement_Raw!H1152</f>
        <v>61</v>
      </c>
      <c r="I1152" s="124">
        <f>Procurement_Raw!I1152</f>
        <v>104.34</v>
      </c>
      <c r="J1152" s="125">
        <f>IF(Procurement_Raw!J1152="","",Procurement_Raw!J1152)</f>
        <v>6364.97</v>
      </c>
      <c r="K1152" s="77">
        <f>Procurement_Raw!K1152</f>
        <v>60</v>
      </c>
      <c r="L1152" t="str">
        <f>Procurement_Raw!L1152</f>
        <v>Procurement Portal</v>
      </c>
      <c r="M1152" t="str">
        <f>Procurement_Raw!O1152</f>
        <v>Y</v>
      </c>
      <c r="N1152" t="str">
        <f>IF(E1152="","Missing supplier",IF(B1152="","Missing site",IF(J1152="","Missing spend",IF(COUNTIFS($G$2:G1152,G1152,$E$2:E1152,E1152,$J$2:J1152,J1152)&gt;1,"Duplicate invoice",IF(COUNTIF($G$2:$G$1801,G1152)&gt;1,"Duplicate ID - review",IF(AND(P1152&lt;&gt;"Unmapped",P1152&lt;&gt;F1152),"Category mismatch","OK"))))))</f>
        <v>OK</v>
      </c>
      <c r="O1152" s="125">
        <f t="shared" si="51"/>
        <v>6364.97</v>
      </c>
      <c r="P1152" t="str">
        <f>IF(E1152="","Unmapped",IFERROR(INDEX(Supplier_Lookup!$B$2:$B$25,MATCH(E1152,Supplier_Lookup!$A$2:$A$25,0)),"Unmapped"))</f>
        <v>Facilities</v>
      </c>
      <c r="Q1152" s="76">
        <f>IFERROR(INDEX(Category_Targets!$B$2:$B$9,MATCH(F1152,Category_Targets!$A$2:$A$9,0)),0)</f>
        <v>0.05</v>
      </c>
      <c r="R1152" s="125">
        <f t="shared" si="52"/>
        <v>318.24850000000004</v>
      </c>
      <c r="S1152" s="78">
        <f t="shared" si="53"/>
        <v>45809</v>
      </c>
      <c r="T1152" t="str">
        <f>IFERROR(VLOOKUP(B1152,Sites!$A$2:$D$21,4,FALSE()),"Unknown")</f>
        <v>Preston</v>
      </c>
      <c r="U1152" t="str">
        <f>IF(N1152="OK","",COUNTIF($N$2:N1152,"&lt;&gt;OK"))</f>
        <v/>
      </c>
      <c r="V1152">
        <f>IF(OR(NOT(EXACT(E1152,TRIM(Procurement_Raw!E1152))),NOT(EXACT(F1152,TRIM(Procurement_Raw!F1152)))),1,0)</f>
        <v>0</v>
      </c>
    </row>
    <row r="1153" spans="1:22" ht="15" customHeight="1" x14ac:dyDescent="0.25">
      <c r="A1153" s="123">
        <f>Procurement_Raw!A1153</f>
        <v>45661</v>
      </c>
      <c r="B1153" t="str">
        <f>TRIM(Procurement_Raw!B1153)</f>
        <v>S019</v>
      </c>
      <c r="C1153" t="str">
        <f>Procurement_Raw!C1153</f>
        <v>Wrexham Care &amp; Education Centre</v>
      </c>
      <c r="D1153" t="str">
        <f>Procurement_Raw!D1153</f>
        <v>Wales</v>
      </c>
      <c r="E1153" t="str">
        <f>IF(TRIM(Procurement_Raw!E1153)="","",IFERROR(INDEX(Supplier_Lookup!$A$2:$A$25,MATCH(TRIM(Procurement_Raw!E1153),Supplier_Lookup!$A$2:$A$25,0)),TRIM(Procurement_Raw!E1153)))</f>
        <v>HealthStaffing</v>
      </c>
      <c r="F1153" t="str">
        <f>IFERROR(INDEX(Category_Targets!$A$2:$A$9,MATCH(TRIM(Procurement_Raw!F1153),Category_Targets!$A$2:$A$9,0)),"Unmapped")</f>
        <v>Agency Labour</v>
      </c>
      <c r="G1153" t="str">
        <f>TRIM(Procurement_Raw!G1153)</f>
        <v>INV-2025-01152</v>
      </c>
      <c r="H1153" s="77">
        <f>Procurement_Raw!H1153</f>
        <v>53</v>
      </c>
      <c r="I1153" s="124">
        <f>Procurement_Raw!I1153</f>
        <v>91.78</v>
      </c>
      <c r="J1153" s="125">
        <f>IF(Procurement_Raw!J1153="","",Procurement_Raw!J1153)</f>
        <v>4864.45</v>
      </c>
      <c r="K1153" s="77">
        <f>Procurement_Raw!K1153</f>
        <v>60</v>
      </c>
      <c r="L1153" t="str">
        <f>Procurement_Raw!L1153</f>
        <v>Procurement Portal</v>
      </c>
      <c r="M1153" t="str">
        <f>Procurement_Raw!O1153</f>
        <v>N</v>
      </c>
      <c r="N1153" t="str">
        <f>IF(E1153="","Missing supplier",IF(B1153="","Missing site",IF(J1153="","Missing spend",IF(COUNTIFS($G$2:G1153,G1153,$E$2:E1153,E1153,$J$2:J1153,J1153)&gt;1,"Duplicate invoice",IF(COUNTIF($G$2:$G$1801,G1153)&gt;1,"Duplicate ID - review",IF(AND(P1153&lt;&gt;"Unmapped",P1153&lt;&gt;F1153),"Category mismatch","OK"))))))</f>
        <v>OK</v>
      </c>
      <c r="O1153" s="125">
        <f t="shared" si="51"/>
        <v>4864.45</v>
      </c>
      <c r="P1153" t="str">
        <f>IF(E1153="","Unmapped",IFERROR(INDEX(Supplier_Lookup!$B$2:$B$25,MATCH(E1153,Supplier_Lookup!$A$2:$A$25,0)),"Unmapped"))</f>
        <v>Agency Labour</v>
      </c>
      <c r="Q1153" s="76">
        <f>IFERROR(INDEX(Category_Targets!$B$2:$B$9,MATCH(F1153,Category_Targets!$A$2:$A$9,0)),0)</f>
        <v>7.0000000000000007E-2</v>
      </c>
      <c r="R1153" s="125">
        <f t="shared" si="52"/>
        <v>340.51150000000001</v>
      </c>
      <c r="S1153" s="78">
        <f t="shared" si="53"/>
        <v>45658</v>
      </c>
      <c r="T1153" t="str">
        <f>IFERROR(VLOOKUP(B1153,Sites!$A$2:$D$21,4,FALSE()),"Unknown")</f>
        <v>Wrexham</v>
      </c>
      <c r="U1153" t="str">
        <f>IF(N1153="OK","",COUNTIF($N$2:N1153,"&lt;&gt;OK"))</f>
        <v/>
      </c>
      <c r="V1153">
        <f>IF(OR(NOT(EXACT(E1153,TRIM(Procurement_Raw!E1153))),NOT(EXACT(F1153,TRIM(Procurement_Raw!F1153)))),1,0)</f>
        <v>0</v>
      </c>
    </row>
    <row r="1154" spans="1:22" ht="15" customHeight="1" x14ac:dyDescent="0.25">
      <c r="A1154" s="123">
        <f>Procurement_Raw!A1154</f>
        <v>45894</v>
      </c>
      <c r="B1154" t="str">
        <f>TRIM(Procurement_Raw!B1154)</f>
        <v>S013</v>
      </c>
      <c r="C1154" t="str">
        <f>Procurement_Raw!C1154</f>
        <v>Reading Care &amp; Education Centre</v>
      </c>
      <c r="D1154" t="str">
        <f>Procurement_Raw!D1154</f>
        <v>South</v>
      </c>
      <c r="E1154" t="str">
        <f>IF(TRIM(Procurement_Raw!E1154)="","",IFERROR(INDEX(Supplier_Lookup!$A$2:$A$25,MATCH(TRIM(Procurement_Raw!E1154),Supplier_Lookup!$A$2:$A$25,0)),TRIM(Procurement_Raw!E1154)))</f>
        <v>BuildCare</v>
      </c>
      <c r="F1154" t="str">
        <f>IFERROR(INDEX(Category_Targets!$A$2:$A$9,MATCH(TRIM(Procurement_Raw!F1154),Category_Targets!$A$2:$A$9,0)),"Unmapped")</f>
        <v>Facilities</v>
      </c>
      <c r="G1154" t="str">
        <f>TRIM(Procurement_Raw!G1154)</f>
        <v>INV-2025-01153</v>
      </c>
      <c r="H1154" s="77">
        <f>Procurement_Raw!H1154</f>
        <v>73</v>
      </c>
      <c r="I1154" s="124">
        <f>Procurement_Raw!I1154</f>
        <v>126.66</v>
      </c>
      <c r="J1154" s="125">
        <f>IF(Procurement_Raw!J1154="","",Procurement_Raw!J1154)</f>
        <v>9246.3799999999992</v>
      </c>
      <c r="K1154" s="77">
        <f>Procurement_Raw!K1154</f>
        <v>30</v>
      </c>
      <c r="L1154" t="str">
        <f>Procurement_Raw!L1154</f>
        <v>ERP</v>
      </c>
      <c r="M1154" t="str">
        <f>Procurement_Raw!O1154</f>
        <v>N</v>
      </c>
      <c r="N1154" t="str">
        <f>IF(E1154="","Missing supplier",IF(B1154="","Missing site",IF(J1154="","Missing spend",IF(COUNTIFS($G$2:G1154,G1154,$E$2:E1154,E1154,$J$2:J1154,J1154)&gt;1,"Duplicate invoice",IF(COUNTIF($G$2:$G$1801,G1154)&gt;1,"Duplicate ID - review",IF(AND(P1154&lt;&gt;"Unmapped",P1154&lt;&gt;F1154),"Category mismatch","OK"))))))</f>
        <v>OK</v>
      </c>
      <c r="O1154" s="125">
        <f t="shared" ref="O1154:O1217" si="54">IF(OR(N1154="Missing spend",N1154="Duplicate invoice"),0,J1154)</f>
        <v>9246.3799999999992</v>
      </c>
      <c r="P1154" t="str">
        <f>IF(E1154="","Unmapped",IFERROR(INDEX(Supplier_Lookup!$B$2:$B$25,MATCH(E1154,Supplier_Lookup!$A$2:$A$25,0)),"Unmapped"))</f>
        <v>Facilities</v>
      </c>
      <c r="Q1154" s="76">
        <f>IFERROR(INDEX(Category_Targets!$B$2:$B$9,MATCH(F1154,Category_Targets!$A$2:$A$9,0)),0)</f>
        <v>0.05</v>
      </c>
      <c r="R1154" s="125">
        <f t="shared" ref="R1154:R1217" si="55">O1154*Q1154</f>
        <v>462.31899999999996</v>
      </c>
      <c r="S1154" s="78">
        <f t="shared" ref="S1154:S1217" si="56">DATE(YEAR(A1154),MONTH(A1154),1)</f>
        <v>45870</v>
      </c>
      <c r="T1154" t="str">
        <f>IFERROR(VLOOKUP(B1154,Sites!$A$2:$D$21,4,FALSE()),"Unknown")</f>
        <v>Reading</v>
      </c>
      <c r="U1154" t="str">
        <f>IF(N1154="OK","",COUNTIF($N$2:N1154,"&lt;&gt;OK"))</f>
        <v/>
      </c>
      <c r="V1154">
        <f>IF(OR(NOT(EXACT(E1154,TRIM(Procurement_Raw!E1154))),NOT(EXACT(F1154,TRIM(Procurement_Raw!F1154)))),1,0)</f>
        <v>0</v>
      </c>
    </row>
    <row r="1155" spans="1:22" ht="15" customHeight="1" x14ac:dyDescent="0.25">
      <c r="A1155" s="123">
        <f>Procurement_Raw!A1155</f>
        <v>45941</v>
      </c>
      <c r="B1155" t="str">
        <f>TRIM(Procurement_Raw!B1155)</f>
        <v>S018</v>
      </c>
      <c r="C1155" t="str">
        <f>Procurement_Raw!C1155</f>
        <v>Newport Care &amp; Education Centre</v>
      </c>
      <c r="D1155" t="str">
        <f>Procurement_Raw!D1155</f>
        <v>Wales</v>
      </c>
      <c r="E1155" t="str">
        <f>IF(TRIM(Procurement_Raw!E1155)="","",IFERROR(INDEX(Supplier_Lookup!$A$2:$A$25,MATCH(TRIM(Procurement_Raw!E1155),Supplier_Lookup!$A$2:$A$25,0)),TRIM(Procurement_Raw!E1155)))</f>
        <v>CareTemps</v>
      </c>
      <c r="F1155" t="str">
        <f>IFERROR(INDEX(Category_Targets!$A$2:$A$9,MATCH(TRIM(Procurement_Raw!F1155),Category_Targets!$A$2:$A$9,0)),"Unmapped")</f>
        <v>Agency Labour</v>
      </c>
      <c r="G1155" t="str">
        <f>TRIM(Procurement_Raw!G1155)</f>
        <v>INV-2025-01154</v>
      </c>
      <c r="H1155" s="77">
        <f>Procurement_Raw!H1155</f>
        <v>63</v>
      </c>
      <c r="I1155" s="124">
        <f>Procurement_Raw!I1155</f>
        <v>144.91</v>
      </c>
      <c r="J1155" s="125">
        <f>IF(Procurement_Raw!J1155="","",Procurement_Raw!J1155)</f>
        <v>9129.06</v>
      </c>
      <c r="K1155" s="77">
        <f>Procurement_Raw!K1155</f>
        <v>30</v>
      </c>
      <c r="L1155" t="str">
        <f>Procurement_Raw!L1155</f>
        <v>Procurement Portal</v>
      </c>
      <c r="M1155" t="str">
        <f>Procurement_Raw!O1155</f>
        <v>N</v>
      </c>
      <c r="N1155" t="str">
        <f>IF(E1155="","Missing supplier",IF(B1155="","Missing site",IF(J1155="","Missing spend",IF(COUNTIFS($G$2:G1155,G1155,$E$2:E1155,E1155,$J$2:J1155,J1155)&gt;1,"Duplicate invoice",IF(COUNTIF($G$2:$G$1801,G1155)&gt;1,"Duplicate ID - review",IF(AND(P1155&lt;&gt;"Unmapped",P1155&lt;&gt;F1155),"Category mismatch","OK"))))))</f>
        <v>OK</v>
      </c>
      <c r="O1155" s="125">
        <f t="shared" si="54"/>
        <v>9129.06</v>
      </c>
      <c r="P1155" t="str">
        <f>IF(E1155="","Unmapped",IFERROR(INDEX(Supplier_Lookup!$B$2:$B$25,MATCH(E1155,Supplier_Lookup!$A$2:$A$25,0)),"Unmapped"))</f>
        <v>Agency Labour</v>
      </c>
      <c r="Q1155" s="76">
        <f>IFERROR(INDEX(Category_Targets!$B$2:$B$9,MATCH(F1155,Category_Targets!$A$2:$A$9,0)),0)</f>
        <v>7.0000000000000007E-2</v>
      </c>
      <c r="R1155" s="125">
        <f t="shared" si="55"/>
        <v>639.03420000000006</v>
      </c>
      <c r="S1155" s="78">
        <f t="shared" si="56"/>
        <v>45931</v>
      </c>
      <c r="T1155" t="str">
        <f>IFERROR(VLOOKUP(B1155,Sites!$A$2:$D$21,4,FALSE()),"Unknown")</f>
        <v>Newport</v>
      </c>
      <c r="U1155" t="str">
        <f>IF(N1155="OK","",COUNTIF($N$2:N1155,"&lt;&gt;OK"))</f>
        <v/>
      </c>
      <c r="V1155">
        <f>IF(OR(NOT(EXACT(E1155,TRIM(Procurement_Raw!E1155))),NOT(EXACT(F1155,TRIM(Procurement_Raw!F1155)))),1,0)</f>
        <v>0</v>
      </c>
    </row>
    <row r="1156" spans="1:22" ht="15" customHeight="1" x14ac:dyDescent="0.25">
      <c r="A1156" s="123">
        <f>Procurement_Raw!A1156</f>
        <v>45944</v>
      </c>
      <c r="B1156" t="str">
        <f>TRIM(Procurement_Raw!B1156)</f>
        <v>S014</v>
      </c>
      <c r="C1156" t="str">
        <f>Procurement_Raw!C1156</f>
        <v>Southampton Care &amp; Education Centre</v>
      </c>
      <c r="D1156" t="str">
        <f>Procurement_Raw!D1156</f>
        <v>South</v>
      </c>
      <c r="E1156" t="str">
        <f>IF(TRIM(Procurement_Raw!E1156)="","",IFERROR(INDEX(Supplier_Lookup!$A$2:$A$25,MATCH(TRIM(Procurement_Raw!E1156),Supplier_Lookup!$A$2:$A$25,0)),TRIM(Procurement_Raw!E1156)))</f>
        <v>TeleCare IT</v>
      </c>
      <c r="F1156" t="str">
        <f>IFERROR(INDEX(Category_Targets!$A$2:$A$9,MATCH(TRIM(Procurement_Raw!F1156),Category_Targets!$A$2:$A$9,0)),"Unmapped")</f>
        <v>IT &amp; Telecoms</v>
      </c>
      <c r="G1156" t="str">
        <f>TRIM(Procurement_Raw!G1156)</f>
        <v>INV-2025-01155</v>
      </c>
      <c r="H1156" s="77">
        <f>Procurement_Raw!H1156</f>
        <v>60</v>
      </c>
      <c r="I1156" s="124">
        <f>Procurement_Raw!I1156</f>
        <v>542.79999999999995</v>
      </c>
      <c r="J1156" s="125">
        <f>IF(Procurement_Raw!J1156="","",Procurement_Raw!J1156)</f>
        <v>32567.84</v>
      </c>
      <c r="K1156" s="77">
        <f>Procurement_Raw!K1156</f>
        <v>30</v>
      </c>
      <c r="L1156" t="str">
        <f>Procurement_Raw!L1156</f>
        <v>ERP</v>
      </c>
      <c r="M1156" t="str">
        <f>Procurement_Raw!O1156</f>
        <v>N</v>
      </c>
      <c r="N1156" t="str">
        <f>IF(E1156="","Missing supplier",IF(B1156="","Missing site",IF(J1156="","Missing spend",IF(COUNTIFS($G$2:G1156,G1156,$E$2:E1156,E1156,$J$2:J1156,J1156)&gt;1,"Duplicate invoice",IF(COUNTIF($G$2:$G$1801,G1156)&gt;1,"Duplicate ID - review",IF(AND(P1156&lt;&gt;"Unmapped",P1156&lt;&gt;F1156),"Category mismatch","OK"))))))</f>
        <v>OK</v>
      </c>
      <c r="O1156" s="125">
        <f t="shared" si="54"/>
        <v>32567.84</v>
      </c>
      <c r="P1156" t="str">
        <f>IF(E1156="","Unmapped",IFERROR(INDEX(Supplier_Lookup!$B$2:$B$25,MATCH(E1156,Supplier_Lookup!$A$2:$A$25,0)),"Unmapped"))</f>
        <v>IT &amp; Telecoms</v>
      </c>
      <c r="Q1156" s="76">
        <f>IFERROR(INDEX(Category_Targets!$B$2:$B$9,MATCH(F1156,Category_Targets!$A$2:$A$9,0)),0)</f>
        <v>0.08</v>
      </c>
      <c r="R1156" s="125">
        <f t="shared" si="55"/>
        <v>2605.4272000000001</v>
      </c>
      <c r="S1156" s="78">
        <f t="shared" si="56"/>
        <v>45931</v>
      </c>
      <c r="T1156" t="str">
        <f>IFERROR(VLOOKUP(B1156,Sites!$A$2:$D$21,4,FALSE()),"Unknown")</f>
        <v>Southampton</v>
      </c>
      <c r="U1156" t="str">
        <f>IF(N1156="OK","",COUNTIF($N$2:N1156,"&lt;&gt;OK"))</f>
        <v/>
      </c>
      <c r="V1156">
        <f>IF(OR(NOT(EXACT(E1156,TRIM(Procurement_Raw!E1156))),NOT(EXACT(F1156,TRIM(Procurement_Raw!F1156)))),1,0)</f>
        <v>0</v>
      </c>
    </row>
    <row r="1157" spans="1:22" ht="15" customHeight="1" x14ac:dyDescent="0.25">
      <c r="A1157" s="123">
        <f>Procurement_Raw!A1157</f>
        <v>45811</v>
      </c>
      <c r="B1157" t="str">
        <f>TRIM(Procurement_Raw!B1157)</f>
        <v>S001</v>
      </c>
      <c r="C1157" t="str">
        <f>Procurement_Raw!C1157</f>
        <v>Preston Care &amp; Education Centre</v>
      </c>
      <c r="D1157" t="str">
        <f>Procurement_Raw!D1157</f>
        <v>North</v>
      </c>
      <c r="E1157" t="str">
        <f>IF(TRIM(Procurement_Raw!E1157)="","",IFERROR(INDEX(Supplier_Lookup!$A$2:$A$25,MATCH(TRIM(Procurement_Raw!E1157),Supplier_Lookup!$A$2:$A$25,0)),TRIM(Procurement_Raw!E1157)))</f>
        <v>SafeGuard FM</v>
      </c>
      <c r="F1157" t="str">
        <f>IFERROR(INDEX(Category_Targets!$A$2:$A$9,MATCH(TRIM(Procurement_Raw!F1157),Category_Targets!$A$2:$A$9,0)),"Unmapped")</f>
        <v>Facilities</v>
      </c>
      <c r="G1157" t="str">
        <f>TRIM(Procurement_Raw!G1157)</f>
        <v>INV-2025-01156</v>
      </c>
      <c r="H1157" s="77">
        <f>Procurement_Raw!H1157</f>
        <v>61</v>
      </c>
      <c r="I1157" s="124">
        <f>Procurement_Raw!I1157</f>
        <v>313.67</v>
      </c>
      <c r="J1157" s="125">
        <f>IF(Procurement_Raw!J1157="","",Procurement_Raw!J1157)</f>
        <v>19134.150000000001</v>
      </c>
      <c r="K1157" s="77">
        <f>Procurement_Raw!K1157</f>
        <v>30</v>
      </c>
      <c r="L1157" t="str">
        <f>Procurement_Raw!L1157</f>
        <v>Legacy Spend File</v>
      </c>
      <c r="M1157" t="str">
        <f>Procurement_Raw!O1157</f>
        <v>N</v>
      </c>
      <c r="N1157" t="str">
        <f>IF(E1157="","Missing supplier",IF(B1157="","Missing site",IF(J1157="","Missing spend",IF(COUNTIFS($G$2:G1157,G1157,$E$2:E1157,E1157,$J$2:J1157,J1157)&gt;1,"Duplicate invoice",IF(COUNTIF($G$2:$G$1801,G1157)&gt;1,"Duplicate ID - review",IF(AND(P1157&lt;&gt;"Unmapped",P1157&lt;&gt;F1157),"Category mismatch","OK"))))))</f>
        <v>OK</v>
      </c>
      <c r="O1157" s="125">
        <f t="shared" si="54"/>
        <v>19134.150000000001</v>
      </c>
      <c r="P1157" t="str">
        <f>IF(E1157="","Unmapped",IFERROR(INDEX(Supplier_Lookup!$B$2:$B$25,MATCH(E1157,Supplier_Lookup!$A$2:$A$25,0)),"Unmapped"))</f>
        <v>Facilities</v>
      </c>
      <c r="Q1157" s="76">
        <f>IFERROR(INDEX(Category_Targets!$B$2:$B$9,MATCH(F1157,Category_Targets!$A$2:$A$9,0)),0)</f>
        <v>0.05</v>
      </c>
      <c r="R1157" s="125">
        <f t="shared" si="55"/>
        <v>956.7075000000001</v>
      </c>
      <c r="S1157" s="78">
        <f t="shared" si="56"/>
        <v>45809</v>
      </c>
      <c r="T1157" t="str">
        <f>IFERROR(VLOOKUP(B1157,Sites!$A$2:$D$21,4,FALSE()),"Unknown")</f>
        <v>Preston</v>
      </c>
      <c r="U1157" t="str">
        <f>IF(N1157="OK","",COUNTIF($N$2:N1157,"&lt;&gt;OK"))</f>
        <v/>
      </c>
      <c r="V1157">
        <f>IF(OR(NOT(EXACT(E1157,TRIM(Procurement_Raw!E1157))),NOT(EXACT(F1157,TRIM(Procurement_Raw!F1157)))),1,0)</f>
        <v>0</v>
      </c>
    </row>
    <row r="1158" spans="1:22" ht="15" customHeight="1" x14ac:dyDescent="0.25">
      <c r="A1158" s="123">
        <f>Procurement_Raw!A1158</f>
        <v>45749</v>
      </c>
      <c r="B1158" t="str">
        <f>TRIM(Procurement_Raw!B1158)</f>
        <v>S006</v>
      </c>
      <c r="C1158" t="str">
        <f>Procurement_Raw!C1158</f>
        <v>Birmingham Care &amp; Education Centre</v>
      </c>
      <c r="D1158" t="str">
        <f>Procurement_Raw!D1158</f>
        <v>Midlands</v>
      </c>
      <c r="E1158" t="str">
        <f>IF(TRIM(Procurement_Raw!E1158)="","",IFERROR(INDEX(Supplier_Lookup!$A$2:$A$25,MATCH(TRIM(Procurement_Raw!E1158),Supplier_Lookup!$A$2:$A$25,0)),TRIM(Procurement_Raw!E1158)))</f>
        <v>TeleCare IT</v>
      </c>
      <c r="F1158" t="str">
        <f>IFERROR(INDEX(Category_Targets!$A$2:$A$9,MATCH(TRIM(Procurement_Raw!F1158),Category_Targets!$A$2:$A$9,0)),"Unmapped")</f>
        <v>IT &amp; Telecoms</v>
      </c>
      <c r="G1158" t="str">
        <f>TRIM(Procurement_Raw!G1158)</f>
        <v>INV-2025-01157</v>
      </c>
      <c r="H1158" s="77">
        <f>Procurement_Raw!H1158</f>
        <v>63</v>
      </c>
      <c r="I1158" s="124">
        <f>Procurement_Raw!I1158</f>
        <v>150.68</v>
      </c>
      <c r="J1158" s="125">
        <f>IF(Procurement_Raw!J1158="","",Procurement_Raw!J1158)</f>
        <v>9492.7099999999991</v>
      </c>
      <c r="K1158" s="77">
        <f>Procurement_Raw!K1158</f>
        <v>60</v>
      </c>
      <c r="L1158" t="str">
        <f>Procurement_Raw!L1158</f>
        <v>Legacy Spend File</v>
      </c>
      <c r="M1158" t="str">
        <f>Procurement_Raw!O1158</f>
        <v>N</v>
      </c>
      <c r="N1158" t="str">
        <f>IF(E1158="","Missing supplier",IF(B1158="","Missing site",IF(J1158="","Missing spend",IF(COUNTIFS($G$2:G1158,G1158,$E$2:E1158,E1158,$J$2:J1158,J1158)&gt;1,"Duplicate invoice",IF(COUNTIF($G$2:$G$1801,G1158)&gt;1,"Duplicate ID - review",IF(AND(P1158&lt;&gt;"Unmapped",P1158&lt;&gt;F1158),"Category mismatch","OK"))))))</f>
        <v>OK</v>
      </c>
      <c r="O1158" s="125">
        <f t="shared" si="54"/>
        <v>9492.7099999999991</v>
      </c>
      <c r="P1158" t="str">
        <f>IF(E1158="","Unmapped",IFERROR(INDEX(Supplier_Lookup!$B$2:$B$25,MATCH(E1158,Supplier_Lookup!$A$2:$A$25,0)),"Unmapped"))</f>
        <v>IT &amp; Telecoms</v>
      </c>
      <c r="Q1158" s="76">
        <f>IFERROR(INDEX(Category_Targets!$B$2:$B$9,MATCH(F1158,Category_Targets!$A$2:$A$9,0)),0)</f>
        <v>0.08</v>
      </c>
      <c r="R1158" s="125">
        <f t="shared" si="55"/>
        <v>759.41679999999997</v>
      </c>
      <c r="S1158" s="78">
        <f t="shared" si="56"/>
        <v>45748</v>
      </c>
      <c r="T1158" t="str">
        <f>IFERROR(VLOOKUP(B1158,Sites!$A$2:$D$21,4,FALSE()),"Unknown")</f>
        <v>Birmingham</v>
      </c>
      <c r="U1158" t="str">
        <f>IF(N1158="OK","",COUNTIF($N$2:N1158,"&lt;&gt;OK"))</f>
        <v/>
      </c>
      <c r="V1158">
        <f>IF(OR(NOT(EXACT(E1158,TRIM(Procurement_Raw!E1158))),NOT(EXACT(F1158,TRIM(Procurement_Raw!F1158)))),1,0)</f>
        <v>0</v>
      </c>
    </row>
    <row r="1159" spans="1:22" ht="15" customHeight="1" x14ac:dyDescent="0.25">
      <c r="A1159" s="123">
        <f>Procurement_Raw!A1159</f>
        <v>45799</v>
      </c>
      <c r="B1159" t="str">
        <f>TRIM(Procurement_Raw!B1159)</f>
        <v>S008</v>
      </c>
      <c r="C1159" t="str">
        <f>Procurement_Raw!C1159</f>
        <v>Leicester Care &amp; Education Centre</v>
      </c>
      <c r="D1159" t="str">
        <f>Procurement_Raw!D1159</f>
        <v>Midlands</v>
      </c>
      <c r="E1159" t="str">
        <f>IF(TRIM(Procurement_Raw!E1159)="","",IFERROR(INDEX(Supplier_Lookup!$A$2:$A$25,MATCH(TRIM(Procurement_Raw!E1159),Supplier_Lookup!$A$2:$A$25,0)),TRIM(Procurement_Raw!E1159)))</f>
        <v>MediSure</v>
      </c>
      <c r="F1159" t="str">
        <f>IFERROR(INDEX(Category_Targets!$A$2:$A$9,MATCH(TRIM(Procurement_Raw!F1159),Category_Targets!$A$2:$A$9,0)),"Unmapped")</f>
        <v>Medical Supplies</v>
      </c>
      <c r="G1159" t="str">
        <f>TRIM(Procurement_Raw!G1159)</f>
        <v>INV-2025-01158</v>
      </c>
      <c r="H1159" s="77">
        <f>Procurement_Raw!H1159</f>
        <v>64</v>
      </c>
      <c r="I1159" s="124">
        <f>Procurement_Raw!I1159</f>
        <v>414.19</v>
      </c>
      <c r="J1159" s="125">
        <f>IF(Procurement_Raw!J1159="","",Procurement_Raw!J1159)</f>
        <v>26508.34</v>
      </c>
      <c r="K1159" s="77">
        <f>Procurement_Raw!K1159</f>
        <v>30</v>
      </c>
      <c r="L1159" t="str">
        <f>Procurement_Raw!L1159</f>
        <v>Legacy Spend File</v>
      </c>
      <c r="M1159" t="str">
        <f>Procurement_Raw!O1159</f>
        <v>Y</v>
      </c>
      <c r="N1159" t="str">
        <f>IF(E1159="","Missing supplier",IF(B1159="","Missing site",IF(J1159="","Missing spend",IF(COUNTIFS($G$2:G1159,G1159,$E$2:E1159,E1159,$J$2:J1159,J1159)&gt;1,"Duplicate invoice",IF(COUNTIF($G$2:$G$1801,G1159)&gt;1,"Duplicate ID - review",IF(AND(P1159&lt;&gt;"Unmapped",P1159&lt;&gt;F1159),"Category mismatch","OK"))))))</f>
        <v>OK</v>
      </c>
      <c r="O1159" s="125">
        <f t="shared" si="54"/>
        <v>26508.34</v>
      </c>
      <c r="P1159" t="str">
        <f>IF(E1159="","Unmapped",IFERROR(INDEX(Supplier_Lookup!$B$2:$B$25,MATCH(E1159,Supplier_Lookup!$A$2:$A$25,0)),"Unmapped"))</f>
        <v>Medical Supplies</v>
      </c>
      <c r="Q1159" s="76">
        <f>IFERROR(INDEX(Category_Targets!$B$2:$B$9,MATCH(F1159,Category_Targets!$A$2:$A$9,0)),0)</f>
        <v>0.06</v>
      </c>
      <c r="R1159" s="125">
        <f t="shared" si="55"/>
        <v>1590.5003999999999</v>
      </c>
      <c r="S1159" s="78">
        <f t="shared" si="56"/>
        <v>45778</v>
      </c>
      <c r="T1159" t="str">
        <f>IFERROR(VLOOKUP(B1159,Sites!$A$2:$D$21,4,FALSE()),"Unknown")</f>
        <v>Leicester</v>
      </c>
      <c r="U1159" t="str">
        <f>IF(N1159="OK","",COUNTIF($N$2:N1159,"&lt;&gt;OK"))</f>
        <v/>
      </c>
      <c r="V1159">
        <f>IF(OR(NOT(EXACT(E1159,TRIM(Procurement_Raw!E1159))),NOT(EXACT(F1159,TRIM(Procurement_Raw!F1159)))),1,0)</f>
        <v>0</v>
      </c>
    </row>
    <row r="1160" spans="1:22" ht="15" customHeight="1" x14ac:dyDescent="0.25">
      <c r="A1160" s="123">
        <f>Procurement_Raw!A1160</f>
        <v>45904</v>
      </c>
      <c r="B1160" t="str">
        <f>TRIM(Procurement_Raw!B1160)</f>
        <v>S016</v>
      </c>
      <c r="C1160" t="str">
        <f>Procurement_Raw!C1160</f>
        <v>Cardiff Care &amp; Education Centre</v>
      </c>
      <c r="D1160" t="str">
        <f>Procurement_Raw!D1160</f>
        <v>Wales</v>
      </c>
      <c r="E1160" t="str">
        <f>IF(TRIM(Procurement_Raw!E1160)="","",IFERROR(INDEX(Supplier_Lookup!$A$2:$A$25,MATCH(TRIM(Procurement_Raw!E1160),Supplier_Lookup!$A$2:$A$25,0)),TRIM(Procurement_Raw!E1160)))</f>
        <v>AutoCare</v>
      </c>
      <c r="F1160" t="str">
        <f>IFERROR(INDEX(Category_Targets!$A$2:$A$9,MATCH(TRIM(Procurement_Raw!F1160),Category_Targets!$A$2:$A$9,0)),"Unmapped")</f>
        <v>Vehicle &amp; Fuel</v>
      </c>
      <c r="G1160" t="str">
        <f>TRIM(Procurement_Raw!G1160)</f>
        <v>INV-2025-01159</v>
      </c>
      <c r="H1160" s="77">
        <f>Procurement_Raw!H1160</f>
        <v>73</v>
      </c>
      <c r="I1160" s="124">
        <f>Procurement_Raw!I1160</f>
        <v>163.02000000000001</v>
      </c>
      <c r="J1160" s="125">
        <f>IF(Procurement_Raw!J1160="","",Procurement_Raw!J1160)</f>
        <v>11900.16</v>
      </c>
      <c r="K1160" s="77">
        <f>Procurement_Raw!K1160</f>
        <v>45</v>
      </c>
      <c r="L1160" t="str">
        <f>Procurement_Raw!L1160</f>
        <v>Procurement Portal</v>
      </c>
      <c r="M1160" t="str">
        <f>Procurement_Raw!O1160</f>
        <v>N</v>
      </c>
      <c r="N1160" t="str">
        <f>IF(E1160="","Missing supplier",IF(B1160="","Missing site",IF(J1160="","Missing spend",IF(COUNTIFS($G$2:G1160,G1160,$E$2:E1160,E1160,$J$2:J1160,J1160)&gt;1,"Duplicate invoice",IF(COUNTIF($G$2:$G$1801,G1160)&gt;1,"Duplicate ID - review",IF(AND(P1160&lt;&gt;"Unmapped",P1160&lt;&gt;F1160),"Category mismatch","OK"))))))</f>
        <v>OK</v>
      </c>
      <c r="O1160" s="125">
        <f t="shared" si="54"/>
        <v>11900.16</v>
      </c>
      <c r="P1160" t="str">
        <f>IF(E1160="","Unmapped",IFERROR(INDEX(Supplier_Lookup!$B$2:$B$25,MATCH(E1160,Supplier_Lookup!$A$2:$A$25,0)),"Unmapped"))</f>
        <v>Vehicle &amp; Fuel</v>
      </c>
      <c r="Q1160" s="76">
        <f>IFERROR(INDEX(Category_Targets!$B$2:$B$9,MATCH(F1160,Category_Targets!$A$2:$A$9,0)),0)</f>
        <v>0.05</v>
      </c>
      <c r="R1160" s="125">
        <f t="shared" si="55"/>
        <v>595.00800000000004</v>
      </c>
      <c r="S1160" s="78">
        <f t="shared" si="56"/>
        <v>45901</v>
      </c>
      <c r="T1160" t="str">
        <f>IFERROR(VLOOKUP(B1160,Sites!$A$2:$D$21,4,FALSE()),"Unknown")</f>
        <v>Cardiff</v>
      </c>
      <c r="U1160" t="str">
        <f>IF(N1160="OK","",COUNTIF($N$2:N1160,"&lt;&gt;OK"))</f>
        <v/>
      </c>
      <c r="V1160">
        <f>IF(OR(NOT(EXACT(E1160,TRIM(Procurement_Raw!E1160))),NOT(EXACT(F1160,TRIM(Procurement_Raw!F1160)))),1,0)</f>
        <v>0</v>
      </c>
    </row>
    <row r="1161" spans="1:22" ht="15" customHeight="1" x14ac:dyDescent="0.25">
      <c r="A1161" s="123">
        <f>Procurement_Raw!A1161</f>
        <v>45719</v>
      </c>
      <c r="B1161" t="str">
        <f>TRIM(Procurement_Raw!B1161)</f>
        <v>S009</v>
      </c>
      <c r="C1161" t="str">
        <f>Procurement_Raw!C1161</f>
        <v>Derby Care &amp; Education Centre</v>
      </c>
      <c r="D1161" t="str">
        <f>Procurement_Raw!D1161</f>
        <v>Midlands</v>
      </c>
      <c r="E1161" t="str">
        <f>IF(TRIM(Procurement_Raw!E1161)="","",IFERROR(INDEX(Supplier_Lookup!$A$2:$A$25,MATCH(TRIM(Procurement_Raw!E1161),Supplier_Lookup!$A$2:$A$25,0)),TRIM(Procurement_Raw!E1161)))</f>
        <v>PrintCo</v>
      </c>
      <c r="F1161" t="str">
        <f>IFERROR(INDEX(Category_Targets!$A$2:$A$9,MATCH(TRIM(Procurement_Raw!F1161),Category_Targets!$A$2:$A$9,0)),"Unmapped")</f>
        <v>Office &amp; Training</v>
      </c>
      <c r="G1161" t="str">
        <f>TRIM(Procurement_Raw!G1161)</f>
        <v>INV-2025-01160</v>
      </c>
      <c r="H1161" s="77">
        <f>Procurement_Raw!H1161</f>
        <v>48</v>
      </c>
      <c r="I1161" s="124">
        <f>Procurement_Raw!I1161</f>
        <v>62.73</v>
      </c>
      <c r="J1161" s="125">
        <f>IF(Procurement_Raw!J1161="","",Procurement_Raw!J1161)</f>
        <v>3011.01</v>
      </c>
      <c r="K1161" s="77">
        <f>Procurement_Raw!K1161</f>
        <v>60</v>
      </c>
      <c r="L1161" t="str">
        <f>Procurement_Raw!L1161</f>
        <v>Legacy Spend File</v>
      </c>
      <c r="M1161" t="str">
        <f>Procurement_Raw!O1161</f>
        <v>N</v>
      </c>
      <c r="N1161" t="str">
        <f>IF(E1161="","Missing supplier",IF(B1161="","Missing site",IF(J1161="","Missing spend",IF(COUNTIFS($G$2:G1161,G1161,$E$2:E1161,E1161,$J$2:J1161,J1161)&gt;1,"Duplicate invoice",IF(COUNTIF($G$2:$G$1801,G1161)&gt;1,"Duplicate ID - review",IF(AND(P1161&lt;&gt;"Unmapped",P1161&lt;&gt;F1161),"Category mismatch","OK"))))))</f>
        <v>OK</v>
      </c>
      <c r="O1161" s="125">
        <f t="shared" si="54"/>
        <v>3011.01</v>
      </c>
      <c r="P1161" t="str">
        <f>IF(E1161="","Unmapped",IFERROR(INDEX(Supplier_Lookup!$B$2:$B$25,MATCH(E1161,Supplier_Lookup!$A$2:$A$25,0)),"Unmapped"))</f>
        <v>Office &amp; Training</v>
      </c>
      <c r="Q1161" s="76">
        <f>IFERROR(INDEX(Category_Targets!$B$2:$B$9,MATCH(F1161,Category_Targets!$A$2:$A$9,0)),0)</f>
        <v>0.04</v>
      </c>
      <c r="R1161" s="125">
        <f t="shared" si="55"/>
        <v>120.44040000000001</v>
      </c>
      <c r="S1161" s="78">
        <f t="shared" si="56"/>
        <v>45717</v>
      </c>
      <c r="T1161" t="str">
        <f>IFERROR(VLOOKUP(B1161,Sites!$A$2:$D$21,4,FALSE()),"Unknown")</f>
        <v>Derby</v>
      </c>
      <c r="U1161" t="str">
        <f>IF(N1161="OK","",COUNTIF($N$2:N1161,"&lt;&gt;OK"))</f>
        <v/>
      </c>
      <c r="V1161">
        <f>IF(OR(NOT(EXACT(E1161,TRIM(Procurement_Raw!E1161))),NOT(EXACT(F1161,TRIM(Procurement_Raw!F1161)))),1,0)</f>
        <v>0</v>
      </c>
    </row>
    <row r="1162" spans="1:22" ht="15" customHeight="1" x14ac:dyDescent="0.25">
      <c r="A1162" s="123">
        <f>Procurement_Raw!A1162</f>
        <v>45741</v>
      </c>
      <c r="B1162" t="str">
        <f>TRIM(Procurement_Raw!B1162)</f>
        <v>S015</v>
      </c>
      <c r="C1162" t="str">
        <f>Procurement_Raw!C1162</f>
        <v>Brighton Care &amp; Education Centre</v>
      </c>
      <c r="D1162" t="str">
        <f>Procurement_Raw!D1162</f>
        <v>South</v>
      </c>
      <c r="E1162" t="str">
        <f>IF(TRIM(Procurement_Raw!E1162)="","",IFERROR(INDEX(Supplier_Lookup!$A$2:$A$25,MATCH(TRIM(Procurement_Raw!E1162),Supplier_Lookup!$A$2:$A$25,0)),TRIM(Procurement_Raw!E1162)))</f>
        <v>CareMed</v>
      </c>
      <c r="F1162" t="str">
        <f>IFERROR(INDEX(Category_Targets!$A$2:$A$9,MATCH(TRIM(Procurement_Raw!F1162),Category_Targets!$A$2:$A$9,0)),"Unmapped")</f>
        <v>Medical Supplies</v>
      </c>
      <c r="G1162" t="str">
        <f>TRIM(Procurement_Raw!G1162)</f>
        <v>INV-2025-01161</v>
      </c>
      <c r="H1162" s="77">
        <f>Procurement_Raw!H1162</f>
        <v>75</v>
      </c>
      <c r="I1162" s="124">
        <f>Procurement_Raw!I1162</f>
        <v>30.35</v>
      </c>
      <c r="J1162" s="125">
        <f>IF(Procurement_Raw!J1162="","",Procurement_Raw!J1162)</f>
        <v>2276.3000000000002</v>
      </c>
      <c r="K1162" s="77">
        <f>Procurement_Raw!K1162</f>
        <v>30</v>
      </c>
      <c r="L1162" t="str">
        <f>Procurement_Raw!L1162</f>
        <v>ERP</v>
      </c>
      <c r="M1162" t="str">
        <f>Procurement_Raw!O1162</f>
        <v>N</v>
      </c>
      <c r="N1162" t="str">
        <f>IF(E1162="","Missing supplier",IF(B1162="","Missing site",IF(J1162="","Missing spend",IF(COUNTIFS($G$2:G1162,G1162,$E$2:E1162,E1162,$J$2:J1162,J1162)&gt;1,"Duplicate invoice",IF(COUNTIF($G$2:$G$1801,G1162)&gt;1,"Duplicate ID - review",IF(AND(P1162&lt;&gt;"Unmapped",P1162&lt;&gt;F1162),"Category mismatch","OK"))))))</f>
        <v>OK</v>
      </c>
      <c r="O1162" s="125">
        <f t="shared" si="54"/>
        <v>2276.3000000000002</v>
      </c>
      <c r="P1162" t="str">
        <f>IF(E1162="","Unmapped",IFERROR(INDEX(Supplier_Lookup!$B$2:$B$25,MATCH(E1162,Supplier_Lookup!$A$2:$A$25,0)),"Unmapped"))</f>
        <v>Medical Supplies</v>
      </c>
      <c r="Q1162" s="76">
        <f>IFERROR(INDEX(Category_Targets!$B$2:$B$9,MATCH(F1162,Category_Targets!$A$2:$A$9,0)),0)</f>
        <v>0.06</v>
      </c>
      <c r="R1162" s="125">
        <f t="shared" si="55"/>
        <v>136.578</v>
      </c>
      <c r="S1162" s="78">
        <f t="shared" si="56"/>
        <v>45717</v>
      </c>
      <c r="T1162" t="str">
        <f>IFERROR(VLOOKUP(B1162,Sites!$A$2:$D$21,4,FALSE()),"Unknown")</f>
        <v>Brighton</v>
      </c>
      <c r="U1162" t="str">
        <f>IF(N1162="OK","",COUNTIF($N$2:N1162,"&lt;&gt;OK"))</f>
        <v/>
      </c>
      <c r="V1162">
        <f>IF(OR(NOT(EXACT(E1162,TRIM(Procurement_Raw!E1162))),NOT(EXACT(F1162,TRIM(Procurement_Raw!F1162)))),1,0)</f>
        <v>0</v>
      </c>
    </row>
    <row r="1163" spans="1:22" ht="15" customHeight="1" x14ac:dyDescent="0.25">
      <c r="A1163" s="123">
        <f>Procurement_Raw!A1163</f>
        <v>45727</v>
      </c>
      <c r="B1163" t="str">
        <f>TRIM(Procurement_Raw!B1163)</f>
        <v>S006</v>
      </c>
      <c r="C1163" t="str">
        <f>Procurement_Raw!C1163</f>
        <v>Birmingham Care &amp; Education Centre</v>
      </c>
      <c r="D1163" t="str">
        <f>Procurement_Raw!D1163</f>
        <v>Midlands</v>
      </c>
      <c r="E1163" t="str">
        <f>IF(TRIM(Procurement_Raw!E1163)="","",IFERROR(INDEX(Supplier_Lookup!$A$2:$A$25,MATCH(TRIM(Procurement_Raw!E1163),Supplier_Lookup!$A$2:$A$25,0)),TRIM(Procurement_Raw!E1163)))</f>
        <v>PrintCo</v>
      </c>
      <c r="F1163" t="str">
        <f>IFERROR(INDEX(Category_Targets!$A$2:$A$9,MATCH(TRIM(Procurement_Raw!F1163),Category_Targets!$A$2:$A$9,0)),"Unmapped")</f>
        <v>Office &amp; Training</v>
      </c>
      <c r="G1163" t="str">
        <f>TRIM(Procurement_Raw!G1163)</f>
        <v>INV-2025-01162</v>
      </c>
      <c r="H1163" s="77">
        <f>Procurement_Raw!H1163</f>
        <v>46</v>
      </c>
      <c r="I1163" s="124">
        <f>Procurement_Raw!I1163</f>
        <v>264.41000000000003</v>
      </c>
      <c r="J1163" s="125">
        <f>IF(Procurement_Raw!J1163="","",Procurement_Raw!J1163)</f>
        <v>12162.93</v>
      </c>
      <c r="K1163" s="77">
        <f>Procurement_Raw!K1163</f>
        <v>30</v>
      </c>
      <c r="L1163" t="str">
        <f>Procurement_Raw!L1163</f>
        <v>ERP</v>
      </c>
      <c r="M1163" t="str">
        <f>Procurement_Raw!O1163</f>
        <v>N</v>
      </c>
      <c r="N1163" t="str">
        <f>IF(E1163="","Missing supplier",IF(B1163="","Missing site",IF(J1163="","Missing spend",IF(COUNTIFS($G$2:G1163,G1163,$E$2:E1163,E1163,$J$2:J1163,J1163)&gt;1,"Duplicate invoice",IF(COUNTIF($G$2:$G$1801,G1163)&gt;1,"Duplicate ID - review",IF(AND(P1163&lt;&gt;"Unmapped",P1163&lt;&gt;F1163),"Category mismatch","OK"))))))</f>
        <v>OK</v>
      </c>
      <c r="O1163" s="125">
        <f t="shared" si="54"/>
        <v>12162.93</v>
      </c>
      <c r="P1163" t="str">
        <f>IF(E1163="","Unmapped",IFERROR(INDEX(Supplier_Lookup!$B$2:$B$25,MATCH(E1163,Supplier_Lookup!$A$2:$A$25,0)),"Unmapped"))</f>
        <v>Office &amp; Training</v>
      </c>
      <c r="Q1163" s="76">
        <f>IFERROR(INDEX(Category_Targets!$B$2:$B$9,MATCH(F1163,Category_Targets!$A$2:$A$9,0)),0)</f>
        <v>0.04</v>
      </c>
      <c r="R1163" s="125">
        <f t="shared" si="55"/>
        <v>486.5172</v>
      </c>
      <c r="S1163" s="78">
        <f t="shared" si="56"/>
        <v>45717</v>
      </c>
      <c r="T1163" t="str">
        <f>IFERROR(VLOOKUP(B1163,Sites!$A$2:$D$21,4,FALSE()),"Unknown")</f>
        <v>Birmingham</v>
      </c>
      <c r="U1163" t="str">
        <f>IF(N1163="OK","",COUNTIF($N$2:N1163,"&lt;&gt;OK"))</f>
        <v/>
      </c>
      <c r="V1163">
        <f>IF(OR(NOT(EXACT(E1163,TRIM(Procurement_Raw!E1163))),NOT(EXACT(F1163,TRIM(Procurement_Raw!F1163)))),1,0)</f>
        <v>0</v>
      </c>
    </row>
    <row r="1164" spans="1:22" ht="15" customHeight="1" x14ac:dyDescent="0.25">
      <c r="A1164" s="123">
        <f>Procurement_Raw!A1164</f>
        <v>45983</v>
      </c>
      <c r="B1164" t="str">
        <f>TRIM(Procurement_Raw!B1164)</f>
        <v>S001</v>
      </c>
      <c r="C1164" t="str">
        <f>Procurement_Raw!C1164</f>
        <v>Preston Care &amp; Education Centre</v>
      </c>
      <c r="D1164" t="str">
        <f>Procurement_Raw!D1164</f>
        <v>North</v>
      </c>
      <c r="E1164" t="str">
        <f>IF(TRIM(Procurement_Raw!E1164)="","",IFERROR(INDEX(Supplier_Lookup!$A$2:$A$25,MATCH(TRIM(Procurement_Raw!E1164),Supplier_Lookup!$A$2:$A$25,0)),TRIM(Procurement_Raw!E1164)))</f>
        <v>RoadReady</v>
      </c>
      <c r="F1164" t="str">
        <f>IFERROR(INDEX(Category_Targets!$A$2:$A$9,MATCH(TRIM(Procurement_Raw!F1164),Category_Targets!$A$2:$A$9,0)),"Unmapped")</f>
        <v>Vehicle &amp; Fuel</v>
      </c>
      <c r="G1164" t="str">
        <f>TRIM(Procurement_Raw!G1164)</f>
        <v>INV-2025-01163</v>
      </c>
      <c r="H1164" s="77">
        <f>Procurement_Raw!H1164</f>
        <v>46</v>
      </c>
      <c r="I1164" s="124">
        <f>Procurement_Raw!I1164</f>
        <v>44.24</v>
      </c>
      <c r="J1164" s="125">
        <f>IF(Procurement_Raw!J1164="","",Procurement_Raw!J1164)</f>
        <v>2035</v>
      </c>
      <c r="K1164" s="77">
        <f>Procurement_Raw!K1164</f>
        <v>30</v>
      </c>
      <c r="L1164" t="str">
        <f>Procurement_Raw!L1164</f>
        <v>Procurement Portal</v>
      </c>
      <c r="M1164" t="str">
        <f>Procurement_Raw!O1164</f>
        <v>N</v>
      </c>
      <c r="N1164" t="str">
        <f>IF(E1164="","Missing supplier",IF(B1164="","Missing site",IF(J1164="","Missing spend",IF(COUNTIFS($G$2:G1164,G1164,$E$2:E1164,E1164,$J$2:J1164,J1164)&gt;1,"Duplicate invoice",IF(COUNTIF($G$2:$G$1801,G1164)&gt;1,"Duplicate ID - review",IF(AND(P1164&lt;&gt;"Unmapped",P1164&lt;&gt;F1164),"Category mismatch","OK"))))))</f>
        <v>OK</v>
      </c>
      <c r="O1164" s="125">
        <f t="shared" si="54"/>
        <v>2035</v>
      </c>
      <c r="P1164" t="str">
        <f>IF(E1164="","Unmapped",IFERROR(INDEX(Supplier_Lookup!$B$2:$B$25,MATCH(E1164,Supplier_Lookup!$A$2:$A$25,0)),"Unmapped"))</f>
        <v>Vehicle &amp; Fuel</v>
      </c>
      <c r="Q1164" s="76">
        <f>IFERROR(INDEX(Category_Targets!$B$2:$B$9,MATCH(F1164,Category_Targets!$A$2:$A$9,0)),0)</f>
        <v>0.05</v>
      </c>
      <c r="R1164" s="125">
        <f t="shared" si="55"/>
        <v>101.75</v>
      </c>
      <c r="S1164" s="78">
        <f t="shared" si="56"/>
        <v>45962</v>
      </c>
      <c r="T1164" t="str">
        <f>IFERROR(VLOOKUP(B1164,Sites!$A$2:$D$21,4,FALSE()),"Unknown")</f>
        <v>Preston</v>
      </c>
      <c r="U1164" t="str">
        <f>IF(N1164="OK","",COUNTIF($N$2:N1164,"&lt;&gt;OK"))</f>
        <v/>
      </c>
      <c r="V1164">
        <f>IF(OR(NOT(EXACT(E1164,TRIM(Procurement_Raw!E1164))),NOT(EXACT(F1164,TRIM(Procurement_Raw!F1164)))),1,0)</f>
        <v>0</v>
      </c>
    </row>
    <row r="1165" spans="1:22" ht="15" customHeight="1" x14ac:dyDescent="0.25">
      <c r="A1165" s="123">
        <f>Procurement_Raw!A1165</f>
        <v>45757</v>
      </c>
      <c r="B1165" t="str">
        <f>TRIM(Procurement_Raw!B1165)</f>
        <v>S014</v>
      </c>
      <c r="C1165" t="str">
        <f>Procurement_Raw!C1165</f>
        <v>Southampton Care &amp; Education Centre</v>
      </c>
      <c r="D1165" t="str">
        <f>Procurement_Raw!D1165</f>
        <v>South</v>
      </c>
      <c r="E1165" t="str">
        <f>IF(TRIM(Procurement_Raw!E1165)="","",IFERROR(INDEX(Supplier_Lookup!$A$2:$A$25,MATCH(TRIM(Procurement_Raw!E1165),Supplier_Lookup!$A$2:$A$25,0)),TRIM(Procurement_Raw!E1165)))</f>
        <v>KitchenPro</v>
      </c>
      <c r="F1165" t="str">
        <f>IFERROR(INDEX(Category_Targets!$A$2:$A$9,MATCH(TRIM(Procurement_Raw!F1165),Category_Targets!$A$2:$A$9,0)),"Unmapped")</f>
        <v>Food &amp; Catering</v>
      </c>
      <c r="G1165" t="str">
        <f>TRIM(Procurement_Raw!G1165)</f>
        <v>INV-2025-01164</v>
      </c>
      <c r="H1165" s="77">
        <f>Procurement_Raw!H1165</f>
        <v>24</v>
      </c>
      <c r="I1165" s="124">
        <f>Procurement_Raw!I1165</f>
        <v>26.3</v>
      </c>
      <c r="J1165" s="125">
        <f>IF(Procurement_Raw!J1165="","",Procurement_Raw!J1165)</f>
        <v>631.1</v>
      </c>
      <c r="K1165" s="77">
        <f>Procurement_Raw!K1165</f>
        <v>30</v>
      </c>
      <c r="L1165" t="str">
        <f>Procurement_Raw!L1165</f>
        <v>Legacy Spend File</v>
      </c>
      <c r="M1165" t="str">
        <f>Procurement_Raw!O1165</f>
        <v>N</v>
      </c>
      <c r="N1165" t="str">
        <f>IF(E1165="","Missing supplier",IF(B1165="","Missing site",IF(J1165="","Missing spend",IF(COUNTIFS($G$2:G1165,G1165,$E$2:E1165,E1165,$J$2:J1165,J1165)&gt;1,"Duplicate invoice",IF(COUNTIF($G$2:$G$1801,G1165)&gt;1,"Duplicate ID - review",IF(AND(P1165&lt;&gt;"Unmapped",P1165&lt;&gt;F1165),"Category mismatch","OK"))))))</f>
        <v>OK</v>
      </c>
      <c r="O1165" s="125">
        <f t="shared" si="54"/>
        <v>631.1</v>
      </c>
      <c r="P1165" t="str">
        <f>IF(E1165="","Unmapped",IFERROR(INDEX(Supplier_Lookup!$B$2:$B$25,MATCH(E1165,Supplier_Lookup!$A$2:$A$25,0)),"Unmapped"))</f>
        <v>Food &amp; Catering</v>
      </c>
      <c r="Q1165" s="76">
        <f>IFERROR(INDEX(Category_Targets!$B$2:$B$9,MATCH(F1165,Category_Targets!$A$2:$A$9,0)),0)</f>
        <v>0.04</v>
      </c>
      <c r="R1165" s="125">
        <f t="shared" si="55"/>
        <v>25.244</v>
      </c>
      <c r="S1165" s="78">
        <f t="shared" si="56"/>
        <v>45748</v>
      </c>
      <c r="T1165" t="str">
        <f>IFERROR(VLOOKUP(B1165,Sites!$A$2:$D$21,4,FALSE()),"Unknown")</f>
        <v>Southampton</v>
      </c>
      <c r="U1165" t="str">
        <f>IF(N1165="OK","",COUNTIF($N$2:N1165,"&lt;&gt;OK"))</f>
        <v/>
      </c>
      <c r="V1165">
        <f>IF(OR(NOT(EXACT(E1165,TRIM(Procurement_Raw!E1165))),NOT(EXACT(F1165,TRIM(Procurement_Raw!F1165)))),1,0)</f>
        <v>0</v>
      </c>
    </row>
    <row r="1166" spans="1:22" ht="15" customHeight="1" x14ac:dyDescent="0.25">
      <c r="A1166" s="123">
        <f>Procurement_Raw!A1166</f>
        <v>45823</v>
      </c>
      <c r="B1166" t="str">
        <f>TRIM(Procurement_Raw!B1166)</f>
        <v>S016</v>
      </c>
      <c r="C1166" t="str">
        <f>Procurement_Raw!C1166</f>
        <v>Cardiff Care &amp; Education Centre</v>
      </c>
      <c r="D1166" t="str">
        <f>Procurement_Raw!D1166</f>
        <v>Wales</v>
      </c>
      <c r="E1166" t="str">
        <f>IF(TRIM(Procurement_Raw!E1166)="","",IFERROR(INDEX(Supplier_Lookup!$A$2:$A$25,MATCH(TRIM(Procurement_Raw!E1166),Supplier_Lookup!$A$2:$A$25,0)),TRIM(Procurement_Raw!E1166)))</f>
        <v>BuildCare</v>
      </c>
      <c r="F1166" t="str">
        <f>IFERROR(INDEX(Category_Targets!$A$2:$A$9,MATCH(TRIM(Procurement_Raw!F1166),Category_Targets!$A$2:$A$9,0)),"Unmapped")</f>
        <v>Facilities</v>
      </c>
      <c r="G1166" t="str">
        <f>TRIM(Procurement_Raw!G1166)</f>
        <v>INV-2025-01165</v>
      </c>
      <c r="H1166" s="77">
        <f>Procurement_Raw!H1166</f>
        <v>41</v>
      </c>
      <c r="I1166" s="124">
        <f>Procurement_Raw!I1166</f>
        <v>315.88</v>
      </c>
      <c r="J1166" s="125">
        <f>IF(Procurement_Raw!J1166="","",Procurement_Raw!J1166)</f>
        <v>12951.19</v>
      </c>
      <c r="K1166" s="77">
        <f>Procurement_Raw!K1166</f>
        <v>60</v>
      </c>
      <c r="L1166" t="str">
        <f>Procurement_Raw!L1166</f>
        <v>Procurement Portal</v>
      </c>
      <c r="M1166" t="str">
        <f>Procurement_Raw!O1166</f>
        <v>N</v>
      </c>
      <c r="N1166" t="str">
        <f>IF(E1166="","Missing supplier",IF(B1166="","Missing site",IF(J1166="","Missing spend",IF(COUNTIFS($G$2:G1166,G1166,$E$2:E1166,E1166,$J$2:J1166,J1166)&gt;1,"Duplicate invoice",IF(COUNTIF($G$2:$G$1801,G1166)&gt;1,"Duplicate ID - review",IF(AND(P1166&lt;&gt;"Unmapped",P1166&lt;&gt;F1166),"Category mismatch","OK"))))))</f>
        <v>OK</v>
      </c>
      <c r="O1166" s="125">
        <f t="shared" si="54"/>
        <v>12951.19</v>
      </c>
      <c r="P1166" t="str">
        <f>IF(E1166="","Unmapped",IFERROR(INDEX(Supplier_Lookup!$B$2:$B$25,MATCH(E1166,Supplier_Lookup!$A$2:$A$25,0)),"Unmapped"))</f>
        <v>Facilities</v>
      </c>
      <c r="Q1166" s="76">
        <f>IFERROR(INDEX(Category_Targets!$B$2:$B$9,MATCH(F1166,Category_Targets!$A$2:$A$9,0)),0)</f>
        <v>0.05</v>
      </c>
      <c r="R1166" s="125">
        <f t="shared" si="55"/>
        <v>647.55950000000007</v>
      </c>
      <c r="S1166" s="78">
        <f t="shared" si="56"/>
        <v>45809</v>
      </c>
      <c r="T1166" t="str">
        <f>IFERROR(VLOOKUP(B1166,Sites!$A$2:$D$21,4,FALSE()),"Unknown")</f>
        <v>Cardiff</v>
      </c>
      <c r="U1166" t="str">
        <f>IF(N1166="OK","",COUNTIF($N$2:N1166,"&lt;&gt;OK"))</f>
        <v/>
      </c>
      <c r="V1166">
        <f>IF(OR(NOT(EXACT(E1166,TRIM(Procurement_Raw!E1166))),NOT(EXACT(F1166,TRIM(Procurement_Raw!F1166)))),1,0)</f>
        <v>0</v>
      </c>
    </row>
    <row r="1167" spans="1:22" ht="15" customHeight="1" x14ac:dyDescent="0.25">
      <c r="A1167" s="123">
        <f>Procurement_Raw!A1167</f>
        <v>45931</v>
      </c>
      <c r="B1167" t="str">
        <f>TRIM(Procurement_Raw!B1167)</f>
        <v>S019</v>
      </c>
      <c r="C1167" t="str">
        <f>Procurement_Raw!C1167</f>
        <v>Wrexham Care &amp; Education Centre</v>
      </c>
      <c r="D1167" t="str">
        <f>Procurement_Raw!D1167</f>
        <v>Wales</v>
      </c>
      <c r="E1167" t="str">
        <f>IF(TRIM(Procurement_Raw!E1167)="","",IFERROR(INDEX(Supplier_Lookup!$A$2:$A$25,MATCH(TRIM(Procurement_Raw!E1167),Supplier_Lookup!$A$2:$A$25,0)),TRIM(Procurement_Raw!E1167)))</f>
        <v>FleetFuel</v>
      </c>
      <c r="F1167" t="str">
        <f>IFERROR(INDEX(Category_Targets!$A$2:$A$9,MATCH(TRIM(Procurement_Raw!F1167),Category_Targets!$A$2:$A$9,0)),"Unmapped")</f>
        <v>Vehicle &amp; Fuel</v>
      </c>
      <c r="G1167" t="str">
        <f>TRIM(Procurement_Raw!G1167)</f>
        <v>INV-2025-01166</v>
      </c>
      <c r="H1167" s="77">
        <f>Procurement_Raw!H1167</f>
        <v>75</v>
      </c>
      <c r="I1167" s="124">
        <f>Procurement_Raw!I1167</f>
        <v>363.49</v>
      </c>
      <c r="J1167" s="125">
        <f>IF(Procurement_Raw!J1167="","",Procurement_Raw!J1167)</f>
        <v>27261.45</v>
      </c>
      <c r="K1167" s="77">
        <f>Procurement_Raw!K1167</f>
        <v>45</v>
      </c>
      <c r="L1167" t="str">
        <f>Procurement_Raw!L1167</f>
        <v>ERP</v>
      </c>
      <c r="M1167" t="str">
        <f>Procurement_Raw!O1167</f>
        <v>Y</v>
      </c>
      <c r="N1167" t="str">
        <f>IF(E1167="","Missing supplier",IF(B1167="","Missing site",IF(J1167="","Missing spend",IF(COUNTIFS($G$2:G1167,G1167,$E$2:E1167,E1167,$J$2:J1167,J1167)&gt;1,"Duplicate invoice",IF(COUNTIF($G$2:$G$1801,G1167)&gt;1,"Duplicate ID - review",IF(AND(P1167&lt;&gt;"Unmapped",P1167&lt;&gt;F1167),"Category mismatch","OK"))))))</f>
        <v>OK</v>
      </c>
      <c r="O1167" s="125">
        <f t="shared" si="54"/>
        <v>27261.45</v>
      </c>
      <c r="P1167" t="str">
        <f>IF(E1167="","Unmapped",IFERROR(INDEX(Supplier_Lookup!$B$2:$B$25,MATCH(E1167,Supplier_Lookup!$A$2:$A$25,0)),"Unmapped"))</f>
        <v>Vehicle &amp; Fuel</v>
      </c>
      <c r="Q1167" s="76">
        <f>IFERROR(INDEX(Category_Targets!$B$2:$B$9,MATCH(F1167,Category_Targets!$A$2:$A$9,0)),0)</f>
        <v>0.05</v>
      </c>
      <c r="R1167" s="125">
        <f t="shared" si="55"/>
        <v>1363.0725000000002</v>
      </c>
      <c r="S1167" s="78">
        <f t="shared" si="56"/>
        <v>45931</v>
      </c>
      <c r="T1167" t="str">
        <f>IFERROR(VLOOKUP(B1167,Sites!$A$2:$D$21,4,FALSE()),"Unknown")</f>
        <v>Wrexham</v>
      </c>
      <c r="U1167" t="str">
        <f>IF(N1167="OK","",COUNTIF($N$2:N1167,"&lt;&gt;OK"))</f>
        <v/>
      </c>
      <c r="V1167">
        <f>IF(OR(NOT(EXACT(E1167,TRIM(Procurement_Raw!E1167))),NOT(EXACT(F1167,TRIM(Procurement_Raw!F1167)))),1,0)</f>
        <v>0</v>
      </c>
    </row>
    <row r="1168" spans="1:22" ht="15" customHeight="1" x14ac:dyDescent="0.25">
      <c r="A1168" s="123">
        <f>Procurement_Raw!A1168</f>
        <v>45802</v>
      </c>
      <c r="B1168" t="str">
        <f>TRIM(Procurement_Raw!B1168)</f>
        <v>S012</v>
      </c>
      <c r="C1168" t="str">
        <f>Procurement_Raw!C1168</f>
        <v>Bristol Care &amp; Education Centre</v>
      </c>
      <c r="D1168" t="str">
        <f>Procurement_Raw!D1168</f>
        <v>South</v>
      </c>
      <c r="E1168" t="str">
        <f>IF(TRIM(Procurement_Raw!E1168)="","",IFERROR(INDEX(Supplier_Lookup!$A$2:$A$25,MATCH(TRIM(Procurement_Raw!E1168),Supplier_Lookup!$A$2:$A$25,0)),TRIM(Procurement_Raw!E1168)))</f>
        <v>BuildCare</v>
      </c>
      <c r="F1168" t="str">
        <f>IFERROR(INDEX(Category_Targets!$A$2:$A$9,MATCH(TRIM(Procurement_Raw!F1168),Category_Targets!$A$2:$A$9,0)),"Unmapped")</f>
        <v>Facilities</v>
      </c>
      <c r="G1168" t="str">
        <f>TRIM(Procurement_Raw!G1168)</f>
        <v>INV-2025-01167</v>
      </c>
      <c r="H1168" s="77">
        <f>Procurement_Raw!H1168</f>
        <v>48</v>
      </c>
      <c r="I1168" s="124">
        <f>Procurement_Raw!I1168</f>
        <v>385.41</v>
      </c>
      <c r="J1168" s="125">
        <f>IF(Procurement_Raw!J1168="","",Procurement_Raw!J1168)</f>
        <v>18499.669999999998</v>
      </c>
      <c r="K1168" s="77">
        <f>Procurement_Raw!K1168</f>
        <v>45</v>
      </c>
      <c r="L1168" t="str">
        <f>Procurement_Raw!L1168</f>
        <v>Procurement Portal</v>
      </c>
      <c r="M1168" t="str">
        <f>Procurement_Raw!O1168</f>
        <v>N</v>
      </c>
      <c r="N1168" t="str">
        <f>IF(E1168="","Missing supplier",IF(B1168="","Missing site",IF(J1168="","Missing spend",IF(COUNTIFS($G$2:G1168,G1168,$E$2:E1168,E1168,$J$2:J1168,J1168)&gt;1,"Duplicate invoice",IF(COUNTIF($G$2:$G$1801,G1168)&gt;1,"Duplicate ID - review",IF(AND(P1168&lt;&gt;"Unmapped",P1168&lt;&gt;F1168),"Category mismatch","OK"))))))</f>
        <v>OK</v>
      </c>
      <c r="O1168" s="125">
        <f t="shared" si="54"/>
        <v>18499.669999999998</v>
      </c>
      <c r="P1168" t="str">
        <f>IF(E1168="","Unmapped",IFERROR(INDEX(Supplier_Lookup!$B$2:$B$25,MATCH(E1168,Supplier_Lookup!$A$2:$A$25,0)),"Unmapped"))</f>
        <v>Facilities</v>
      </c>
      <c r="Q1168" s="76">
        <f>IFERROR(INDEX(Category_Targets!$B$2:$B$9,MATCH(F1168,Category_Targets!$A$2:$A$9,0)),0)</f>
        <v>0.05</v>
      </c>
      <c r="R1168" s="125">
        <f t="shared" si="55"/>
        <v>924.98349999999994</v>
      </c>
      <c r="S1168" s="78">
        <f t="shared" si="56"/>
        <v>45778</v>
      </c>
      <c r="T1168" t="str">
        <f>IFERROR(VLOOKUP(B1168,Sites!$A$2:$D$21,4,FALSE()),"Unknown")</f>
        <v>Bristol</v>
      </c>
      <c r="U1168" t="str">
        <f>IF(N1168="OK","",COUNTIF($N$2:N1168,"&lt;&gt;OK"))</f>
        <v/>
      </c>
      <c r="V1168">
        <f>IF(OR(NOT(EXACT(E1168,TRIM(Procurement_Raw!E1168))),NOT(EXACT(F1168,TRIM(Procurement_Raw!F1168)))),1,0)</f>
        <v>0</v>
      </c>
    </row>
    <row r="1169" spans="1:22" ht="15" customHeight="1" x14ac:dyDescent="0.25">
      <c r="A1169" s="123">
        <f>Procurement_Raw!A1169</f>
        <v>45769</v>
      </c>
      <c r="B1169" t="str">
        <f>TRIM(Procurement_Raw!B1169)</f>
        <v>S007</v>
      </c>
      <c r="C1169" t="str">
        <f>Procurement_Raw!C1169</f>
        <v>Nottingham Care &amp; Education Centre</v>
      </c>
      <c r="D1169" t="str">
        <f>Procurement_Raw!D1169</f>
        <v>Midlands</v>
      </c>
      <c r="E1169" t="str">
        <f>IF(TRIM(Procurement_Raw!E1169)="","",IFERROR(INDEX(Supplier_Lookup!$A$2:$A$25,MATCH(TRIM(Procurement_Raw!E1169),Supplier_Lookup!$A$2:$A$25,0)),TRIM(Procurement_Raw!E1169)))</f>
        <v>CleanWorks</v>
      </c>
      <c r="F1169" t="str">
        <f>IFERROR(INDEX(Category_Targets!$A$2:$A$9,MATCH(TRIM(Procurement_Raw!F1169),Category_Targets!$A$2:$A$9,0)),"Unmapped")</f>
        <v>Facilities</v>
      </c>
      <c r="G1169" t="str">
        <f>TRIM(Procurement_Raw!G1169)</f>
        <v>INV-2025-01168</v>
      </c>
      <c r="H1169" s="77">
        <f>Procurement_Raw!H1169</f>
        <v>20</v>
      </c>
      <c r="I1169" s="124">
        <f>Procurement_Raw!I1169</f>
        <v>245.45</v>
      </c>
      <c r="J1169" s="125">
        <f>IF(Procurement_Raw!J1169="","",Procurement_Raw!J1169)</f>
        <v>4909.07</v>
      </c>
      <c r="K1169" s="77">
        <f>Procurement_Raw!K1169</f>
        <v>60</v>
      </c>
      <c r="L1169" t="str">
        <f>Procurement_Raw!L1169</f>
        <v>ERP</v>
      </c>
      <c r="M1169" t="str">
        <f>Procurement_Raw!O1169</f>
        <v>Y</v>
      </c>
      <c r="N1169" t="str">
        <f>IF(E1169="","Missing supplier",IF(B1169="","Missing site",IF(J1169="","Missing spend",IF(COUNTIFS($G$2:G1169,G1169,$E$2:E1169,E1169,$J$2:J1169,J1169)&gt;1,"Duplicate invoice",IF(COUNTIF($G$2:$G$1801,G1169)&gt;1,"Duplicate ID - review",IF(AND(P1169&lt;&gt;"Unmapped",P1169&lt;&gt;F1169),"Category mismatch","OK"))))))</f>
        <v>OK</v>
      </c>
      <c r="O1169" s="125">
        <f t="shared" si="54"/>
        <v>4909.07</v>
      </c>
      <c r="P1169" t="str">
        <f>IF(E1169="","Unmapped",IFERROR(INDEX(Supplier_Lookup!$B$2:$B$25,MATCH(E1169,Supplier_Lookup!$A$2:$A$25,0)),"Unmapped"))</f>
        <v>Facilities</v>
      </c>
      <c r="Q1169" s="76">
        <f>IFERROR(INDEX(Category_Targets!$B$2:$B$9,MATCH(F1169,Category_Targets!$A$2:$A$9,0)),0)</f>
        <v>0.05</v>
      </c>
      <c r="R1169" s="125">
        <f t="shared" si="55"/>
        <v>245.45349999999999</v>
      </c>
      <c r="S1169" s="78">
        <f t="shared" si="56"/>
        <v>45748</v>
      </c>
      <c r="T1169" t="str">
        <f>IFERROR(VLOOKUP(B1169,Sites!$A$2:$D$21,4,FALSE()),"Unknown")</f>
        <v>Nottingham</v>
      </c>
      <c r="U1169" t="str">
        <f>IF(N1169="OK","",COUNTIF($N$2:N1169,"&lt;&gt;OK"))</f>
        <v/>
      </c>
      <c r="V1169">
        <f>IF(OR(NOT(EXACT(E1169,TRIM(Procurement_Raw!E1169))),NOT(EXACT(F1169,TRIM(Procurement_Raw!F1169)))),1,0)</f>
        <v>0</v>
      </c>
    </row>
    <row r="1170" spans="1:22" ht="15" customHeight="1" x14ac:dyDescent="0.25">
      <c r="A1170" s="123">
        <f>Procurement_Raw!A1170</f>
        <v>45893</v>
      </c>
      <c r="B1170" t="str">
        <f>TRIM(Procurement_Raw!B1170)</f>
        <v>S005</v>
      </c>
      <c r="C1170" t="str">
        <f>Procurement_Raw!C1170</f>
        <v>Sheffield Care &amp; Education Centre</v>
      </c>
      <c r="D1170" t="str">
        <f>Procurement_Raw!D1170</f>
        <v>North</v>
      </c>
      <c r="E1170" t="str">
        <f>IF(TRIM(Procurement_Raw!E1170)="","",IFERROR(INDEX(Supplier_Lookup!$A$2:$A$25,MATCH(TRIM(Procurement_Raw!E1170),Supplier_Lookup!$A$2:$A$25,0)),TRIM(Procurement_Raw!E1170)))</f>
        <v>NourishCo</v>
      </c>
      <c r="F1170" t="str">
        <f>IFERROR(INDEX(Category_Targets!$A$2:$A$9,MATCH(TRIM(Procurement_Raw!F1170),Category_Targets!$A$2:$A$9,0)),"Unmapped")</f>
        <v>Food &amp; Catering</v>
      </c>
      <c r="G1170" t="str">
        <f>TRIM(Procurement_Raw!G1170)</f>
        <v>INV-2025-01169</v>
      </c>
      <c r="H1170" s="77">
        <f>Procurement_Raw!H1170</f>
        <v>10</v>
      </c>
      <c r="I1170" s="124">
        <f>Procurement_Raw!I1170</f>
        <v>90.15</v>
      </c>
      <c r="J1170" s="125">
        <f>IF(Procurement_Raw!J1170="","",Procurement_Raw!J1170)</f>
        <v>901.52</v>
      </c>
      <c r="K1170" s="77">
        <f>Procurement_Raw!K1170</f>
        <v>30</v>
      </c>
      <c r="L1170" t="str">
        <f>Procurement_Raw!L1170</f>
        <v>ERP</v>
      </c>
      <c r="M1170" t="str">
        <f>Procurement_Raw!O1170</f>
        <v>N</v>
      </c>
      <c r="N1170" t="str">
        <f>IF(E1170="","Missing supplier",IF(B1170="","Missing site",IF(J1170="","Missing spend",IF(COUNTIFS($G$2:G1170,G1170,$E$2:E1170,E1170,$J$2:J1170,J1170)&gt;1,"Duplicate invoice",IF(COUNTIF($G$2:$G$1801,G1170)&gt;1,"Duplicate ID - review",IF(AND(P1170&lt;&gt;"Unmapped",P1170&lt;&gt;F1170),"Category mismatch","OK"))))))</f>
        <v>OK</v>
      </c>
      <c r="O1170" s="125">
        <f t="shared" si="54"/>
        <v>901.52</v>
      </c>
      <c r="P1170" t="str">
        <f>IF(E1170="","Unmapped",IFERROR(INDEX(Supplier_Lookup!$B$2:$B$25,MATCH(E1170,Supplier_Lookup!$A$2:$A$25,0)),"Unmapped"))</f>
        <v>Food &amp; Catering</v>
      </c>
      <c r="Q1170" s="76">
        <f>IFERROR(INDEX(Category_Targets!$B$2:$B$9,MATCH(F1170,Category_Targets!$A$2:$A$9,0)),0)</f>
        <v>0.04</v>
      </c>
      <c r="R1170" s="125">
        <f t="shared" si="55"/>
        <v>36.0608</v>
      </c>
      <c r="S1170" s="78">
        <f t="shared" si="56"/>
        <v>45870</v>
      </c>
      <c r="T1170" t="str">
        <f>IFERROR(VLOOKUP(B1170,Sites!$A$2:$D$21,4,FALSE()),"Unknown")</f>
        <v>Sheffield</v>
      </c>
      <c r="U1170" t="str">
        <f>IF(N1170="OK","",COUNTIF($N$2:N1170,"&lt;&gt;OK"))</f>
        <v/>
      </c>
      <c r="V1170">
        <f>IF(OR(NOT(EXACT(E1170,TRIM(Procurement_Raw!E1170))),NOT(EXACT(F1170,TRIM(Procurement_Raw!F1170)))),1,0)</f>
        <v>0</v>
      </c>
    </row>
    <row r="1171" spans="1:22" ht="15" customHeight="1" x14ac:dyDescent="0.25">
      <c r="A1171" s="123">
        <f>Procurement_Raw!A1171</f>
        <v>45817</v>
      </c>
      <c r="B1171" t="str">
        <f>TRIM(Procurement_Raw!B1171)</f>
        <v>S006</v>
      </c>
      <c r="C1171" t="str">
        <f>Procurement_Raw!C1171</f>
        <v>Birmingham Care &amp; Education Centre</v>
      </c>
      <c r="D1171" t="str">
        <f>Procurement_Raw!D1171</f>
        <v>Midlands</v>
      </c>
      <c r="E1171" t="str">
        <f>IF(TRIM(Procurement_Raw!E1171)="","",IFERROR(INDEX(Supplier_Lookup!$A$2:$A$25,MATCH(TRIM(Procurement_Raw!E1171),Supplier_Lookup!$A$2:$A$25,0)),TRIM(Procurement_Raw!E1171)))</f>
        <v>LearnWell</v>
      </c>
      <c r="F1171" t="str">
        <f>IFERROR(INDEX(Category_Targets!$A$2:$A$9,MATCH(TRIM(Procurement_Raw!F1171),Category_Targets!$A$2:$A$9,0)),"Unmapped")</f>
        <v>Office &amp; Training</v>
      </c>
      <c r="G1171" t="str">
        <f>TRIM(Procurement_Raw!G1171)</f>
        <v>INV-2025-01170</v>
      </c>
      <c r="H1171" s="77">
        <f>Procurement_Raw!H1171</f>
        <v>47</v>
      </c>
      <c r="I1171" s="124">
        <f>Procurement_Raw!I1171</f>
        <v>119.93</v>
      </c>
      <c r="J1171" s="125">
        <f>IF(Procurement_Raw!J1171="","",Procurement_Raw!J1171)</f>
        <v>5636.48</v>
      </c>
      <c r="K1171" s="77">
        <f>Procurement_Raw!K1171</f>
        <v>30</v>
      </c>
      <c r="L1171" t="str">
        <f>Procurement_Raw!L1171</f>
        <v>Procurement Portal</v>
      </c>
      <c r="M1171" t="str">
        <f>Procurement_Raw!O1171</f>
        <v>N</v>
      </c>
      <c r="N1171" t="str">
        <f>IF(E1171="","Missing supplier",IF(B1171="","Missing site",IF(J1171="","Missing spend",IF(COUNTIFS($G$2:G1171,G1171,$E$2:E1171,E1171,$J$2:J1171,J1171)&gt;1,"Duplicate invoice",IF(COUNTIF($G$2:$G$1801,G1171)&gt;1,"Duplicate ID - review",IF(AND(P1171&lt;&gt;"Unmapped",P1171&lt;&gt;F1171),"Category mismatch","OK"))))))</f>
        <v>OK</v>
      </c>
      <c r="O1171" s="125">
        <f t="shared" si="54"/>
        <v>5636.48</v>
      </c>
      <c r="P1171" t="str">
        <f>IF(E1171="","Unmapped",IFERROR(INDEX(Supplier_Lookup!$B$2:$B$25,MATCH(E1171,Supplier_Lookup!$A$2:$A$25,0)),"Unmapped"))</f>
        <v>Office &amp; Training</v>
      </c>
      <c r="Q1171" s="76">
        <f>IFERROR(INDEX(Category_Targets!$B$2:$B$9,MATCH(F1171,Category_Targets!$A$2:$A$9,0)),0)</f>
        <v>0.04</v>
      </c>
      <c r="R1171" s="125">
        <f t="shared" si="55"/>
        <v>225.45919999999998</v>
      </c>
      <c r="S1171" s="78">
        <f t="shared" si="56"/>
        <v>45809</v>
      </c>
      <c r="T1171" t="str">
        <f>IFERROR(VLOOKUP(B1171,Sites!$A$2:$D$21,4,FALSE()),"Unknown")</f>
        <v>Birmingham</v>
      </c>
      <c r="U1171" t="str">
        <f>IF(N1171="OK","",COUNTIF($N$2:N1171,"&lt;&gt;OK"))</f>
        <v/>
      </c>
      <c r="V1171">
        <f>IF(OR(NOT(EXACT(E1171,TRIM(Procurement_Raw!E1171))),NOT(EXACT(F1171,TRIM(Procurement_Raw!F1171)))),1,0)</f>
        <v>0</v>
      </c>
    </row>
    <row r="1172" spans="1:22" ht="15" customHeight="1" x14ac:dyDescent="0.25">
      <c r="A1172" s="123">
        <f>Procurement_Raw!A1172</f>
        <v>46021</v>
      </c>
      <c r="B1172" t="str">
        <f>TRIM(Procurement_Raw!B1172)</f>
        <v>S014</v>
      </c>
      <c r="C1172" t="str">
        <f>Procurement_Raw!C1172</f>
        <v>Southampton Care &amp; Education Centre</v>
      </c>
      <c r="D1172" t="str">
        <f>Procurement_Raw!D1172</f>
        <v>South</v>
      </c>
      <c r="E1172" t="str">
        <f>IF(TRIM(Procurement_Raw!E1172)="","",IFERROR(INDEX(Supplier_Lookup!$A$2:$A$25,MATCH(TRIM(Procurement_Raw!E1172),Supplier_Lookup!$A$2:$A$25,0)),TRIM(Procurement_Raw!E1172)))</f>
        <v>FleetFuel</v>
      </c>
      <c r="F1172" t="str">
        <f>IFERROR(INDEX(Category_Targets!$A$2:$A$9,MATCH(TRIM(Procurement_Raw!F1172),Category_Targets!$A$2:$A$9,0)),"Unmapped")</f>
        <v>Vehicle &amp; Fuel</v>
      </c>
      <c r="G1172" t="str">
        <f>TRIM(Procurement_Raw!G1172)</f>
        <v>INV-2025-01171</v>
      </c>
      <c r="H1172" s="77">
        <f>Procurement_Raw!H1172</f>
        <v>39</v>
      </c>
      <c r="I1172" s="124">
        <f>Procurement_Raw!I1172</f>
        <v>144.21</v>
      </c>
      <c r="J1172" s="125">
        <f>IF(Procurement_Raw!J1172="","",Procurement_Raw!J1172)</f>
        <v>5624.29</v>
      </c>
      <c r="K1172" s="77">
        <f>Procurement_Raw!K1172</f>
        <v>30</v>
      </c>
      <c r="L1172" t="str">
        <f>Procurement_Raw!L1172</f>
        <v>Legacy Spend File</v>
      </c>
      <c r="M1172" t="str">
        <f>Procurement_Raw!O1172</f>
        <v>Y</v>
      </c>
      <c r="N1172" t="str">
        <f>IF(E1172="","Missing supplier",IF(B1172="","Missing site",IF(J1172="","Missing spend",IF(COUNTIFS($G$2:G1172,G1172,$E$2:E1172,E1172,$J$2:J1172,J1172)&gt;1,"Duplicate invoice",IF(COUNTIF($G$2:$G$1801,G1172)&gt;1,"Duplicate ID - review",IF(AND(P1172&lt;&gt;"Unmapped",P1172&lt;&gt;F1172),"Category mismatch","OK"))))))</f>
        <v>OK</v>
      </c>
      <c r="O1172" s="125">
        <f t="shared" si="54"/>
        <v>5624.29</v>
      </c>
      <c r="P1172" t="str">
        <f>IF(E1172="","Unmapped",IFERROR(INDEX(Supplier_Lookup!$B$2:$B$25,MATCH(E1172,Supplier_Lookup!$A$2:$A$25,0)),"Unmapped"))</f>
        <v>Vehicle &amp; Fuel</v>
      </c>
      <c r="Q1172" s="76">
        <f>IFERROR(INDEX(Category_Targets!$B$2:$B$9,MATCH(F1172,Category_Targets!$A$2:$A$9,0)),0)</f>
        <v>0.05</v>
      </c>
      <c r="R1172" s="125">
        <f t="shared" si="55"/>
        <v>281.21449999999999</v>
      </c>
      <c r="S1172" s="78">
        <f t="shared" si="56"/>
        <v>45992</v>
      </c>
      <c r="T1172" t="str">
        <f>IFERROR(VLOOKUP(B1172,Sites!$A$2:$D$21,4,FALSE()),"Unknown")</f>
        <v>Southampton</v>
      </c>
      <c r="U1172" t="str">
        <f>IF(N1172="OK","",COUNTIF($N$2:N1172,"&lt;&gt;OK"))</f>
        <v/>
      </c>
      <c r="V1172">
        <f>IF(OR(NOT(EXACT(E1172,TRIM(Procurement_Raw!E1172))),NOT(EXACT(F1172,TRIM(Procurement_Raw!F1172)))),1,0)</f>
        <v>0</v>
      </c>
    </row>
    <row r="1173" spans="1:22" ht="15" customHeight="1" x14ac:dyDescent="0.25">
      <c r="A1173" s="123">
        <f>Procurement_Raw!A1173</f>
        <v>46013</v>
      </c>
      <c r="B1173" t="str">
        <f>TRIM(Procurement_Raw!B1173)</f>
        <v>S003</v>
      </c>
      <c r="C1173" t="str">
        <f>Procurement_Raw!C1173</f>
        <v>Leeds Care &amp; Education Centre</v>
      </c>
      <c r="D1173" t="str">
        <f>Procurement_Raw!D1173</f>
        <v>North</v>
      </c>
      <c r="E1173" t="str">
        <f>IF(TRIM(Procurement_Raw!E1173)="","",IFERROR(INDEX(Supplier_Lookup!$A$2:$A$25,MATCH(TRIM(Procurement_Raw!E1173),Supplier_Lookup!$A$2:$A$25,0)),TRIM(Procurement_Raw!E1173)))</f>
        <v>UK Energy Partners</v>
      </c>
      <c r="F1173" t="str">
        <f>IFERROR(INDEX(Category_Targets!$A$2:$A$9,MATCH(TRIM(Procurement_Raw!F1173),Category_Targets!$A$2:$A$9,0)),"Unmapped")</f>
        <v>Utilities</v>
      </c>
      <c r="G1173" t="str">
        <f>TRIM(Procurement_Raw!G1173)</f>
        <v>INV-2025-01172</v>
      </c>
      <c r="H1173" s="77">
        <f>Procurement_Raw!H1173</f>
        <v>19</v>
      </c>
      <c r="I1173" s="124">
        <f>Procurement_Raw!I1173</f>
        <v>291.81</v>
      </c>
      <c r="J1173" s="125">
        <f>IF(Procurement_Raw!J1173="","",Procurement_Raw!J1173)</f>
        <v>5544.46</v>
      </c>
      <c r="K1173" s="77">
        <f>Procurement_Raw!K1173</f>
        <v>60</v>
      </c>
      <c r="L1173" t="str">
        <f>Procurement_Raw!L1173</f>
        <v>ERP</v>
      </c>
      <c r="M1173" t="str">
        <f>Procurement_Raw!O1173</f>
        <v>N</v>
      </c>
      <c r="N1173" t="str">
        <f>IF(E1173="","Missing supplier",IF(B1173="","Missing site",IF(J1173="","Missing spend",IF(COUNTIFS($G$2:G1173,G1173,$E$2:E1173,E1173,$J$2:J1173,J1173)&gt;1,"Duplicate invoice",IF(COUNTIF($G$2:$G$1801,G1173)&gt;1,"Duplicate ID - review",IF(AND(P1173&lt;&gt;"Unmapped",P1173&lt;&gt;F1173),"Category mismatch","OK"))))))</f>
        <v>OK</v>
      </c>
      <c r="O1173" s="125">
        <f t="shared" si="54"/>
        <v>5544.46</v>
      </c>
      <c r="P1173" t="str">
        <f>IF(E1173="","Unmapped",IFERROR(INDEX(Supplier_Lookup!$B$2:$B$25,MATCH(E1173,Supplier_Lookup!$A$2:$A$25,0)),"Unmapped"))</f>
        <v>Utilities</v>
      </c>
      <c r="Q1173" s="76">
        <f>IFERROR(INDEX(Category_Targets!$B$2:$B$9,MATCH(F1173,Category_Targets!$A$2:$A$9,0)),0)</f>
        <v>0.03</v>
      </c>
      <c r="R1173" s="125">
        <f t="shared" si="55"/>
        <v>166.3338</v>
      </c>
      <c r="S1173" s="78">
        <f t="shared" si="56"/>
        <v>45992</v>
      </c>
      <c r="T1173" t="str">
        <f>IFERROR(VLOOKUP(B1173,Sites!$A$2:$D$21,4,FALSE()),"Unknown")</f>
        <v>Leeds</v>
      </c>
      <c r="U1173" t="str">
        <f>IF(N1173="OK","",COUNTIF($N$2:N1173,"&lt;&gt;OK"))</f>
        <v/>
      </c>
      <c r="V1173">
        <f>IF(OR(NOT(EXACT(E1173,TRIM(Procurement_Raw!E1173))),NOT(EXACT(F1173,TRIM(Procurement_Raw!F1173)))),1,0)</f>
        <v>0</v>
      </c>
    </row>
    <row r="1174" spans="1:22" ht="15" customHeight="1" x14ac:dyDescent="0.25">
      <c r="A1174" s="123">
        <f>Procurement_Raw!A1174</f>
        <v>45724</v>
      </c>
      <c r="B1174" t="str">
        <f>TRIM(Procurement_Raw!B1174)</f>
        <v>S017</v>
      </c>
      <c r="C1174" t="str">
        <f>Procurement_Raw!C1174</f>
        <v>Swansea Care &amp; Education Centre</v>
      </c>
      <c r="D1174" t="str">
        <f>Procurement_Raw!D1174</f>
        <v>Wales</v>
      </c>
      <c r="E1174" t="str">
        <f>IF(TRIM(Procurement_Raw!E1174)="","",IFERROR(INDEX(Supplier_Lookup!$A$2:$A$25,MATCH(TRIM(Procurement_Raw!E1174),Supplier_Lookup!$A$2:$A$25,0)),TRIM(Procurement_Raw!E1174)))</f>
        <v>CleanWorks</v>
      </c>
      <c r="F1174" t="str">
        <f>IFERROR(INDEX(Category_Targets!$A$2:$A$9,MATCH(TRIM(Procurement_Raw!F1174),Category_Targets!$A$2:$A$9,0)),"Unmapped")</f>
        <v>Facilities</v>
      </c>
      <c r="G1174" t="str">
        <f>TRIM(Procurement_Raw!G1174)</f>
        <v>INV-2025-01173</v>
      </c>
      <c r="H1174" s="77">
        <f>Procurement_Raw!H1174</f>
        <v>11</v>
      </c>
      <c r="I1174" s="124">
        <f>Procurement_Raw!I1174</f>
        <v>190.62</v>
      </c>
      <c r="J1174" s="125">
        <f>IF(Procurement_Raw!J1174="","",Procurement_Raw!J1174)</f>
        <v>2096.79</v>
      </c>
      <c r="K1174" s="77">
        <f>Procurement_Raw!K1174</f>
        <v>45</v>
      </c>
      <c r="L1174" t="str">
        <f>Procurement_Raw!L1174</f>
        <v>Legacy Spend File</v>
      </c>
      <c r="M1174" t="str">
        <f>Procurement_Raw!O1174</f>
        <v>Y</v>
      </c>
      <c r="N1174" t="str">
        <f>IF(E1174="","Missing supplier",IF(B1174="","Missing site",IF(J1174="","Missing spend",IF(COUNTIFS($G$2:G1174,G1174,$E$2:E1174,E1174,$J$2:J1174,J1174)&gt;1,"Duplicate invoice",IF(COUNTIF($G$2:$G$1801,G1174)&gt;1,"Duplicate ID - review",IF(AND(P1174&lt;&gt;"Unmapped",P1174&lt;&gt;F1174),"Category mismatch","OK"))))))</f>
        <v>OK</v>
      </c>
      <c r="O1174" s="125">
        <f t="shared" si="54"/>
        <v>2096.79</v>
      </c>
      <c r="P1174" t="str">
        <f>IF(E1174="","Unmapped",IFERROR(INDEX(Supplier_Lookup!$B$2:$B$25,MATCH(E1174,Supplier_Lookup!$A$2:$A$25,0)),"Unmapped"))</f>
        <v>Facilities</v>
      </c>
      <c r="Q1174" s="76">
        <f>IFERROR(INDEX(Category_Targets!$B$2:$B$9,MATCH(F1174,Category_Targets!$A$2:$A$9,0)),0)</f>
        <v>0.05</v>
      </c>
      <c r="R1174" s="125">
        <f t="shared" si="55"/>
        <v>104.8395</v>
      </c>
      <c r="S1174" s="78">
        <f t="shared" si="56"/>
        <v>45717</v>
      </c>
      <c r="T1174" t="str">
        <f>IFERROR(VLOOKUP(B1174,Sites!$A$2:$D$21,4,FALSE()),"Unknown")</f>
        <v>Swansea</v>
      </c>
      <c r="U1174" t="str">
        <f>IF(N1174="OK","",COUNTIF($N$2:N1174,"&lt;&gt;OK"))</f>
        <v/>
      </c>
      <c r="V1174">
        <f>IF(OR(NOT(EXACT(E1174,TRIM(Procurement_Raw!E1174))),NOT(EXACT(F1174,TRIM(Procurement_Raw!F1174)))),1,0)</f>
        <v>0</v>
      </c>
    </row>
    <row r="1175" spans="1:22" ht="15" customHeight="1" x14ac:dyDescent="0.25">
      <c r="A1175" s="123">
        <f>Procurement_Raw!A1175</f>
        <v>45905</v>
      </c>
      <c r="B1175" t="str">
        <f>TRIM(Procurement_Raw!B1175)</f>
        <v>S013</v>
      </c>
      <c r="C1175" t="str">
        <f>Procurement_Raw!C1175</f>
        <v>Reading Care &amp; Education Centre</v>
      </c>
      <c r="D1175" t="str">
        <f>Procurement_Raw!D1175</f>
        <v>South</v>
      </c>
      <c r="E1175" t="str">
        <f>IF(TRIM(Procurement_Raw!E1175)="","",IFERROR(INDEX(Supplier_Lookup!$A$2:$A$25,MATCH(TRIM(Procurement_Raw!E1175),Supplier_Lookup!$A$2:$A$25,0)),TRIM(Procurement_Raw!E1175)))</f>
        <v>FreshServe</v>
      </c>
      <c r="F1175" t="str">
        <f>IFERROR(INDEX(Category_Targets!$A$2:$A$9,MATCH(TRIM(Procurement_Raw!F1175),Category_Targets!$A$2:$A$9,0)),"Unmapped")</f>
        <v>Food &amp; Catering</v>
      </c>
      <c r="G1175" t="str">
        <f>TRIM(Procurement_Raw!G1175)</f>
        <v>INV-2025-01174</v>
      </c>
      <c r="H1175" s="77">
        <f>Procurement_Raw!H1175</f>
        <v>56</v>
      </c>
      <c r="I1175" s="124">
        <f>Procurement_Raw!I1175</f>
        <v>62.8</v>
      </c>
      <c r="J1175" s="125">
        <f>IF(Procurement_Raw!J1175="","",Procurement_Raw!J1175)</f>
        <v>3516.82</v>
      </c>
      <c r="K1175" s="77">
        <f>Procurement_Raw!K1175</f>
        <v>30</v>
      </c>
      <c r="L1175" t="str">
        <f>Procurement_Raw!L1175</f>
        <v>ERP</v>
      </c>
      <c r="M1175" t="str">
        <f>Procurement_Raw!O1175</f>
        <v>Y</v>
      </c>
      <c r="N1175" t="str">
        <f>IF(E1175="","Missing supplier",IF(B1175="","Missing site",IF(J1175="","Missing spend",IF(COUNTIFS($G$2:G1175,G1175,$E$2:E1175,E1175,$J$2:J1175,J1175)&gt;1,"Duplicate invoice",IF(COUNTIF($G$2:$G$1801,G1175)&gt;1,"Duplicate ID - review",IF(AND(P1175&lt;&gt;"Unmapped",P1175&lt;&gt;F1175),"Category mismatch","OK"))))))</f>
        <v>OK</v>
      </c>
      <c r="O1175" s="125">
        <f t="shared" si="54"/>
        <v>3516.82</v>
      </c>
      <c r="P1175" t="str">
        <f>IF(E1175="","Unmapped",IFERROR(INDEX(Supplier_Lookup!$B$2:$B$25,MATCH(E1175,Supplier_Lookup!$A$2:$A$25,0)),"Unmapped"))</f>
        <v>Food &amp; Catering</v>
      </c>
      <c r="Q1175" s="76">
        <f>IFERROR(INDEX(Category_Targets!$B$2:$B$9,MATCH(F1175,Category_Targets!$A$2:$A$9,0)),0)</f>
        <v>0.04</v>
      </c>
      <c r="R1175" s="125">
        <f t="shared" si="55"/>
        <v>140.67280000000002</v>
      </c>
      <c r="S1175" s="78">
        <f t="shared" si="56"/>
        <v>45901</v>
      </c>
      <c r="T1175" t="str">
        <f>IFERROR(VLOOKUP(B1175,Sites!$A$2:$D$21,4,FALSE()),"Unknown")</f>
        <v>Reading</v>
      </c>
      <c r="U1175" t="str">
        <f>IF(N1175="OK","",COUNTIF($N$2:N1175,"&lt;&gt;OK"))</f>
        <v/>
      </c>
      <c r="V1175">
        <f>IF(OR(NOT(EXACT(E1175,TRIM(Procurement_Raw!E1175))),NOT(EXACT(F1175,TRIM(Procurement_Raw!F1175)))),1,0)</f>
        <v>0</v>
      </c>
    </row>
    <row r="1176" spans="1:22" ht="15" customHeight="1" x14ac:dyDescent="0.25">
      <c r="A1176" s="123">
        <f>Procurement_Raw!A1176</f>
        <v>45920</v>
      </c>
      <c r="B1176" t="str">
        <f>TRIM(Procurement_Raw!B1176)</f>
        <v>S003</v>
      </c>
      <c r="C1176" t="str">
        <f>Procurement_Raw!C1176</f>
        <v>Leeds Care &amp; Education Centre</v>
      </c>
      <c r="D1176" t="str">
        <f>Procurement_Raw!D1176</f>
        <v>North</v>
      </c>
      <c r="E1176" t="str">
        <f>IF(TRIM(Procurement_Raw!E1176)="","",IFERROR(INDEX(Supplier_Lookup!$A$2:$A$25,MATCH(TRIM(Procurement_Raw!E1176),Supplier_Lookup!$A$2:$A$25,0)),TRIM(Procurement_Raw!E1176)))</f>
        <v>ClinEquip</v>
      </c>
      <c r="F1176" t="str">
        <f>IFERROR(INDEX(Category_Targets!$A$2:$A$9,MATCH(TRIM(Procurement_Raw!F1176),Category_Targets!$A$2:$A$9,0)),"Unmapped")</f>
        <v>Medical Supplies</v>
      </c>
      <c r="G1176" t="str">
        <f>TRIM(Procurement_Raw!G1176)</f>
        <v>INV-2025-01175</v>
      </c>
      <c r="H1176" s="77">
        <f>Procurement_Raw!H1176</f>
        <v>76</v>
      </c>
      <c r="I1176" s="124">
        <f>Procurement_Raw!I1176</f>
        <v>79.27</v>
      </c>
      <c r="J1176" s="125">
        <f>IF(Procurement_Raw!J1176="","",Procurement_Raw!J1176)</f>
        <v>6024.23</v>
      </c>
      <c r="K1176" s="77">
        <f>Procurement_Raw!K1176</f>
        <v>30</v>
      </c>
      <c r="L1176" t="str">
        <f>Procurement_Raw!L1176</f>
        <v>Procurement Portal</v>
      </c>
      <c r="M1176" t="str">
        <f>Procurement_Raw!O1176</f>
        <v>N</v>
      </c>
      <c r="N1176" t="str">
        <f>IF(E1176="","Missing supplier",IF(B1176="","Missing site",IF(J1176="","Missing spend",IF(COUNTIFS($G$2:G1176,G1176,$E$2:E1176,E1176,$J$2:J1176,J1176)&gt;1,"Duplicate invoice",IF(COUNTIF($G$2:$G$1801,G1176)&gt;1,"Duplicate ID - review",IF(AND(P1176&lt;&gt;"Unmapped",P1176&lt;&gt;F1176),"Category mismatch","OK"))))))</f>
        <v>OK</v>
      </c>
      <c r="O1176" s="125">
        <f t="shared" si="54"/>
        <v>6024.23</v>
      </c>
      <c r="P1176" t="str">
        <f>IF(E1176="","Unmapped",IFERROR(INDEX(Supplier_Lookup!$B$2:$B$25,MATCH(E1176,Supplier_Lookup!$A$2:$A$25,0)),"Unmapped"))</f>
        <v>Medical Supplies</v>
      </c>
      <c r="Q1176" s="76">
        <f>IFERROR(INDEX(Category_Targets!$B$2:$B$9,MATCH(F1176,Category_Targets!$A$2:$A$9,0)),0)</f>
        <v>0.06</v>
      </c>
      <c r="R1176" s="125">
        <f t="shared" si="55"/>
        <v>361.45379999999994</v>
      </c>
      <c r="S1176" s="78">
        <f t="shared" si="56"/>
        <v>45901</v>
      </c>
      <c r="T1176" t="str">
        <f>IFERROR(VLOOKUP(B1176,Sites!$A$2:$D$21,4,FALSE()),"Unknown")</f>
        <v>Leeds</v>
      </c>
      <c r="U1176" t="str">
        <f>IF(N1176="OK","",COUNTIF($N$2:N1176,"&lt;&gt;OK"))</f>
        <v/>
      </c>
      <c r="V1176">
        <f>IF(OR(NOT(EXACT(E1176,TRIM(Procurement_Raw!E1176))),NOT(EXACT(F1176,TRIM(Procurement_Raw!F1176)))),1,0)</f>
        <v>0</v>
      </c>
    </row>
    <row r="1177" spans="1:22" ht="15" customHeight="1" x14ac:dyDescent="0.25">
      <c r="A1177" s="123">
        <f>Procurement_Raw!A1177</f>
        <v>45691</v>
      </c>
      <c r="B1177" t="str">
        <f>TRIM(Procurement_Raw!B1177)</f>
        <v>S007</v>
      </c>
      <c r="C1177" t="str">
        <f>Procurement_Raw!C1177</f>
        <v>Nottingham Care &amp; Education Centre</v>
      </c>
      <c r="D1177" t="str">
        <f>Procurement_Raw!D1177</f>
        <v>Midlands</v>
      </c>
      <c r="E1177" t="str">
        <f>IF(TRIM(Procurement_Raw!E1177)="","",IFERROR(INDEX(Supplier_Lookup!$A$2:$A$25,MATCH(TRIM(Procurement_Raw!E1177),Supplier_Lookup!$A$2:$A$25,0)),TRIM(Procurement_Raw!E1177)))</f>
        <v>CloudLink</v>
      </c>
      <c r="F1177" t="str">
        <f>IFERROR(INDEX(Category_Targets!$A$2:$A$9,MATCH(TRIM(Procurement_Raw!F1177),Category_Targets!$A$2:$A$9,0)),"Unmapped")</f>
        <v>IT &amp; Telecoms</v>
      </c>
      <c r="G1177" t="str">
        <f>TRIM(Procurement_Raw!G1177)</f>
        <v>INV-2025-01176</v>
      </c>
      <c r="H1177" s="77">
        <f>Procurement_Raw!H1177</f>
        <v>39</v>
      </c>
      <c r="I1177" s="124">
        <f>Procurement_Raw!I1177</f>
        <v>188.53</v>
      </c>
      <c r="J1177" s="125">
        <f>IF(Procurement_Raw!J1177="","",Procurement_Raw!J1177)</f>
        <v>7352.66</v>
      </c>
      <c r="K1177" s="77">
        <f>Procurement_Raw!K1177</f>
        <v>60</v>
      </c>
      <c r="L1177" t="str">
        <f>Procurement_Raw!L1177</f>
        <v>ERP</v>
      </c>
      <c r="M1177" t="str">
        <f>Procurement_Raw!O1177</f>
        <v>Y</v>
      </c>
      <c r="N1177" t="str">
        <f>IF(E1177="","Missing supplier",IF(B1177="","Missing site",IF(J1177="","Missing spend",IF(COUNTIFS($G$2:G1177,G1177,$E$2:E1177,E1177,$J$2:J1177,J1177)&gt;1,"Duplicate invoice",IF(COUNTIF($G$2:$G$1801,G1177)&gt;1,"Duplicate ID - review",IF(AND(P1177&lt;&gt;"Unmapped",P1177&lt;&gt;F1177),"Category mismatch","OK"))))))</f>
        <v>OK</v>
      </c>
      <c r="O1177" s="125">
        <f t="shared" si="54"/>
        <v>7352.66</v>
      </c>
      <c r="P1177" t="str">
        <f>IF(E1177="","Unmapped",IFERROR(INDEX(Supplier_Lookup!$B$2:$B$25,MATCH(E1177,Supplier_Lookup!$A$2:$A$25,0)),"Unmapped"))</f>
        <v>IT &amp; Telecoms</v>
      </c>
      <c r="Q1177" s="76">
        <f>IFERROR(INDEX(Category_Targets!$B$2:$B$9,MATCH(F1177,Category_Targets!$A$2:$A$9,0)),0)</f>
        <v>0.08</v>
      </c>
      <c r="R1177" s="125">
        <f t="shared" si="55"/>
        <v>588.21280000000002</v>
      </c>
      <c r="S1177" s="78">
        <f t="shared" si="56"/>
        <v>45689</v>
      </c>
      <c r="T1177" t="str">
        <f>IFERROR(VLOOKUP(B1177,Sites!$A$2:$D$21,4,FALSE()),"Unknown")</f>
        <v>Nottingham</v>
      </c>
      <c r="U1177" t="str">
        <f>IF(N1177="OK","",COUNTIF($N$2:N1177,"&lt;&gt;OK"))</f>
        <v/>
      </c>
      <c r="V1177">
        <f>IF(OR(NOT(EXACT(E1177,TRIM(Procurement_Raw!E1177))),NOT(EXACT(F1177,TRIM(Procurement_Raw!F1177)))),1,0)</f>
        <v>0</v>
      </c>
    </row>
    <row r="1178" spans="1:22" ht="15" customHeight="1" x14ac:dyDescent="0.25">
      <c r="A1178" s="123">
        <f>Procurement_Raw!A1178</f>
        <v>45966</v>
      </c>
      <c r="B1178" t="str">
        <f>TRIM(Procurement_Raw!B1178)</f>
        <v>S007</v>
      </c>
      <c r="C1178" t="str">
        <f>Procurement_Raw!C1178</f>
        <v>Nottingham Care &amp; Education Centre</v>
      </c>
      <c r="D1178" t="str">
        <f>Procurement_Raw!D1178</f>
        <v>Midlands</v>
      </c>
      <c r="E1178" t="str">
        <f>IF(TRIM(Procurement_Raw!E1178)="","",IFERROR(INDEX(Supplier_Lookup!$A$2:$A$25,MATCH(TRIM(Procurement_Raw!E1178),Supplier_Lookup!$A$2:$A$25,0)),TRIM(Procurement_Raw!E1178)))</f>
        <v>FreshServe</v>
      </c>
      <c r="F1178" t="str">
        <f>IFERROR(INDEX(Category_Targets!$A$2:$A$9,MATCH(TRIM(Procurement_Raw!F1178),Category_Targets!$A$2:$A$9,0)),"Unmapped")</f>
        <v>Food &amp; Catering</v>
      </c>
      <c r="G1178" t="str">
        <f>TRIM(Procurement_Raw!G1178)</f>
        <v>INV-2025-01177</v>
      </c>
      <c r="H1178" s="77">
        <f>Procurement_Raw!H1178</f>
        <v>27</v>
      </c>
      <c r="I1178" s="124">
        <f>Procurement_Raw!I1178</f>
        <v>25.62</v>
      </c>
      <c r="J1178" s="125">
        <f>IF(Procurement_Raw!J1178="","",Procurement_Raw!J1178)</f>
        <v>691.66</v>
      </c>
      <c r="K1178" s="77">
        <f>Procurement_Raw!K1178</f>
        <v>60</v>
      </c>
      <c r="L1178" t="str">
        <f>Procurement_Raw!L1178</f>
        <v>ERP</v>
      </c>
      <c r="M1178" t="str">
        <f>Procurement_Raw!O1178</f>
        <v>Y</v>
      </c>
      <c r="N1178" t="str">
        <f>IF(E1178="","Missing supplier",IF(B1178="","Missing site",IF(J1178="","Missing spend",IF(COUNTIFS($G$2:G1178,G1178,$E$2:E1178,E1178,$J$2:J1178,J1178)&gt;1,"Duplicate invoice",IF(COUNTIF($G$2:$G$1801,G1178)&gt;1,"Duplicate ID - review",IF(AND(P1178&lt;&gt;"Unmapped",P1178&lt;&gt;F1178),"Category mismatch","OK"))))))</f>
        <v>OK</v>
      </c>
      <c r="O1178" s="125">
        <f t="shared" si="54"/>
        <v>691.66</v>
      </c>
      <c r="P1178" t="str">
        <f>IF(E1178="","Unmapped",IFERROR(INDEX(Supplier_Lookup!$B$2:$B$25,MATCH(E1178,Supplier_Lookup!$A$2:$A$25,0)),"Unmapped"))</f>
        <v>Food &amp; Catering</v>
      </c>
      <c r="Q1178" s="76">
        <f>IFERROR(INDEX(Category_Targets!$B$2:$B$9,MATCH(F1178,Category_Targets!$A$2:$A$9,0)),0)</f>
        <v>0.04</v>
      </c>
      <c r="R1178" s="125">
        <f t="shared" si="55"/>
        <v>27.666399999999999</v>
      </c>
      <c r="S1178" s="78">
        <f t="shared" si="56"/>
        <v>45962</v>
      </c>
      <c r="T1178" t="str">
        <f>IFERROR(VLOOKUP(B1178,Sites!$A$2:$D$21,4,FALSE()),"Unknown")</f>
        <v>Nottingham</v>
      </c>
      <c r="U1178" t="str">
        <f>IF(N1178="OK","",COUNTIF($N$2:N1178,"&lt;&gt;OK"))</f>
        <v/>
      </c>
      <c r="V1178">
        <f>IF(OR(NOT(EXACT(E1178,TRIM(Procurement_Raw!E1178))),NOT(EXACT(F1178,TRIM(Procurement_Raw!F1178)))),1,0)</f>
        <v>0</v>
      </c>
    </row>
    <row r="1179" spans="1:22" ht="15" customHeight="1" x14ac:dyDescent="0.25">
      <c r="A1179" s="123">
        <f>Procurement_Raw!A1179</f>
        <v>45704</v>
      </c>
      <c r="B1179" t="str">
        <f>TRIM(Procurement_Raw!B1179)</f>
        <v>S006</v>
      </c>
      <c r="C1179" t="str">
        <f>Procurement_Raw!C1179</f>
        <v>Birmingham Care &amp; Education Centre</v>
      </c>
      <c r="D1179" t="str">
        <f>Procurement_Raw!D1179</f>
        <v>Midlands</v>
      </c>
      <c r="E1179" t="str">
        <f>IF(TRIM(Procurement_Raw!E1179)="","",IFERROR(INDEX(Supplier_Lookup!$A$2:$A$25,MATCH(TRIM(Procurement_Raw!E1179),Supplier_Lookup!$A$2:$A$25,0)),TRIM(Procurement_Raw!E1179)))</f>
        <v>FleetFuel</v>
      </c>
      <c r="F1179" t="str">
        <f>IFERROR(INDEX(Category_Targets!$A$2:$A$9,MATCH(TRIM(Procurement_Raw!F1179),Category_Targets!$A$2:$A$9,0)),"Unmapped")</f>
        <v>Vehicle &amp; Fuel</v>
      </c>
      <c r="G1179" t="str">
        <f>TRIM(Procurement_Raw!G1179)</f>
        <v>INV-2025-01178</v>
      </c>
      <c r="H1179" s="77">
        <f>Procurement_Raw!H1179</f>
        <v>19</v>
      </c>
      <c r="I1179" s="124">
        <f>Procurement_Raw!I1179</f>
        <v>90</v>
      </c>
      <c r="J1179" s="125">
        <f>IF(Procurement_Raw!J1179="","",Procurement_Raw!J1179)</f>
        <v>1709.97</v>
      </c>
      <c r="K1179" s="77">
        <f>Procurement_Raw!K1179</f>
        <v>60</v>
      </c>
      <c r="L1179" t="str">
        <f>Procurement_Raw!L1179</f>
        <v>Procurement Portal</v>
      </c>
      <c r="M1179" t="str">
        <f>Procurement_Raw!O1179</f>
        <v>Y</v>
      </c>
      <c r="N1179" t="str">
        <f>IF(E1179="","Missing supplier",IF(B1179="","Missing site",IF(J1179="","Missing spend",IF(COUNTIFS($G$2:G1179,G1179,$E$2:E1179,E1179,$J$2:J1179,J1179)&gt;1,"Duplicate invoice",IF(COUNTIF($G$2:$G$1801,G1179)&gt;1,"Duplicate ID - review",IF(AND(P1179&lt;&gt;"Unmapped",P1179&lt;&gt;F1179),"Category mismatch","OK"))))))</f>
        <v>OK</v>
      </c>
      <c r="O1179" s="125">
        <f t="shared" si="54"/>
        <v>1709.97</v>
      </c>
      <c r="P1179" t="str">
        <f>IF(E1179="","Unmapped",IFERROR(INDEX(Supplier_Lookup!$B$2:$B$25,MATCH(E1179,Supplier_Lookup!$A$2:$A$25,0)),"Unmapped"))</f>
        <v>Vehicle &amp; Fuel</v>
      </c>
      <c r="Q1179" s="76">
        <f>IFERROR(INDEX(Category_Targets!$B$2:$B$9,MATCH(F1179,Category_Targets!$A$2:$A$9,0)),0)</f>
        <v>0.05</v>
      </c>
      <c r="R1179" s="125">
        <f t="shared" si="55"/>
        <v>85.498500000000007</v>
      </c>
      <c r="S1179" s="78">
        <f t="shared" si="56"/>
        <v>45689</v>
      </c>
      <c r="T1179" t="str">
        <f>IFERROR(VLOOKUP(B1179,Sites!$A$2:$D$21,4,FALSE()),"Unknown")</f>
        <v>Birmingham</v>
      </c>
      <c r="U1179" t="str">
        <f>IF(N1179="OK","",COUNTIF($N$2:N1179,"&lt;&gt;OK"))</f>
        <v/>
      </c>
      <c r="V1179">
        <f>IF(OR(NOT(EXACT(E1179,TRIM(Procurement_Raw!E1179))),NOT(EXACT(F1179,TRIM(Procurement_Raw!F1179)))),1,0)</f>
        <v>0</v>
      </c>
    </row>
    <row r="1180" spans="1:22" ht="15" customHeight="1" x14ac:dyDescent="0.25">
      <c r="A1180" s="123">
        <f>Procurement_Raw!A1180</f>
        <v>45740</v>
      </c>
      <c r="B1180" t="str">
        <f>TRIM(Procurement_Raw!B1180)</f>
        <v>S020</v>
      </c>
      <c r="C1180" t="str">
        <f>Procurement_Raw!C1180</f>
        <v>Bangor Care &amp; Education Centre</v>
      </c>
      <c r="D1180" t="str">
        <f>Procurement_Raw!D1180</f>
        <v>Wales</v>
      </c>
      <c r="E1180" t="str">
        <f>IF(TRIM(Procurement_Raw!E1180)="","",IFERROR(INDEX(Supplier_Lookup!$A$2:$A$25,MATCH(TRIM(Procurement_Raw!E1180),Supplier_Lookup!$A$2:$A$25,0)),TRIM(Procurement_Raw!E1180)))</f>
        <v>RoadReady</v>
      </c>
      <c r="F1180" t="str">
        <f>IFERROR(INDEX(Category_Targets!$A$2:$A$9,MATCH(TRIM(Procurement_Raw!F1180),Category_Targets!$A$2:$A$9,0)),"Unmapped")</f>
        <v>Vehicle &amp; Fuel</v>
      </c>
      <c r="G1180" t="str">
        <f>TRIM(Procurement_Raw!G1180)</f>
        <v>INV-2025-01179</v>
      </c>
      <c r="H1180" s="77">
        <f>Procurement_Raw!H1180</f>
        <v>65</v>
      </c>
      <c r="I1180" s="124">
        <f>Procurement_Raw!I1180</f>
        <v>55.16</v>
      </c>
      <c r="J1180" s="125">
        <f>IF(Procurement_Raw!J1180="","",Procurement_Raw!J1180)</f>
        <v>3585.09</v>
      </c>
      <c r="K1180" s="77">
        <f>Procurement_Raw!K1180</f>
        <v>60</v>
      </c>
      <c r="L1180" t="str">
        <f>Procurement_Raw!L1180</f>
        <v>Legacy Spend File</v>
      </c>
      <c r="M1180" t="str">
        <f>Procurement_Raw!O1180</f>
        <v>N</v>
      </c>
      <c r="N1180" t="str">
        <f>IF(E1180="","Missing supplier",IF(B1180="","Missing site",IF(J1180="","Missing spend",IF(COUNTIFS($G$2:G1180,G1180,$E$2:E1180,E1180,$J$2:J1180,J1180)&gt;1,"Duplicate invoice",IF(COUNTIF($G$2:$G$1801,G1180)&gt;1,"Duplicate ID - review",IF(AND(P1180&lt;&gt;"Unmapped",P1180&lt;&gt;F1180),"Category mismatch","OK"))))))</f>
        <v>OK</v>
      </c>
      <c r="O1180" s="125">
        <f t="shared" si="54"/>
        <v>3585.09</v>
      </c>
      <c r="P1180" t="str">
        <f>IF(E1180="","Unmapped",IFERROR(INDEX(Supplier_Lookup!$B$2:$B$25,MATCH(E1180,Supplier_Lookup!$A$2:$A$25,0)),"Unmapped"))</f>
        <v>Vehicle &amp; Fuel</v>
      </c>
      <c r="Q1180" s="76">
        <f>IFERROR(INDEX(Category_Targets!$B$2:$B$9,MATCH(F1180,Category_Targets!$A$2:$A$9,0)),0)</f>
        <v>0.05</v>
      </c>
      <c r="R1180" s="125">
        <f t="shared" si="55"/>
        <v>179.25450000000001</v>
      </c>
      <c r="S1180" s="78">
        <f t="shared" si="56"/>
        <v>45717</v>
      </c>
      <c r="T1180" t="str">
        <f>IFERROR(VLOOKUP(B1180,Sites!$A$2:$D$21,4,FALSE()),"Unknown")</f>
        <v>Bangor</v>
      </c>
      <c r="U1180" t="str">
        <f>IF(N1180="OK","",COUNTIF($N$2:N1180,"&lt;&gt;OK"))</f>
        <v/>
      </c>
      <c r="V1180">
        <f>IF(OR(NOT(EXACT(E1180,TRIM(Procurement_Raw!E1180))),NOT(EXACT(F1180,TRIM(Procurement_Raw!F1180)))),1,0)</f>
        <v>0</v>
      </c>
    </row>
    <row r="1181" spans="1:22" ht="15" customHeight="1" x14ac:dyDescent="0.25">
      <c r="A1181" s="123">
        <f>Procurement_Raw!A1181</f>
        <v>45954</v>
      </c>
      <c r="B1181" t="str">
        <f>TRIM(Procurement_Raw!B1181)</f>
        <v>S006</v>
      </c>
      <c r="C1181" t="str">
        <f>Procurement_Raw!C1181</f>
        <v>Birmingham Care &amp; Education Centre</v>
      </c>
      <c r="D1181" t="str">
        <f>Procurement_Raw!D1181</f>
        <v>Midlands</v>
      </c>
      <c r="E1181" t="str">
        <f>IF(TRIM(Procurement_Raw!E1181)="","",IFERROR(INDEX(Supplier_Lookup!$A$2:$A$25,MATCH(TRIM(Procurement_Raw!E1181),Supplier_Lookup!$A$2:$A$25,0)),TRIM(Procurement_Raw!E1181)))</f>
        <v>FreshServe</v>
      </c>
      <c r="F1181" t="str">
        <f>IFERROR(INDEX(Category_Targets!$A$2:$A$9,MATCH(TRIM(Procurement_Raw!F1181),Category_Targets!$A$2:$A$9,0)),"Unmapped")</f>
        <v>Food &amp; Catering</v>
      </c>
      <c r="G1181" t="str">
        <f>TRIM(Procurement_Raw!G1181)</f>
        <v>INV-2025-01180</v>
      </c>
      <c r="H1181" s="77">
        <f>Procurement_Raw!H1181</f>
        <v>2</v>
      </c>
      <c r="I1181" s="124">
        <f>Procurement_Raw!I1181</f>
        <v>35.42</v>
      </c>
      <c r="J1181" s="125">
        <f>IF(Procurement_Raw!J1181="","",Procurement_Raw!J1181)</f>
        <v>70.849999999999994</v>
      </c>
      <c r="K1181" s="77">
        <f>Procurement_Raw!K1181</f>
        <v>60</v>
      </c>
      <c r="L1181" t="str">
        <f>Procurement_Raw!L1181</f>
        <v>ERP</v>
      </c>
      <c r="M1181" t="str">
        <f>Procurement_Raw!O1181</f>
        <v>Y</v>
      </c>
      <c r="N1181" t="str">
        <f>IF(E1181="","Missing supplier",IF(B1181="","Missing site",IF(J1181="","Missing spend",IF(COUNTIFS($G$2:G1181,G1181,$E$2:E1181,E1181,$J$2:J1181,J1181)&gt;1,"Duplicate invoice",IF(COUNTIF($G$2:$G$1801,G1181)&gt;1,"Duplicate ID - review",IF(AND(P1181&lt;&gt;"Unmapped",P1181&lt;&gt;F1181),"Category mismatch","OK"))))))</f>
        <v>OK</v>
      </c>
      <c r="O1181" s="125">
        <f t="shared" si="54"/>
        <v>70.849999999999994</v>
      </c>
      <c r="P1181" t="str">
        <f>IF(E1181="","Unmapped",IFERROR(INDEX(Supplier_Lookup!$B$2:$B$25,MATCH(E1181,Supplier_Lookup!$A$2:$A$25,0)),"Unmapped"))</f>
        <v>Food &amp; Catering</v>
      </c>
      <c r="Q1181" s="76">
        <f>IFERROR(INDEX(Category_Targets!$B$2:$B$9,MATCH(F1181,Category_Targets!$A$2:$A$9,0)),0)</f>
        <v>0.04</v>
      </c>
      <c r="R1181" s="125">
        <f t="shared" si="55"/>
        <v>2.8339999999999996</v>
      </c>
      <c r="S1181" s="78">
        <f t="shared" si="56"/>
        <v>45931</v>
      </c>
      <c r="T1181" t="str">
        <f>IFERROR(VLOOKUP(B1181,Sites!$A$2:$D$21,4,FALSE()),"Unknown")</f>
        <v>Birmingham</v>
      </c>
      <c r="U1181" t="str">
        <f>IF(N1181="OK","",COUNTIF($N$2:N1181,"&lt;&gt;OK"))</f>
        <v/>
      </c>
      <c r="V1181">
        <f>IF(OR(NOT(EXACT(E1181,TRIM(Procurement_Raw!E1181))),NOT(EXACT(F1181,TRIM(Procurement_Raw!F1181)))),1,0)</f>
        <v>0</v>
      </c>
    </row>
    <row r="1182" spans="1:22" ht="15" customHeight="1" x14ac:dyDescent="0.25">
      <c r="A1182" s="123">
        <f>Procurement_Raw!A1182</f>
        <v>45745</v>
      </c>
      <c r="B1182" t="str">
        <f>TRIM(Procurement_Raw!B1182)</f>
        <v>S011</v>
      </c>
      <c r="C1182" t="str">
        <f>Procurement_Raw!C1182</f>
        <v>London Care &amp; Education Centre</v>
      </c>
      <c r="D1182" t="str">
        <f>Procurement_Raw!D1182</f>
        <v>South</v>
      </c>
      <c r="E1182" t="str">
        <f>IF(TRIM(Procurement_Raw!E1182)="","",IFERROR(INDEX(Supplier_Lookup!$A$2:$A$25,MATCH(TRIM(Procurement_Raw!E1182),Supplier_Lookup!$A$2:$A$25,0)),TRIM(Procurement_Raw!E1182)))</f>
        <v>WaterGrid</v>
      </c>
      <c r="F1182" t="str">
        <f>IFERROR(INDEX(Category_Targets!$A$2:$A$9,MATCH(TRIM(Procurement_Raw!F1182),Category_Targets!$A$2:$A$9,0)),"Unmapped")</f>
        <v>Utilities</v>
      </c>
      <c r="G1182" t="str">
        <f>TRIM(Procurement_Raw!G1182)</f>
        <v>INV-2025-01181</v>
      </c>
      <c r="H1182" s="77">
        <f>Procurement_Raw!H1182</f>
        <v>69</v>
      </c>
      <c r="I1182" s="124">
        <f>Procurement_Raw!I1182</f>
        <v>276</v>
      </c>
      <c r="J1182" s="125">
        <f>IF(Procurement_Raw!J1182="","",Procurement_Raw!J1182)</f>
        <v>19044.03</v>
      </c>
      <c r="K1182" s="77">
        <f>Procurement_Raw!K1182</f>
        <v>30</v>
      </c>
      <c r="L1182" t="str">
        <f>Procurement_Raw!L1182</f>
        <v>Legacy Spend File</v>
      </c>
      <c r="M1182" t="str">
        <f>Procurement_Raw!O1182</f>
        <v>N</v>
      </c>
      <c r="N1182" t="str">
        <f>IF(E1182="","Missing supplier",IF(B1182="","Missing site",IF(J1182="","Missing spend",IF(COUNTIFS($G$2:G1182,G1182,$E$2:E1182,E1182,$J$2:J1182,J1182)&gt;1,"Duplicate invoice",IF(COUNTIF($G$2:$G$1801,G1182)&gt;1,"Duplicate ID - review",IF(AND(P1182&lt;&gt;"Unmapped",P1182&lt;&gt;F1182),"Category mismatch","OK"))))))</f>
        <v>OK</v>
      </c>
      <c r="O1182" s="125">
        <f t="shared" si="54"/>
        <v>19044.03</v>
      </c>
      <c r="P1182" t="str">
        <f>IF(E1182="","Unmapped",IFERROR(INDEX(Supplier_Lookup!$B$2:$B$25,MATCH(E1182,Supplier_Lookup!$A$2:$A$25,0)),"Unmapped"))</f>
        <v>Utilities</v>
      </c>
      <c r="Q1182" s="76">
        <f>IFERROR(INDEX(Category_Targets!$B$2:$B$9,MATCH(F1182,Category_Targets!$A$2:$A$9,0)),0)</f>
        <v>0.03</v>
      </c>
      <c r="R1182" s="125">
        <f t="shared" si="55"/>
        <v>571.32089999999994</v>
      </c>
      <c r="S1182" s="78">
        <f t="shared" si="56"/>
        <v>45717</v>
      </c>
      <c r="T1182" t="str">
        <f>IFERROR(VLOOKUP(B1182,Sites!$A$2:$D$21,4,FALSE()),"Unknown")</f>
        <v>London</v>
      </c>
      <c r="U1182" t="str">
        <f>IF(N1182="OK","",COUNTIF($N$2:N1182,"&lt;&gt;OK"))</f>
        <v/>
      </c>
      <c r="V1182">
        <f>IF(OR(NOT(EXACT(E1182,TRIM(Procurement_Raw!E1182))),NOT(EXACT(F1182,TRIM(Procurement_Raw!F1182)))),1,0)</f>
        <v>0</v>
      </c>
    </row>
    <row r="1183" spans="1:22" ht="15" customHeight="1" x14ac:dyDescent="0.25">
      <c r="A1183" s="123">
        <f>Procurement_Raw!A1183</f>
        <v>46020</v>
      </c>
      <c r="B1183" t="str">
        <f>TRIM(Procurement_Raw!B1183)</f>
        <v>S017</v>
      </c>
      <c r="C1183" t="str">
        <f>Procurement_Raw!C1183</f>
        <v>Swansea Care &amp; Education Centre</v>
      </c>
      <c r="D1183" t="str">
        <f>Procurement_Raw!D1183</f>
        <v>Wales</v>
      </c>
      <c r="E1183" t="str">
        <f>IF(TRIM(Procurement_Raw!E1183)="","",IFERROR(INDEX(Supplier_Lookup!$A$2:$A$25,MATCH(TRIM(Procurement_Raw!E1183),Supplier_Lookup!$A$2:$A$25,0)),TRIM(Procurement_Raw!E1183)))</f>
        <v>PowerDirect</v>
      </c>
      <c r="F1183" t="str">
        <f>IFERROR(INDEX(Category_Targets!$A$2:$A$9,MATCH(TRIM(Procurement_Raw!F1183),Category_Targets!$A$2:$A$9,0)),"Unmapped")</f>
        <v>Utilities</v>
      </c>
      <c r="G1183" t="str">
        <f>TRIM(Procurement_Raw!G1183)</f>
        <v>INV-2025-01182</v>
      </c>
      <c r="H1183" s="77">
        <f>Procurement_Raw!H1183</f>
        <v>61</v>
      </c>
      <c r="I1183" s="124">
        <f>Procurement_Raw!I1183</f>
        <v>537.57000000000005</v>
      </c>
      <c r="J1183" s="125">
        <f>IF(Procurement_Raw!J1183="","",Procurement_Raw!J1183)</f>
        <v>32791.870000000003</v>
      </c>
      <c r="K1183" s="77">
        <f>Procurement_Raw!K1183</f>
        <v>45</v>
      </c>
      <c r="L1183" t="str">
        <f>Procurement_Raw!L1183</f>
        <v>Legacy Spend File</v>
      </c>
      <c r="M1183" t="str">
        <f>Procurement_Raw!O1183</f>
        <v>N</v>
      </c>
      <c r="N1183" t="str">
        <f>IF(E1183="","Missing supplier",IF(B1183="","Missing site",IF(J1183="","Missing spend",IF(COUNTIFS($G$2:G1183,G1183,$E$2:E1183,E1183,$J$2:J1183,J1183)&gt;1,"Duplicate invoice",IF(COUNTIF($G$2:$G$1801,G1183)&gt;1,"Duplicate ID - review",IF(AND(P1183&lt;&gt;"Unmapped",P1183&lt;&gt;F1183),"Category mismatch","OK"))))))</f>
        <v>OK</v>
      </c>
      <c r="O1183" s="125">
        <f t="shared" si="54"/>
        <v>32791.870000000003</v>
      </c>
      <c r="P1183" t="str">
        <f>IF(E1183="","Unmapped",IFERROR(INDEX(Supplier_Lookup!$B$2:$B$25,MATCH(E1183,Supplier_Lookup!$A$2:$A$25,0)),"Unmapped"))</f>
        <v>Utilities</v>
      </c>
      <c r="Q1183" s="76">
        <f>IFERROR(INDEX(Category_Targets!$B$2:$B$9,MATCH(F1183,Category_Targets!$A$2:$A$9,0)),0)</f>
        <v>0.03</v>
      </c>
      <c r="R1183" s="125">
        <f t="shared" si="55"/>
        <v>983.75610000000006</v>
      </c>
      <c r="S1183" s="78">
        <f t="shared" si="56"/>
        <v>45992</v>
      </c>
      <c r="T1183" t="str">
        <f>IFERROR(VLOOKUP(B1183,Sites!$A$2:$D$21,4,FALSE()),"Unknown")</f>
        <v>Swansea</v>
      </c>
      <c r="U1183" t="str">
        <f>IF(N1183="OK","",COUNTIF($N$2:N1183,"&lt;&gt;OK"))</f>
        <v/>
      </c>
      <c r="V1183">
        <f>IF(OR(NOT(EXACT(E1183,TRIM(Procurement_Raw!E1183))),NOT(EXACT(F1183,TRIM(Procurement_Raw!F1183)))),1,0)</f>
        <v>0</v>
      </c>
    </row>
    <row r="1184" spans="1:22" ht="15" customHeight="1" x14ac:dyDescent="0.25">
      <c r="A1184" s="123">
        <f>Procurement_Raw!A1184</f>
        <v>46002</v>
      </c>
      <c r="B1184" t="str">
        <f>TRIM(Procurement_Raw!B1184)</f>
        <v>S018</v>
      </c>
      <c r="C1184" t="str">
        <f>Procurement_Raw!C1184</f>
        <v>Newport Care &amp; Education Centre</v>
      </c>
      <c r="D1184" t="str">
        <f>Procurement_Raw!D1184</f>
        <v>Wales</v>
      </c>
      <c r="E1184" t="str">
        <f>IF(TRIM(Procurement_Raw!E1184)="","",IFERROR(INDEX(Supplier_Lookup!$A$2:$A$25,MATCH(TRIM(Procurement_Raw!E1184),Supplier_Lookup!$A$2:$A$25,0)),TRIM(Procurement_Raw!E1184)))</f>
        <v>SafeGuard FM</v>
      </c>
      <c r="F1184" t="str">
        <f>IFERROR(INDEX(Category_Targets!$A$2:$A$9,MATCH(TRIM(Procurement_Raw!F1184),Category_Targets!$A$2:$A$9,0)),"Unmapped")</f>
        <v>Facilities</v>
      </c>
      <c r="G1184" t="str">
        <f>TRIM(Procurement_Raw!G1184)</f>
        <v>INV-2025-01183</v>
      </c>
      <c r="H1184" s="77">
        <f>Procurement_Raw!H1184</f>
        <v>14</v>
      </c>
      <c r="I1184" s="124">
        <f>Procurement_Raw!I1184</f>
        <v>298.27999999999997</v>
      </c>
      <c r="J1184" s="125">
        <f>IF(Procurement_Raw!J1184="","",Procurement_Raw!J1184)</f>
        <v>4175.91</v>
      </c>
      <c r="K1184" s="77">
        <f>Procurement_Raw!K1184</f>
        <v>30</v>
      </c>
      <c r="L1184" t="str">
        <f>Procurement_Raw!L1184</f>
        <v>Procurement Portal</v>
      </c>
      <c r="M1184" t="str">
        <f>Procurement_Raw!O1184</f>
        <v>N</v>
      </c>
      <c r="N1184" t="str">
        <f>IF(E1184="","Missing supplier",IF(B1184="","Missing site",IF(J1184="","Missing spend",IF(COUNTIFS($G$2:G1184,G1184,$E$2:E1184,E1184,$J$2:J1184,J1184)&gt;1,"Duplicate invoice",IF(COUNTIF($G$2:$G$1801,G1184)&gt;1,"Duplicate ID - review",IF(AND(P1184&lt;&gt;"Unmapped",P1184&lt;&gt;F1184),"Category mismatch","OK"))))))</f>
        <v>OK</v>
      </c>
      <c r="O1184" s="125">
        <f t="shared" si="54"/>
        <v>4175.91</v>
      </c>
      <c r="P1184" t="str">
        <f>IF(E1184="","Unmapped",IFERROR(INDEX(Supplier_Lookup!$B$2:$B$25,MATCH(E1184,Supplier_Lookup!$A$2:$A$25,0)),"Unmapped"))</f>
        <v>Facilities</v>
      </c>
      <c r="Q1184" s="76">
        <f>IFERROR(INDEX(Category_Targets!$B$2:$B$9,MATCH(F1184,Category_Targets!$A$2:$A$9,0)),0)</f>
        <v>0.05</v>
      </c>
      <c r="R1184" s="125">
        <f t="shared" si="55"/>
        <v>208.7955</v>
      </c>
      <c r="S1184" s="78">
        <f t="shared" si="56"/>
        <v>45992</v>
      </c>
      <c r="T1184" t="str">
        <f>IFERROR(VLOOKUP(B1184,Sites!$A$2:$D$21,4,FALSE()),"Unknown")</f>
        <v>Newport</v>
      </c>
      <c r="U1184" t="str">
        <f>IF(N1184="OK","",COUNTIF($N$2:N1184,"&lt;&gt;OK"))</f>
        <v/>
      </c>
      <c r="V1184">
        <f>IF(OR(NOT(EXACT(E1184,TRIM(Procurement_Raw!E1184))),NOT(EXACT(F1184,TRIM(Procurement_Raw!F1184)))),1,0)</f>
        <v>0</v>
      </c>
    </row>
    <row r="1185" spans="1:22" ht="15" customHeight="1" x14ac:dyDescent="0.25">
      <c r="A1185" s="123">
        <f>Procurement_Raw!A1185</f>
        <v>45921</v>
      </c>
      <c r="B1185" t="str">
        <f>TRIM(Procurement_Raw!B1185)</f>
        <v>S006</v>
      </c>
      <c r="C1185" t="str">
        <f>Procurement_Raw!C1185</f>
        <v>Birmingham Care &amp; Education Centre</v>
      </c>
      <c r="D1185" t="str">
        <f>Procurement_Raw!D1185</f>
        <v>Midlands</v>
      </c>
      <c r="E1185" t="str">
        <f>IF(TRIM(Procurement_Raw!E1185)="","",IFERROR(INDEX(Supplier_Lookup!$A$2:$A$25,MATCH(TRIM(Procurement_Raw!E1185),Supplier_Lookup!$A$2:$A$25,0)),TRIM(Procurement_Raw!E1185)))</f>
        <v>HealthStaffing</v>
      </c>
      <c r="F1185" t="str">
        <f>IFERROR(INDEX(Category_Targets!$A$2:$A$9,MATCH(TRIM(Procurement_Raw!F1185),Category_Targets!$A$2:$A$9,0)),"Unmapped")</f>
        <v>Agency Labour</v>
      </c>
      <c r="G1185" t="str">
        <f>TRIM(Procurement_Raw!G1185)</f>
        <v>INV-2025-01184</v>
      </c>
      <c r="H1185" s="77">
        <f>Procurement_Raw!H1185</f>
        <v>30</v>
      </c>
      <c r="I1185" s="124">
        <f>Procurement_Raw!I1185</f>
        <v>126.47</v>
      </c>
      <c r="J1185" s="125">
        <f>IF(Procurement_Raw!J1185="","",Procurement_Raw!J1185)</f>
        <v>3794.11</v>
      </c>
      <c r="K1185" s="77">
        <f>Procurement_Raw!K1185</f>
        <v>45</v>
      </c>
      <c r="L1185" t="str">
        <f>Procurement_Raw!L1185</f>
        <v>ERP</v>
      </c>
      <c r="M1185" t="str">
        <f>Procurement_Raw!O1185</f>
        <v>N</v>
      </c>
      <c r="N1185" t="str">
        <f>IF(E1185="","Missing supplier",IF(B1185="","Missing site",IF(J1185="","Missing spend",IF(COUNTIFS($G$2:G1185,G1185,$E$2:E1185,E1185,$J$2:J1185,J1185)&gt;1,"Duplicate invoice",IF(COUNTIF($G$2:$G$1801,G1185)&gt;1,"Duplicate ID - review",IF(AND(P1185&lt;&gt;"Unmapped",P1185&lt;&gt;F1185),"Category mismatch","OK"))))))</f>
        <v>OK</v>
      </c>
      <c r="O1185" s="125">
        <f t="shared" si="54"/>
        <v>3794.11</v>
      </c>
      <c r="P1185" t="str">
        <f>IF(E1185="","Unmapped",IFERROR(INDEX(Supplier_Lookup!$B$2:$B$25,MATCH(E1185,Supplier_Lookup!$A$2:$A$25,0)),"Unmapped"))</f>
        <v>Agency Labour</v>
      </c>
      <c r="Q1185" s="76">
        <f>IFERROR(INDEX(Category_Targets!$B$2:$B$9,MATCH(F1185,Category_Targets!$A$2:$A$9,0)),0)</f>
        <v>7.0000000000000007E-2</v>
      </c>
      <c r="R1185" s="125">
        <f t="shared" si="55"/>
        <v>265.58770000000004</v>
      </c>
      <c r="S1185" s="78">
        <f t="shared" si="56"/>
        <v>45901</v>
      </c>
      <c r="T1185" t="str">
        <f>IFERROR(VLOOKUP(B1185,Sites!$A$2:$D$21,4,FALSE()),"Unknown")</f>
        <v>Birmingham</v>
      </c>
      <c r="U1185" t="str">
        <f>IF(N1185="OK","",COUNTIF($N$2:N1185,"&lt;&gt;OK"))</f>
        <v/>
      </c>
      <c r="V1185">
        <f>IF(OR(NOT(EXACT(E1185,TRIM(Procurement_Raw!E1185))),NOT(EXACT(F1185,TRIM(Procurement_Raw!F1185)))),1,0)</f>
        <v>0</v>
      </c>
    </row>
    <row r="1186" spans="1:22" ht="15" customHeight="1" x14ac:dyDescent="0.25">
      <c r="A1186" s="123">
        <f>Procurement_Raw!A1186</f>
        <v>45896</v>
      </c>
      <c r="B1186" t="str">
        <f>TRIM(Procurement_Raw!B1186)</f>
        <v>S008</v>
      </c>
      <c r="C1186" t="str">
        <f>Procurement_Raw!C1186</f>
        <v>Leicester Care &amp; Education Centre</v>
      </c>
      <c r="D1186" t="str">
        <f>Procurement_Raw!D1186</f>
        <v>Midlands</v>
      </c>
      <c r="E1186" t="str">
        <f>IF(TRIM(Procurement_Raw!E1186)="","",IFERROR(INDEX(Supplier_Lookup!$A$2:$A$25,MATCH(TRIM(Procurement_Raw!E1186),Supplier_Lookup!$A$2:$A$25,0)),TRIM(Procurement_Raw!E1186)))</f>
        <v>FleetFuel</v>
      </c>
      <c r="F1186" t="str">
        <f>IFERROR(INDEX(Category_Targets!$A$2:$A$9,MATCH(TRIM(Procurement_Raw!F1186),Category_Targets!$A$2:$A$9,0)),"Unmapped")</f>
        <v>Vehicle &amp; Fuel</v>
      </c>
      <c r="G1186" t="str">
        <f>TRIM(Procurement_Raw!G1186)</f>
        <v>INV-2025-01185</v>
      </c>
      <c r="H1186" s="77">
        <f>Procurement_Raw!H1186</f>
        <v>15</v>
      </c>
      <c r="I1186" s="124">
        <f>Procurement_Raw!I1186</f>
        <v>55.12</v>
      </c>
      <c r="J1186" s="125">
        <f>IF(Procurement_Raw!J1186="","",Procurement_Raw!J1186)</f>
        <v>826.86</v>
      </c>
      <c r="K1186" s="77">
        <f>Procurement_Raw!K1186</f>
        <v>60</v>
      </c>
      <c r="L1186" t="str">
        <f>Procurement_Raw!L1186</f>
        <v>ERP</v>
      </c>
      <c r="M1186" t="str">
        <f>Procurement_Raw!O1186</f>
        <v>Y</v>
      </c>
      <c r="N1186" t="str">
        <f>IF(E1186="","Missing supplier",IF(B1186="","Missing site",IF(J1186="","Missing spend",IF(COUNTIFS($G$2:G1186,G1186,$E$2:E1186,E1186,$J$2:J1186,J1186)&gt;1,"Duplicate invoice",IF(COUNTIF($G$2:$G$1801,G1186)&gt;1,"Duplicate ID - review",IF(AND(P1186&lt;&gt;"Unmapped",P1186&lt;&gt;F1186),"Category mismatch","OK"))))))</f>
        <v>OK</v>
      </c>
      <c r="O1186" s="125">
        <f t="shared" si="54"/>
        <v>826.86</v>
      </c>
      <c r="P1186" t="str">
        <f>IF(E1186="","Unmapped",IFERROR(INDEX(Supplier_Lookup!$B$2:$B$25,MATCH(E1186,Supplier_Lookup!$A$2:$A$25,0)),"Unmapped"))</f>
        <v>Vehicle &amp; Fuel</v>
      </c>
      <c r="Q1186" s="76">
        <f>IFERROR(INDEX(Category_Targets!$B$2:$B$9,MATCH(F1186,Category_Targets!$A$2:$A$9,0)),0)</f>
        <v>0.05</v>
      </c>
      <c r="R1186" s="125">
        <f t="shared" si="55"/>
        <v>41.343000000000004</v>
      </c>
      <c r="S1186" s="78">
        <f t="shared" si="56"/>
        <v>45870</v>
      </c>
      <c r="T1186" t="str">
        <f>IFERROR(VLOOKUP(B1186,Sites!$A$2:$D$21,4,FALSE()),"Unknown")</f>
        <v>Leicester</v>
      </c>
      <c r="U1186" t="str">
        <f>IF(N1186="OK","",COUNTIF($N$2:N1186,"&lt;&gt;OK"))</f>
        <v/>
      </c>
      <c r="V1186">
        <f>IF(OR(NOT(EXACT(E1186,TRIM(Procurement_Raw!E1186))),NOT(EXACT(F1186,TRIM(Procurement_Raw!F1186)))),1,0)</f>
        <v>0</v>
      </c>
    </row>
    <row r="1187" spans="1:22" ht="15" customHeight="1" x14ac:dyDescent="0.25">
      <c r="A1187" s="123">
        <f>Procurement_Raw!A1187</f>
        <v>45805</v>
      </c>
      <c r="B1187" t="str">
        <f>TRIM(Procurement_Raw!B1187)</f>
        <v>S002</v>
      </c>
      <c r="C1187" t="str">
        <f>Procurement_Raw!C1187</f>
        <v>Manchester Care &amp; Education Centre</v>
      </c>
      <c r="D1187" t="str">
        <f>Procurement_Raw!D1187</f>
        <v>North</v>
      </c>
      <c r="E1187" t="str">
        <f>IF(TRIM(Procurement_Raw!E1187)="","",IFERROR(INDEX(Supplier_Lookup!$A$2:$A$25,MATCH(TRIM(Procurement_Raw!E1187),Supplier_Lookup!$A$2:$A$25,0)),TRIM(Procurement_Raw!E1187)))</f>
        <v>AutoCare</v>
      </c>
      <c r="F1187" t="str">
        <f>IFERROR(INDEX(Category_Targets!$A$2:$A$9,MATCH(TRIM(Procurement_Raw!F1187),Category_Targets!$A$2:$A$9,0)),"Unmapped")</f>
        <v>Vehicle &amp; Fuel</v>
      </c>
      <c r="G1187" t="str">
        <f>TRIM(Procurement_Raw!G1187)</f>
        <v>INV-2025-01186</v>
      </c>
      <c r="H1187" s="77">
        <f>Procurement_Raw!H1187</f>
        <v>72</v>
      </c>
      <c r="I1187" s="124">
        <f>Procurement_Raw!I1187</f>
        <v>159.38</v>
      </c>
      <c r="J1187" s="125">
        <f>IF(Procurement_Raw!J1187="","",Procurement_Raw!J1187)</f>
        <v>11475.47</v>
      </c>
      <c r="K1187" s="77">
        <f>Procurement_Raw!K1187</f>
        <v>60</v>
      </c>
      <c r="L1187" t="str">
        <f>Procurement_Raw!L1187</f>
        <v>ERP</v>
      </c>
      <c r="M1187" t="str">
        <f>Procurement_Raw!O1187</f>
        <v>N</v>
      </c>
      <c r="N1187" t="str">
        <f>IF(E1187="","Missing supplier",IF(B1187="","Missing site",IF(J1187="","Missing spend",IF(COUNTIFS($G$2:G1187,G1187,$E$2:E1187,E1187,$J$2:J1187,J1187)&gt;1,"Duplicate invoice",IF(COUNTIF($G$2:$G$1801,G1187)&gt;1,"Duplicate ID - review",IF(AND(P1187&lt;&gt;"Unmapped",P1187&lt;&gt;F1187),"Category mismatch","OK"))))))</f>
        <v>OK</v>
      </c>
      <c r="O1187" s="125">
        <f t="shared" si="54"/>
        <v>11475.47</v>
      </c>
      <c r="P1187" t="str">
        <f>IF(E1187="","Unmapped",IFERROR(INDEX(Supplier_Lookup!$B$2:$B$25,MATCH(E1187,Supplier_Lookup!$A$2:$A$25,0)),"Unmapped"))</f>
        <v>Vehicle &amp; Fuel</v>
      </c>
      <c r="Q1187" s="76">
        <f>IFERROR(INDEX(Category_Targets!$B$2:$B$9,MATCH(F1187,Category_Targets!$A$2:$A$9,0)),0)</f>
        <v>0.05</v>
      </c>
      <c r="R1187" s="125">
        <f t="shared" si="55"/>
        <v>573.77350000000001</v>
      </c>
      <c r="S1187" s="78">
        <f t="shared" si="56"/>
        <v>45778</v>
      </c>
      <c r="T1187" t="str">
        <f>IFERROR(VLOOKUP(B1187,Sites!$A$2:$D$21,4,FALSE()),"Unknown")</f>
        <v>Manchester</v>
      </c>
      <c r="U1187" t="str">
        <f>IF(N1187="OK","",COUNTIF($N$2:N1187,"&lt;&gt;OK"))</f>
        <v/>
      </c>
      <c r="V1187">
        <f>IF(OR(NOT(EXACT(E1187,TRIM(Procurement_Raw!E1187))),NOT(EXACT(F1187,TRIM(Procurement_Raw!F1187)))),1,0)</f>
        <v>0</v>
      </c>
    </row>
    <row r="1188" spans="1:22" ht="15" customHeight="1" x14ac:dyDescent="0.25">
      <c r="A1188" s="123">
        <f>Procurement_Raw!A1188</f>
        <v>45717</v>
      </c>
      <c r="B1188" t="str">
        <f>TRIM(Procurement_Raw!B1188)</f>
        <v>S016</v>
      </c>
      <c r="C1188" t="str">
        <f>Procurement_Raw!C1188</f>
        <v>Cardiff Care &amp; Education Centre</v>
      </c>
      <c r="D1188" t="str">
        <f>Procurement_Raw!D1188</f>
        <v>Wales</v>
      </c>
      <c r="E1188" t="str">
        <f>IF(TRIM(Procurement_Raw!E1188)="","",IFERROR(INDEX(Supplier_Lookup!$A$2:$A$25,MATCH(TRIM(Procurement_Raw!E1188),Supplier_Lookup!$A$2:$A$25,0)),TRIM(Procurement_Raw!E1188)))</f>
        <v>RoadReady</v>
      </c>
      <c r="F1188" t="str">
        <f>IFERROR(INDEX(Category_Targets!$A$2:$A$9,MATCH(TRIM(Procurement_Raw!F1188),Category_Targets!$A$2:$A$9,0)),"Unmapped")</f>
        <v>Vehicle &amp; Fuel</v>
      </c>
      <c r="G1188" t="str">
        <f>TRIM(Procurement_Raw!G1188)</f>
        <v>INV-2025-01187</v>
      </c>
      <c r="H1188" s="77">
        <f>Procurement_Raw!H1188</f>
        <v>50</v>
      </c>
      <c r="I1188" s="124">
        <f>Procurement_Raw!I1188</f>
        <v>55.34</v>
      </c>
      <c r="J1188" s="125">
        <f>IF(Procurement_Raw!J1188="","",Procurement_Raw!J1188)</f>
        <v>2767.04</v>
      </c>
      <c r="K1188" s="77">
        <f>Procurement_Raw!K1188</f>
        <v>45</v>
      </c>
      <c r="L1188" t="str">
        <f>Procurement_Raw!L1188</f>
        <v>Procurement Portal</v>
      </c>
      <c r="M1188" t="str">
        <f>Procurement_Raw!O1188</f>
        <v>N</v>
      </c>
      <c r="N1188" t="str">
        <f>IF(E1188="","Missing supplier",IF(B1188="","Missing site",IF(J1188="","Missing spend",IF(COUNTIFS($G$2:G1188,G1188,$E$2:E1188,E1188,$J$2:J1188,J1188)&gt;1,"Duplicate invoice",IF(COUNTIF($G$2:$G$1801,G1188)&gt;1,"Duplicate ID - review",IF(AND(P1188&lt;&gt;"Unmapped",P1188&lt;&gt;F1188),"Category mismatch","OK"))))))</f>
        <v>OK</v>
      </c>
      <c r="O1188" s="125">
        <f t="shared" si="54"/>
        <v>2767.04</v>
      </c>
      <c r="P1188" t="str">
        <f>IF(E1188="","Unmapped",IFERROR(INDEX(Supplier_Lookup!$B$2:$B$25,MATCH(E1188,Supplier_Lookup!$A$2:$A$25,0)),"Unmapped"))</f>
        <v>Vehicle &amp; Fuel</v>
      </c>
      <c r="Q1188" s="76">
        <f>IFERROR(INDEX(Category_Targets!$B$2:$B$9,MATCH(F1188,Category_Targets!$A$2:$A$9,0)),0)</f>
        <v>0.05</v>
      </c>
      <c r="R1188" s="125">
        <f t="shared" si="55"/>
        <v>138.352</v>
      </c>
      <c r="S1188" s="78">
        <f t="shared" si="56"/>
        <v>45717</v>
      </c>
      <c r="T1188" t="str">
        <f>IFERROR(VLOOKUP(B1188,Sites!$A$2:$D$21,4,FALSE()),"Unknown")</f>
        <v>Cardiff</v>
      </c>
      <c r="U1188" t="str">
        <f>IF(N1188="OK","",COUNTIF($N$2:N1188,"&lt;&gt;OK"))</f>
        <v/>
      </c>
      <c r="V1188">
        <f>IF(OR(NOT(EXACT(E1188,TRIM(Procurement_Raw!E1188))),NOT(EXACT(F1188,TRIM(Procurement_Raw!F1188)))),1,0)</f>
        <v>0</v>
      </c>
    </row>
    <row r="1189" spans="1:22" ht="15" customHeight="1" x14ac:dyDescent="0.25">
      <c r="A1189" s="123">
        <f>Procurement_Raw!A1189</f>
        <v>45885</v>
      </c>
      <c r="B1189" t="str">
        <f>TRIM(Procurement_Raw!B1189)</f>
        <v>S014</v>
      </c>
      <c r="C1189" t="str">
        <f>Procurement_Raw!C1189</f>
        <v>Southampton Care &amp; Education Centre</v>
      </c>
      <c r="D1189" t="str">
        <f>Procurement_Raw!D1189</f>
        <v>South</v>
      </c>
      <c r="E1189" t="str">
        <f>IF(TRIM(Procurement_Raw!E1189)="","",IFERROR(INDEX(Supplier_Lookup!$A$2:$A$25,MATCH(TRIM(Procurement_Raw!E1189),Supplier_Lookup!$A$2:$A$25,0)),TRIM(Procurement_Raw!E1189)))</f>
        <v>NetServe</v>
      </c>
      <c r="F1189" t="str">
        <f>IFERROR(INDEX(Category_Targets!$A$2:$A$9,MATCH(TRIM(Procurement_Raw!F1189),Category_Targets!$A$2:$A$9,0)),"Unmapped")</f>
        <v>IT &amp; Telecoms</v>
      </c>
      <c r="G1189" t="str">
        <f>TRIM(Procurement_Raw!G1189)</f>
        <v>INV-2025-01188</v>
      </c>
      <c r="H1189" s="77">
        <f>Procurement_Raw!H1189</f>
        <v>29</v>
      </c>
      <c r="I1189" s="124">
        <f>Procurement_Raw!I1189</f>
        <v>194.43</v>
      </c>
      <c r="J1189" s="125">
        <f>IF(Procurement_Raw!J1189="","",Procurement_Raw!J1189)</f>
        <v>5638.51</v>
      </c>
      <c r="K1189" s="77">
        <f>Procurement_Raw!K1189</f>
        <v>60</v>
      </c>
      <c r="L1189" t="str">
        <f>Procurement_Raw!L1189</f>
        <v>Procurement Portal</v>
      </c>
      <c r="M1189" t="str">
        <f>Procurement_Raw!O1189</f>
        <v>N</v>
      </c>
      <c r="N1189" t="str">
        <f>IF(E1189="","Missing supplier",IF(B1189="","Missing site",IF(J1189="","Missing spend",IF(COUNTIFS($G$2:G1189,G1189,$E$2:E1189,E1189,$J$2:J1189,J1189)&gt;1,"Duplicate invoice",IF(COUNTIF($G$2:$G$1801,G1189)&gt;1,"Duplicate ID - review",IF(AND(P1189&lt;&gt;"Unmapped",P1189&lt;&gt;F1189),"Category mismatch","OK"))))))</f>
        <v>OK</v>
      </c>
      <c r="O1189" s="125">
        <f t="shared" si="54"/>
        <v>5638.51</v>
      </c>
      <c r="P1189" t="str">
        <f>IF(E1189="","Unmapped",IFERROR(INDEX(Supplier_Lookup!$B$2:$B$25,MATCH(E1189,Supplier_Lookup!$A$2:$A$25,0)),"Unmapped"))</f>
        <v>IT &amp; Telecoms</v>
      </c>
      <c r="Q1189" s="76">
        <f>IFERROR(INDEX(Category_Targets!$B$2:$B$9,MATCH(F1189,Category_Targets!$A$2:$A$9,0)),0)</f>
        <v>0.08</v>
      </c>
      <c r="R1189" s="125">
        <f t="shared" si="55"/>
        <v>451.08080000000001</v>
      </c>
      <c r="S1189" s="78">
        <f t="shared" si="56"/>
        <v>45870</v>
      </c>
      <c r="T1189" t="str">
        <f>IFERROR(VLOOKUP(B1189,Sites!$A$2:$D$21,4,FALSE()),"Unknown")</f>
        <v>Southampton</v>
      </c>
      <c r="U1189" t="str">
        <f>IF(N1189="OK","",COUNTIF($N$2:N1189,"&lt;&gt;OK"))</f>
        <v/>
      </c>
      <c r="V1189">
        <f>IF(OR(NOT(EXACT(E1189,TRIM(Procurement_Raw!E1189))),NOT(EXACT(F1189,TRIM(Procurement_Raw!F1189)))),1,0)</f>
        <v>0</v>
      </c>
    </row>
    <row r="1190" spans="1:22" ht="15" customHeight="1" x14ac:dyDescent="0.25">
      <c r="A1190" s="123">
        <f>Procurement_Raw!A1190</f>
        <v>45693</v>
      </c>
      <c r="B1190" t="str">
        <f>TRIM(Procurement_Raw!B1190)</f>
        <v>S010</v>
      </c>
      <c r="C1190" t="str">
        <f>Procurement_Raw!C1190</f>
        <v>Coventry Care &amp; Education Centre</v>
      </c>
      <c r="D1190" t="str">
        <f>Procurement_Raw!D1190</f>
        <v>Midlands</v>
      </c>
      <c r="E1190" t="str">
        <f>IF(TRIM(Procurement_Raw!E1190)="","",IFERROR(INDEX(Supplier_Lookup!$A$2:$A$25,MATCH(TRIM(Procurement_Raw!E1190),Supplier_Lookup!$A$2:$A$25,0)),TRIM(Procurement_Raw!E1190)))</f>
        <v>HealthStaffing</v>
      </c>
      <c r="F1190" t="str">
        <f>IFERROR(INDEX(Category_Targets!$A$2:$A$9,MATCH(TRIM(Procurement_Raw!F1190),Category_Targets!$A$2:$A$9,0)),"Unmapped")</f>
        <v>Agency Labour</v>
      </c>
      <c r="G1190" t="str">
        <f>TRIM(Procurement_Raw!G1190)</f>
        <v>INV-2025-01189</v>
      </c>
      <c r="H1190" s="77">
        <f>Procurement_Raw!H1190</f>
        <v>61</v>
      </c>
      <c r="I1190" s="124">
        <f>Procurement_Raw!I1190</f>
        <v>405.98</v>
      </c>
      <c r="J1190" s="125">
        <f>IF(Procurement_Raw!J1190="","",Procurement_Raw!J1190)</f>
        <v>24764.959999999999</v>
      </c>
      <c r="K1190" s="77">
        <f>Procurement_Raw!K1190</f>
        <v>60</v>
      </c>
      <c r="L1190" t="str">
        <f>Procurement_Raw!L1190</f>
        <v>Procurement Portal</v>
      </c>
      <c r="M1190" t="str">
        <f>Procurement_Raw!O1190</f>
        <v>N</v>
      </c>
      <c r="N1190" t="str">
        <f>IF(E1190="","Missing supplier",IF(B1190="","Missing site",IF(J1190="","Missing spend",IF(COUNTIFS($G$2:G1190,G1190,$E$2:E1190,E1190,$J$2:J1190,J1190)&gt;1,"Duplicate invoice",IF(COUNTIF($G$2:$G$1801,G1190)&gt;1,"Duplicate ID - review",IF(AND(P1190&lt;&gt;"Unmapped",P1190&lt;&gt;F1190),"Category mismatch","OK"))))))</f>
        <v>OK</v>
      </c>
      <c r="O1190" s="125">
        <f t="shared" si="54"/>
        <v>24764.959999999999</v>
      </c>
      <c r="P1190" t="str">
        <f>IF(E1190="","Unmapped",IFERROR(INDEX(Supplier_Lookup!$B$2:$B$25,MATCH(E1190,Supplier_Lookup!$A$2:$A$25,0)),"Unmapped"))</f>
        <v>Agency Labour</v>
      </c>
      <c r="Q1190" s="76">
        <f>IFERROR(INDEX(Category_Targets!$B$2:$B$9,MATCH(F1190,Category_Targets!$A$2:$A$9,0)),0)</f>
        <v>7.0000000000000007E-2</v>
      </c>
      <c r="R1190" s="125">
        <f t="shared" si="55"/>
        <v>1733.5472000000002</v>
      </c>
      <c r="S1190" s="78">
        <f t="shared" si="56"/>
        <v>45689</v>
      </c>
      <c r="T1190" t="str">
        <f>IFERROR(VLOOKUP(B1190,Sites!$A$2:$D$21,4,FALSE()),"Unknown")</f>
        <v>Coventry</v>
      </c>
      <c r="U1190" t="str">
        <f>IF(N1190="OK","",COUNTIF($N$2:N1190,"&lt;&gt;OK"))</f>
        <v/>
      </c>
      <c r="V1190">
        <f>IF(OR(NOT(EXACT(E1190,TRIM(Procurement_Raw!E1190))),NOT(EXACT(F1190,TRIM(Procurement_Raw!F1190)))),1,0)</f>
        <v>0</v>
      </c>
    </row>
    <row r="1191" spans="1:22" ht="15" customHeight="1" x14ac:dyDescent="0.25">
      <c r="A1191" s="123">
        <f>Procurement_Raw!A1191</f>
        <v>45909</v>
      </c>
      <c r="B1191" t="str">
        <f>TRIM(Procurement_Raw!B1191)</f>
        <v>S019</v>
      </c>
      <c r="C1191" t="str">
        <f>Procurement_Raw!C1191</f>
        <v>Wrexham Care &amp; Education Centre</v>
      </c>
      <c r="D1191" t="str">
        <f>Procurement_Raw!D1191</f>
        <v>Wales</v>
      </c>
      <c r="E1191" t="str">
        <f>IF(TRIM(Procurement_Raw!E1191)="","",IFERROR(INDEX(Supplier_Lookup!$A$2:$A$25,MATCH(TRIM(Procurement_Raw!E1191),Supplier_Lookup!$A$2:$A$25,0)),TRIM(Procurement_Raw!E1191)))</f>
        <v>ClinEquip</v>
      </c>
      <c r="F1191" t="str">
        <f>IFERROR(INDEX(Category_Targets!$A$2:$A$9,MATCH(TRIM(Procurement_Raw!F1191),Category_Targets!$A$2:$A$9,0)),"Unmapped")</f>
        <v>Medical Supplies</v>
      </c>
      <c r="G1191" t="str">
        <f>TRIM(Procurement_Raw!G1191)</f>
        <v>INV-2025-01190</v>
      </c>
      <c r="H1191" s="77">
        <f>Procurement_Raw!H1191</f>
        <v>14</v>
      </c>
      <c r="I1191" s="124">
        <f>Procurement_Raw!I1191</f>
        <v>70.45</v>
      </c>
      <c r="J1191" s="125">
        <f>IF(Procurement_Raw!J1191="","",Procurement_Raw!J1191)</f>
        <v>986.3</v>
      </c>
      <c r="K1191" s="77">
        <f>Procurement_Raw!K1191</f>
        <v>45</v>
      </c>
      <c r="L1191" t="str">
        <f>Procurement_Raw!L1191</f>
        <v>Procurement Portal</v>
      </c>
      <c r="M1191" t="str">
        <f>Procurement_Raw!O1191</f>
        <v>N</v>
      </c>
      <c r="N1191" t="str">
        <f>IF(E1191="","Missing supplier",IF(B1191="","Missing site",IF(J1191="","Missing spend",IF(COUNTIFS($G$2:G1191,G1191,$E$2:E1191,E1191,$J$2:J1191,J1191)&gt;1,"Duplicate invoice",IF(COUNTIF($G$2:$G$1801,G1191)&gt;1,"Duplicate ID - review",IF(AND(P1191&lt;&gt;"Unmapped",P1191&lt;&gt;F1191),"Category mismatch","OK"))))))</f>
        <v>OK</v>
      </c>
      <c r="O1191" s="125">
        <f t="shared" si="54"/>
        <v>986.3</v>
      </c>
      <c r="P1191" t="str">
        <f>IF(E1191="","Unmapped",IFERROR(INDEX(Supplier_Lookup!$B$2:$B$25,MATCH(E1191,Supplier_Lookup!$A$2:$A$25,0)),"Unmapped"))</f>
        <v>Medical Supplies</v>
      </c>
      <c r="Q1191" s="76">
        <f>IFERROR(INDEX(Category_Targets!$B$2:$B$9,MATCH(F1191,Category_Targets!$A$2:$A$9,0)),0)</f>
        <v>0.06</v>
      </c>
      <c r="R1191" s="125">
        <f t="shared" si="55"/>
        <v>59.177999999999997</v>
      </c>
      <c r="S1191" s="78">
        <f t="shared" si="56"/>
        <v>45901</v>
      </c>
      <c r="T1191" t="str">
        <f>IFERROR(VLOOKUP(B1191,Sites!$A$2:$D$21,4,FALSE()),"Unknown")</f>
        <v>Wrexham</v>
      </c>
      <c r="U1191" t="str">
        <f>IF(N1191="OK","",COUNTIF($N$2:N1191,"&lt;&gt;OK"))</f>
        <v/>
      </c>
      <c r="V1191">
        <f>IF(OR(NOT(EXACT(E1191,TRIM(Procurement_Raw!E1191))),NOT(EXACT(F1191,TRIM(Procurement_Raw!F1191)))),1,0)</f>
        <v>0</v>
      </c>
    </row>
    <row r="1192" spans="1:22" ht="15" customHeight="1" x14ac:dyDescent="0.25">
      <c r="A1192" s="123">
        <f>Procurement_Raw!A1192</f>
        <v>45731</v>
      </c>
      <c r="B1192" t="str">
        <f>TRIM(Procurement_Raw!B1192)</f>
        <v>S017</v>
      </c>
      <c r="C1192" t="str">
        <f>Procurement_Raw!C1192</f>
        <v>Swansea Care &amp; Education Centre</v>
      </c>
      <c r="D1192" t="str">
        <f>Procurement_Raw!D1192</f>
        <v>Wales</v>
      </c>
      <c r="E1192" t="str">
        <f>IF(TRIM(Procurement_Raw!E1192)="","",IFERROR(INDEX(Supplier_Lookup!$A$2:$A$25,MATCH(TRIM(Procurement_Raw!E1192),Supplier_Lookup!$A$2:$A$25,0)),TRIM(Procurement_Raw!E1192)))</f>
        <v>FreshServe</v>
      </c>
      <c r="F1192" t="str">
        <f>IFERROR(INDEX(Category_Targets!$A$2:$A$9,MATCH(TRIM(Procurement_Raw!F1192),Category_Targets!$A$2:$A$9,0)),"Unmapped")</f>
        <v>Food &amp; Catering</v>
      </c>
      <c r="G1192" t="str">
        <f>TRIM(Procurement_Raw!G1192)</f>
        <v>INV-2025-01191</v>
      </c>
      <c r="H1192" s="77">
        <f>Procurement_Raw!H1192</f>
        <v>51</v>
      </c>
      <c r="I1192" s="124">
        <f>Procurement_Raw!I1192</f>
        <v>68.88</v>
      </c>
      <c r="J1192" s="125">
        <f>IF(Procurement_Raw!J1192="","",Procurement_Raw!J1192)</f>
        <v>3512.8</v>
      </c>
      <c r="K1192" s="77">
        <f>Procurement_Raw!K1192</f>
        <v>45</v>
      </c>
      <c r="L1192" t="str">
        <f>Procurement_Raw!L1192</f>
        <v>Legacy Spend File</v>
      </c>
      <c r="M1192" t="str">
        <f>Procurement_Raw!O1192</f>
        <v>Y</v>
      </c>
      <c r="N1192" t="str">
        <f>IF(E1192="","Missing supplier",IF(B1192="","Missing site",IF(J1192="","Missing spend",IF(COUNTIFS($G$2:G1192,G1192,$E$2:E1192,E1192,$J$2:J1192,J1192)&gt;1,"Duplicate invoice",IF(COUNTIF($G$2:$G$1801,G1192)&gt;1,"Duplicate ID - review",IF(AND(P1192&lt;&gt;"Unmapped",P1192&lt;&gt;F1192),"Category mismatch","OK"))))))</f>
        <v>OK</v>
      </c>
      <c r="O1192" s="125">
        <f t="shared" si="54"/>
        <v>3512.8</v>
      </c>
      <c r="P1192" t="str">
        <f>IF(E1192="","Unmapped",IFERROR(INDEX(Supplier_Lookup!$B$2:$B$25,MATCH(E1192,Supplier_Lookup!$A$2:$A$25,0)),"Unmapped"))</f>
        <v>Food &amp; Catering</v>
      </c>
      <c r="Q1192" s="76">
        <f>IFERROR(INDEX(Category_Targets!$B$2:$B$9,MATCH(F1192,Category_Targets!$A$2:$A$9,0)),0)</f>
        <v>0.04</v>
      </c>
      <c r="R1192" s="125">
        <f t="shared" si="55"/>
        <v>140.512</v>
      </c>
      <c r="S1192" s="78">
        <f t="shared" si="56"/>
        <v>45717</v>
      </c>
      <c r="T1192" t="str">
        <f>IFERROR(VLOOKUP(B1192,Sites!$A$2:$D$21,4,FALSE()),"Unknown")</f>
        <v>Swansea</v>
      </c>
      <c r="U1192" t="str">
        <f>IF(N1192="OK","",COUNTIF($N$2:N1192,"&lt;&gt;OK"))</f>
        <v/>
      </c>
      <c r="V1192">
        <f>IF(OR(NOT(EXACT(E1192,TRIM(Procurement_Raw!E1192))),NOT(EXACT(F1192,TRIM(Procurement_Raw!F1192)))),1,0)</f>
        <v>0</v>
      </c>
    </row>
    <row r="1193" spans="1:22" ht="15" customHeight="1" x14ac:dyDescent="0.25">
      <c r="A1193" s="123">
        <f>Procurement_Raw!A1193</f>
        <v>45744</v>
      </c>
      <c r="B1193" t="str">
        <f>TRIM(Procurement_Raw!B1193)</f>
        <v>S019</v>
      </c>
      <c r="C1193" t="str">
        <f>Procurement_Raw!C1193</f>
        <v>Wrexham Care &amp; Education Centre</v>
      </c>
      <c r="D1193" t="str">
        <f>Procurement_Raw!D1193</f>
        <v>Wales</v>
      </c>
      <c r="E1193" t="str">
        <f>IF(TRIM(Procurement_Raw!E1193)="","",IFERROR(INDEX(Supplier_Lookup!$A$2:$A$25,MATCH(TRIM(Procurement_Raw!E1193),Supplier_Lookup!$A$2:$A$25,0)),TRIM(Procurement_Raw!E1193)))</f>
        <v>KitchenPro</v>
      </c>
      <c r="F1193" t="str">
        <f>IFERROR(INDEX(Category_Targets!$A$2:$A$9,MATCH(TRIM(Procurement_Raw!F1193),Category_Targets!$A$2:$A$9,0)),"Unmapped")</f>
        <v>Food &amp; Catering</v>
      </c>
      <c r="G1193" t="str">
        <f>TRIM(Procurement_Raw!G1193)</f>
        <v>INV-2025-01192</v>
      </c>
      <c r="H1193" s="77">
        <f>Procurement_Raw!H1193</f>
        <v>9</v>
      </c>
      <c r="I1193" s="124">
        <f>Procurement_Raw!I1193</f>
        <v>31.21</v>
      </c>
      <c r="J1193" s="125">
        <f>IF(Procurement_Raw!J1193="","",Procurement_Raw!J1193)</f>
        <v>280.87</v>
      </c>
      <c r="K1193" s="77">
        <f>Procurement_Raw!K1193</f>
        <v>45</v>
      </c>
      <c r="L1193" t="str">
        <f>Procurement_Raw!L1193</f>
        <v>ERP</v>
      </c>
      <c r="M1193" t="str">
        <f>Procurement_Raw!O1193</f>
        <v>N</v>
      </c>
      <c r="N1193" t="str">
        <f>IF(E1193="","Missing supplier",IF(B1193="","Missing site",IF(J1193="","Missing spend",IF(COUNTIFS($G$2:G1193,G1193,$E$2:E1193,E1193,$J$2:J1193,J1193)&gt;1,"Duplicate invoice",IF(COUNTIF($G$2:$G$1801,G1193)&gt;1,"Duplicate ID - review",IF(AND(P1193&lt;&gt;"Unmapped",P1193&lt;&gt;F1193),"Category mismatch","OK"))))))</f>
        <v>OK</v>
      </c>
      <c r="O1193" s="125">
        <f t="shared" si="54"/>
        <v>280.87</v>
      </c>
      <c r="P1193" t="str">
        <f>IF(E1193="","Unmapped",IFERROR(INDEX(Supplier_Lookup!$B$2:$B$25,MATCH(E1193,Supplier_Lookup!$A$2:$A$25,0)),"Unmapped"))</f>
        <v>Food &amp; Catering</v>
      </c>
      <c r="Q1193" s="76">
        <f>IFERROR(INDEX(Category_Targets!$B$2:$B$9,MATCH(F1193,Category_Targets!$A$2:$A$9,0)),0)</f>
        <v>0.04</v>
      </c>
      <c r="R1193" s="125">
        <f t="shared" si="55"/>
        <v>11.2348</v>
      </c>
      <c r="S1193" s="78">
        <f t="shared" si="56"/>
        <v>45717</v>
      </c>
      <c r="T1193" t="str">
        <f>IFERROR(VLOOKUP(B1193,Sites!$A$2:$D$21,4,FALSE()),"Unknown")</f>
        <v>Wrexham</v>
      </c>
      <c r="U1193" t="str">
        <f>IF(N1193="OK","",COUNTIF($N$2:N1193,"&lt;&gt;OK"))</f>
        <v/>
      </c>
      <c r="V1193">
        <f>IF(OR(NOT(EXACT(E1193,TRIM(Procurement_Raw!E1193))),NOT(EXACT(F1193,TRIM(Procurement_Raw!F1193)))),1,0)</f>
        <v>0</v>
      </c>
    </row>
    <row r="1194" spans="1:22" ht="15" customHeight="1" x14ac:dyDescent="0.25">
      <c r="A1194" s="123">
        <f>Procurement_Raw!A1194</f>
        <v>45864</v>
      </c>
      <c r="B1194" t="str">
        <f>TRIM(Procurement_Raw!B1194)</f>
        <v>S011</v>
      </c>
      <c r="C1194" t="str">
        <f>Procurement_Raw!C1194</f>
        <v>London Care &amp; Education Centre</v>
      </c>
      <c r="D1194" t="str">
        <f>Procurement_Raw!D1194</f>
        <v>South</v>
      </c>
      <c r="E1194" t="str">
        <f>IF(TRIM(Procurement_Raw!E1194)="","",IFERROR(INDEX(Supplier_Lookup!$A$2:$A$25,MATCH(TRIM(Procurement_Raw!E1194),Supplier_Lookup!$A$2:$A$25,0)),TRIM(Procurement_Raw!E1194)))</f>
        <v>PowerDirect</v>
      </c>
      <c r="F1194" t="str">
        <f>IFERROR(INDEX(Category_Targets!$A$2:$A$9,MATCH(TRIM(Procurement_Raw!F1194),Category_Targets!$A$2:$A$9,0)),"Unmapped")</f>
        <v>Utilities</v>
      </c>
      <c r="G1194" t="str">
        <f>TRIM(Procurement_Raw!G1194)</f>
        <v>INV-2025-01193</v>
      </c>
      <c r="H1194" s="77">
        <f>Procurement_Raw!H1194</f>
        <v>16</v>
      </c>
      <c r="I1194" s="124">
        <f>Procurement_Raw!I1194</f>
        <v>179.6</v>
      </c>
      <c r="J1194" s="125">
        <f>IF(Procurement_Raw!J1194="","",Procurement_Raw!J1194)</f>
        <v>2873.53</v>
      </c>
      <c r="K1194" s="77">
        <f>Procurement_Raw!K1194</f>
        <v>30</v>
      </c>
      <c r="L1194" t="str">
        <f>Procurement_Raw!L1194</f>
        <v>Procurement Portal</v>
      </c>
      <c r="M1194" t="str">
        <f>Procurement_Raw!O1194</f>
        <v>N</v>
      </c>
      <c r="N1194" t="str">
        <f>IF(E1194="","Missing supplier",IF(B1194="","Missing site",IF(J1194="","Missing spend",IF(COUNTIFS($G$2:G1194,G1194,$E$2:E1194,E1194,$J$2:J1194,J1194)&gt;1,"Duplicate invoice",IF(COUNTIF($G$2:$G$1801,G1194)&gt;1,"Duplicate ID - review",IF(AND(P1194&lt;&gt;"Unmapped",P1194&lt;&gt;F1194),"Category mismatch","OK"))))))</f>
        <v>OK</v>
      </c>
      <c r="O1194" s="125">
        <f t="shared" si="54"/>
        <v>2873.53</v>
      </c>
      <c r="P1194" t="str">
        <f>IF(E1194="","Unmapped",IFERROR(INDEX(Supplier_Lookup!$B$2:$B$25,MATCH(E1194,Supplier_Lookup!$A$2:$A$25,0)),"Unmapped"))</f>
        <v>Utilities</v>
      </c>
      <c r="Q1194" s="76">
        <f>IFERROR(INDEX(Category_Targets!$B$2:$B$9,MATCH(F1194,Category_Targets!$A$2:$A$9,0)),0)</f>
        <v>0.03</v>
      </c>
      <c r="R1194" s="125">
        <f t="shared" si="55"/>
        <v>86.2059</v>
      </c>
      <c r="S1194" s="78">
        <f t="shared" si="56"/>
        <v>45839</v>
      </c>
      <c r="T1194" t="str">
        <f>IFERROR(VLOOKUP(B1194,Sites!$A$2:$D$21,4,FALSE()),"Unknown")</f>
        <v>London</v>
      </c>
      <c r="U1194" t="str">
        <f>IF(N1194="OK","",COUNTIF($N$2:N1194,"&lt;&gt;OK"))</f>
        <v/>
      </c>
      <c r="V1194">
        <f>IF(OR(NOT(EXACT(E1194,TRIM(Procurement_Raw!E1194))),NOT(EXACT(F1194,TRIM(Procurement_Raw!F1194)))),1,0)</f>
        <v>0</v>
      </c>
    </row>
    <row r="1195" spans="1:22" ht="15" customHeight="1" x14ac:dyDescent="0.25">
      <c r="A1195" s="123">
        <f>Procurement_Raw!A1195</f>
        <v>45955</v>
      </c>
      <c r="B1195" t="str">
        <f>TRIM(Procurement_Raw!B1195)</f>
        <v>S016</v>
      </c>
      <c r="C1195" t="str">
        <f>Procurement_Raw!C1195</f>
        <v>Cardiff Care &amp; Education Centre</v>
      </c>
      <c r="D1195" t="str">
        <f>Procurement_Raw!D1195</f>
        <v>Wales</v>
      </c>
      <c r="E1195" t="str">
        <f>IF(TRIM(Procurement_Raw!E1195)="","",IFERROR(INDEX(Supplier_Lookup!$A$2:$A$25,MATCH(TRIM(Procurement_Raw!E1195),Supplier_Lookup!$A$2:$A$25,0)),TRIM(Procurement_Raw!E1195)))</f>
        <v>LearnWell</v>
      </c>
      <c r="F1195" t="str">
        <f>IFERROR(INDEX(Category_Targets!$A$2:$A$9,MATCH(TRIM(Procurement_Raw!F1195),Category_Targets!$A$2:$A$9,0)),"Unmapped")</f>
        <v>Office &amp; Training</v>
      </c>
      <c r="G1195" t="str">
        <f>TRIM(Procurement_Raw!G1195)</f>
        <v>INV-2025-01194</v>
      </c>
      <c r="H1195" s="77">
        <f>Procurement_Raw!H1195</f>
        <v>76</v>
      </c>
      <c r="I1195" s="124">
        <f>Procurement_Raw!I1195</f>
        <v>89.42</v>
      </c>
      <c r="J1195" s="125">
        <f>IF(Procurement_Raw!J1195="","",Procurement_Raw!J1195)</f>
        <v>6796.08</v>
      </c>
      <c r="K1195" s="77">
        <f>Procurement_Raw!K1195</f>
        <v>45</v>
      </c>
      <c r="L1195" t="str">
        <f>Procurement_Raw!L1195</f>
        <v>Legacy Spend File</v>
      </c>
      <c r="M1195" t="str">
        <f>Procurement_Raw!O1195</f>
        <v>N</v>
      </c>
      <c r="N1195" t="str">
        <f>IF(E1195="","Missing supplier",IF(B1195="","Missing site",IF(J1195="","Missing spend",IF(COUNTIFS($G$2:G1195,G1195,$E$2:E1195,E1195,$J$2:J1195,J1195)&gt;1,"Duplicate invoice",IF(COUNTIF($G$2:$G$1801,G1195)&gt;1,"Duplicate ID - review",IF(AND(P1195&lt;&gt;"Unmapped",P1195&lt;&gt;F1195),"Category mismatch","OK"))))))</f>
        <v>OK</v>
      </c>
      <c r="O1195" s="125">
        <f t="shared" si="54"/>
        <v>6796.08</v>
      </c>
      <c r="P1195" t="str">
        <f>IF(E1195="","Unmapped",IFERROR(INDEX(Supplier_Lookup!$B$2:$B$25,MATCH(E1195,Supplier_Lookup!$A$2:$A$25,0)),"Unmapped"))</f>
        <v>Office &amp; Training</v>
      </c>
      <c r="Q1195" s="76">
        <f>IFERROR(INDEX(Category_Targets!$B$2:$B$9,MATCH(F1195,Category_Targets!$A$2:$A$9,0)),0)</f>
        <v>0.04</v>
      </c>
      <c r="R1195" s="125">
        <f t="shared" si="55"/>
        <v>271.84320000000002</v>
      </c>
      <c r="S1195" s="78">
        <f t="shared" si="56"/>
        <v>45931</v>
      </c>
      <c r="T1195" t="str">
        <f>IFERROR(VLOOKUP(B1195,Sites!$A$2:$D$21,4,FALSE()),"Unknown")</f>
        <v>Cardiff</v>
      </c>
      <c r="U1195" t="str">
        <f>IF(N1195="OK","",COUNTIF($N$2:N1195,"&lt;&gt;OK"))</f>
        <v/>
      </c>
      <c r="V1195">
        <f>IF(OR(NOT(EXACT(E1195,TRIM(Procurement_Raw!E1195))),NOT(EXACT(F1195,TRIM(Procurement_Raw!F1195)))),1,0)</f>
        <v>0</v>
      </c>
    </row>
    <row r="1196" spans="1:22" ht="15" customHeight="1" x14ac:dyDescent="0.25">
      <c r="A1196" s="123">
        <f>Procurement_Raw!A1196</f>
        <v>45999</v>
      </c>
      <c r="B1196" t="str">
        <f>TRIM(Procurement_Raw!B1196)</f>
        <v>S008</v>
      </c>
      <c r="C1196" t="str">
        <f>Procurement_Raw!C1196</f>
        <v>Leicester Care &amp; Education Centre</v>
      </c>
      <c r="D1196" t="str">
        <f>Procurement_Raw!D1196</f>
        <v>Midlands</v>
      </c>
      <c r="E1196" t="str">
        <f>IF(TRIM(Procurement_Raw!E1196)="","",IFERROR(INDEX(Supplier_Lookup!$A$2:$A$25,MATCH(TRIM(Procurement_Raw!E1196),Supplier_Lookup!$A$2:$A$25,0)),TRIM(Procurement_Raw!E1196)))</f>
        <v>RoadReady</v>
      </c>
      <c r="F1196" t="str">
        <f>IFERROR(INDEX(Category_Targets!$A$2:$A$9,MATCH(TRIM(Procurement_Raw!F1196),Category_Targets!$A$2:$A$9,0)),"Unmapped")</f>
        <v>Vehicle &amp; Fuel</v>
      </c>
      <c r="G1196" t="str">
        <f>TRIM(Procurement_Raw!G1196)</f>
        <v>INV-2025-01195</v>
      </c>
      <c r="H1196" s="77">
        <f>Procurement_Raw!H1196</f>
        <v>78</v>
      </c>
      <c r="I1196" s="124">
        <f>Procurement_Raw!I1196</f>
        <v>39.56</v>
      </c>
      <c r="J1196" s="125">
        <f>IF(Procurement_Raw!J1196="","",Procurement_Raw!J1196)</f>
        <v>3085.41</v>
      </c>
      <c r="K1196" s="77">
        <f>Procurement_Raw!K1196</f>
        <v>45</v>
      </c>
      <c r="L1196" t="str">
        <f>Procurement_Raw!L1196</f>
        <v>Procurement Portal</v>
      </c>
      <c r="M1196" t="str">
        <f>Procurement_Raw!O1196</f>
        <v>N</v>
      </c>
      <c r="N1196" t="str">
        <f>IF(E1196="","Missing supplier",IF(B1196="","Missing site",IF(J1196="","Missing spend",IF(COUNTIFS($G$2:G1196,G1196,$E$2:E1196,E1196,$J$2:J1196,J1196)&gt;1,"Duplicate invoice",IF(COUNTIF($G$2:$G$1801,G1196)&gt;1,"Duplicate ID - review",IF(AND(P1196&lt;&gt;"Unmapped",P1196&lt;&gt;F1196),"Category mismatch","OK"))))))</f>
        <v>OK</v>
      </c>
      <c r="O1196" s="125">
        <f t="shared" si="54"/>
        <v>3085.41</v>
      </c>
      <c r="P1196" t="str">
        <f>IF(E1196="","Unmapped",IFERROR(INDEX(Supplier_Lookup!$B$2:$B$25,MATCH(E1196,Supplier_Lookup!$A$2:$A$25,0)),"Unmapped"))</f>
        <v>Vehicle &amp; Fuel</v>
      </c>
      <c r="Q1196" s="76">
        <f>IFERROR(INDEX(Category_Targets!$B$2:$B$9,MATCH(F1196,Category_Targets!$A$2:$A$9,0)),0)</f>
        <v>0.05</v>
      </c>
      <c r="R1196" s="125">
        <f t="shared" si="55"/>
        <v>154.2705</v>
      </c>
      <c r="S1196" s="78">
        <f t="shared" si="56"/>
        <v>45992</v>
      </c>
      <c r="T1196" t="str">
        <f>IFERROR(VLOOKUP(B1196,Sites!$A$2:$D$21,4,FALSE()),"Unknown")</f>
        <v>Leicester</v>
      </c>
      <c r="U1196" t="str">
        <f>IF(N1196="OK","",COUNTIF($N$2:N1196,"&lt;&gt;OK"))</f>
        <v/>
      </c>
      <c r="V1196">
        <f>IF(OR(NOT(EXACT(E1196,TRIM(Procurement_Raw!E1196))),NOT(EXACT(F1196,TRIM(Procurement_Raw!F1196)))),1,0)</f>
        <v>0</v>
      </c>
    </row>
    <row r="1197" spans="1:22" ht="15" customHeight="1" x14ac:dyDescent="0.25">
      <c r="A1197" s="123">
        <f>Procurement_Raw!A1197</f>
        <v>45890</v>
      </c>
      <c r="B1197" t="str">
        <f>TRIM(Procurement_Raw!B1197)</f>
        <v>S001</v>
      </c>
      <c r="C1197" t="str">
        <f>Procurement_Raw!C1197</f>
        <v>Preston Care &amp; Education Centre</v>
      </c>
      <c r="D1197" t="str">
        <f>Procurement_Raw!D1197</f>
        <v>North</v>
      </c>
      <c r="E1197" t="str">
        <f>IF(TRIM(Procurement_Raw!E1197)="","",IFERROR(INDEX(Supplier_Lookup!$A$2:$A$25,MATCH(TRIM(Procurement_Raw!E1197),Supplier_Lookup!$A$2:$A$25,0)),TRIM(Procurement_Raw!E1197)))</f>
        <v>CloudLink</v>
      </c>
      <c r="F1197" t="str">
        <f>IFERROR(INDEX(Category_Targets!$A$2:$A$9,MATCH(TRIM(Procurement_Raw!F1197),Category_Targets!$A$2:$A$9,0)),"Unmapped")</f>
        <v>IT &amp; Telecoms</v>
      </c>
      <c r="G1197" t="str">
        <f>TRIM(Procurement_Raw!G1197)</f>
        <v>INV-2025-01196</v>
      </c>
      <c r="H1197" s="77">
        <f>Procurement_Raw!H1197</f>
        <v>14</v>
      </c>
      <c r="I1197" s="124">
        <f>Procurement_Raw!I1197</f>
        <v>280.31</v>
      </c>
      <c r="J1197" s="125">
        <f>IF(Procurement_Raw!J1197="","",Procurement_Raw!J1197)</f>
        <v>3924.31</v>
      </c>
      <c r="K1197" s="77">
        <f>Procurement_Raw!K1197</f>
        <v>30</v>
      </c>
      <c r="L1197" t="str">
        <f>Procurement_Raw!L1197</f>
        <v>Procurement Portal</v>
      </c>
      <c r="M1197" t="str">
        <f>Procurement_Raw!O1197</f>
        <v>Y</v>
      </c>
      <c r="N1197" t="str">
        <f>IF(E1197="","Missing supplier",IF(B1197="","Missing site",IF(J1197="","Missing spend",IF(COUNTIFS($G$2:G1197,G1197,$E$2:E1197,E1197,$J$2:J1197,J1197)&gt;1,"Duplicate invoice",IF(COUNTIF($G$2:$G$1801,G1197)&gt;1,"Duplicate ID - review",IF(AND(P1197&lt;&gt;"Unmapped",P1197&lt;&gt;F1197),"Category mismatch","OK"))))))</f>
        <v>OK</v>
      </c>
      <c r="O1197" s="125">
        <f t="shared" si="54"/>
        <v>3924.31</v>
      </c>
      <c r="P1197" t="str">
        <f>IF(E1197="","Unmapped",IFERROR(INDEX(Supplier_Lookup!$B$2:$B$25,MATCH(E1197,Supplier_Lookup!$A$2:$A$25,0)),"Unmapped"))</f>
        <v>IT &amp; Telecoms</v>
      </c>
      <c r="Q1197" s="76">
        <f>IFERROR(INDEX(Category_Targets!$B$2:$B$9,MATCH(F1197,Category_Targets!$A$2:$A$9,0)),0)</f>
        <v>0.08</v>
      </c>
      <c r="R1197" s="125">
        <f t="shared" si="55"/>
        <v>313.94479999999999</v>
      </c>
      <c r="S1197" s="78">
        <f t="shared" si="56"/>
        <v>45870</v>
      </c>
      <c r="T1197" t="str">
        <f>IFERROR(VLOOKUP(B1197,Sites!$A$2:$D$21,4,FALSE()),"Unknown")</f>
        <v>Preston</v>
      </c>
      <c r="U1197" t="str">
        <f>IF(N1197="OK","",COUNTIF($N$2:N1197,"&lt;&gt;OK"))</f>
        <v/>
      </c>
      <c r="V1197">
        <f>IF(OR(NOT(EXACT(E1197,TRIM(Procurement_Raw!E1197))),NOT(EXACT(F1197,TRIM(Procurement_Raw!F1197)))),1,0)</f>
        <v>0</v>
      </c>
    </row>
    <row r="1198" spans="1:22" ht="15" customHeight="1" x14ac:dyDescent="0.25">
      <c r="A1198" s="123">
        <f>Procurement_Raw!A1198</f>
        <v>45979</v>
      </c>
      <c r="B1198" t="str">
        <f>TRIM(Procurement_Raw!B1198)</f>
        <v>S017</v>
      </c>
      <c r="C1198" t="str">
        <f>Procurement_Raw!C1198</f>
        <v>Swansea Care &amp; Education Centre</v>
      </c>
      <c r="D1198" t="str">
        <f>Procurement_Raw!D1198</f>
        <v>Wales</v>
      </c>
      <c r="E1198" t="str">
        <f>IF(TRIM(Procurement_Raw!E1198)="","",IFERROR(INDEX(Supplier_Lookup!$A$2:$A$25,MATCH(TRIM(Procurement_Raw!E1198),Supplier_Lookup!$A$2:$A$25,0)),TRIM(Procurement_Raw!E1198)))</f>
        <v>OfficePlus</v>
      </c>
      <c r="F1198" t="str">
        <f>IFERROR(INDEX(Category_Targets!$A$2:$A$9,MATCH(TRIM(Procurement_Raw!F1198),Category_Targets!$A$2:$A$9,0)),"Unmapped")</f>
        <v>Office &amp; Training</v>
      </c>
      <c r="G1198" t="str">
        <f>TRIM(Procurement_Raw!G1198)</f>
        <v>INV-2025-01197</v>
      </c>
      <c r="H1198" s="77">
        <f>Procurement_Raw!H1198</f>
        <v>18</v>
      </c>
      <c r="I1198" s="124">
        <f>Procurement_Raw!I1198</f>
        <v>74.19</v>
      </c>
      <c r="J1198" s="125">
        <f>IF(Procurement_Raw!J1198="","",Procurement_Raw!J1198)</f>
        <v>1335.5</v>
      </c>
      <c r="K1198" s="77">
        <f>Procurement_Raw!K1198</f>
        <v>30</v>
      </c>
      <c r="L1198" t="str">
        <f>Procurement_Raw!L1198</f>
        <v>ERP</v>
      </c>
      <c r="M1198" t="str">
        <f>Procurement_Raw!O1198</f>
        <v>N</v>
      </c>
      <c r="N1198" t="str">
        <f>IF(E1198="","Missing supplier",IF(B1198="","Missing site",IF(J1198="","Missing spend",IF(COUNTIFS($G$2:G1198,G1198,$E$2:E1198,E1198,$J$2:J1198,J1198)&gt;1,"Duplicate invoice",IF(COUNTIF($G$2:$G$1801,G1198)&gt;1,"Duplicate ID - review",IF(AND(P1198&lt;&gt;"Unmapped",P1198&lt;&gt;F1198),"Category mismatch","OK"))))))</f>
        <v>OK</v>
      </c>
      <c r="O1198" s="125">
        <f t="shared" si="54"/>
        <v>1335.5</v>
      </c>
      <c r="P1198" t="str">
        <f>IF(E1198="","Unmapped",IFERROR(INDEX(Supplier_Lookup!$B$2:$B$25,MATCH(E1198,Supplier_Lookup!$A$2:$A$25,0)),"Unmapped"))</f>
        <v>Office &amp; Training</v>
      </c>
      <c r="Q1198" s="76">
        <f>IFERROR(INDEX(Category_Targets!$B$2:$B$9,MATCH(F1198,Category_Targets!$A$2:$A$9,0)),0)</f>
        <v>0.04</v>
      </c>
      <c r="R1198" s="125">
        <f t="shared" si="55"/>
        <v>53.42</v>
      </c>
      <c r="S1198" s="78">
        <f t="shared" si="56"/>
        <v>45962</v>
      </c>
      <c r="T1198" t="str">
        <f>IFERROR(VLOOKUP(B1198,Sites!$A$2:$D$21,4,FALSE()),"Unknown")</f>
        <v>Swansea</v>
      </c>
      <c r="U1198" t="str">
        <f>IF(N1198="OK","",COUNTIF($N$2:N1198,"&lt;&gt;OK"))</f>
        <v/>
      </c>
      <c r="V1198">
        <f>IF(OR(NOT(EXACT(E1198,TRIM(Procurement_Raw!E1198))),NOT(EXACT(F1198,TRIM(Procurement_Raw!F1198)))),1,0)</f>
        <v>0</v>
      </c>
    </row>
    <row r="1199" spans="1:22" ht="15" customHeight="1" x14ac:dyDescent="0.25">
      <c r="A1199" s="123">
        <f>Procurement_Raw!A1199</f>
        <v>45913</v>
      </c>
      <c r="B1199" t="str">
        <f>TRIM(Procurement_Raw!B1199)</f>
        <v>S003</v>
      </c>
      <c r="C1199" t="str">
        <f>Procurement_Raw!C1199</f>
        <v>Leeds Care &amp; Education Centre</v>
      </c>
      <c r="D1199" t="str">
        <f>Procurement_Raw!D1199</f>
        <v>North</v>
      </c>
      <c r="E1199" t="str">
        <f>IF(TRIM(Procurement_Raw!E1199)="","",IFERROR(INDEX(Supplier_Lookup!$A$2:$A$25,MATCH(TRIM(Procurement_Raw!E1199),Supplier_Lookup!$A$2:$A$25,0)),TRIM(Procurement_Raw!E1199)))</f>
        <v>MediSure</v>
      </c>
      <c r="F1199" t="str">
        <f>IFERROR(INDEX(Category_Targets!$A$2:$A$9,MATCH(TRIM(Procurement_Raw!F1199),Category_Targets!$A$2:$A$9,0)),"Unmapped")</f>
        <v>Medical Supplies</v>
      </c>
      <c r="G1199" t="str">
        <f>TRIM(Procurement_Raw!G1199)</f>
        <v>INV-2025-01198</v>
      </c>
      <c r="H1199" s="77">
        <f>Procurement_Raw!H1199</f>
        <v>4</v>
      </c>
      <c r="I1199" s="124">
        <f>Procurement_Raw!I1199</f>
        <v>162.61000000000001</v>
      </c>
      <c r="J1199" s="125">
        <f>IF(Procurement_Raw!J1199="","",Procurement_Raw!J1199)</f>
        <v>650.44000000000005</v>
      </c>
      <c r="K1199" s="77">
        <f>Procurement_Raw!K1199</f>
        <v>30</v>
      </c>
      <c r="L1199" t="str">
        <f>Procurement_Raw!L1199</f>
        <v>Procurement Portal</v>
      </c>
      <c r="M1199" t="str">
        <f>Procurement_Raw!O1199</f>
        <v>Y</v>
      </c>
      <c r="N1199" t="str">
        <f>IF(E1199="","Missing supplier",IF(B1199="","Missing site",IF(J1199="","Missing spend",IF(COUNTIFS($G$2:G1199,G1199,$E$2:E1199,E1199,$J$2:J1199,J1199)&gt;1,"Duplicate invoice",IF(COUNTIF($G$2:$G$1801,G1199)&gt;1,"Duplicate ID - review",IF(AND(P1199&lt;&gt;"Unmapped",P1199&lt;&gt;F1199),"Category mismatch","OK"))))))</f>
        <v>OK</v>
      </c>
      <c r="O1199" s="125">
        <f t="shared" si="54"/>
        <v>650.44000000000005</v>
      </c>
      <c r="P1199" t="str">
        <f>IF(E1199="","Unmapped",IFERROR(INDEX(Supplier_Lookup!$B$2:$B$25,MATCH(E1199,Supplier_Lookup!$A$2:$A$25,0)),"Unmapped"))</f>
        <v>Medical Supplies</v>
      </c>
      <c r="Q1199" s="76">
        <f>IFERROR(INDEX(Category_Targets!$B$2:$B$9,MATCH(F1199,Category_Targets!$A$2:$A$9,0)),0)</f>
        <v>0.06</v>
      </c>
      <c r="R1199" s="125">
        <f t="shared" si="55"/>
        <v>39.026400000000002</v>
      </c>
      <c r="S1199" s="78">
        <f t="shared" si="56"/>
        <v>45901</v>
      </c>
      <c r="T1199" t="str">
        <f>IFERROR(VLOOKUP(B1199,Sites!$A$2:$D$21,4,FALSE()),"Unknown")</f>
        <v>Leeds</v>
      </c>
      <c r="U1199" t="str">
        <f>IF(N1199="OK","",COUNTIF($N$2:N1199,"&lt;&gt;OK"))</f>
        <v/>
      </c>
      <c r="V1199">
        <f>IF(OR(NOT(EXACT(E1199,TRIM(Procurement_Raw!E1199))),NOT(EXACT(F1199,TRIM(Procurement_Raw!F1199)))),1,0)</f>
        <v>0</v>
      </c>
    </row>
    <row r="1200" spans="1:22" ht="15" customHeight="1" x14ac:dyDescent="0.25">
      <c r="A1200" s="123">
        <f>Procurement_Raw!A1200</f>
        <v>45813</v>
      </c>
      <c r="B1200" t="str">
        <f>TRIM(Procurement_Raw!B1200)</f>
        <v>S019</v>
      </c>
      <c r="C1200" t="str">
        <f>Procurement_Raw!C1200</f>
        <v>Wrexham Care &amp; Education Centre</v>
      </c>
      <c r="D1200" t="str">
        <f>Procurement_Raw!D1200</f>
        <v>Wales</v>
      </c>
      <c r="E1200" t="str">
        <f>IF(TRIM(Procurement_Raw!E1200)="","",IFERROR(INDEX(Supplier_Lookup!$A$2:$A$25,MATCH(TRIM(Procurement_Raw!E1200),Supplier_Lookup!$A$2:$A$25,0)),TRIM(Procurement_Raw!E1200)))</f>
        <v>FleetFuel</v>
      </c>
      <c r="F1200" t="str">
        <f>IFERROR(INDEX(Category_Targets!$A$2:$A$9,MATCH(TRIM(Procurement_Raw!F1200),Category_Targets!$A$2:$A$9,0)),"Unmapped")</f>
        <v>Vehicle &amp; Fuel</v>
      </c>
      <c r="G1200" t="str">
        <f>TRIM(Procurement_Raw!G1200)</f>
        <v>INV-2025-01199</v>
      </c>
      <c r="H1200" s="77">
        <f>Procurement_Raw!H1200</f>
        <v>80</v>
      </c>
      <c r="I1200" s="124">
        <f>Procurement_Raw!I1200</f>
        <v>107.45</v>
      </c>
      <c r="J1200" s="125">
        <f>IF(Procurement_Raw!J1200="","",Procurement_Raw!J1200)</f>
        <v>8596.0300000000007</v>
      </c>
      <c r="K1200" s="77">
        <f>Procurement_Raw!K1200</f>
        <v>60</v>
      </c>
      <c r="L1200" t="str">
        <f>Procurement_Raw!L1200</f>
        <v>ERP</v>
      </c>
      <c r="M1200" t="str">
        <f>Procurement_Raw!O1200</f>
        <v>Y</v>
      </c>
      <c r="N1200" t="str">
        <f>IF(E1200="","Missing supplier",IF(B1200="","Missing site",IF(J1200="","Missing spend",IF(COUNTIFS($G$2:G1200,G1200,$E$2:E1200,E1200,$J$2:J1200,J1200)&gt;1,"Duplicate invoice",IF(COUNTIF($G$2:$G$1801,G1200)&gt;1,"Duplicate ID - review",IF(AND(P1200&lt;&gt;"Unmapped",P1200&lt;&gt;F1200),"Category mismatch","OK"))))))</f>
        <v>OK</v>
      </c>
      <c r="O1200" s="125">
        <f t="shared" si="54"/>
        <v>8596.0300000000007</v>
      </c>
      <c r="P1200" t="str">
        <f>IF(E1200="","Unmapped",IFERROR(INDEX(Supplier_Lookup!$B$2:$B$25,MATCH(E1200,Supplier_Lookup!$A$2:$A$25,0)),"Unmapped"))</f>
        <v>Vehicle &amp; Fuel</v>
      </c>
      <c r="Q1200" s="76">
        <f>IFERROR(INDEX(Category_Targets!$B$2:$B$9,MATCH(F1200,Category_Targets!$A$2:$A$9,0)),0)</f>
        <v>0.05</v>
      </c>
      <c r="R1200" s="125">
        <f t="shared" si="55"/>
        <v>429.80150000000003</v>
      </c>
      <c r="S1200" s="78">
        <f t="shared" si="56"/>
        <v>45809</v>
      </c>
      <c r="T1200" t="str">
        <f>IFERROR(VLOOKUP(B1200,Sites!$A$2:$D$21,4,FALSE()),"Unknown")</f>
        <v>Wrexham</v>
      </c>
      <c r="U1200" t="str">
        <f>IF(N1200="OK","",COUNTIF($N$2:N1200,"&lt;&gt;OK"))</f>
        <v/>
      </c>
      <c r="V1200">
        <f>IF(OR(NOT(EXACT(E1200,TRIM(Procurement_Raw!E1200))),NOT(EXACT(F1200,TRIM(Procurement_Raw!F1200)))),1,0)</f>
        <v>0</v>
      </c>
    </row>
    <row r="1201" spans="1:22" ht="15" customHeight="1" x14ac:dyDescent="0.25">
      <c r="A1201" s="123">
        <f>Procurement_Raw!A1201</f>
        <v>45924</v>
      </c>
      <c r="B1201" t="str">
        <f>TRIM(Procurement_Raw!B1201)</f>
        <v>S020</v>
      </c>
      <c r="C1201" t="str">
        <f>Procurement_Raw!C1201</f>
        <v>Bangor Care &amp; Education Centre</v>
      </c>
      <c r="D1201" t="str">
        <f>Procurement_Raw!D1201</f>
        <v>Wales</v>
      </c>
      <c r="E1201" t="str">
        <f>IF(TRIM(Procurement_Raw!E1201)="","",IFERROR(INDEX(Supplier_Lookup!$A$2:$A$25,MATCH(TRIM(Procurement_Raw!E1201),Supplier_Lookup!$A$2:$A$25,0)),TRIM(Procurement_Raw!E1201)))</f>
        <v>KitchenPro</v>
      </c>
      <c r="F1201" t="str">
        <f>IFERROR(INDEX(Category_Targets!$A$2:$A$9,MATCH(TRIM(Procurement_Raw!F1201),Category_Targets!$A$2:$A$9,0)),"Unmapped")</f>
        <v>Food &amp; Catering</v>
      </c>
      <c r="G1201" t="str">
        <f>TRIM(Procurement_Raw!G1201)</f>
        <v>INV-2025-01200</v>
      </c>
      <c r="H1201" s="77">
        <f>Procurement_Raw!H1201</f>
        <v>64</v>
      </c>
      <c r="I1201" s="124">
        <f>Procurement_Raw!I1201</f>
        <v>137.63999999999999</v>
      </c>
      <c r="J1201" s="125">
        <f>IF(Procurement_Raw!J1201="","",Procurement_Raw!J1201)</f>
        <v>8809.16</v>
      </c>
      <c r="K1201" s="77">
        <f>Procurement_Raw!K1201</f>
        <v>45</v>
      </c>
      <c r="L1201" t="str">
        <f>Procurement_Raw!L1201</f>
        <v>ERP</v>
      </c>
      <c r="M1201" t="str">
        <f>Procurement_Raw!O1201</f>
        <v>N</v>
      </c>
      <c r="N1201" t="str">
        <f>IF(E1201="","Missing supplier",IF(B1201="","Missing site",IF(J1201="","Missing spend",IF(COUNTIFS($G$2:G1201,G1201,$E$2:E1201,E1201,$J$2:J1201,J1201)&gt;1,"Duplicate invoice",IF(COUNTIF($G$2:$G$1801,G1201)&gt;1,"Duplicate ID - review",IF(AND(P1201&lt;&gt;"Unmapped",P1201&lt;&gt;F1201),"Category mismatch","OK"))))))</f>
        <v>OK</v>
      </c>
      <c r="O1201" s="125">
        <f t="shared" si="54"/>
        <v>8809.16</v>
      </c>
      <c r="P1201" t="str">
        <f>IF(E1201="","Unmapped",IFERROR(INDEX(Supplier_Lookup!$B$2:$B$25,MATCH(E1201,Supplier_Lookup!$A$2:$A$25,0)),"Unmapped"))</f>
        <v>Food &amp; Catering</v>
      </c>
      <c r="Q1201" s="76">
        <f>IFERROR(INDEX(Category_Targets!$B$2:$B$9,MATCH(F1201,Category_Targets!$A$2:$A$9,0)),0)</f>
        <v>0.04</v>
      </c>
      <c r="R1201" s="125">
        <f t="shared" si="55"/>
        <v>352.3664</v>
      </c>
      <c r="S1201" s="78">
        <f t="shared" si="56"/>
        <v>45901</v>
      </c>
      <c r="T1201" t="str">
        <f>IFERROR(VLOOKUP(B1201,Sites!$A$2:$D$21,4,FALSE()),"Unknown")</f>
        <v>Bangor</v>
      </c>
      <c r="U1201" t="str">
        <f>IF(N1201="OK","",COUNTIF($N$2:N1201,"&lt;&gt;OK"))</f>
        <v/>
      </c>
      <c r="V1201">
        <f>IF(OR(NOT(EXACT(E1201,TRIM(Procurement_Raw!E1201))),NOT(EXACT(F1201,TRIM(Procurement_Raw!F1201)))),1,0)</f>
        <v>0</v>
      </c>
    </row>
    <row r="1202" spans="1:22" ht="15" customHeight="1" x14ac:dyDescent="0.25">
      <c r="A1202" s="123">
        <f>Procurement_Raw!A1202</f>
        <v>45916</v>
      </c>
      <c r="B1202" t="str">
        <f>TRIM(Procurement_Raw!B1202)</f>
        <v>S005</v>
      </c>
      <c r="C1202" t="str">
        <f>Procurement_Raw!C1202</f>
        <v>Sheffield Care &amp; Education Centre</v>
      </c>
      <c r="D1202" t="str">
        <f>Procurement_Raw!D1202</f>
        <v>North</v>
      </c>
      <c r="E1202" t="str">
        <f>IF(TRIM(Procurement_Raw!E1202)="","",IFERROR(INDEX(Supplier_Lookup!$A$2:$A$25,MATCH(TRIM(Procurement_Raw!E1202),Supplier_Lookup!$A$2:$A$25,0)),TRIM(Procurement_Raw!E1202)))</f>
        <v>LearnWell</v>
      </c>
      <c r="F1202" t="str">
        <f>IFERROR(INDEX(Category_Targets!$A$2:$A$9,MATCH(TRIM(Procurement_Raw!F1202),Category_Targets!$A$2:$A$9,0)),"Unmapped")</f>
        <v>Office &amp; Training</v>
      </c>
      <c r="G1202" t="str">
        <f>TRIM(Procurement_Raw!G1202)</f>
        <v>INV-2025-01201</v>
      </c>
      <c r="H1202" s="77">
        <f>Procurement_Raw!H1202</f>
        <v>34</v>
      </c>
      <c r="I1202" s="124">
        <f>Procurement_Raw!I1202</f>
        <v>80.349999999999994</v>
      </c>
      <c r="J1202" s="125">
        <f>IF(Procurement_Raw!J1202="","",Procurement_Raw!J1202)</f>
        <v>2731.82</v>
      </c>
      <c r="K1202" s="77">
        <f>Procurement_Raw!K1202</f>
        <v>60</v>
      </c>
      <c r="L1202" t="str">
        <f>Procurement_Raw!L1202</f>
        <v>Procurement Portal</v>
      </c>
      <c r="M1202" t="str">
        <f>Procurement_Raw!O1202</f>
        <v>N</v>
      </c>
      <c r="N1202" t="str">
        <f>IF(E1202="","Missing supplier",IF(B1202="","Missing site",IF(J1202="","Missing spend",IF(COUNTIFS($G$2:G1202,G1202,$E$2:E1202,E1202,$J$2:J1202,J1202)&gt;1,"Duplicate invoice",IF(COUNTIF($G$2:$G$1801,G1202)&gt;1,"Duplicate ID - review",IF(AND(P1202&lt;&gt;"Unmapped",P1202&lt;&gt;F1202),"Category mismatch","OK"))))))</f>
        <v>OK</v>
      </c>
      <c r="O1202" s="125">
        <f t="shared" si="54"/>
        <v>2731.82</v>
      </c>
      <c r="P1202" t="str">
        <f>IF(E1202="","Unmapped",IFERROR(INDEX(Supplier_Lookup!$B$2:$B$25,MATCH(E1202,Supplier_Lookup!$A$2:$A$25,0)),"Unmapped"))</f>
        <v>Office &amp; Training</v>
      </c>
      <c r="Q1202" s="76">
        <f>IFERROR(INDEX(Category_Targets!$B$2:$B$9,MATCH(F1202,Category_Targets!$A$2:$A$9,0)),0)</f>
        <v>0.04</v>
      </c>
      <c r="R1202" s="125">
        <f t="shared" si="55"/>
        <v>109.2728</v>
      </c>
      <c r="S1202" s="78">
        <f t="shared" si="56"/>
        <v>45901</v>
      </c>
      <c r="T1202" t="str">
        <f>IFERROR(VLOOKUP(B1202,Sites!$A$2:$D$21,4,FALSE()),"Unknown")</f>
        <v>Sheffield</v>
      </c>
      <c r="U1202" t="str">
        <f>IF(N1202="OK","",COUNTIF($N$2:N1202,"&lt;&gt;OK"))</f>
        <v/>
      </c>
      <c r="V1202">
        <f>IF(OR(NOT(EXACT(E1202,TRIM(Procurement_Raw!E1202))),NOT(EXACT(F1202,TRIM(Procurement_Raw!F1202)))),1,0)</f>
        <v>0</v>
      </c>
    </row>
    <row r="1203" spans="1:22" ht="15" customHeight="1" x14ac:dyDescent="0.25">
      <c r="A1203" s="123">
        <f>Procurement_Raw!A1203</f>
        <v>45878</v>
      </c>
      <c r="B1203" t="str">
        <f>TRIM(Procurement_Raw!B1203)</f>
        <v>S007</v>
      </c>
      <c r="C1203" t="str">
        <f>Procurement_Raw!C1203</f>
        <v>Nottingham Care &amp; Education Centre</v>
      </c>
      <c r="D1203" t="str">
        <f>Procurement_Raw!D1203</f>
        <v>Midlands</v>
      </c>
      <c r="E1203" t="str">
        <f>IF(TRIM(Procurement_Raw!E1203)="","",IFERROR(INDEX(Supplier_Lookup!$A$2:$A$25,MATCH(TRIM(Procurement_Raw!E1203),Supplier_Lookup!$A$2:$A$25,0)),TRIM(Procurement_Raw!E1203)))</f>
        <v>MediSure</v>
      </c>
      <c r="F1203" t="str">
        <f>IFERROR(INDEX(Category_Targets!$A$2:$A$9,MATCH(TRIM(Procurement_Raw!F1203),Category_Targets!$A$2:$A$9,0)),"Unmapped")</f>
        <v>Medical Supplies</v>
      </c>
      <c r="G1203" t="str">
        <f>TRIM(Procurement_Raw!G1203)</f>
        <v>INV-2025-01202</v>
      </c>
      <c r="H1203" s="77">
        <f>Procurement_Raw!H1203</f>
        <v>16</v>
      </c>
      <c r="I1203" s="124">
        <f>Procurement_Raw!I1203</f>
        <v>94.76</v>
      </c>
      <c r="J1203" s="125">
        <f>IF(Procurement_Raw!J1203="","",Procurement_Raw!J1203)</f>
        <v>1516.12</v>
      </c>
      <c r="K1203" s="77">
        <f>Procurement_Raw!K1203</f>
        <v>45</v>
      </c>
      <c r="L1203" t="str">
        <f>Procurement_Raw!L1203</f>
        <v>Procurement Portal</v>
      </c>
      <c r="M1203" t="str">
        <f>Procurement_Raw!O1203</f>
        <v>Y</v>
      </c>
      <c r="N1203" t="str">
        <f>IF(E1203="","Missing supplier",IF(B1203="","Missing site",IF(J1203="","Missing spend",IF(COUNTIFS($G$2:G1203,G1203,$E$2:E1203,E1203,$J$2:J1203,J1203)&gt;1,"Duplicate invoice",IF(COUNTIF($G$2:$G$1801,G1203)&gt;1,"Duplicate ID - review",IF(AND(P1203&lt;&gt;"Unmapped",P1203&lt;&gt;F1203),"Category mismatch","OK"))))))</f>
        <v>OK</v>
      </c>
      <c r="O1203" s="125">
        <f t="shared" si="54"/>
        <v>1516.12</v>
      </c>
      <c r="P1203" t="str">
        <f>IF(E1203="","Unmapped",IFERROR(INDEX(Supplier_Lookup!$B$2:$B$25,MATCH(E1203,Supplier_Lookup!$A$2:$A$25,0)),"Unmapped"))</f>
        <v>Medical Supplies</v>
      </c>
      <c r="Q1203" s="76">
        <f>IFERROR(INDEX(Category_Targets!$B$2:$B$9,MATCH(F1203,Category_Targets!$A$2:$A$9,0)),0)</f>
        <v>0.06</v>
      </c>
      <c r="R1203" s="125">
        <f t="shared" si="55"/>
        <v>90.967199999999991</v>
      </c>
      <c r="S1203" s="78">
        <f t="shared" si="56"/>
        <v>45870</v>
      </c>
      <c r="T1203" t="str">
        <f>IFERROR(VLOOKUP(B1203,Sites!$A$2:$D$21,4,FALSE()),"Unknown")</f>
        <v>Nottingham</v>
      </c>
      <c r="U1203" t="str">
        <f>IF(N1203="OK","",COUNTIF($N$2:N1203,"&lt;&gt;OK"))</f>
        <v/>
      </c>
      <c r="V1203">
        <f>IF(OR(NOT(EXACT(E1203,TRIM(Procurement_Raw!E1203))),NOT(EXACT(F1203,TRIM(Procurement_Raw!F1203)))),1,0)</f>
        <v>0</v>
      </c>
    </row>
    <row r="1204" spans="1:22" ht="15" customHeight="1" x14ac:dyDescent="0.25">
      <c r="A1204" s="123">
        <f>Procurement_Raw!A1204</f>
        <v>45893</v>
      </c>
      <c r="B1204" t="str">
        <f>TRIM(Procurement_Raw!B1204)</f>
        <v>S017</v>
      </c>
      <c r="C1204" t="str">
        <f>Procurement_Raw!C1204</f>
        <v>Swansea Care &amp; Education Centre</v>
      </c>
      <c r="D1204" t="str">
        <f>Procurement_Raw!D1204</f>
        <v>Wales</v>
      </c>
      <c r="E1204" t="str">
        <f>IF(TRIM(Procurement_Raw!E1204)="","",IFERROR(INDEX(Supplier_Lookup!$A$2:$A$25,MATCH(TRIM(Procurement_Raw!E1204),Supplier_Lookup!$A$2:$A$25,0)),TRIM(Procurement_Raw!E1204)))</f>
        <v>CareTemps</v>
      </c>
      <c r="F1204" t="str">
        <f>IFERROR(INDEX(Category_Targets!$A$2:$A$9,MATCH(TRIM(Procurement_Raw!F1204),Category_Targets!$A$2:$A$9,0)),"Unmapped")</f>
        <v>Agency Labour</v>
      </c>
      <c r="G1204" t="str">
        <f>TRIM(Procurement_Raw!G1204)</f>
        <v>INV-2025-01203</v>
      </c>
      <c r="H1204" s="77">
        <f>Procurement_Raw!H1204</f>
        <v>5</v>
      </c>
      <c r="I1204" s="124">
        <f>Procurement_Raw!I1204</f>
        <v>320.87</v>
      </c>
      <c r="J1204" s="125">
        <f>IF(Procurement_Raw!J1204="","",Procurement_Raw!J1204)</f>
        <v>1604.37</v>
      </c>
      <c r="K1204" s="77">
        <f>Procurement_Raw!K1204</f>
        <v>30</v>
      </c>
      <c r="L1204" t="str">
        <f>Procurement_Raw!L1204</f>
        <v>ERP</v>
      </c>
      <c r="M1204" t="str">
        <f>Procurement_Raw!O1204</f>
        <v>N</v>
      </c>
      <c r="N1204" t="str">
        <f>IF(E1204="","Missing supplier",IF(B1204="","Missing site",IF(J1204="","Missing spend",IF(COUNTIFS($G$2:G1204,G1204,$E$2:E1204,E1204,$J$2:J1204,J1204)&gt;1,"Duplicate invoice",IF(COUNTIF($G$2:$G$1801,G1204)&gt;1,"Duplicate ID - review",IF(AND(P1204&lt;&gt;"Unmapped",P1204&lt;&gt;F1204),"Category mismatch","OK"))))))</f>
        <v>OK</v>
      </c>
      <c r="O1204" s="125">
        <f t="shared" si="54"/>
        <v>1604.37</v>
      </c>
      <c r="P1204" t="str">
        <f>IF(E1204="","Unmapped",IFERROR(INDEX(Supplier_Lookup!$B$2:$B$25,MATCH(E1204,Supplier_Lookup!$A$2:$A$25,0)),"Unmapped"))</f>
        <v>Agency Labour</v>
      </c>
      <c r="Q1204" s="76">
        <f>IFERROR(INDEX(Category_Targets!$B$2:$B$9,MATCH(F1204,Category_Targets!$A$2:$A$9,0)),0)</f>
        <v>7.0000000000000007E-2</v>
      </c>
      <c r="R1204" s="125">
        <f t="shared" si="55"/>
        <v>112.30590000000001</v>
      </c>
      <c r="S1204" s="78">
        <f t="shared" si="56"/>
        <v>45870</v>
      </c>
      <c r="T1204" t="str">
        <f>IFERROR(VLOOKUP(B1204,Sites!$A$2:$D$21,4,FALSE()),"Unknown")</f>
        <v>Swansea</v>
      </c>
      <c r="U1204" t="str">
        <f>IF(N1204="OK","",COUNTIF($N$2:N1204,"&lt;&gt;OK"))</f>
        <v/>
      </c>
      <c r="V1204">
        <f>IF(OR(NOT(EXACT(E1204,TRIM(Procurement_Raw!E1204))),NOT(EXACT(F1204,TRIM(Procurement_Raw!F1204)))),1,0)</f>
        <v>0</v>
      </c>
    </row>
    <row r="1205" spans="1:22" ht="15" customHeight="1" x14ac:dyDescent="0.25">
      <c r="A1205" s="123">
        <f>Procurement_Raw!A1205</f>
        <v>45742</v>
      </c>
      <c r="B1205" t="str">
        <f>TRIM(Procurement_Raw!B1205)</f>
        <v>S005</v>
      </c>
      <c r="C1205" t="str">
        <f>Procurement_Raw!C1205</f>
        <v>Sheffield Care &amp; Education Centre</v>
      </c>
      <c r="D1205" t="str">
        <f>Procurement_Raw!D1205</f>
        <v>North</v>
      </c>
      <c r="E1205" t="str">
        <f>IF(TRIM(Procurement_Raw!E1205)="","",IFERROR(INDEX(Supplier_Lookup!$A$2:$A$25,MATCH(TRIM(Procurement_Raw!E1205),Supplier_Lookup!$A$2:$A$25,0)),TRIM(Procurement_Raw!E1205)))</f>
        <v>NetServe</v>
      </c>
      <c r="F1205" t="str">
        <f>IFERROR(INDEX(Category_Targets!$A$2:$A$9,MATCH(TRIM(Procurement_Raw!F1205),Category_Targets!$A$2:$A$9,0)),"Unmapped")</f>
        <v>IT &amp; Telecoms</v>
      </c>
      <c r="G1205" t="str">
        <f>TRIM(Procurement_Raw!G1205)</f>
        <v>INV-2025-01204</v>
      </c>
      <c r="H1205" s="77">
        <f>Procurement_Raw!H1205</f>
        <v>63</v>
      </c>
      <c r="I1205" s="124">
        <f>Procurement_Raw!I1205</f>
        <v>296.62</v>
      </c>
      <c r="J1205" s="125">
        <f>IF(Procurement_Raw!J1205="","",Procurement_Raw!J1205)</f>
        <v>18686.87</v>
      </c>
      <c r="K1205" s="77">
        <f>Procurement_Raw!K1205</f>
        <v>45</v>
      </c>
      <c r="L1205" t="str">
        <f>Procurement_Raw!L1205</f>
        <v>ERP</v>
      </c>
      <c r="M1205" t="str">
        <f>Procurement_Raw!O1205</f>
        <v>N</v>
      </c>
      <c r="N1205" t="str">
        <f>IF(E1205="","Missing supplier",IF(B1205="","Missing site",IF(J1205="","Missing spend",IF(COUNTIFS($G$2:G1205,G1205,$E$2:E1205,E1205,$J$2:J1205,J1205)&gt;1,"Duplicate invoice",IF(COUNTIF($G$2:$G$1801,G1205)&gt;1,"Duplicate ID - review",IF(AND(P1205&lt;&gt;"Unmapped",P1205&lt;&gt;F1205),"Category mismatch","OK"))))))</f>
        <v>OK</v>
      </c>
      <c r="O1205" s="125">
        <f t="shared" si="54"/>
        <v>18686.87</v>
      </c>
      <c r="P1205" t="str">
        <f>IF(E1205="","Unmapped",IFERROR(INDEX(Supplier_Lookup!$B$2:$B$25,MATCH(E1205,Supplier_Lookup!$A$2:$A$25,0)),"Unmapped"))</f>
        <v>IT &amp; Telecoms</v>
      </c>
      <c r="Q1205" s="76">
        <f>IFERROR(INDEX(Category_Targets!$B$2:$B$9,MATCH(F1205,Category_Targets!$A$2:$A$9,0)),0)</f>
        <v>0.08</v>
      </c>
      <c r="R1205" s="125">
        <f t="shared" si="55"/>
        <v>1494.9495999999999</v>
      </c>
      <c r="S1205" s="78">
        <f t="shared" si="56"/>
        <v>45717</v>
      </c>
      <c r="T1205" t="str">
        <f>IFERROR(VLOOKUP(B1205,Sites!$A$2:$D$21,4,FALSE()),"Unknown")</f>
        <v>Sheffield</v>
      </c>
      <c r="U1205" t="str">
        <f>IF(N1205="OK","",COUNTIF($N$2:N1205,"&lt;&gt;OK"))</f>
        <v/>
      </c>
      <c r="V1205">
        <f>IF(OR(NOT(EXACT(E1205,TRIM(Procurement_Raw!E1205))),NOT(EXACT(F1205,TRIM(Procurement_Raw!F1205)))),1,0)</f>
        <v>0</v>
      </c>
    </row>
    <row r="1206" spans="1:22" ht="15" customHeight="1" x14ac:dyDescent="0.25">
      <c r="A1206" s="123">
        <f>Procurement_Raw!A1206</f>
        <v>45714</v>
      </c>
      <c r="B1206" t="str">
        <f>TRIM(Procurement_Raw!B1206)</f>
        <v>S002</v>
      </c>
      <c r="C1206" t="str">
        <f>Procurement_Raw!C1206</f>
        <v>Manchester Care &amp; Education Centre</v>
      </c>
      <c r="D1206" t="str">
        <f>Procurement_Raw!D1206</f>
        <v>North</v>
      </c>
      <c r="E1206" t="str">
        <f>IF(TRIM(Procurement_Raw!E1206)="","",IFERROR(INDEX(Supplier_Lookup!$A$2:$A$25,MATCH(TRIM(Procurement_Raw!E1206),Supplier_Lookup!$A$2:$A$25,0)),TRIM(Procurement_Raw!E1206)))</f>
        <v>CareTemps</v>
      </c>
      <c r="F1206" t="str">
        <f>IFERROR(INDEX(Category_Targets!$A$2:$A$9,MATCH(TRIM(Procurement_Raw!F1206),Category_Targets!$A$2:$A$9,0)),"Unmapped")</f>
        <v>Agency Labour</v>
      </c>
      <c r="G1206" t="str">
        <f>TRIM(Procurement_Raw!G1206)</f>
        <v>INV-2025-01205</v>
      </c>
      <c r="H1206" s="77">
        <f>Procurement_Raw!H1206</f>
        <v>73</v>
      </c>
      <c r="I1206" s="124">
        <f>Procurement_Raw!I1206</f>
        <v>308.17</v>
      </c>
      <c r="J1206" s="125">
        <f>IF(Procurement_Raw!J1206="","",Procurement_Raw!J1206)</f>
        <v>22496.5</v>
      </c>
      <c r="K1206" s="77">
        <f>Procurement_Raw!K1206</f>
        <v>60</v>
      </c>
      <c r="L1206" t="str">
        <f>Procurement_Raw!L1206</f>
        <v>Procurement Portal</v>
      </c>
      <c r="M1206" t="str">
        <f>Procurement_Raw!O1206</f>
        <v>N</v>
      </c>
      <c r="N1206" t="str">
        <f>IF(E1206="","Missing supplier",IF(B1206="","Missing site",IF(J1206="","Missing spend",IF(COUNTIFS($G$2:G1206,G1206,$E$2:E1206,E1206,$J$2:J1206,J1206)&gt;1,"Duplicate invoice",IF(COUNTIF($G$2:$G$1801,G1206)&gt;1,"Duplicate ID - review",IF(AND(P1206&lt;&gt;"Unmapped",P1206&lt;&gt;F1206),"Category mismatch","OK"))))))</f>
        <v>OK</v>
      </c>
      <c r="O1206" s="125">
        <f t="shared" si="54"/>
        <v>22496.5</v>
      </c>
      <c r="P1206" t="str">
        <f>IF(E1206="","Unmapped",IFERROR(INDEX(Supplier_Lookup!$B$2:$B$25,MATCH(E1206,Supplier_Lookup!$A$2:$A$25,0)),"Unmapped"))</f>
        <v>Agency Labour</v>
      </c>
      <c r="Q1206" s="76">
        <f>IFERROR(INDEX(Category_Targets!$B$2:$B$9,MATCH(F1206,Category_Targets!$A$2:$A$9,0)),0)</f>
        <v>7.0000000000000007E-2</v>
      </c>
      <c r="R1206" s="125">
        <f t="shared" si="55"/>
        <v>1574.7550000000001</v>
      </c>
      <c r="S1206" s="78">
        <f t="shared" si="56"/>
        <v>45689</v>
      </c>
      <c r="T1206" t="str">
        <f>IFERROR(VLOOKUP(B1206,Sites!$A$2:$D$21,4,FALSE()),"Unknown")</f>
        <v>Manchester</v>
      </c>
      <c r="U1206" t="str">
        <f>IF(N1206="OK","",COUNTIF($N$2:N1206,"&lt;&gt;OK"))</f>
        <v/>
      </c>
      <c r="V1206">
        <f>IF(OR(NOT(EXACT(E1206,TRIM(Procurement_Raw!E1206))),NOT(EXACT(F1206,TRIM(Procurement_Raw!F1206)))),1,0)</f>
        <v>0</v>
      </c>
    </row>
    <row r="1207" spans="1:22" ht="15" customHeight="1" x14ac:dyDescent="0.25">
      <c r="A1207" s="123">
        <f>Procurement_Raw!A1207</f>
        <v>45945</v>
      </c>
      <c r="B1207" t="str">
        <f>TRIM(Procurement_Raw!B1207)</f>
        <v>S003</v>
      </c>
      <c r="C1207" t="str">
        <f>Procurement_Raw!C1207</f>
        <v>Leeds Care &amp; Education Centre</v>
      </c>
      <c r="D1207" t="str">
        <f>Procurement_Raw!D1207</f>
        <v>North</v>
      </c>
      <c r="E1207" t="str">
        <f>IF(TRIM(Procurement_Raw!E1207)="","",IFERROR(INDEX(Supplier_Lookup!$A$2:$A$25,MATCH(TRIM(Procurement_Raw!E1207),Supplier_Lookup!$A$2:$A$25,0)),TRIM(Procurement_Raw!E1207)))</f>
        <v>LearnWell</v>
      </c>
      <c r="F1207" t="str">
        <f>IFERROR(INDEX(Category_Targets!$A$2:$A$9,MATCH(TRIM(Procurement_Raw!F1207),Category_Targets!$A$2:$A$9,0)),"Unmapped")</f>
        <v>Office &amp; Training</v>
      </c>
      <c r="G1207" t="str">
        <f>TRIM(Procurement_Raw!G1207)</f>
        <v>INV-2025-01206</v>
      </c>
      <c r="H1207" s="77">
        <f>Procurement_Raw!H1207</f>
        <v>21</v>
      </c>
      <c r="I1207" s="124">
        <f>Procurement_Raw!I1207</f>
        <v>76.69</v>
      </c>
      <c r="J1207" s="125">
        <f>IF(Procurement_Raw!J1207="","",Procurement_Raw!J1207)</f>
        <v>1610.56</v>
      </c>
      <c r="K1207" s="77">
        <f>Procurement_Raw!K1207</f>
        <v>60</v>
      </c>
      <c r="L1207" t="str">
        <f>Procurement_Raw!L1207</f>
        <v>ERP</v>
      </c>
      <c r="M1207" t="str">
        <f>Procurement_Raw!O1207</f>
        <v>N</v>
      </c>
      <c r="N1207" t="str">
        <f>IF(E1207="","Missing supplier",IF(B1207="","Missing site",IF(J1207="","Missing spend",IF(COUNTIFS($G$2:G1207,G1207,$E$2:E1207,E1207,$J$2:J1207,J1207)&gt;1,"Duplicate invoice",IF(COUNTIF($G$2:$G$1801,G1207)&gt;1,"Duplicate ID - review",IF(AND(P1207&lt;&gt;"Unmapped",P1207&lt;&gt;F1207),"Category mismatch","OK"))))))</f>
        <v>OK</v>
      </c>
      <c r="O1207" s="125">
        <f t="shared" si="54"/>
        <v>1610.56</v>
      </c>
      <c r="P1207" t="str">
        <f>IF(E1207="","Unmapped",IFERROR(INDEX(Supplier_Lookup!$B$2:$B$25,MATCH(E1207,Supplier_Lookup!$A$2:$A$25,0)),"Unmapped"))</f>
        <v>Office &amp; Training</v>
      </c>
      <c r="Q1207" s="76">
        <f>IFERROR(INDEX(Category_Targets!$B$2:$B$9,MATCH(F1207,Category_Targets!$A$2:$A$9,0)),0)</f>
        <v>0.04</v>
      </c>
      <c r="R1207" s="125">
        <f t="shared" si="55"/>
        <v>64.422399999999996</v>
      </c>
      <c r="S1207" s="78">
        <f t="shared" si="56"/>
        <v>45931</v>
      </c>
      <c r="T1207" t="str">
        <f>IFERROR(VLOOKUP(B1207,Sites!$A$2:$D$21,4,FALSE()),"Unknown")</f>
        <v>Leeds</v>
      </c>
      <c r="U1207" t="str">
        <f>IF(N1207="OK","",COUNTIF($N$2:N1207,"&lt;&gt;OK"))</f>
        <v/>
      </c>
      <c r="V1207">
        <f>IF(OR(NOT(EXACT(E1207,TRIM(Procurement_Raw!E1207))),NOT(EXACT(F1207,TRIM(Procurement_Raw!F1207)))),1,0)</f>
        <v>0</v>
      </c>
    </row>
    <row r="1208" spans="1:22" ht="15" customHeight="1" x14ac:dyDescent="0.25">
      <c r="A1208" s="123">
        <f>Procurement_Raw!A1208</f>
        <v>45960</v>
      </c>
      <c r="B1208" t="str">
        <f>TRIM(Procurement_Raw!B1208)</f>
        <v>S005</v>
      </c>
      <c r="C1208" t="str">
        <f>Procurement_Raw!C1208</f>
        <v>Sheffield Care &amp; Education Centre</v>
      </c>
      <c r="D1208" t="str">
        <f>Procurement_Raw!D1208</f>
        <v>North</v>
      </c>
      <c r="E1208" t="str">
        <f>IF(TRIM(Procurement_Raw!E1208)="","",IFERROR(INDEX(Supplier_Lookup!$A$2:$A$25,MATCH(TRIM(Procurement_Raw!E1208),Supplier_Lookup!$A$2:$A$25,0)),TRIM(Procurement_Raw!E1208)))</f>
        <v>TeleCare IT</v>
      </c>
      <c r="F1208" t="str">
        <f>IFERROR(INDEX(Category_Targets!$A$2:$A$9,MATCH(TRIM(Procurement_Raw!F1208),Category_Targets!$A$2:$A$9,0)),"Unmapped")</f>
        <v>IT &amp; Telecoms</v>
      </c>
      <c r="G1208" t="str">
        <f>TRIM(Procurement_Raw!G1208)</f>
        <v>INV-2025-01207</v>
      </c>
      <c r="H1208" s="77">
        <f>Procurement_Raw!H1208</f>
        <v>49</v>
      </c>
      <c r="I1208" s="124">
        <f>Procurement_Raw!I1208</f>
        <v>149.54</v>
      </c>
      <c r="J1208" s="125">
        <f>IF(Procurement_Raw!J1208="","",Procurement_Raw!J1208)</f>
        <v>7327.23</v>
      </c>
      <c r="K1208" s="77">
        <f>Procurement_Raw!K1208</f>
        <v>60</v>
      </c>
      <c r="L1208" t="str">
        <f>Procurement_Raw!L1208</f>
        <v>Legacy Spend File</v>
      </c>
      <c r="M1208" t="str">
        <f>Procurement_Raw!O1208</f>
        <v>N</v>
      </c>
      <c r="N1208" t="str">
        <f>IF(E1208="","Missing supplier",IF(B1208="","Missing site",IF(J1208="","Missing spend",IF(COUNTIFS($G$2:G1208,G1208,$E$2:E1208,E1208,$J$2:J1208,J1208)&gt;1,"Duplicate invoice",IF(COUNTIF($G$2:$G$1801,G1208)&gt;1,"Duplicate ID - review",IF(AND(P1208&lt;&gt;"Unmapped",P1208&lt;&gt;F1208),"Category mismatch","OK"))))))</f>
        <v>OK</v>
      </c>
      <c r="O1208" s="125">
        <f t="shared" si="54"/>
        <v>7327.23</v>
      </c>
      <c r="P1208" t="str">
        <f>IF(E1208="","Unmapped",IFERROR(INDEX(Supplier_Lookup!$B$2:$B$25,MATCH(E1208,Supplier_Lookup!$A$2:$A$25,0)),"Unmapped"))</f>
        <v>IT &amp; Telecoms</v>
      </c>
      <c r="Q1208" s="76">
        <f>IFERROR(INDEX(Category_Targets!$B$2:$B$9,MATCH(F1208,Category_Targets!$A$2:$A$9,0)),0)</f>
        <v>0.08</v>
      </c>
      <c r="R1208" s="125">
        <f t="shared" si="55"/>
        <v>586.17840000000001</v>
      </c>
      <c r="S1208" s="78">
        <f t="shared" si="56"/>
        <v>45931</v>
      </c>
      <c r="T1208" t="str">
        <f>IFERROR(VLOOKUP(B1208,Sites!$A$2:$D$21,4,FALSE()),"Unknown")</f>
        <v>Sheffield</v>
      </c>
      <c r="U1208" t="str">
        <f>IF(N1208="OK","",COUNTIF($N$2:N1208,"&lt;&gt;OK"))</f>
        <v/>
      </c>
      <c r="V1208">
        <f>IF(OR(NOT(EXACT(E1208,TRIM(Procurement_Raw!E1208))),NOT(EXACT(F1208,TRIM(Procurement_Raw!F1208)))),1,0)</f>
        <v>0</v>
      </c>
    </row>
    <row r="1209" spans="1:22" ht="15" customHeight="1" x14ac:dyDescent="0.25">
      <c r="A1209" s="123">
        <f>Procurement_Raw!A1209</f>
        <v>45689</v>
      </c>
      <c r="B1209" t="str">
        <f>TRIM(Procurement_Raw!B1209)</f>
        <v>S006</v>
      </c>
      <c r="C1209" t="str">
        <f>Procurement_Raw!C1209</f>
        <v>Birmingham Care &amp; Education Centre</v>
      </c>
      <c r="D1209" t="str">
        <f>Procurement_Raw!D1209</f>
        <v>Midlands</v>
      </c>
      <c r="E1209" t="str">
        <f>IF(TRIM(Procurement_Raw!E1209)="","",IFERROR(INDEX(Supplier_Lookup!$A$2:$A$25,MATCH(TRIM(Procurement_Raw!E1209),Supplier_Lookup!$A$2:$A$25,0)),TRIM(Procurement_Raw!E1209)))</f>
        <v>TeleCare IT</v>
      </c>
      <c r="F1209" t="str">
        <f>IFERROR(INDEX(Category_Targets!$A$2:$A$9,MATCH(TRIM(Procurement_Raw!F1209),Category_Targets!$A$2:$A$9,0)),"Unmapped")</f>
        <v>IT &amp; Telecoms</v>
      </c>
      <c r="G1209" t="str">
        <f>TRIM(Procurement_Raw!G1209)</f>
        <v>INV-2025-01208</v>
      </c>
      <c r="H1209" s="77">
        <f>Procurement_Raw!H1209</f>
        <v>4</v>
      </c>
      <c r="I1209" s="124">
        <f>Procurement_Raw!I1209</f>
        <v>152.79</v>
      </c>
      <c r="J1209" s="125">
        <f>IF(Procurement_Raw!J1209="","",Procurement_Raw!J1209)</f>
        <v>611.14</v>
      </c>
      <c r="K1209" s="77">
        <f>Procurement_Raw!K1209</f>
        <v>60</v>
      </c>
      <c r="L1209" t="str">
        <f>Procurement_Raw!L1209</f>
        <v>ERP</v>
      </c>
      <c r="M1209" t="str">
        <f>Procurement_Raw!O1209</f>
        <v>N</v>
      </c>
      <c r="N1209" t="str">
        <f>IF(E1209="","Missing supplier",IF(B1209="","Missing site",IF(J1209="","Missing spend",IF(COUNTIFS($G$2:G1209,G1209,$E$2:E1209,E1209,$J$2:J1209,J1209)&gt;1,"Duplicate invoice",IF(COUNTIF($G$2:$G$1801,G1209)&gt;1,"Duplicate ID - review",IF(AND(P1209&lt;&gt;"Unmapped",P1209&lt;&gt;F1209),"Category mismatch","OK"))))))</f>
        <v>OK</v>
      </c>
      <c r="O1209" s="125">
        <f t="shared" si="54"/>
        <v>611.14</v>
      </c>
      <c r="P1209" t="str">
        <f>IF(E1209="","Unmapped",IFERROR(INDEX(Supplier_Lookup!$B$2:$B$25,MATCH(E1209,Supplier_Lookup!$A$2:$A$25,0)),"Unmapped"))</f>
        <v>IT &amp; Telecoms</v>
      </c>
      <c r="Q1209" s="76">
        <f>IFERROR(INDEX(Category_Targets!$B$2:$B$9,MATCH(F1209,Category_Targets!$A$2:$A$9,0)),0)</f>
        <v>0.08</v>
      </c>
      <c r="R1209" s="125">
        <f t="shared" si="55"/>
        <v>48.891199999999998</v>
      </c>
      <c r="S1209" s="78">
        <f t="shared" si="56"/>
        <v>45689</v>
      </c>
      <c r="T1209" t="str">
        <f>IFERROR(VLOOKUP(B1209,Sites!$A$2:$D$21,4,FALSE()),"Unknown")</f>
        <v>Birmingham</v>
      </c>
      <c r="U1209" t="str">
        <f>IF(N1209="OK","",COUNTIF($N$2:N1209,"&lt;&gt;OK"))</f>
        <v/>
      </c>
      <c r="V1209">
        <f>IF(OR(NOT(EXACT(E1209,TRIM(Procurement_Raw!E1209))),NOT(EXACT(F1209,TRIM(Procurement_Raw!F1209)))),1,0)</f>
        <v>0</v>
      </c>
    </row>
    <row r="1210" spans="1:22" ht="15" customHeight="1" x14ac:dyDescent="0.25">
      <c r="A1210" s="123">
        <f>Procurement_Raw!A1210</f>
        <v>45956</v>
      </c>
      <c r="B1210" t="str">
        <f>TRIM(Procurement_Raw!B1210)</f>
        <v>S019</v>
      </c>
      <c r="C1210" t="str">
        <f>Procurement_Raw!C1210</f>
        <v>Wrexham Care &amp; Education Centre</v>
      </c>
      <c r="D1210" t="str">
        <f>Procurement_Raw!D1210</f>
        <v>Wales</v>
      </c>
      <c r="E1210" t="str">
        <f>IF(TRIM(Procurement_Raw!E1210)="","",IFERROR(INDEX(Supplier_Lookup!$A$2:$A$25,MATCH(TRIM(Procurement_Raw!E1210),Supplier_Lookup!$A$2:$A$25,0)),TRIM(Procurement_Raw!E1210)))</f>
        <v>RoadReady</v>
      </c>
      <c r="F1210" t="str">
        <f>IFERROR(INDEX(Category_Targets!$A$2:$A$9,MATCH(TRIM(Procurement_Raw!F1210),Category_Targets!$A$2:$A$9,0)),"Unmapped")</f>
        <v>Vehicle &amp; Fuel</v>
      </c>
      <c r="G1210" t="str">
        <f>TRIM(Procurement_Raw!G1210)</f>
        <v>INV-2025-01209</v>
      </c>
      <c r="H1210" s="77">
        <f>Procurement_Raw!H1210</f>
        <v>4</v>
      </c>
      <c r="I1210" s="124">
        <f>Procurement_Raw!I1210</f>
        <v>43.92</v>
      </c>
      <c r="J1210" s="125">
        <f>IF(Procurement_Raw!J1210="","",Procurement_Raw!J1210)</f>
        <v>175.69</v>
      </c>
      <c r="K1210" s="77">
        <f>Procurement_Raw!K1210</f>
        <v>60</v>
      </c>
      <c r="L1210" t="str">
        <f>Procurement_Raw!L1210</f>
        <v>Procurement Portal</v>
      </c>
      <c r="M1210" t="str">
        <f>Procurement_Raw!O1210</f>
        <v>N</v>
      </c>
      <c r="N1210" t="str">
        <f>IF(E1210="","Missing supplier",IF(B1210="","Missing site",IF(J1210="","Missing spend",IF(COUNTIFS($G$2:G1210,G1210,$E$2:E1210,E1210,$J$2:J1210,J1210)&gt;1,"Duplicate invoice",IF(COUNTIF($G$2:$G$1801,G1210)&gt;1,"Duplicate ID - review",IF(AND(P1210&lt;&gt;"Unmapped",P1210&lt;&gt;F1210),"Category mismatch","OK"))))))</f>
        <v>OK</v>
      </c>
      <c r="O1210" s="125">
        <f t="shared" si="54"/>
        <v>175.69</v>
      </c>
      <c r="P1210" t="str">
        <f>IF(E1210="","Unmapped",IFERROR(INDEX(Supplier_Lookup!$B$2:$B$25,MATCH(E1210,Supplier_Lookup!$A$2:$A$25,0)),"Unmapped"))</f>
        <v>Vehicle &amp; Fuel</v>
      </c>
      <c r="Q1210" s="76">
        <f>IFERROR(INDEX(Category_Targets!$B$2:$B$9,MATCH(F1210,Category_Targets!$A$2:$A$9,0)),0)</f>
        <v>0.05</v>
      </c>
      <c r="R1210" s="125">
        <f t="shared" si="55"/>
        <v>8.7844999999999995</v>
      </c>
      <c r="S1210" s="78">
        <f t="shared" si="56"/>
        <v>45931</v>
      </c>
      <c r="T1210" t="str">
        <f>IFERROR(VLOOKUP(B1210,Sites!$A$2:$D$21,4,FALSE()),"Unknown")</f>
        <v>Wrexham</v>
      </c>
      <c r="U1210" t="str">
        <f>IF(N1210="OK","",COUNTIF($N$2:N1210,"&lt;&gt;OK"))</f>
        <v/>
      </c>
      <c r="V1210">
        <f>IF(OR(NOT(EXACT(E1210,TRIM(Procurement_Raw!E1210))),NOT(EXACT(F1210,TRIM(Procurement_Raw!F1210)))),1,0)</f>
        <v>0</v>
      </c>
    </row>
    <row r="1211" spans="1:22" ht="15" customHeight="1" x14ac:dyDescent="0.25">
      <c r="A1211" s="123">
        <f>Procurement_Raw!A1211</f>
        <v>45834</v>
      </c>
      <c r="B1211" t="str">
        <f>TRIM(Procurement_Raw!B1211)</f>
        <v>S001</v>
      </c>
      <c r="C1211" t="str">
        <f>Procurement_Raw!C1211</f>
        <v>Preston Care &amp; Education Centre</v>
      </c>
      <c r="D1211" t="str">
        <f>Procurement_Raw!D1211</f>
        <v>North</v>
      </c>
      <c r="E1211" t="str">
        <f>IF(TRIM(Procurement_Raw!E1211)="","",IFERROR(INDEX(Supplier_Lookup!$A$2:$A$25,MATCH(TRIM(Procurement_Raw!E1211),Supplier_Lookup!$A$2:$A$25,0)),TRIM(Procurement_Raw!E1211)))</f>
        <v>NourishCo</v>
      </c>
      <c r="F1211" t="str">
        <f>IFERROR(INDEX(Category_Targets!$A$2:$A$9,MATCH(TRIM(Procurement_Raw!F1211),Category_Targets!$A$2:$A$9,0)),"Unmapped")</f>
        <v>Food &amp; Catering</v>
      </c>
      <c r="G1211" t="str">
        <f>TRIM(Procurement_Raw!G1211)</f>
        <v>INV-2025-01210</v>
      </c>
      <c r="H1211" s="77">
        <f>Procurement_Raw!H1211</f>
        <v>46</v>
      </c>
      <c r="I1211" s="124">
        <f>Procurement_Raw!I1211</f>
        <v>170.15</v>
      </c>
      <c r="J1211" s="125">
        <f>IF(Procurement_Raw!J1211="","",Procurement_Raw!J1211)</f>
        <v>7826.7</v>
      </c>
      <c r="K1211" s="77">
        <f>Procurement_Raw!K1211</f>
        <v>45</v>
      </c>
      <c r="L1211" t="str">
        <f>Procurement_Raw!L1211</f>
        <v>Procurement Portal</v>
      </c>
      <c r="M1211" t="str">
        <f>Procurement_Raw!O1211</f>
        <v>N</v>
      </c>
      <c r="N1211" t="str">
        <f>IF(E1211="","Missing supplier",IF(B1211="","Missing site",IF(J1211="","Missing spend",IF(COUNTIFS($G$2:G1211,G1211,$E$2:E1211,E1211,$J$2:J1211,J1211)&gt;1,"Duplicate invoice",IF(COUNTIF($G$2:$G$1801,G1211)&gt;1,"Duplicate ID - review",IF(AND(P1211&lt;&gt;"Unmapped",P1211&lt;&gt;F1211),"Category mismatch","OK"))))))</f>
        <v>OK</v>
      </c>
      <c r="O1211" s="125">
        <f t="shared" si="54"/>
        <v>7826.7</v>
      </c>
      <c r="P1211" t="str">
        <f>IF(E1211="","Unmapped",IFERROR(INDEX(Supplier_Lookup!$B$2:$B$25,MATCH(E1211,Supplier_Lookup!$A$2:$A$25,0)),"Unmapped"))</f>
        <v>Food &amp; Catering</v>
      </c>
      <c r="Q1211" s="76">
        <f>IFERROR(INDEX(Category_Targets!$B$2:$B$9,MATCH(F1211,Category_Targets!$A$2:$A$9,0)),0)</f>
        <v>0.04</v>
      </c>
      <c r="R1211" s="125">
        <f t="shared" si="55"/>
        <v>313.06799999999998</v>
      </c>
      <c r="S1211" s="78">
        <f t="shared" si="56"/>
        <v>45809</v>
      </c>
      <c r="T1211" t="str">
        <f>IFERROR(VLOOKUP(B1211,Sites!$A$2:$D$21,4,FALSE()),"Unknown")</f>
        <v>Preston</v>
      </c>
      <c r="U1211" t="str">
        <f>IF(N1211="OK","",COUNTIF($N$2:N1211,"&lt;&gt;OK"))</f>
        <v/>
      </c>
      <c r="V1211">
        <f>IF(OR(NOT(EXACT(E1211,TRIM(Procurement_Raw!E1211))),NOT(EXACT(F1211,TRIM(Procurement_Raw!F1211)))),1,0)</f>
        <v>0</v>
      </c>
    </row>
    <row r="1212" spans="1:22" ht="15" customHeight="1" x14ac:dyDescent="0.25">
      <c r="A1212" s="123">
        <f>Procurement_Raw!A1212</f>
        <v>45778</v>
      </c>
      <c r="B1212" t="str">
        <f>TRIM(Procurement_Raw!B1212)</f>
        <v>S014</v>
      </c>
      <c r="C1212" t="str">
        <f>Procurement_Raw!C1212</f>
        <v>Southampton Care &amp; Education Centre</v>
      </c>
      <c r="D1212" t="str">
        <f>Procurement_Raw!D1212</f>
        <v>South</v>
      </c>
      <c r="E1212" t="str">
        <f>IF(TRIM(Procurement_Raw!E1212)="","",IFERROR(INDEX(Supplier_Lookup!$A$2:$A$25,MATCH(TRIM(Procurement_Raw!E1212),Supplier_Lookup!$A$2:$A$25,0)),TRIM(Procurement_Raw!E1212)))</f>
        <v>UK Energy Partners</v>
      </c>
      <c r="F1212" t="str">
        <f>IFERROR(INDEX(Category_Targets!$A$2:$A$9,MATCH(TRIM(Procurement_Raw!F1212),Category_Targets!$A$2:$A$9,0)),"Unmapped")</f>
        <v>Utilities</v>
      </c>
      <c r="G1212" t="str">
        <f>TRIM(Procurement_Raw!G1212)</f>
        <v>INV-2025-01211</v>
      </c>
      <c r="H1212" s="77">
        <f>Procurement_Raw!H1212</f>
        <v>40</v>
      </c>
      <c r="I1212" s="124">
        <f>Procurement_Raw!I1212</f>
        <v>126.13</v>
      </c>
      <c r="J1212" s="125">
        <f>IF(Procurement_Raw!J1212="","",Procurement_Raw!J1212)</f>
        <v>5045.32</v>
      </c>
      <c r="K1212" s="77">
        <f>Procurement_Raw!K1212</f>
        <v>60</v>
      </c>
      <c r="L1212" t="str">
        <f>Procurement_Raw!L1212</f>
        <v>ERP</v>
      </c>
      <c r="M1212" t="str">
        <f>Procurement_Raw!O1212</f>
        <v>N</v>
      </c>
      <c r="N1212" t="str">
        <f>IF(E1212="","Missing supplier",IF(B1212="","Missing site",IF(J1212="","Missing spend",IF(COUNTIFS($G$2:G1212,G1212,$E$2:E1212,E1212,$J$2:J1212,J1212)&gt;1,"Duplicate invoice",IF(COUNTIF($G$2:$G$1801,G1212)&gt;1,"Duplicate ID - review",IF(AND(P1212&lt;&gt;"Unmapped",P1212&lt;&gt;F1212),"Category mismatch","OK"))))))</f>
        <v>OK</v>
      </c>
      <c r="O1212" s="125">
        <f t="shared" si="54"/>
        <v>5045.32</v>
      </c>
      <c r="P1212" t="str">
        <f>IF(E1212="","Unmapped",IFERROR(INDEX(Supplier_Lookup!$B$2:$B$25,MATCH(E1212,Supplier_Lookup!$A$2:$A$25,0)),"Unmapped"))</f>
        <v>Utilities</v>
      </c>
      <c r="Q1212" s="76">
        <f>IFERROR(INDEX(Category_Targets!$B$2:$B$9,MATCH(F1212,Category_Targets!$A$2:$A$9,0)),0)</f>
        <v>0.03</v>
      </c>
      <c r="R1212" s="125">
        <f t="shared" si="55"/>
        <v>151.35959999999997</v>
      </c>
      <c r="S1212" s="78">
        <f t="shared" si="56"/>
        <v>45778</v>
      </c>
      <c r="T1212" t="str">
        <f>IFERROR(VLOOKUP(B1212,Sites!$A$2:$D$21,4,FALSE()),"Unknown")</f>
        <v>Southampton</v>
      </c>
      <c r="U1212" t="str">
        <f>IF(N1212="OK","",COUNTIF($N$2:N1212,"&lt;&gt;OK"))</f>
        <v/>
      </c>
      <c r="V1212">
        <f>IF(OR(NOT(EXACT(E1212,TRIM(Procurement_Raw!E1212))),NOT(EXACT(F1212,TRIM(Procurement_Raw!F1212)))),1,0)</f>
        <v>0</v>
      </c>
    </row>
    <row r="1213" spans="1:22" ht="15" customHeight="1" x14ac:dyDescent="0.25">
      <c r="A1213" s="123">
        <f>Procurement_Raw!A1213</f>
        <v>45716</v>
      </c>
      <c r="B1213" t="str">
        <f>TRIM(Procurement_Raw!B1213)</f>
        <v>S016</v>
      </c>
      <c r="C1213" t="str">
        <f>Procurement_Raw!C1213</f>
        <v>Cardiff Care &amp; Education Centre</v>
      </c>
      <c r="D1213" t="str">
        <f>Procurement_Raw!D1213</f>
        <v>Wales</v>
      </c>
      <c r="E1213" t="str">
        <f>IF(TRIM(Procurement_Raw!E1213)="","",IFERROR(INDEX(Supplier_Lookup!$A$2:$A$25,MATCH(TRIM(Procurement_Raw!E1213),Supplier_Lookup!$A$2:$A$25,0)),TRIM(Procurement_Raw!E1213)))</f>
        <v>NourishCo</v>
      </c>
      <c r="F1213" t="str">
        <f>IFERROR(INDEX(Category_Targets!$A$2:$A$9,MATCH(TRIM(Procurement_Raw!F1213),Category_Targets!$A$2:$A$9,0)),"Unmapped")</f>
        <v>Food &amp; Catering</v>
      </c>
      <c r="G1213" t="str">
        <f>TRIM(Procurement_Raw!G1213)</f>
        <v>INV-2025-01212</v>
      </c>
      <c r="H1213" s="77">
        <f>Procurement_Raw!H1213</f>
        <v>44</v>
      </c>
      <c r="I1213" s="124">
        <f>Procurement_Raw!I1213</f>
        <v>44.4</v>
      </c>
      <c r="J1213" s="125">
        <f>IF(Procurement_Raw!J1213="","",Procurement_Raw!J1213)</f>
        <v>1953.7</v>
      </c>
      <c r="K1213" s="77">
        <f>Procurement_Raw!K1213</f>
        <v>30</v>
      </c>
      <c r="L1213" t="str">
        <f>Procurement_Raw!L1213</f>
        <v>ERP</v>
      </c>
      <c r="M1213" t="str">
        <f>Procurement_Raw!O1213</f>
        <v>N</v>
      </c>
      <c r="N1213" t="str">
        <f>IF(E1213="","Missing supplier",IF(B1213="","Missing site",IF(J1213="","Missing spend",IF(COUNTIFS($G$2:G1213,G1213,$E$2:E1213,E1213,$J$2:J1213,J1213)&gt;1,"Duplicate invoice",IF(COUNTIF($G$2:$G$1801,G1213)&gt;1,"Duplicate ID - review",IF(AND(P1213&lt;&gt;"Unmapped",P1213&lt;&gt;F1213),"Category mismatch","OK"))))))</f>
        <v>OK</v>
      </c>
      <c r="O1213" s="125">
        <f t="shared" si="54"/>
        <v>1953.7</v>
      </c>
      <c r="P1213" t="str">
        <f>IF(E1213="","Unmapped",IFERROR(INDEX(Supplier_Lookup!$B$2:$B$25,MATCH(E1213,Supplier_Lookup!$A$2:$A$25,0)),"Unmapped"))</f>
        <v>Food &amp; Catering</v>
      </c>
      <c r="Q1213" s="76">
        <f>IFERROR(INDEX(Category_Targets!$B$2:$B$9,MATCH(F1213,Category_Targets!$A$2:$A$9,0)),0)</f>
        <v>0.04</v>
      </c>
      <c r="R1213" s="125">
        <f t="shared" si="55"/>
        <v>78.14800000000001</v>
      </c>
      <c r="S1213" s="78">
        <f t="shared" si="56"/>
        <v>45689</v>
      </c>
      <c r="T1213" t="str">
        <f>IFERROR(VLOOKUP(B1213,Sites!$A$2:$D$21,4,FALSE()),"Unknown")</f>
        <v>Cardiff</v>
      </c>
      <c r="U1213" t="str">
        <f>IF(N1213="OK","",COUNTIF($N$2:N1213,"&lt;&gt;OK"))</f>
        <v/>
      </c>
      <c r="V1213">
        <f>IF(OR(NOT(EXACT(E1213,TRIM(Procurement_Raw!E1213))),NOT(EXACT(F1213,TRIM(Procurement_Raw!F1213)))),1,0)</f>
        <v>0</v>
      </c>
    </row>
    <row r="1214" spans="1:22" ht="15" customHeight="1" x14ac:dyDescent="0.25">
      <c r="A1214" s="123">
        <f>Procurement_Raw!A1214</f>
        <v>45893</v>
      </c>
      <c r="B1214" t="str">
        <f>TRIM(Procurement_Raw!B1214)</f>
        <v>S016</v>
      </c>
      <c r="C1214" t="str">
        <f>Procurement_Raw!C1214</f>
        <v>Cardiff Care &amp; Education Centre</v>
      </c>
      <c r="D1214" t="str">
        <f>Procurement_Raw!D1214</f>
        <v>Wales</v>
      </c>
      <c r="E1214" t="str">
        <f>IF(TRIM(Procurement_Raw!E1214)="","",IFERROR(INDEX(Supplier_Lookup!$A$2:$A$25,MATCH(TRIM(Procurement_Raw!E1214),Supplier_Lookup!$A$2:$A$25,0)),TRIM(Procurement_Raw!E1214)))</f>
        <v>FleetFuel</v>
      </c>
      <c r="F1214" t="str">
        <f>IFERROR(INDEX(Category_Targets!$A$2:$A$9,MATCH(TRIM(Procurement_Raw!F1214),Category_Targets!$A$2:$A$9,0)),"Unmapped")</f>
        <v>Vehicle &amp; Fuel</v>
      </c>
      <c r="G1214" t="str">
        <f>TRIM(Procurement_Raw!G1214)</f>
        <v>INV-2025-01213</v>
      </c>
      <c r="H1214" s="77">
        <f>Procurement_Raw!H1214</f>
        <v>55</v>
      </c>
      <c r="I1214" s="124">
        <f>Procurement_Raw!I1214</f>
        <v>63.99</v>
      </c>
      <c r="J1214" s="125">
        <f>IF(Procurement_Raw!J1214="","",Procurement_Raw!J1214)</f>
        <v>3519.54</v>
      </c>
      <c r="K1214" s="77">
        <f>Procurement_Raw!K1214</f>
        <v>60</v>
      </c>
      <c r="L1214" t="str">
        <f>Procurement_Raw!L1214</f>
        <v>Legacy Spend File</v>
      </c>
      <c r="M1214" t="str">
        <f>Procurement_Raw!O1214</f>
        <v>Y</v>
      </c>
      <c r="N1214" t="str">
        <f>IF(E1214="","Missing supplier",IF(B1214="","Missing site",IF(J1214="","Missing spend",IF(COUNTIFS($G$2:G1214,G1214,$E$2:E1214,E1214,$J$2:J1214,J1214)&gt;1,"Duplicate invoice",IF(COUNTIF($G$2:$G$1801,G1214)&gt;1,"Duplicate ID - review",IF(AND(P1214&lt;&gt;"Unmapped",P1214&lt;&gt;F1214),"Category mismatch","OK"))))))</f>
        <v>OK</v>
      </c>
      <c r="O1214" s="125">
        <f t="shared" si="54"/>
        <v>3519.54</v>
      </c>
      <c r="P1214" t="str">
        <f>IF(E1214="","Unmapped",IFERROR(INDEX(Supplier_Lookup!$B$2:$B$25,MATCH(E1214,Supplier_Lookup!$A$2:$A$25,0)),"Unmapped"))</f>
        <v>Vehicle &amp; Fuel</v>
      </c>
      <c r="Q1214" s="76">
        <f>IFERROR(INDEX(Category_Targets!$B$2:$B$9,MATCH(F1214,Category_Targets!$A$2:$A$9,0)),0)</f>
        <v>0.05</v>
      </c>
      <c r="R1214" s="125">
        <f t="shared" si="55"/>
        <v>175.977</v>
      </c>
      <c r="S1214" s="78">
        <f t="shared" si="56"/>
        <v>45870</v>
      </c>
      <c r="T1214" t="str">
        <f>IFERROR(VLOOKUP(B1214,Sites!$A$2:$D$21,4,FALSE()),"Unknown")</f>
        <v>Cardiff</v>
      </c>
      <c r="U1214" t="str">
        <f>IF(N1214="OK","",COUNTIF($N$2:N1214,"&lt;&gt;OK"))</f>
        <v/>
      </c>
      <c r="V1214">
        <f>IF(OR(NOT(EXACT(E1214,TRIM(Procurement_Raw!E1214))),NOT(EXACT(F1214,TRIM(Procurement_Raw!F1214)))),1,0)</f>
        <v>0</v>
      </c>
    </row>
    <row r="1215" spans="1:22" ht="15" customHeight="1" x14ac:dyDescent="0.25">
      <c r="A1215" s="123">
        <f>Procurement_Raw!A1215</f>
        <v>46014</v>
      </c>
      <c r="B1215" t="str">
        <f>TRIM(Procurement_Raw!B1215)</f>
        <v>S017</v>
      </c>
      <c r="C1215" t="str">
        <f>Procurement_Raw!C1215</f>
        <v>Swansea Care &amp; Education Centre</v>
      </c>
      <c r="D1215" t="str">
        <f>Procurement_Raw!D1215</f>
        <v>Wales</v>
      </c>
      <c r="E1215" t="str">
        <f>IF(TRIM(Procurement_Raw!E1215)="","",IFERROR(INDEX(Supplier_Lookup!$A$2:$A$25,MATCH(TRIM(Procurement_Raw!E1215),Supplier_Lookup!$A$2:$A$25,0)),TRIM(Procurement_Raw!E1215)))</f>
        <v>CloudLink</v>
      </c>
      <c r="F1215" t="str">
        <f>IFERROR(INDEX(Category_Targets!$A$2:$A$9,MATCH(TRIM(Procurement_Raw!F1215),Category_Targets!$A$2:$A$9,0)),"Unmapped")</f>
        <v>IT &amp; Telecoms</v>
      </c>
      <c r="G1215" t="str">
        <f>TRIM(Procurement_Raw!G1215)</f>
        <v>INV-2025-01214</v>
      </c>
      <c r="H1215" s="77">
        <f>Procurement_Raw!H1215</f>
        <v>61</v>
      </c>
      <c r="I1215" s="124">
        <f>Procurement_Raw!I1215</f>
        <v>359.9</v>
      </c>
      <c r="J1215" s="125">
        <f>IF(Procurement_Raw!J1215="","",Procurement_Raw!J1215)</f>
        <v>21954.11</v>
      </c>
      <c r="K1215" s="77">
        <f>Procurement_Raw!K1215</f>
        <v>60</v>
      </c>
      <c r="L1215" t="str">
        <f>Procurement_Raw!L1215</f>
        <v>ERP</v>
      </c>
      <c r="M1215" t="str">
        <f>Procurement_Raw!O1215</f>
        <v>Y</v>
      </c>
      <c r="N1215" t="str">
        <f>IF(E1215="","Missing supplier",IF(B1215="","Missing site",IF(J1215="","Missing spend",IF(COUNTIFS($G$2:G1215,G1215,$E$2:E1215,E1215,$J$2:J1215,J1215)&gt;1,"Duplicate invoice",IF(COUNTIF($G$2:$G$1801,G1215)&gt;1,"Duplicate ID - review",IF(AND(P1215&lt;&gt;"Unmapped",P1215&lt;&gt;F1215),"Category mismatch","OK"))))))</f>
        <v>OK</v>
      </c>
      <c r="O1215" s="125">
        <f t="shared" si="54"/>
        <v>21954.11</v>
      </c>
      <c r="P1215" t="str">
        <f>IF(E1215="","Unmapped",IFERROR(INDEX(Supplier_Lookup!$B$2:$B$25,MATCH(E1215,Supplier_Lookup!$A$2:$A$25,0)),"Unmapped"))</f>
        <v>IT &amp; Telecoms</v>
      </c>
      <c r="Q1215" s="76">
        <f>IFERROR(INDEX(Category_Targets!$B$2:$B$9,MATCH(F1215,Category_Targets!$A$2:$A$9,0)),0)</f>
        <v>0.08</v>
      </c>
      <c r="R1215" s="125">
        <f t="shared" si="55"/>
        <v>1756.3288</v>
      </c>
      <c r="S1215" s="78">
        <f t="shared" si="56"/>
        <v>45992</v>
      </c>
      <c r="T1215" t="str">
        <f>IFERROR(VLOOKUP(B1215,Sites!$A$2:$D$21,4,FALSE()),"Unknown")</f>
        <v>Swansea</v>
      </c>
      <c r="U1215" t="str">
        <f>IF(N1215="OK","",COUNTIF($N$2:N1215,"&lt;&gt;OK"))</f>
        <v/>
      </c>
      <c r="V1215">
        <f>IF(OR(NOT(EXACT(E1215,TRIM(Procurement_Raw!E1215))),NOT(EXACT(F1215,TRIM(Procurement_Raw!F1215)))),1,0)</f>
        <v>0</v>
      </c>
    </row>
    <row r="1216" spans="1:22" ht="15" customHeight="1" x14ac:dyDescent="0.25">
      <c r="A1216" s="123">
        <f>Procurement_Raw!A1216</f>
        <v>45857</v>
      </c>
      <c r="B1216" t="str">
        <f>TRIM(Procurement_Raw!B1216)</f>
        <v>S014</v>
      </c>
      <c r="C1216" t="str">
        <f>Procurement_Raw!C1216</f>
        <v>Southampton Care &amp; Education Centre</v>
      </c>
      <c r="D1216" t="str">
        <f>Procurement_Raw!D1216</f>
        <v>South</v>
      </c>
      <c r="E1216" t="str">
        <f>IF(TRIM(Procurement_Raw!E1216)="","",IFERROR(INDEX(Supplier_Lookup!$A$2:$A$25,MATCH(TRIM(Procurement_Raw!E1216),Supplier_Lookup!$A$2:$A$25,0)),TRIM(Procurement_Raw!E1216)))</f>
        <v>NurseLink</v>
      </c>
      <c r="F1216" t="str">
        <f>IFERROR(INDEX(Category_Targets!$A$2:$A$9,MATCH(TRIM(Procurement_Raw!F1216),Category_Targets!$A$2:$A$9,0)),"Unmapped")</f>
        <v>Agency Labour</v>
      </c>
      <c r="G1216" t="str">
        <f>TRIM(Procurement_Raw!G1216)</f>
        <v>INV-2025-01215</v>
      </c>
      <c r="H1216" s="77">
        <f>Procurement_Raw!H1216</f>
        <v>42</v>
      </c>
      <c r="I1216" s="124">
        <f>Procurement_Raw!I1216</f>
        <v>255.08</v>
      </c>
      <c r="J1216" s="125">
        <f>IF(Procurement_Raw!J1216="","",Procurement_Raw!J1216)</f>
        <v>10713.18</v>
      </c>
      <c r="K1216" s="77">
        <f>Procurement_Raw!K1216</f>
        <v>60</v>
      </c>
      <c r="L1216" t="str">
        <f>Procurement_Raw!L1216</f>
        <v>ERP</v>
      </c>
      <c r="M1216" t="str">
        <f>Procurement_Raw!O1216</f>
        <v>N</v>
      </c>
      <c r="N1216" t="str">
        <f>IF(E1216="","Missing supplier",IF(B1216="","Missing site",IF(J1216="","Missing spend",IF(COUNTIFS($G$2:G1216,G1216,$E$2:E1216,E1216,$J$2:J1216,J1216)&gt;1,"Duplicate invoice",IF(COUNTIF($G$2:$G$1801,G1216)&gt;1,"Duplicate ID - review",IF(AND(P1216&lt;&gt;"Unmapped",P1216&lt;&gt;F1216),"Category mismatch","OK"))))))</f>
        <v>OK</v>
      </c>
      <c r="O1216" s="125">
        <f t="shared" si="54"/>
        <v>10713.18</v>
      </c>
      <c r="P1216" t="str">
        <f>IF(E1216="","Unmapped",IFERROR(INDEX(Supplier_Lookup!$B$2:$B$25,MATCH(E1216,Supplier_Lookup!$A$2:$A$25,0)),"Unmapped"))</f>
        <v>Agency Labour</v>
      </c>
      <c r="Q1216" s="76">
        <f>IFERROR(INDEX(Category_Targets!$B$2:$B$9,MATCH(F1216,Category_Targets!$A$2:$A$9,0)),0)</f>
        <v>7.0000000000000007E-2</v>
      </c>
      <c r="R1216" s="125">
        <f t="shared" si="55"/>
        <v>749.9226000000001</v>
      </c>
      <c r="S1216" s="78">
        <f t="shared" si="56"/>
        <v>45839</v>
      </c>
      <c r="T1216" t="str">
        <f>IFERROR(VLOOKUP(B1216,Sites!$A$2:$D$21,4,FALSE()),"Unknown")</f>
        <v>Southampton</v>
      </c>
      <c r="U1216" t="str">
        <f>IF(N1216="OK","",COUNTIF($N$2:N1216,"&lt;&gt;OK"))</f>
        <v/>
      </c>
      <c r="V1216">
        <f>IF(OR(NOT(EXACT(E1216,TRIM(Procurement_Raw!E1216))),NOT(EXACT(F1216,TRIM(Procurement_Raw!F1216)))),1,0)</f>
        <v>0</v>
      </c>
    </row>
    <row r="1217" spans="1:22" ht="15" customHeight="1" x14ac:dyDescent="0.25">
      <c r="A1217" s="123">
        <f>Procurement_Raw!A1217</f>
        <v>46003</v>
      </c>
      <c r="B1217" t="str">
        <f>TRIM(Procurement_Raw!B1217)</f>
        <v>S004</v>
      </c>
      <c r="C1217" t="str">
        <f>Procurement_Raw!C1217</f>
        <v>Newcastle Care &amp; Education Centre</v>
      </c>
      <c r="D1217" t="str">
        <f>Procurement_Raw!D1217</f>
        <v>North</v>
      </c>
      <c r="E1217" t="str">
        <f>IF(TRIM(Procurement_Raw!E1217)="","",IFERROR(INDEX(Supplier_Lookup!$A$2:$A$25,MATCH(TRIM(Procurement_Raw!E1217),Supplier_Lookup!$A$2:$A$25,0)),TRIM(Procurement_Raw!E1217)))</f>
        <v>KitchenPro</v>
      </c>
      <c r="F1217" t="str">
        <f>IFERROR(INDEX(Category_Targets!$A$2:$A$9,MATCH(TRIM(Procurement_Raw!F1217),Category_Targets!$A$2:$A$9,0)),"Unmapped")</f>
        <v>Food &amp; Catering</v>
      </c>
      <c r="G1217" t="str">
        <f>TRIM(Procurement_Raw!G1217)</f>
        <v>INV-2025-01216</v>
      </c>
      <c r="H1217" s="77">
        <f>Procurement_Raw!H1217</f>
        <v>27</v>
      </c>
      <c r="I1217" s="124">
        <f>Procurement_Raw!I1217</f>
        <v>129.11000000000001</v>
      </c>
      <c r="J1217" s="125">
        <f>IF(Procurement_Raw!J1217="","",Procurement_Raw!J1217)</f>
        <v>3485.9</v>
      </c>
      <c r="K1217" s="77">
        <f>Procurement_Raw!K1217</f>
        <v>45</v>
      </c>
      <c r="L1217" t="str">
        <f>Procurement_Raw!L1217</f>
        <v>Procurement Portal</v>
      </c>
      <c r="M1217" t="str">
        <f>Procurement_Raw!O1217</f>
        <v>N</v>
      </c>
      <c r="N1217" t="str">
        <f>IF(E1217="","Missing supplier",IF(B1217="","Missing site",IF(J1217="","Missing spend",IF(COUNTIFS($G$2:G1217,G1217,$E$2:E1217,E1217,$J$2:J1217,J1217)&gt;1,"Duplicate invoice",IF(COUNTIF($G$2:$G$1801,G1217)&gt;1,"Duplicate ID - review",IF(AND(P1217&lt;&gt;"Unmapped",P1217&lt;&gt;F1217),"Category mismatch","OK"))))))</f>
        <v>OK</v>
      </c>
      <c r="O1217" s="125">
        <f t="shared" si="54"/>
        <v>3485.9</v>
      </c>
      <c r="P1217" t="str">
        <f>IF(E1217="","Unmapped",IFERROR(INDEX(Supplier_Lookup!$B$2:$B$25,MATCH(E1217,Supplier_Lookup!$A$2:$A$25,0)),"Unmapped"))</f>
        <v>Food &amp; Catering</v>
      </c>
      <c r="Q1217" s="76">
        <f>IFERROR(INDEX(Category_Targets!$B$2:$B$9,MATCH(F1217,Category_Targets!$A$2:$A$9,0)),0)</f>
        <v>0.04</v>
      </c>
      <c r="R1217" s="125">
        <f t="shared" si="55"/>
        <v>139.43600000000001</v>
      </c>
      <c r="S1217" s="78">
        <f t="shared" si="56"/>
        <v>45992</v>
      </c>
      <c r="T1217" t="str">
        <f>IFERROR(VLOOKUP(B1217,Sites!$A$2:$D$21,4,FALSE()),"Unknown")</f>
        <v>Newcastle</v>
      </c>
      <c r="U1217" t="str">
        <f>IF(N1217="OK","",COUNTIF($N$2:N1217,"&lt;&gt;OK"))</f>
        <v/>
      </c>
      <c r="V1217">
        <f>IF(OR(NOT(EXACT(E1217,TRIM(Procurement_Raw!E1217))),NOT(EXACT(F1217,TRIM(Procurement_Raw!F1217)))),1,0)</f>
        <v>0</v>
      </c>
    </row>
    <row r="1218" spans="1:22" ht="15" customHeight="1" x14ac:dyDescent="0.25">
      <c r="A1218" s="123">
        <f>Procurement_Raw!A1218</f>
        <v>45972</v>
      </c>
      <c r="B1218" t="str">
        <f>TRIM(Procurement_Raw!B1218)</f>
        <v>S010</v>
      </c>
      <c r="C1218" t="str">
        <f>Procurement_Raw!C1218</f>
        <v>Coventry Care &amp; Education Centre</v>
      </c>
      <c r="D1218" t="str">
        <f>Procurement_Raw!D1218</f>
        <v>Midlands</v>
      </c>
      <c r="E1218" t="str">
        <f>IF(TRIM(Procurement_Raw!E1218)="","",IFERROR(INDEX(Supplier_Lookup!$A$2:$A$25,MATCH(TRIM(Procurement_Raw!E1218),Supplier_Lookup!$A$2:$A$25,0)),TRIM(Procurement_Raw!E1218)))</f>
        <v>FleetFuel</v>
      </c>
      <c r="F1218" t="str">
        <f>IFERROR(INDEX(Category_Targets!$A$2:$A$9,MATCH(TRIM(Procurement_Raw!F1218),Category_Targets!$A$2:$A$9,0)),"Unmapped")</f>
        <v>Vehicle &amp; Fuel</v>
      </c>
      <c r="G1218" t="str">
        <f>TRIM(Procurement_Raw!G1218)</f>
        <v>INV-2025-01217</v>
      </c>
      <c r="H1218" s="77">
        <f>Procurement_Raw!H1218</f>
        <v>39</v>
      </c>
      <c r="I1218" s="124">
        <f>Procurement_Raw!I1218</f>
        <v>65.59</v>
      </c>
      <c r="J1218" s="125">
        <f>IF(Procurement_Raw!J1218="","",Procurement_Raw!J1218)</f>
        <v>2558.1</v>
      </c>
      <c r="K1218" s="77">
        <f>Procurement_Raw!K1218</f>
        <v>45</v>
      </c>
      <c r="L1218" t="str">
        <f>Procurement_Raw!L1218</f>
        <v>Procurement Portal</v>
      </c>
      <c r="M1218" t="str">
        <f>Procurement_Raw!O1218</f>
        <v>Y</v>
      </c>
      <c r="N1218" t="str">
        <f>IF(E1218="","Missing supplier",IF(B1218="","Missing site",IF(J1218="","Missing spend",IF(COUNTIFS($G$2:G1218,G1218,$E$2:E1218,E1218,$J$2:J1218,J1218)&gt;1,"Duplicate invoice",IF(COUNTIF($G$2:$G$1801,G1218)&gt;1,"Duplicate ID - review",IF(AND(P1218&lt;&gt;"Unmapped",P1218&lt;&gt;F1218),"Category mismatch","OK"))))))</f>
        <v>OK</v>
      </c>
      <c r="O1218" s="125">
        <f t="shared" ref="O1218:O1281" si="57">IF(OR(N1218="Missing spend",N1218="Duplicate invoice"),0,J1218)</f>
        <v>2558.1</v>
      </c>
      <c r="P1218" t="str">
        <f>IF(E1218="","Unmapped",IFERROR(INDEX(Supplier_Lookup!$B$2:$B$25,MATCH(E1218,Supplier_Lookup!$A$2:$A$25,0)),"Unmapped"))</f>
        <v>Vehicle &amp; Fuel</v>
      </c>
      <c r="Q1218" s="76">
        <f>IFERROR(INDEX(Category_Targets!$B$2:$B$9,MATCH(F1218,Category_Targets!$A$2:$A$9,0)),0)</f>
        <v>0.05</v>
      </c>
      <c r="R1218" s="125">
        <f t="shared" ref="R1218:R1281" si="58">O1218*Q1218</f>
        <v>127.905</v>
      </c>
      <c r="S1218" s="78">
        <f t="shared" ref="S1218:S1281" si="59">DATE(YEAR(A1218),MONTH(A1218),1)</f>
        <v>45962</v>
      </c>
      <c r="T1218" t="str">
        <f>IFERROR(VLOOKUP(B1218,Sites!$A$2:$D$21,4,FALSE()),"Unknown")</f>
        <v>Coventry</v>
      </c>
      <c r="U1218" t="str">
        <f>IF(N1218="OK","",COUNTIF($N$2:N1218,"&lt;&gt;OK"))</f>
        <v/>
      </c>
      <c r="V1218">
        <f>IF(OR(NOT(EXACT(E1218,TRIM(Procurement_Raw!E1218))),NOT(EXACT(F1218,TRIM(Procurement_Raw!F1218)))),1,0)</f>
        <v>0</v>
      </c>
    </row>
    <row r="1219" spans="1:22" ht="15" customHeight="1" x14ac:dyDescent="0.25">
      <c r="A1219" s="123">
        <f>Procurement_Raw!A1219</f>
        <v>45696</v>
      </c>
      <c r="B1219" t="str">
        <f>TRIM(Procurement_Raw!B1219)</f>
        <v>S020</v>
      </c>
      <c r="C1219" t="str">
        <f>Procurement_Raw!C1219</f>
        <v>Bangor Care &amp; Education Centre</v>
      </c>
      <c r="D1219" t="str">
        <f>Procurement_Raw!D1219</f>
        <v>Wales</v>
      </c>
      <c r="E1219" t="str">
        <f>IF(TRIM(Procurement_Raw!E1219)="","",IFERROR(INDEX(Supplier_Lookup!$A$2:$A$25,MATCH(TRIM(Procurement_Raw!E1219),Supplier_Lookup!$A$2:$A$25,0)),TRIM(Procurement_Raw!E1219)))</f>
        <v>PrintCo</v>
      </c>
      <c r="F1219" t="str">
        <f>IFERROR(INDEX(Category_Targets!$A$2:$A$9,MATCH(TRIM(Procurement_Raw!F1219),Category_Targets!$A$2:$A$9,0)),"Unmapped")</f>
        <v>Office &amp; Training</v>
      </c>
      <c r="G1219" t="str">
        <f>TRIM(Procurement_Raw!G1219)</f>
        <v>INV-2025-01218</v>
      </c>
      <c r="H1219" s="77">
        <f>Procurement_Raw!H1219</f>
        <v>69</v>
      </c>
      <c r="I1219" s="124">
        <f>Procurement_Raw!I1219</f>
        <v>87.44</v>
      </c>
      <c r="J1219" s="125">
        <f>IF(Procurement_Raw!J1219="","",Procurement_Raw!J1219)</f>
        <v>6033.25</v>
      </c>
      <c r="K1219" s="77">
        <f>Procurement_Raw!K1219</f>
        <v>30</v>
      </c>
      <c r="L1219" t="str">
        <f>Procurement_Raw!L1219</f>
        <v>Procurement Portal</v>
      </c>
      <c r="M1219" t="str">
        <f>Procurement_Raw!O1219</f>
        <v>N</v>
      </c>
      <c r="N1219" t="str">
        <f>IF(E1219="","Missing supplier",IF(B1219="","Missing site",IF(J1219="","Missing spend",IF(COUNTIFS($G$2:G1219,G1219,$E$2:E1219,E1219,$J$2:J1219,J1219)&gt;1,"Duplicate invoice",IF(COUNTIF($G$2:$G$1801,G1219)&gt;1,"Duplicate ID - review",IF(AND(P1219&lt;&gt;"Unmapped",P1219&lt;&gt;F1219),"Category mismatch","OK"))))))</f>
        <v>OK</v>
      </c>
      <c r="O1219" s="125">
        <f t="shared" si="57"/>
        <v>6033.25</v>
      </c>
      <c r="P1219" t="str">
        <f>IF(E1219="","Unmapped",IFERROR(INDEX(Supplier_Lookup!$B$2:$B$25,MATCH(E1219,Supplier_Lookup!$A$2:$A$25,0)),"Unmapped"))</f>
        <v>Office &amp; Training</v>
      </c>
      <c r="Q1219" s="76">
        <f>IFERROR(INDEX(Category_Targets!$B$2:$B$9,MATCH(F1219,Category_Targets!$A$2:$A$9,0)),0)</f>
        <v>0.04</v>
      </c>
      <c r="R1219" s="125">
        <f t="shared" si="58"/>
        <v>241.33</v>
      </c>
      <c r="S1219" s="78">
        <f t="shared" si="59"/>
        <v>45689</v>
      </c>
      <c r="T1219" t="str">
        <f>IFERROR(VLOOKUP(B1219,Sites!$A$2:$D$21,4,FALSE()),"Unknown")</f>
        <v>Bangor</v>
      </c>
      <c r="U1219" t="str">
        <f>IF(N1219="OK","",COUNTIF($N$2:N1219,"&lt;&gt;OK"))</f>
        <v/>
      </c>
      <c r="V1219">
        <f>IF(OR(NOT(EXACT(E1219,TRIM(Procurement_Raw!E1219))),NOT(EXACT(F1219,TRIM(Procurement_Raw!F1219)))),1,0)</f>
        <v>0</v>
      </c>
    </row>
    <row r="1220" spans="1:22" ht="15" customHeight="1" x14ac:dyDescent="0.25">
      <c r="A1220" s="123">
        <f>Procurement_Raw!A1220</f>
        <v>45951</v>
      </c>
      <c r="B1220" t="str">
        <f>TRIM(Procurement_Raw!B1220)</f>
        <v>S013</v>
      </c>
      <c r="C1220" t="str">
        <f>Procurement_Raw!C1220</f>
        <v>Reading Care &amp; Education Centre</v>
      </c>
      <c r="D1220" t="str">
        <f>Procurement_Raw!D1220</f>
        <v>South</v>
      </c>
      <c r="E1220" t="str">
        <f>IF(TRIM(Procurement_Raw!E1220)="","",IFERROR(INDEX(Supplier_Lookup!$A$2:$A$25,MATCH(TRIM(Procurement_Raw!E1220),Supplier_Lookup!$A$2:$A$25,0)),TRIM(Procurement_Raw!E1220)))</f>
        <v>CareMed</v>
      </c>
      <c r="F1220" t="str">
        <f>IFERROR(INDEX(Category_Targets!$A$2:$A$9,MATCH(TRIM(Procurement_Raw!F1220),Category_Targets!$A$2:$A$9,0)),"Unmapped")</f>
        <v>Medical Supplies</v>
      </c>
      <c r="G1220" t="str">
        <f>TRIM(Procurement_Raw!G1220)</f>
        <v>INV-2025-01219</v>
      </c>
      <c r="H1220" s="77">
        <f>Procurement_Raw!H1220</f>
        <v>52</v>
      </c>
      <c r="I1220" s="124">
        <f>Procurement_Raw!I1220</f>
        <v>75.8</v>
      </c>
      <c r="J1220" s="125">
        <f>IF(Procurement_Raw!J1220="","",Procurement_Raw!J1220)</f>
        <v>3941.41</v>
      </c>
      <c r="K1220" s="77">
        <f>Procurement_Raw!K1220</f>
        <v>30</v>
      </c>
      <c r="L1220" t="str">
        <f>Procurement_Raw!L1220</f>
        <v>Legacy Spend File</v>
      </c>
      <c r="M1220" t="str">
        <f>Procurement_Raw!O1220</f>
        <v>N</v>
      </c>
      <c r="N1220" t="str">
        <f>IF(E1220="","Missing supplier",IF(B1220="","Missing site",IF(J1220="","Missing spend",IF(COUNTIFS($G$2:G1220,G1220,$E$2:E1220,E1220,$J$2:J1220,J1220)&gt;1,"Duplicate invoice",IF(COUNTIF($G$2:$G$1801,G1220)&gt;1,"Duplicate ID - review",IF(AND(P1220&lt;&gt;"Unmapped",P1220&lt;&gt;F1220),"Category mismatch","OK"))))))</f>
        <v>OK</v>
      </c>
      <c r="O1220" s="125">
        <f t="shared" si="57"/>
        <v>3941.41</v>
      </c>
      <c r="P1220" t="str">
        <f>IF(E1220="","Unmapped",IFERROR(INDEX(Supplier_Lookup!$B$2:$B$25,MATCH(E1220,Supplier_Lookup!$A$2:$A$25,0)),"Unmapped"))</f>
        <v>Medical Supplies</v>
      </c>
      <c r="Q1220" s="76">
        <f>IFERROR(INDEX(Category_Targets!$B$2:$B$9,MATCH(F1220,Category_Targets!$A$2:$A$9,0)),0)</f>
        <v>0.06</v>
      </c>
      <c r="R1220" s="125">
        <f t="shared" si="58"/>
        <v>236.48459999999997</v>
      </c>
      <c r="S1220" s="78">
        <f t="shared" si="59"/>
        <v>45931</v>
      </c>
      <c r="T1220" t="str">
        <f>IFERROR(VLOOKUP(B1220,Sites!$A$2:$D$21,4,FALSE()),"Unknown")</f>
        <v>Reading</v>
      </c>
      <c r="U1220" t="str">
        <f>IF(N1220="OK","",COUNTIF($N$2:N1220,"&lt;&gt;OK"))</f>
        <v/>
      </c>
      <c r="V1220">
        <f>IF(OR(NOT(EXACT(E1220,TRIM(Procurement_Raw!E1220))),NOT(EXACT(F1220,TRIM(Procurement_Raw!F1220)))),1,0)</f>
        <v>0</v>
      </c>
    </row>
    <row r="1221" spans="1:22" ht="15" customHeight="1" x14ac:dyDescent="0.25">
      <c r="A1221" s="123">
        <f>Procurement_Raw!A1221</f>
        <v>45954</v>
      </c>
      <c r="B1221" t="str">
        <f>TRIM(Procurement_Raw!B1221)</f>
        <v>S008</v>
      </c>
      <c r="C1221" t="str">
        <f>Procurement_Raw!C1221</f>
        <v>Leicester Care &amp; Education Centre</v>
      </c>
      <c r="D1221" t="str">
        <f>Procurement_Raw!D1221</f>
        <v>Midlands</v>
      </c>
      <c r="E1221" t="str">
        <f>IF(TRIM(Procurement_Raw!E1221)="","",IFERROR(INDEX(Supplier_Lookup!$A$2:$A$25,MATCH(TRIM(Procurement_Raw!E1221),Supplier_Lookup!$A$2:$A$25,0)),TRIM(Procurement_Raw!E1221)))</f>
        <v>KitchenPro</v>
      </c>
      <c r="F1221" t="str">
        <f>IFERROR(INDEX(Category_Targets!$A$2:$A$9,MATCH(TRIM(Procurement_Raw!F1221),Category_Targets!$A$2:$A$9,0)),"Unmapped")</f>
        <v>Food &amp; Catering</v>
      </c>
      <c r="G1221" t="str">
        <f>TRIM(Procurement_Raw!G1221)</f>
        <v>INV-2025-01220</v>
      </c>
      <c r="H1221" s="77">
        <f>Procurement_Raw!H1221</f>
        <v>13</v>
      </c>
      <c r="I1221" s="124">
        <f>Procurement_Raw!I1221</f>
        <v>211.5</v>
      </c>
      <c r="J1221" s="125">
        <f>IF(Procurement_Raw!J1221="","",Procurement_Raw!J1221)</f>
        <v>2749.48</v>
      </c>
      <c r="K1221" s="77">
        <f>Procurement_Raw!K1221</f>
        <v>60</v>
      </c>
      <c r="L1221" t="str">
        <f>Procurement_Raw!L1221</f>
        <v>Procurement Portal</v>
      </c>
      <c r="M1221" t="str">
        <f>Procurement_Raw!O1221</f>
        <v>N</v>
      </c>
      <c r="N1221" t="str">
        <f>IF(E1221="","Missing supplier",IF(B1221="","Missing site",IF(J1221="","Missing spend",IF(COUNTIFS($G$2:G1221,G1221,$E$2:E1221,E1221,$J$2:J1221,J1221)&gt;1,"Duplicate invoice",IF(COUNTIF($G$2:$G$1801,G1221)&gt;1,"Duplicate ID - review",IF(AND(P1221&lt;&gt;"Unmapped",P1221&lt;&gt;F1221),"Category mismatch","OK"))))))</f>
        <v>OK</v>
      </c>
      <c r="O1221" s="125">
        <f t="shared" si="57"/>
        <v>2749.48</v>
      </c>
      <c r="P1221" t="str">
        <f>IF(E1221="","Unmapped",IFERROR(INDEX(Supplier_Lookup!$B$2:$B$25,MATCH(E1221,Supplier_Lookup!$A$2:$A$25,0)),"Unmapped"))</f>
        <v>Food &amp; Catering</v>
      </c>
      <c r="Q1221" s="76">
        <f>IFERROR(INDEX(Category_Targets!$B$2:$B$9,MATCH(F1221,Category_Targets!$A$2:$A$9,0)),0)</f>
        <v>0.04</v>
      </c>
      <c r="R1221" s="125">
        <f t="shared" si="58"/>
        <v>109.97920000000001</v>
      </c>
      <c r="S1221" s="78">
        <f t="shared" si="59"/>
        <v>45931</v>
      </c>
      <c r="T1221" t="str">
        <f>IFERROR(VLOOKUP(B1221,Sites!$A$2:$D$21,4,FALSE()),"Unknown")</f>
        <v>Leicester</v>
      </c>
      <c r="U1221" t="str">
        <f>IF(N1221="OK","",COUNTIF($N$2:N1221,"&lt;&gt;OK"))</f>
        <v/>
      </c>
      <c r="V1221">
        <f>IF(OR(NOT(EXACT(E1221,TRIM(Procurement_Raw!E1221))),NOT(EXACT(F1221,TRIM(Procurement_Raw!F1221)))),1,0)</f>
        <v>0</v>
      </c>
    </row>
    <row r="1222" spans="1:22" ht="15" customHeight="1" x14ac:dyDescent="0.25">
      <c r="A1222" s="123">
        <f>Procurement_Raw!A1222</f>
        <v>45929</v>
      </c>
      <c r="B1222" t="str">
        <f>TRIM(Procurement_Raw!B1222)</f>
        <v>S007</v>
      </c>
      <c r="C1222" t="str">
        <f>Procurement_Raw!C1222</f>
        <v>Nottingham Care &amp; Education Centre</v>
      </c>
      <c r="D1222" t="str">
        <f>Procurement_Raw!D1222</f>
        <v>Midlands</v>
      </c>
      <c r="E1222" t="str">
        <f>IF(TRIM(Procurement_Raw!E1222)="","",IFERROR(INDEX(Supplier_Lookup!$A$2:$A$25,MATCH(TRIM(Procurement_Raw!E1222),Supplier_Lookup!$A$2:$A$25,0)),TRIM(Procurement_Raw!E1222)))</f>
        <v>KitchenPro</v>
      </c>
      <c r="F1222" t="str">
        <f>IFERROR(INDEX(Category_Targets!$A$2:$A$9,MATCH(TRIM(Procurement_Raw!F1222),Category_Targets!$A$2:$A$9,0)),"Unmapped")</f>
        <v>Food &amp; Catering</v>
      </c>
      <c r="G1222" t="str">
        <f>TRIM(Procurement_Raw!G1222)</f>
        <v>INV-2025-01221</v>
      </c>
      <c r="H1222" s="77">
        <f>Procurement_Raw!H1222</f>
        <v>61</v>
      </c>
      <c r="I1222" s="124">
        <f>Procurement_Raw!I1222</f>
        <v>33.83</v>
      </c>
      <c r="J1222" s="125">
        <f>IF(Procurement_Raw!J1222="","",Procurement_Raw!J1222)</f>
        <v>2063.34</v>
      </c>
      <c r="K1222" s="77">
        <f>Procurement_Raw!K1222</f>
        <v>45</v>
      </c>
      <c r="L1222" t="str">
        <f>Procurement_Raw!L1222</f>
        <v>ERP</v>
      </c>
      <c r="M1222" t="str">
        <f>Procurement_Raw!O1222</f>
        <v>N</v>
      </c>
      <c r="N1222" t="str">
        <f>IF(E1222="","Missing supplier",IF(B1222="","Missing site",IF(J1222="","Missing spend",IF(COUNTIFS($G$2:G1222,G1222,$E$2:E1222,E1222,$J$2:J1222,J1222)&gt;1,"Duplicate invoice",IF(COUNTIF($G$2:$G$1801,G1222)&gt;1,"Duplicate ID - review",IF(AND(P1222&lt;&gt;"Unmapped",P1222&lt;&gt;F1222),"Category mismatch","OK"))))))</f>
        <v>OK</v>
      </c>
      <c r="O1222" s="125">
        <f t="shared" si="57"/>
        <v>2063.34</v>
      </c>
      <c r="P1222" t="str">
        <f>IF(E1222="","Unmapped",IFERROR(INDEX(Supplier_Lookup!$B$2:$B$25,MATCH(E1222,Supplier_Lookup!$A$2:$A$25,0)),"Unmapped"))</f>
        <v>Food &amp; Catering</v>
      </c>
      <c r="Q1222" s="76">
        <f>IFERROR(INDEX(Category_Targets!$B$2:$B$9,MATCH(F1222,Category_Targets!$A$2:$A$9,0)),0)</f>
        <v>0.04</v>
      </c>
      <c r="R1222" s="125">
        <f t="shared" si="58"/>
        <v>82.533600000000007</v>
      </c>
      <c r="S1222" s="78">
        <f t="shared" si="59"/>
        <v>45901</v>
      </c>
      <c r="T1222" t="str">
        <f>IFERROR(VLOOKUP(B1222,Sites!$A$2:$D$21,4,FALSE()),"Unknown")</f>
        <v>Nottingham</v>
      </c>
      <c r="U1222" t="str">
        <f>IF(N1222="OK","",COUNTIF($N$2:N1222,"&lt;&gt;OK"))</f>
        <v/>
      </c>
      <c r="V1222">
        <f>IF(OR(NOT(EXACT(E1222,TRIM(Procurement_Raw!E1222))),NOT(EXACT(F1222,TRIM(Procurement_Raw!F1222)))),1,0)</f>
        <v>0</v>
      </c>
    </row>
    <row r="1223" spans="1:22" ht="15" customHeight="1" x14ac:dyDescent="0.25">
      <c r="A1223" s="123">
        <f>Procurement_Raw!A1223</f>
        <v>45812</v>
      </c>
      <c r="B1223" t="str">
        <f>TRIM(Procurement_Raw!B1223)</f>
        <v>S004</v>
      </c>
      <c r="C1223" t="str">
        <f>Procurement_Raw!C1223</f>
        <v>Newcastle Care &amp; Education Centre</v>
      </c>
      <c r="D1223" t="str">
        <f>Procurement_Raw!D1223</f>
        <v>North</v>
      </c>
      <c r="E1223" t="str">
        <f>IF(TRIM(Procurement_Raw!E1223)="","",IFERROR(INDEX(Supplier_Lookup!$A$2:$A$25,MATCH(TRIM(Procurement_Raw!E1223),Supplier_Lookup!$A$2:$A$25,0)),TRIM(Procurement_Raw!E1223)))</f>
        <v>KitchenPro</v>
      </c>
      <c r="F1223" t="str">
        <f>IFERROR(INDEX(Category_Targets!$A$2:$A$9,MATCH(TRIM(Procurement_Raw!F1223),Category_Targets!$A$2:$A$9,0)),"Unmapped")</f>
        <v>Food &amp; Catering</v>
      </c>
      <c r="G1223" t="str">
        <f>TRIM(Procurement_Raw!G1223)</f>
        <v>INV-2025-01222</v>
      </c>
      <c r="H1223" s="77">
        <f>Procurement_Raw!H1223</f>
        <v>65</v>
      </c>
      <c r="I1223" s="124">
        <f>Procurement_Raw!I1223</f>
        <v>77.08</v>
      </c>
      <c r="J1223" s="125">
        <f>IF(Procurement_Raw!J1223="","",Procurement_Raw!J1223)</f>
        <v>5009.92</v>
      </c>
      <c r="K1223" s="77">
        <f>Procurement_Raw!K1223</f>
        <v>45</v>
      </c>
      <c r="L1223" t="str">
        <f>Procurement_Raw!L1223</f>
        <v>Procurement Portal</v>
      </c>
      <c r="M1223" t="str">
        <f>Procurement_Raw!O1223</f>
        <v>N</v>
      </c>
      <c r="N1223" t="str">
        <f>IF(E1223="","Missing supplier",IF(B1223="","Missing site",IF(J1223="","Missing spend",IF(COUNTIFS($G$2:G1223,G1223,$E$2:E1223,E1223,$J$2:J1223,J1223)&gt;1,"Duplicate invoice",IF(COUNTIF($G$2:$G$1801,G1223)&gt;1,"Duplicate ID - review",IF(AND(P1223&lt;&gt;"Unmapped",P1223&lt;&gt;F1223),"Category mismatch","OK"))))))</f>
        <v>OK</v>
      </c>
      <c r="O1223" s="125">
        <f t="shared" si="57"/>
        <v>5009.92</v>
      </c>
      <c r="P1223" t="str">
        <f>IF(E1223="","Unmapped",IFERROR(INDEX(Supplier_Lookup!$B$2:$B$25,MATCH(E1223,Supplier_Lookup!$A$2:$A$25,0)),"Unmapped"))</f>
        <v>Food &amp; Catering</v>
      </c>
      <c r="Q1223" s="76">
        <f>IFERROR(INDEX(Category_Targets!$B$2:$B$9,MATCH(F1223,Category_Targets!$A$2:$A$9,0)),0)</f>
        <v>0.04</v>
      </c>
      <c r="R1223" s="125">
        <f t="shared" si="58"/>
        <v>200.39680000000001</v>
      </c>
      <c r="S1223" s="78">
        <f t="shared" si="59"/>
        <v>45809</v>
      </c>
      <c r="T1223" t="str">
        <f>IFERROR(VLOOKUP(B1223,Sites!$A$2:$D$21,4,FALSE()),"Unknown")</f>
        <v>Newcastle</v>
      </c>
      <c r="U1223" t="str">
        <f>IF(N1223="OK","",COUNTIF($N$2:N1223,"&lt;&gt;OK"))</f>
        <v/>
      </c>
      <c r="V1223">
        <f>IF(OR(NOT(EXACT(E1223,TRIM(Procurement_Raw!E1223))),NOT(EXACT(F1223,TRIM(Procurement_Raw!F1223)))),1,0)</f>
        <v>0</v>
      </c>
    </row>
    <row r="1224" spans="1:22" ht="15" customHeight="1" x14ac:dyDescent="0.25">
      <c r="A1224" s="123">
        <f>Procurement_Raw!A1224</f>
        <v>45870</v>
      </c>
      <c r="B1224" t="str">
        <f>TRIM(Procurement_Raw!B1224)</f>
        <v>S001</v>
      </c>
      <c r="C1224" t="str">
        <f>Procurement_Raw!C1224</f>
        <v>Preston Care &amp; Education Centre</v>
      </c>
      <c r="D1224" t="str">
        <f>Procurement_Raw!D1224</f>
        <v>North</v>
      </c>
      <c r="E1224" t="str">
        <f>IF(TRIM(Procurement_Raw!E1224)="","",IFERROR(INDEX(Supplier_Lookup!$A$2:$A$25,MATCH(TRIM(Procurement_Raw!E1224),Supplier_Lookup!$A$2:$A$25,0)),TRIM(Procurement_Raw!E1224)))</f>
        <v>FleetFuel</v>
      </c>
      <c r="F1224" t="str">
        <f>IFERROR(INDEX(Category_Targets!$A$2:$A$9,MATCH(TRIM(Procurement_Raw!F1224),Category_Targets!$A$2:$A$9,0)),"Unmapped")</f>
        <v>Vehicle &amp; Fuel</v>
      </c>
      <c r="G1224" t="str">
        <f>TRIM(Procurement_Raw!G1224)</f>
        <v>INV-2025-01223</v>
      </c>
      <c r="H1224" s="77">
        <f>Procurement_Raw!H1224</f>
        <v>52</v>
      </c>
      <c r="I1224" s="124">
        <f>Procurement_Raw!I1224</f>
        <v>134.62</v>
      </c>
      <c r="J1224" s="125">
        <f>IF(Procurement_Raw!J1224="","",Procurement_Raw!J1224)</f>
        <v>7000.23</v>
      </c>
      <c r="K1224" s="77">
        <f>Procurement_Raw!K1224</f>
        <v>45</v>
      </c>
      <c r="L1224" t="str">
        <f>Procurement_Raw!L1224</f>
        <v>Legacy Spend File</v>
      </c>
      <c r="M1224" t="str">
        <f>Procurement_Raw!O1224</f>
        <v>Y</v>
      </c>
      <c r="N1224" t="str">
        <f>IF(E1224="","Missing supplier",IF(B1224="","Missing site",IF(J1224="","Missing spend",IF(COUNTIFS($G$2:G1224,G1224,$E$2:E1224,E1224,$J$2:J1224,J1224)&gt;1,"Duplicate invoice",IF(COUNTIF($G$2:$G$1801,G1224)&gt;1,"Duplicate ID - review",IF(AND(P1224&lt;&gt;"Unmapped",P1224&lt;&gt;F1224),"Category mismatch","OK"))))))</f>
        <v>OK</v>
      </c>
      <c r="O1224" s="125">
        <f t="shared" si="57"/>
        <v>7000.23</v>
      </c>
      <c r="P1224" t="str">
        <f>IF(E1224="","Unmapped",IFERROR(INDEX(Supplier_Lookup!$B$2:$B$25,MATCH(E1224,Supplier_Lookup!$A$2:$A$25,0)),"Unmapped"))</f>
        <v>Vehicle &amp; Fuel</v>
      </c>
      <c r="Q1224" s="76">
        <f>IFERROR(INDEX(Category_Targets!$B$2:$B$9,MATCH(F1224,Category_Targets!$A$2:$A$9,0)),0)</f>
        <v>0.05</v>
      </c>
      <c r="R1224" s="125">
        <f t="shared" si="58"/>
        <v>350.01150000000001</v>
      </c>
      <c r="S1224" s="78">
        <f t="shared" si="59"/>
        <v>45870</v>
      </c>
      <c r="T1224" t="str">
        <f>IFERROR(VLOOKUP(B1224,Sites!$A$2:$D$21,4,FALSE()),"Unknown")</f>
        <v>Preston</v>
      </c>
      <c r="U1224" t="str">
        <f>IF(N1224="OK","",COUNTIF($N$2:N1224,"&lt;&gt;OK"))</f>
        <v/>
      </c>
      <c r="V1224">
        <f>IF(OR(NOT(EXACT(E1224,TRIM(Procurement_Raw!E1224))),NOT(EXACT(F1224,TRIM(Procurement_Raw!F1224)))),1,0)</f>
        <v>0</v>
      </c>
    </row>
    <row r="1225" spans="1:22" ht="15" customHeight="1" x14ac:dyDescent="0.25">
      <c r="A1225" s="123">
        <f>Procurement_Raw!A1225</f>
        <v>45938</v>
      </c>
      <c r="B1225" t="str">
        <f>TRIM(Procurement_Raw!B1225)</f>
        <v>S006</v>
      </c>
      <c r="C1225" t="str">
        <f>Procurement_Raw!C1225</f>
        <v>Birmingham Care &amp; Education Centre</v>
      </c>
      <c r="D1225" t="str">
        <f>Procurement_Raw!D1225</f>
        <v>Midlands</v>
      </c>
      <c r="E1225" t="str">
        <f>IF(TRIM(Procurement_Raw!E1225)="","",IFERROR(INDEX(Supplier_Lookup!$A$2:$A$25,MATCH(TRIM(Procurement_Raw!E1225),Supplier_Lookup!$A$2:$A$25,0)),TRIM(Procurement_Raw!E1225)))</f>
        <v>PrintCo</v>
      </c>
      <c r="F1225" t="str">
        <f>IFERROR(INDEX(Category_Targets!$A$2:$A$9,MATCH(TRIM(Procurement_Raw!F1225),Category_Targets!$A$2:$A$9,0)),"Unmapped")</f>
        <v>Office &amp; Training</v>
      </c>
      <c r="G1225" t="str">
        <f>TRIM(Procurement_Raw!G1225)</f>
        <v>INV-2025-01224</v>
      </c>
      <c r="H1225" s="77">
        <f>Procurement_Raw!H1225</f>
        <v>24</v>
      </c>
      <c r="I1225" s="124">
        <f>Procurement_Raw!I1225</f>
        <v>94.17</v>
      </c>
      <c r="J1225" s="125">
        <f>IF(Procurement_Raw!J1225="","",Procurement_Raw!J1225)</f>
        <v>2260.0300000000002</v>
      </c>
      <c r="K1225" s="77">
        <f>Procurement_Raw!K1225</f>
        <v>30</v>
      </c>
      <c r="L1225" t="str">
        <f>Procurement_Raw!L1225</f>
        <v>Legacy Spend File</v>
      </c>
      <c r="M1225" t="str">
        <f>Procurement_Raw!O1225</f>
        <v>N</v>
      </c>
      <c r="N1225" t="str">
        <f>IF(E1225="","Missing supplier",IF(B1225="","Missing site",IF(J1225="","Missing spend",IF(COUNTIFS($G$2:G1225,G1225,$E$2:E1225,E1225,$J$2:J1225,J1225)&gt;1,"Duplicate invoice",IF(COUNTIF($G$2:$G$1801,G1225)&gt;1,"Duplicate ID - review",IF(AND(P1225&lt;&gt;"Unmapped",P1225&lt;&gt;F1225),"Category mismatch","OK"))))))</f>
        <v>OK</v>
      </c>
      <c r="O1225" s="125">
        <f t="shared" si="57"/>
        <v>2260.0300000000002</v>
      </c>
      <c r="P1225" t="str">
        <f>IF(E1225="","Unmapped",IFERROR(INDEX(Supplier_Lookup!$B$2:$B$25,MATCH(E1225,Supplier_Lookup!$A$2:$A$25,0)),"Unmapped"))</f>
        <v>Office &amp; Training</v>
      </c>
      <c r="Q1225" s="76">
        <f>IFERROR(INDEX(Category_Targets!$B$2:$B$9,MATCH(F1225,Category_Targets!$A$2:$A$9,0)),0)</f>
        <v>0.04</v>
      </c>
      <c r="R1225" s="125">
        <f t="shared" si="58"/>
        <v>90.401200000000003</v>
      </c>
      <c r="S1225" s="78">
        <f t="shared" si="59"/>
        <v>45931</v>
      </c>
      <c r="T1225" t="str">
        <f>IFERROR(VLOOKUP(B1225,Sites!$A$2:$D$21,4,FALSE()),"Unknown")</f>
        <v>Birmingham</v>
      </c>
      <c r="U1225" t="str">
        <f>IF(N1225="OK","",COUNTIF($N$2:N1225,"&lt;&gt;OK"))</f>
        <v/>
      </c>
      <c r="V1225">
        <f>IF(OR(NOT(EXACT(E1225,TRIM(Procurement_Raw!E1225))),NOT(EXACT(F1225,TRIM(Procurement_Raw!F1225)))),1,0)</f>
        <v>0</v>
      </c>
    </row>
    <row r="1226" spans="1:22" ht="15" customHeight="1" x14ac:dyDescent="0.25">
      <c r="A1226" s="123">
        <f>Procurement_Raw!A1226</f>
        <v>45913</v>
      </c>
      <c r="B1226" t="str">
        <f>TRIM(Procurement_Raw!B1226)</f>
        <v>S007</v>
      </c>
      <c r="C1226" t="str">
        <f>Procurement_Raw!C1226</f>
        <v>Nottingham Care &amp; Education Centre</v>
      </c>
      <c r="D1226" t="str">
        <f>Procurement_Raw!D1226</f>
        <v>Midlands</v>
      </c>
      <c r="E1226" t="str">
        <f>IF(TRIM(Procurement_Raw!E1226)="","",IFERROR(INDEX(Supplier_Lookup!$A$2:$A$25,MATCH(TRIM(Procurement_Raw!E1226),Supplier_Lookup!$A$2:$A$25,0)),TRIM(Procurement_Raw!E1226)))</f>
        <v>BuildCare</v>
      </c>
      <c r="F1226" t="str">
        <f>IFERROR(INDEX(Category_Targets!$A$2:$A$9,MATCH(TRIM(Procurement_Raw!F1226),Category_Targets!$A$2:$A$9,0)),"Unmapped")</f>
        <v>Facilities</v>
      </c>
      <c r="G1226" t="str">
        <f>TRIM(Procurement_Raw!G1226)</f>
        <v>INV-2025-01225</v>
      </c>
      <c r="H1226" s="77">
        <f>Procurement_Raw!H1226</f>
        <v>28</v>
      </c>
      <c r="I1226" s="124">
        <f>Procurement_Raw!I1226</f>
        <v>162.56</v>
      </c>
      <c r="J1226" s="125">
        <f>IF(Procurement_Raw!J1226="","",Procurement_Raw!J1226)</f>
        <v>4551.6899999999996</v>
      </c>
      <c r="K1226" s="77">
        <f>Procurement_Raw!K1226</f>
        <v>60</v>
      </c>
      <c r="L1226" t="str">
        <f>Procurement_Raw!L1226</f>
        <v>Legacy Spend File</v>
      </c>
      <c r="M1226" t="str">
        <f>Procurement_Raw!O1226</f>
        <v>N</v>
      </c>
      <c r="N1226" t="str">
        <f>IF(E1226="","Missing supplier",IF(B1226="","Missing site",IF(J1226="","Missing spend",IF(COUNTIFS($G$2:G1226,G1226,$E$2:E1226,E1226,$J$2:J1226,J1226)&gt;1,"Duplicate invoice",IF(COUNTIF($G$2:$G$1801,G1226)&gt;1,"Duplicate ID - review",IF(AND(P1226&lt;&gt;"Unmapped",P1226&lt;&gt;F1226),"Category mismatch","OK"))))))</f>
        <v>OK</v>
      </c>
      <c r="O1226" s="125">
        <f t="shared" si="57"/>
        <v>4551.6899999999996</v>
      </c>
      <c r="P1226" t="str">
        <f>IF(E1226="","Unmapped",IFERROR(INDEX(Supplier_Lookup!$B$2:$B$25,MATCH(E1226,Supplier_Lookup!$A$2:$A$25,0)),"Unmapped"))</f>
        <v>Facilities</v>
      </c>
      <c r="Q1226" s="76">
        <f>IFERROR(INDEX(Category_Targets!$B$2:$B$9,MATCH(F1226,Category_Targets!$A$2:$A$9,0)),0)</f>
        <v>0.05</v>
      </c>
      <c r="R1226" s="125">
        <f t="shared" si="58"/>
        <v>227.58449999999999</v>
      </c>
      <c r="S1226" s="78">
        <f t="shared" si="59"/>
        <v>45901</v>
      </c>
      <c r="T1226" t="str">
        <f>IFERROR(VLOOKUP(B1226,Sites!$A$2:$D$21,4,FALSE()),"Unknown")</f>
        <v>Nottingham</v>
      </c>
      <c r="U1226" t="str">
        <f>IF(N1226="OK","",COUNTIF($N$2:N1226,"&lt;&gt;OK"))</f>
        <v/>
      </c>
      <c r="V1226">
        <f>IF(OR(NOT(EXACT(E1226,TRIM(Procurement_Raw!E1226))),NOT(EXACT(F1226,TRIM(Procurement_Raw!F1226)))),1,0)</f>
        <v>0</v>
      </c>
    </row>
    <row r="1227" spans="1:22" ht="15" customHeight="1" x14ac:dyDescent="0.25">
      <c r="A1227" s="123">
        <f>Procurement_Raw!A1227</f>
        <v>45930</v>
      </c>
      <c r="B1227" t="str">
        <f>TRIM(Procurement_Raw!B1227)</f>
        <v>S019</v>
      </c>
      <c r="C1227" t="str">
        <f>Procurement_Raw!C1227</f>
        <v>Wrexham Care &amp; Education Centre</v>
      </c>
      <c r="D1227" t="str">
        <f>Procurement_Raw!D1227</f>
        <v>Wales</v>
      </c>
      <c r="E1227" t="str">
        <f>IF(TRIM(Procurement_Raw!E1227)="","",IFERROR(INDEX(Supplier_Lookup!$A$2:$A$25,MATCH(TRIM(Procurement_Raw!E1227),Supplier_Lookup!$A$2:$A$25,0)),TRIM(Procurement_Raw!E1227)))</f>
        <v>NetServe</v>
      </c>
      <c r="F1227" t="str">
        <f>IFERROR(INDEX(Category_Targets!$A$2:$A$9,MATCH(TRIM(Procurement_Raw!F1227),Category_Targets!$A$2:$A$9,0)),"Unmapped")</f>
        <v>IT &amp; Telecoms</v>
      </c>
      <c r="G1227" t="str">
        <f>TRIM(Procurement_Raw!G1227)</f>
        <v>INV-2025-01226</v>
      </c>
      <c r="H1227" s="77">
        <f>Procurement_Raw!H1227</f>
        <v>79</v>
      </c>
      <c r="I1227" s="124">
        <f>Procurement_Raw!I1227</f>
        <v>204.84</v>
      </c>
      <c r="J1227" s="125">
        <f>IF(Procurement_Raw!J1227="","",Procurement_Raw!J1227)</f>
        <v>16182.31</v>
      </c>
      <c r="K1227" s="77">
        <f>Procurement_Raw!K1227</f>
        <v>45</v>
      </c>
      <c r="L1227" t="str">
        <f>Procurement_Raw!L1227</f>
        <v>Legacy Spend File</v>
      </c>
      <c r="M1227" t="str">
        <f>Procurement_Raw!O1227</f>
        <v>N</v>
      </c>
      <c r="N1227" t="str">
        <f>IF(E1227="","Missing supplier",IF(B1227="","Missing site",IF(J1227="","Missing spend",IF(COUNTIFS($G$2:G1227,G1227,$E$2:E1227,E1227,$J$2:J1227,J1227)&gt;1,"Duplicate invoice",IF(COUNTIF($G$2:$G$1801,G1227)&gt;1,"Duplicate ID - review",IF(AND(P1227&lt;&gt;"Unmapped",P1227&lt;&gt;F1227),"Category mismatch","OK"))))))</f>
        <v>OK</v>
      </c>
      <c r="O1227" s="125">
        <f t="shared" si="57"/>
        <v>16182.31</v>
      </c>
      <c r="P1227" t="str">
        <f>IF(E1227="","Unmapped",IFERROR(INDEX(Supplier_Lookup!$B$2:$B$25,MATCH(E1227,Supplier_Lookup!$A$2:$A$25,0)),"Unmapped"))</f>
        <v>IT &amp; Telecoms</v>
      </c>
      <c r="Q1227" s="76">
        <f>IFERROR(INDEX(Category_Targets!$B$2:$B$9,MATCH(F1227,Category_Targets!$A$2:$A$9,0)),0)</f>
        <v>0.08</v>
      </c>
      <c r="R1227" s="125">
        <f t="shared" si="58"/>
        <v>1294.5848000000001</v>
      </c>
      <c r="S1227" s="78">
        <f t="shared" si="59"/>
        <v>45901</v>
      </c>
      <c r="T1227" t="str">
        <f>IFERROR(VLOOKUP(B1227,Sites!$A$2:$D$21,4,FALSE()),"Unknown")</f>
        <v>Wrexham</v>
      </c>
      <c r="U1227" t="str">
        <f>IF(N1227="OK","",COUNTIF($N$2:N1227,"&lt;&gt;OK"))</f>
        <v/>
      </c>
      <c r="V1227">
        <f>IF(OR(NOT(EXACT(E1227,TRIM(Procurement_Raw!E1227))),NOT(EXACT(F1227,TRIM(Procurement_Raw!F1227)))),1,0)</f>
        <v>0</v>
      </c>
    </row>
    <row r="1228" spans="1:22" ht="15" customHeight="1" x14ac:dyDescent="0.25">
      <c r="A1228" s="123">
        <f>Procurement_Raw!A1228</f>
        <v>45760</v>
      </c>
      <c r="B1228" t="str">
        <f>TRIM(Procurement_Raw!B1228)</f>
        <v>S002</v>
      </c>
      <c r="C1228" t="str">
        <f>Procurement_Raw!C1228</f>
        <v>Manchester Care &amp; Education Centre</v>
      </c>
      <c r="D1228" t="str">
        <f>Procurement_Raw!D1228</f>
        <v>North</v>
      </c>
      <c r="E1228" t="str">
        <f>IF(TRIM(Procurement_Raw!E1228)="","",IFERROR(INDEX(Supplier_Lookup!$A$2:$A$25,MATCH(TRIM(Procurement_Raw!E1228),Supplier_Lookup!$A$2:$A$25,0)),TRIM(Procurement_Raw!E1228)))</f>
        <v>ClinEquip</v>
      </c>
      <c r="F1228" t="str">
        <f>IFERROR(INDEX(Category_Targets!$A$2:$A$9,MATCH(TRIM(Procurement_Raw!F1228),Category_Targets!$A$2:$A$9,0)),"Unmapped")</f>
        <v>Medical Supplies</v>
      </c>
      <c r="G1228" t="str">
        <f>TRIM(Procurement_Raw!G1228)</f>
        <v>INV-2025-01227</v>
      </c>
      <c r="H1228" s="77">
        <f>Procurement_Raw!H1228</f>
        <v>47</v>
      </c>
      <c r="I1228" s="124">
        <f>Procurement_Raw!I1228</f>
        <v>122.93</v>
      </c>
      <c r="J1228" s="125">
        <f>IF(Procurement_Raw!J1228="","",Procurement_Raw!J1228)</f>
        <v>5777.55</v>
      </c>
      <c r="K1228" s="77">
        <f>Procurement_Raw!K1228</f>
        <v>45</v>
      </c>
      <c r="L1228" t="str">
        <f>Procurement_Raw!L1228</f>
        <v>ERP</v>
      </c>
      <c r="M1228" t="str">
        <f>Procurement_Raw!O1228</f>
        <v>N</v>
      </c>
      <c r="N1228" t="str">
        <f>IF(E1228="","Missing supplier",IF(B1228="","Missing site",IF(J1228="","Missing spend",IF(COUNTIFS($G$2:G1228,G1228,$E$2:E1228,E1228,$J$2:J1228,J1228)&gt;1,"Duplicate invoice",IF(COUNTIF($G$2:$G$1801,G1228)&gt;1,"Duplicate ID - review",IF(AND(P1228&lt;&gt;"Unmapped",P1228&lt;&gt;F1228),"Category mismatch","OK"))))))</f>
        <v>OK</v>
      </c>
      <c r="O1228" s="125">
        <f t="shared" si="57"/>
        <v>5777.55</v>
      </c>
      <c r="P1228" t="str">
        <f>IF(E1228="","Unmapped",IFERROR(INDEX(Supplier_Lookup!$B$2:$B$25,MATCH(E1228,Supplier_Lookup!$A$2:$A$25,0)),"Unmapped"))</f>
        <v>Medical Supplies</v>
      </c>
      <c r="Q1228" s="76">
        <f>IFERROR(INDEX(Category_Targets!$B$2:$B$9,MATCH(F1228,Category_Targets!$A$2:$A$9,0)),0)</f>
        <v>0.06</v>
      </c>
      <c r="R1228" s="125">
        <f t="shared" si="58"/>
        <v>346.65300000000002</v>
      </c>
      <c r="S1228" s="78">
        <f t="shared" si="59"/>
        <v>45748</v>
      </c>
      <c r="T1228" t="str">
        <f>IFERROR(VLOOKUP(B1228,Sites!$A$2:$D$21,4,FALSE()),"Unknown")</f>
        <v>Manchester</v>
      </c>
      <c r="U1228" t="str">
        <f>IF(N1228="OK","",COUNTIF($N$2:N1228,"&lt;&gt;OK"))</f>
        <v/>
      </c>
      <c r="V1228">
        <f>IF(OR(NOT(EXACT(E1228,TRIM(Procurement_Raw!E1228))),NOT(EXACT(F1228,TRIM(Procurement_Raw!F1228)))),1,0)</f>
        <v>0</v>
      </c>
    </row>
    <row r="1229" spans="1:22" ht="15" customHeight="1" x14ac:dyDescent="0.25">
      <c r="A1229" s="123">
        <f>Procurement_Raw!A1229</f>
        <v>46008</v>
      </c>
      <c r="B1229" t="str">
        <f>TRIM(Procurement_Raw!B1229)</f>
        <v>S006</v>
      </c>
      <c r="C1229" t="str">
        <f>Procurement_Raw!C1229</f>
        <v>Birmingham Care &amp; Education Centre</v>
      </c>
      <c r="D1229" t="str">
        <f>Procurement_Raw!D1229</f>
        <v>Midlands</v>
      </c>
      <c r="E1229" t="str">
        <f>IF(TRIM(Procurement_Raw!E1229)="","",IFERROR(INDEX(Supplier_Lookup!$A$2:$A$25,MATCH(TRIM(Procurement_Raw!E1229),Supplier_Lookup!$A$2:$A$25,0)),TRIM(Procurement_Raw!E1229)))</f>
        <v>BuildCare</v>
      </c>
      <c r="F1229" t="str">
        <f>IFERROR(INDEX(Category_Targets!$A$2:$A$9,MATCH(TRIM(Procurement_Raw!F1229),Category_Targets!$A$2:$A$9,0)),"Unmapped")</f>
        <v>Facilities</v>
      </c>
      <c r="G1229" t="str">
        <f>TRIM(Procurement_Raw!G1229)</f>
        <v>INV-2025-01228</v>
      </c>
      <c r="H1229" s="77">
        <f>Procurement_Raw!H1229</f>
        <v>39</v>
      </c>
      <c r="I1229" s="124">
        <f>Procurement_Raw!I1229</f>
        <v>166.02</v>
      </c>
      <c r="J1229" s="125">
        <f>IF(Procurement_Raw!J1229="","",Procurement_Raw!J1229)</f>
        <v>6474.76</v>
      </c>
      <c r="K1229" s="77">
        <f>Procurement_Raw!K1229</f>
        <v>45</v>
      </c>
      <c r="L1229" t="str">
        <f>Procurement_Raw!L1229</f>
        <v>Procurement Portal</v>
      </c>
      <c r="M1229" t="str">
        <f>Procurement_Raw!O1229</f>
        <v>N</v>
      </c>
      <c r="N1229" t="str">
        <f>IF(E1229="","Missing supplier",IF(B1229="","Missing site",IF(J1229="","Missing spend",IF(COUNTIFS($G$2:G1229,G1229,$E$2:E1229,E1229,$J$2:J1229,J1229)&gt;1,"Duplicate invoice",IF(COUNTIF($G$2:$G$1801,G1229)&gt;1,"Duplicate ID - review",IF(AND(P1229&lt;&gt;"Unmapped",P1229&lt;&gt;F1229),"Category mismatch","OK"))))))</f>
        <v>OK</v>
      </c>
      <c r="O1229" s="125">
        <f t="shared" si="57"/>
        <v>6474.76</v>
      </c>
      <c r="P1229" t="str">
        <f>IF(E1229="","Unmapped",IFERROR(INDEX(Supplier_Lookup!$B$2:$B$25,MATCH(E1229,Supplier_Lookup!$A$2:$A$25,0)),"Unmapped"))</f>
        <v>Facilities</v>
      </c>
      <c r="Q1229" s="76">
        <f>IFERROR(INDEX(Category_Targets!$B$2:$B$9,MATCH(F1229,Category_Targets!$A$2:$A$9,0)),0)</f>
        <v>0.05</v>
      </c>
      <c r="R1229" s="125">
        <f t="shared" si="58"/>
        <v>323.73800000000006</v>
      </c>
      <c r="S1229" s="78">
        <f t="shared" si="59"/>
        <v>45992</v>
      </c>
      <c r="T1229" t="str">
        <f>IFERROR(VLOOKUP(B1229,Sites!$A$2:$D$21,4,FALSE()),"Unknown")</f>
        <v>Birmingham</v>
      </c>
      <c r="U1229" t="str">
        <f>IF(N1229="OK","",COUNTIF($N$2:N1229,"&lt;&gt;OK"))</f>
        <v/>
      </c>
      <c r="V1229">
        <f>IF(OR(NOT(EXACT(E1229,TRIM(Procurement_Raw!E1229))),NOT(EXACT(F1229,TRIM(Procurement_Raw!F1229)))),1,0)</f>
        <v>0</v>
      </c>
    </row>
    <row r="1230" spans="1:22" ht="15" customHeight="1" x14ac:dyDescent="0.25">
      <c r="A1230" s="123">
        <f>Procurement_Raw!A1230</f>
        <v>45762</v>
      </c>
      <c r="B1230" t="str">
        <f>TRIM(Procurement_Raw!B1230)</f>
        <v>S012</v>
      </c>
      <c r="C1230" t="str">
        <f>Procurement_Raw!C1230</f>
        <v>Bristol Care &amp; Education Centre</v>
      </c>
      <c r="D1230" t="str">
        <f>Procurement_Raw!D1230</f>
        <v>South</v>
      </c>
      <c r="E1230" t="str">
        <f>IF(TRIM(Procurement_Raw!E1230)="","",IFERROR(INDEX(Supplier_Lookup!$A$2:$A$25,MATCH(TRIM(Procurement_Raw!E1230),Supplier_Lookup!$A$2:$A$25,0)),TRIM(Procurement_Raw!E1230)))</f>
        <v>KitchenPro</v>
      </c>
      <c r="F1230" t="str">
        <f>IFERROR(INDEX(Category_Targets!$A$2:$A$9,MATCH(TRIM(Procurement_Raw!F1230),Category_Targets!$A$2:$A$9,0)),"Unmapped")</f>
        <v>Food &amp; Catering</v>
      </c>
      <c r="G1230" t="str">
        <f>TRIM(Procurement_Raw!G1230)</f>
        <v>INV-2025-01229</v>
      </c>
      <c r="H1230" s="77">
        <f>Procurement_Raw!H1230</f>
        <v>53</v>
      </c>
      <c r="I1230" s="124">
        <f>Procurement_Raw!I1230</f>
        <v>110.45</v>
      </c>
      <c r="J1230" s="125">
        <f>IF(Procurement_Raw!J1230="","",Procurement_Raw!J1230)</f>
        <v>5853.6</v>
      </c>
      <c r="K1230" s="77">
        <f>Procurement_Raw!K1230</f>
        <v>45</v>
      </c>
      <c r="L1230" t="str">
        <f>Procurement_Raw!L1230</f>
        <v>Procurement Portal</v>
      </c>
      <c r="M1230" t="str">
        <f>Procurement_Raw!O1230</f>
        <v>N</v>
      </c>
      <c r="N1230" t="str">
        <f>IF(E1230="","Missing supplier",IF(B1230="","Missing site",IF(J1230="","Missing spend",IF(COUNTIFS($G$2:G1230,G1230,$E$2:E1230,E1230,$J$2:J1230,J1230)&gt;1,"Duplicate invoice",IF(COUNTIF($G$2:$G$1801,G1230)&gt;1,"Duplicate ID - review",IF(AND(P1230&lt;&gt;"Unmapped",P1230&lt;&gt;F1230),"Category mismatch","OK"))))))</f>
        <v>OK</v>
      </c>
      <c r="O1230" s="125">
        <f t="shared" si="57"/>
        <v>5853.6</v>
      </c>
      <c r="P1230" t="str">
        <f>IF(E1230="","Unmapped",IFERROR(INDEX(Supplier_Lookup!$B$2:$B$25,MATCH(E1230,Supplier_Lookup!$A$2:$A$25,0)),"Unmapped"))</f>
        <v>Food &amp; Catering</v>
      </c>
      <c r="Q1230" s="76">
        <f>IFERROR(INDEX(Category_Targets!$B$2:$B$9,MATCH(F1230,Category_Targets!$A$2:$A$9,0)),0)</f>
        <v>0.04</v>
      </c>
      <c r="R1230" s="125">
        <f t="shared" si="58"/>
        <v>234.14400000000001</v>
      </c>
      <c r="S1230" s="78">
        <f t="shared" si="59"/>
        <v>45748</v>
      </c>
      <c r="T1230" t="str">
        <f>IFERROR(VLOOKUP(B1230,Sites!$A$2:$D$21,4,FALSE()),"Unknown")</f>
        <v>Bristol</v>
      </c>
      <c r="U1230" t="str">
        <f>IF(N1230="OK","",COUNTIF($N$2:N1230,"&lt;&gt;OK"))</f>
        <v/>
      </c>
      <c r="V1230">
        <f>IF(OR(NOT(EXACT(E1230,TRIM(Procurement_Raw!E1230))),NOT(EXACT(F1230,TRIM(Procurement_Raw!F1230)))),1,0)</f>
        <v>0</v>
      </c>
    </row>
    <row r="1231" spans="1:22" ht="15" customHeight="1" x14ac:dyDescent="0.25">
      <c r="A1231" s="123">
        <f>Procurement_Raw!A1231</f>
        <v>46009</v>
      </c>
      <c r="B1231" t="str">
        <f>TRIM(Procurement_Raw!B1231)</f>
        <v>S001</v>
      </c>
      <c r="C1231" t="str">
        <f>Procurement_Raw!C1231</f>
        <v>Preston Care &amp; Education Centre</v>
      </c>
      <c r="D1231" t="str">
        <f>Procurement_Raw!D1231</f>
        <v>North</v>
      </c>
      <c r="E1231" t="str">
        <f>IF(TRIM(Procurement_Raw!E1231)="","",IFERROR(INDEX(Supplier_Lookup!$A$2:$A$25,MATCH(TRIM(Procurement_Raw!E1231),Supplier_Lookup!$A$2:$A$25,0)),TRIM(Procurement_Raw!E1231)))</f>
        <v>SafeGuard FM</v>
      </c>
      <c r="F1231" t="str">
        <f>IFERROR(INDEX(Category_Targets!$A$2:$A$9,MATCH(TRIM(Procurement_Raw!F1231),Category_Targets!$A$2:$A$9,0)),"Unmapped")</f>
        <v>Facilities</v>
      </c>
      <c r="G1231" t="str">
        <f>TRIM(Procurement_Raw!G1231)</f>
        <v>INV-2025-01230</v>
      </c>
      <c r="H1231" s="77">
        <f>Procurement_Raw!H1231</f>
        <v>77</v>
      </c>
      <c r="I1231" s="124">
        <f>Procurement_Raw!I1231</f>
        <v>607.13</v>
      </c>
      <c r="J1231" s="125">
        <f>IF(Procurement_Raw!J1231="","",Procurement_Raw!J1231)</f>
        <v>46749.08</v>
      </c>
      <c r="K1231" s="77">
        <f>Procurement_Raw!K1231</f>
        <v>30</v>
      </c>
      <c r="L1231" t="str">
        <f>Procurement_Raw!L1231</f>
        <v>Procurement Portal</v>
      </c>
      <c r="M1231" t="str">
        <f>Procurement_Raw!O1231</f>
        <v>N</v>
      </c>
      <c r="N1231" t="str">
        <f>IF(E1231="","Missing supplier",IF(B1231="","Missing site",IF(J1231="","Missing spend",IF(COUNTIFS($G$2:G1231,G1231,$E$2:E1231,E1231,$J$2:J1231,J1231)&gt;1,"Duplicate invoice",IF(COUNTIF($G$2:$G$1801,G1231)&gt;1,"Duplicate ID - review",IF(AND(P1231&lt;&gt;"Unmapped",P1231&lt;&gt;F1231),"Category mismatch","OK"))))))</f>
        <v>OK</v>
      </c>
      <c r="O1231" s="125">
        <f t="shared" si="57"/>
        <v>46749.08</v>
      </c>
      <c r="P1231" t="str">
        <f>IF(E1231="","Unmapped",IFERROR(INDEX(Supplier_Lookup!$B$2:$B$25,MATCH(E1231,Supplier_Lookup!$A$2:$A$25,0)),"Unmapped"))</f>
        <v>Facilities</v>
      </c>
      <c r="Q1231" s="76">
        <f>IFERROR(INDEX(Category_Targets!$B$2:$B$9,MATCH(F1231,Category_Targets!$A$2:$A$9,0)),0)</f>
        <v>0.05</v>
      </c>
      <c r="R1231" s="125">
        <f t="shared" si="58"/>
        <v>2337.4540000000002</v>
      </c>
      <c r="S1231" s="78">
        <f t="shared" si="59"/>
        <v>45992</v>
      </c>
      <c r="T1231" t="str">
        <f>IFERROR(VLOOKUP(B1231,Sites!$A$2:$D$21,4,FALSE()),"Unknown")</f>
        <v>Preston</v>
      </c>
      <c r="U1231" t="str">
        <f>IF(N1231="OK","",COUNTIF($N$2:N1231,"&lt;&gt;OK"))</f>
        <v/>
      </c>
      <c r="V1231">
        <f>IF(OR(NOT(EXACT(E1231,TRIM(Procurement_Raw!E1231))),NOT(EXACT(F1231,TRIM(Procurement_Raw!F1231)))),1,0)</f>
        <v>0</v>
      </c>
    </row>
    <row r="1232" spans="1:22" ht="15" customHeight="1" x14ac:dyDescent="0.25">
      <c r="A1232" s="123">
        <f>Procurement_Raw!A1232</f>
        <v>45756</v>
      </c>
      <c r="B1232" t="str">
        <f>TRIM(Procurement_Raw!B1232)</f>
        <v>S012</v>
      </c>
      <c r="C1232" t="str">
        <f>Procurement_Raw!C1232</f>
        <v>Bristol Care &amp; Education Centre</v>
      </c>
      <c r="D1232" t="str">
        <f>Procurement_Raw!D1232</f>
        <v>South</v>
      </c>
      <c r="E1232" t="str">
        <f>IF(TRIM(Procurement_Raw!E1232)="","",IFERROR(INDEX(Supplier_Lookup!$A$2:$A$25,MATCH(TRIM(Procurement_Raw!E1232),Supplier_Lookup!$A$2:$A$25,0)),TRIM(Procurement_Raw!E1232)))</f>
        <v>FreshServe</v>
      </c>
      <c r="F1232" t="str">
        <f>IFERROR(INDEX(Category_Targets!$A$2:$A$9,MATCH(TRIM(Procurement_Raw!F1232),Category_Targets!$A$2:$A$9,0)),"Unmapped")</f>
        <v>Food &amp; Catering</v>
      </c>
      <c r="G1232" t="str">
        <f>TRIM(Procurement_Raw!G1232)</f>
        <v>INV-2025-01231</v>
      </c>
      <c r="H1232" s="77">
        <f>Procurement_Raw!H1232</f>
        <v>4</v>
      </c>
      <c r="I1232" s="124">
        <f>Procurement_Raw!I1232</f>
        <v>47.84</v>
      </c>
      <c r="J1232" s="125">
        <f>IF(Procurement_Raw!J1232="","",Procurement_Raw!J1232)</f>
        <v>191.34</v>
      </c>
      <c r="K1232" s="77">
        <f>Procurement_Raw!K1232</f>
        <v>30</v>
      </c>
      <c r="L1232" t="str">
        <f>Procurement_Raw!L1232</f>
        <v>Procurement Portal</v>
      </c>
      <c r="M1232" t="str">
        <f>Procurement_Raw!O1232</f>
        <v>Y</v>
      </c>
      <c r="N1232" t="str">
        <f>IF(E1232="","Missing supplier",IF(B1232="","Missing site",IF(J1232="","Missing spend",IF(COUNTIFS($G$2:G1232,G1232,$E$2:E1232,E1232,$J$2:J1232,J1232)&gt;1,"Duplicate invoice",IF(COUNTIF($G$2:$G$1801,G1232)&gt;1,"Duplicate ID - review",IF(AND(P1232&lt;&gt;"Unmapped",P1232&lt;&gt;F1232),"Category mismatch","OK"))))))</f>
        <v>OK</v>
      </c>
      <c r="O1232" s="125">
        <f t="shared" si="57"/>
        <v>191.34</v>
      </c>
      <c r="P1232" t="str">
        <f>IF(E1232="","Unmapped",IFERROR(INDEX(Supplier_Lookup!$B$2:$B$25,MATCH(E1232,Supplier_Lookup!$A$2:$A$25,0)),"Unmapped"))</f>
        <v>Food &amp; Catering</v>
      </c>
      <c r="Q1232" s="76">
        <f>IFERROR(INDEX(Category_Targets!$B$2:$B$9,MATCH(F1232,Category_Targets!$A$2:$A$9,0)),0)</f>
        <v>0.04</v>
      </c>
      <c r="R1232" s="125">
        <f t="shared" si="58"/>
        <v>7.6536</v>
      </c>
      <c r="S1232" s="78">
        <f t="shared" si="59"/>
        <v>45748</v>
      </c>
      <c r="T1232" t="str">
        <f>IFERROR(VLOOKUP(B1232,Sites!$A$2:$D$21,4,FALSE()),"Unknown")</f>
        <v>Bristol</v>
      </c>
      <c r="U1232" t="str">
        <f>IF(N1232="OK","",COUNTIF($N$2:N1232,"&lt;&gt;OK"))</f>
        <v/>
      </c>
      <c r="V1232">
        <f>IF(OR(NOT(EXACT(E1232,TRIM(Procurement_Raw!E1232))),NOT(EXACT(F1232,TRIM(Procurement_Raw!F1232)))),1,0)</f>
        <v>0</v>
      </c>
    </row>
    <row r="1233" spans="1:22" ht="15" customHeight="1" x14ac:dyDescent="0.25">
      <c r="A1233" s="123">
        <f>Procurement_Raw!A1233</f>
        <v>45881</v>
      </c>
      <c r="B1233" t="str">
        <f>TRIM(Procurement_Raw!B1233)</f>
        <v>S015</v>
      </c>
      <c r="C1233" t="str">
        <f>Procurement_Raw!C1233</f>
        <v>Brighton Care &amp; Education Centre</v>
      </c>
      <c r="D1233" t="str">
        <f>Procurement_Raw!D1233</f>
        <v>South</v>
      </c>
      <c r="E1233" t="str">
        <f>IF(TRIM(Procurement_Raw!E1233)="","",IFERROR(INDEX(Supplier_Lookup!$A$2:$A$25,MATCH(TRIM(Procurement_Raw!E1233),Supplier_Lookup!$A$2:$A$25,0)),TRIM(Procurement_Raw!E1233)))</f>
        <v>PrintCo</v>
      </c>
      <c r="F1233" t="str">
        <f>IFERROR(INDEX(Category_Targets!$A$2:$A$9,MATCH(TRIM(Procurement_Raw!F1233),Category_Targets!$A$2:$A$9,0)),"Unmapped")</f>
        <v>Office &amp; Training</v>
      </c>
      <c r="G1233" t="str">
        <f>TRIM(Procurement_Raw!G1233)</f>
        <v>INV-2025-01232</v>
      </c>
      <c r="H1233" s="77">
        <f>Procurement_Raw!H1233</f>
        <v>55</v>
      </c>
      <c r="I1233" s="124">
        <f>Procurement_Raw!I1233</f>
        <v>35.31</v>
      </c>
      <c r="J1233" s="125">
        <f>IF(Procurement_Raw!J1233="","",Procurement_Raw!J1233)</f>
        <v>1941.91</v>
      </c>
      <c r="K1233" s="77">
        <f>Procurement_Raw!K1233</f>
        <v>60</v>
      </c>
      <c r="L1233" t="str">
        <f>Procurement_Raw!L1233</f>
        <v>ERP</v>
      </c>
      <c r="M1233" t="str">
        <f>Procurement_Raw!O1233</f>
        <v>N</v>
      </c>
      <c r="N1233" t="str">
        <f>IF(E1233="","Missing supplier",IF(B1233="","Missing site",IF(J1233="","Missing spend",IF(COUNTIFS($G$2:G1233,G1233,$E$2:E1233,E1233,$J$2:J1233,J1233)&gt;1,"Duplicate invoice",IF(COUNTIF($G$2:$G$1801,G1233)&gt;1,"Duplicate ID - review",IF(AND(P1233&lt;&gt;"Unmapped",P1233&lt;&gt;F1233),"Category mismatch","OK"))))))</f>
        <v>OK</v>
      </c>
      <c r="O1233" s="125">
        <f t="shared" si="57"/>
        <v>1941.91</v>
      </c>
      <c r="P1233" t="str">
        <f>IF(E1233="","Unmapped",IFERROR(INDEX(Supplier_Lookup!$B$2:$B$25,MATCH(E1233,Supplier_Lookup!$A$2:$A$25,0)),"Unmapped"))</f>
        <v>Office &amp; Training</v>
      </c>
      <c r="Q1233" s="76">
        <f>IFERROR(INDEX(Category_Targets!$B$2:$B$9,MATCH(F1233,Category_Targets!$A$2:$A$9,0)),0)</f>
        <v>0.04</v>
      </c>
      <c r="R1233" s="125">
        <f t="shared" si="58"/>
        <v>77.676400000000001</v>
      </c>
      <c r="S1233" s="78">
        <f t="shared" si="59"/>
        <v>45870</v>
      </c>
      <c r="T1233" t="str">
        <f>IFERROR(VLOOKUP(B1233,Sites!$A$2:$D$21,4,FALSE()),"Unknown")</f>
        <v>Brighton</v>
      </c>
      <c r="U1233" t="str">
        <f>IF(N1233="OK","",COUNTIF($N$2:N1233,"&lt;&gt;OK"))</f>
        <v/>
      </c>
      <c r="V1233">
        <f>IF(OR(NOT(EXACT(E1233,TRIM(Procurement_Raw!E1233))),NOT(EXACT(F1233,TRIM(Procurement_Raw!F1233)))),1,0)</f>
        <v>0</v>
      </c>
    </row>
    <row r="1234" spans="1:22" ht="15" customHeight="1" x14ac:dyDescent="0.25">
      <c r="A1234" s="123">
        <f>Procurement_Raw!A1234</f>
        <v>45727</v>
      </c>
      <c r="B1234" t="str">
        <f>TRIM(Procurement_Raw!B1234)</f>
        <v>S013</v>
      </c>
      <c r="C1234" t="str">
        <f>Procurement_Raw!C1234</f>
        <v>Reading Care &amp; Education Centre</v>
      </c>
      <c r="D1234" t="str">
        <f>Procurement_Raw!D1234</f>
        <v>South</v>
      </c>
      <c r="E1234" t="str">
        <f>IF(TRIM(Procurement_Raw!E1234)="","",IFERROR(INDEX(Supplier_Lookup!$A$2:$A$25,MATCH(TRIM(Procurement_Raw!E1234),Supplier_Lookup!$A$2:$A$25,0)),TRIM(Procurement_Raw!E1234)))</f>
        <v>SafeGuard FM</v>
      </c>
      <c r="F1234" t="str">
        <f>IFERROR(INDEX(Category_Targets!$A$2:$A$9,MATCH(TRIM(Procurement_Raw!F1234),Category_Targets!$A$2:$A$9,0)),"Unmapped")</f>
        <v>Facilities</v>
      </c>
      <c r="G1234" t="str">
        <f>TRIM(Procurement_Raw!G1234)</f>
        <v>INV-2025-01233</v>
      </c>
      <c r="H1234" s="77">
        <f>Procurement_Raw!H1234</f>
        <v>4</v>
      </c>
      <c r="I1234" s="124">
        <f>Procurement_Raw!I1234</f>
        <v>171.47</v>
      </c>
      <c r="J1234" s="125">
        <f>IF(Procurement_Raw!J1234="","",Procurement_Raw!J1234)</f>
        <v>685.88</v>
      </c>
      <c r="K1234" s="77">
        <f>Procurement_Raw!K1234</f>
        <v>45</v>
      </c>
      <c r="L1234" t="str">
        <f>Procurement_Raw!L1234</f>
        <v>Procurement Portal</v>
      </c>
      <c r="M1234" t="str">
        <f>Procurement_Raw!O1234</f>
        <v>N</v>
      </c>
      <c r="N1234" t="str">
        <f>IF(E1234="","Missing supplier",IF(B1234="","Missing site",IF(J1234="","Missing spend",IF(COUNTIFS($G$2:G1234,G1234,$E$2:E1234,E1234,$J$2:J1234,J1234)&gt;1,"Duplicate invoice",IF(COUNTIF($G$2:$G$1801,G1234)&gt;1,"Duplicate ID - review",IF(AND(P1234&lt;&gt;"Unmapped",P1234&lt;&gt;F1234),"Category mismatch","OK"))))))</f>
        <v>OK</v>
      </c>
      <c r="O1234" s="125">
        <f t="shared" si="57"/>
        <v>685.88</v>
      </c>
      <c r="P1234" t="str">
        <f>IF(E1234="","Unmapped",IFERROR(INDEX(Supplier_Lookup!$B$2:$B$25,MATCH(E1234,Supplier_Lookup!$A$2:$A$25,0)),"Unmapped"))</f>
        <v>Facilities</v>
      </c>
      <c r="Q1234" s="76">
        <f>IFERROR(INDEX(Category_Targets!$B$2:$B$9,MATCH(F1234,Category_Targets!$A$2:$A$9,0)),0)</f>
        <v>0.05</v>
      </c>
      <c r="R1234" s="125">
        <f t="shared" si="58"/>
        <v>34.294000000000004</v>
      </c>
      <c r="S1234" s="78">
        <f t="shared" si="59"/>
        <v>45717</v>
      </c>
      <c r="T1234" t="str">
        <f>IFERROR(VLOOKUP(B1234,Sites!$A$2:$D$21,4,FALSE()),"Unknown")</f>
        <v>Reading</v>
      </c>
      <c r="U1234" t="str">
        <f>IF(N1234="OK","",COUNTIF($N$2:N1234,"&lt;&gt;OK"))</f>
        <v/>
      </c>
      <c r="V1234">
        <f>IF(OR(NOT(EXACT(E1234,TRIM(Procurement_Raw!E1234))),NOT(EXACT(F1234,TRIM(Procurement_Raw!F1234)))),1,0)</f>
        <v>0</v>
      </c>
    </row>
    <row r="1235" spans="1:22" ht="15" customHeight="1" x14ac:dyDescent="0.25">
      <c r="A1235" s="123">
        <f>Procurement_Raw!A1235</f>
        <v>45679</v>
      </c>
      <c r="B1235" t="str">
        <f>TRIM(Procurement_Raw!B1235)</f>
        <v>S019</v>
      </c>
      <c r="C1235" t="str">
        <f>Procurement_Raw!C1235</f>
        <v>Wrexham Care &amp; Education Centre</v>
      </c>
      <c r="D1235" t="str">
        <f>Procurement_Raw!D1235</f>
        <v>Wales</v>
      </c>
      <c r="E1235" t="str">
        <f>IF(TRIM(Procurement_Raw!E1235)="","",IFERROR(INDEX(Supplier_Lookup!$A$2:$A$25,MATCH(TRIM(Procurement_Raw!E1235),Supplier_Lookup!$A$2:$A$25,0)),TRIM(Procurement_Raw!E1235)))</f>
        <v>BuildCare</v>
      </c>
      <c r="F1235" t="str">
        <f>IFERROR(INDEX(Category_Targets!$A$2:$A$9,MATCH(TRIM(Procurement_Raw!F1235),Category_Targets!$A$2:$A$9,0)),"Unmapped")</f>
        <v>Facilities</v>
      </c>
      <c r="G1235" t="str">
        <f>TRIM(Procurement_Raw!G1235)</f>
        <v>INV-2025-01234</v>
      </c>
      <c r="H1235" s="77">
        <f>Procurement_Raw!H1235</f>
        <v>63</v>
      </c>
      <c r="I1235" s="124">
        <f>Procurement_Raw!I1235</f>
        <v>743.82</v>
      </c>
      <c r="J1235" s="125">
        <f>IF(Procurement_Raw!J1235="","",Procurement_Raw!J1235)</f>
        <v>46860.56</v>
      </c>
      <c r="K1235" s="77">
        <f>Procurement_Raw!K1235</f>
        <v>30</v>
      </c>
      <c r="L1235" t="str">
        <f>Procurement_Raw!L1235</f>
        <v>ERP</v>
      </c>
      <c r="M1235" t="str">
        <f>Procurement_Raw!O1235</f>
        <v>N</v>
      </c>
      <c r="N1235" t="str">
        <f>IF(E1235="","Missing supplier",IF(B1235="","Missing site",IF(J1235="","Missing spend",IF(COUNTIFS($G$2:G1235,G1235,$E$2:E1235,E1235,$J$2:J1235,J1235)&gt;1,"Duplicate invoice",IF(COUNTIF($G$2:$G$1801,G1235)&gt;1,"Duplicate ID - review",IF(AND(P1235&lt;&gt;"Unmapped",P1235&lt;&gt;F1235),"Category mismatch","OK"))))))</f>
        <v>OK</v>
      </c>
      <c r="O1235" s="125">
        <f t="shared" si="57"/>
        <v>46860.56</v>
      </c>
      <c r="P1235" t="str">
        <f>IF(E1235="","Unmapped",IFERROR(INDEX(Supplier_Lookup!$B$2:$B$25,MATCH(E1235,Supplier_Lookup!$A$2:$A$25,0)),"Unmapped"))</f>
        <v>Facilities</v>
      </c>
      <c r="Q1235" s="76">
        <f>IFERROR(INDEX(Category_Targets!$B$2:$B$9,MATCH(F1235,Category_Targets!$A$2:$A$9,0)),0)</f>
        <v>0.05</v>
      </c>
      <c r="R1235" s="125">
        <f t="shared" si="58"/>
        <v>2343.0279999999998</v>
      </c>
      <c r="S1235" s="78">
        <f t="shared" si="59"/>
        <v>45658</v>
      </c>
      <c r="T1235" t="str">
        <f>IFERROR(VLOOKUP(B1235,Sites!$A$2:$D$21,4,FALSE()),"Unknown")</f>
        <v>Wrexham</v>
      </c>
      <c r="U1235" t="str">
        <f>IF(N1235="OK","",COUNTIF($N$2:N1235,"&lt;&gt;OK"))</f>
        <v/>
      </c>
      <c r="V1235">
        <f>IF(OR(NOT(EXACT(E1235,TRIM(Procurement_Raw!E1235))),NOT(EXACT(F1235,TRIM(Procurement_Raw!F1235)))),1,0)</f>
        <v>1</v>
      </c>
    </row>
    <row r="1236" spans="1:22" ht="15" customHeight="1" x14ac:dyDescent="0.25">
      <c r="A1236" s="123">
        <f>Procurement_Raw!A1236</f>
        <v>45810</v>
      </c>
      <c r="B1236" t="str">
        <f>TRIM(Procurement_Raw!B1236)</f>
        <v>S008</v>
      </c>
      <c r="C1236" t="str">
        <f>Procurement_Raw!C1236</f>
        <v>Leicester Care &amp; Education Centre</v>
      </c>
      <c r="D1236" t="str">
        <f>Procurement_Raw!D1236</f>
        <v>Midlands</v>
      </c>
      <c r="E1236" t="str">
        <f>IF(TRIM(Procurement_Raw!E1236)="","",IFERROR(INDEX(Supplier_Lookup!$A$2:$A$25,MATCH(TRIM(Procurement_Raw!E1236),Supplier_Lookup!$A$2:$A$25,0)),TRIM(Procurement_Raw!E1236)))</f>
        <v>AutoCare</v>
      </c>
      <c r="F1236" t="str">
        <f>IFERROR(INDEX(Category_Targets!$A$2:$A$9,MATCH(TRIM(Procurement_Raw!F1236),Category_Targets!$A$2:$A$9,0)),"Unmapped")</f>
        <v>Vehicle &amp; Fuel</v>
      </c>
      <c r="G1236" t="str">
        <f>TRIM(Procurement_Raw!G1236)</f>
        <v>INV-2025-01235</v>
      </c>
      <c r="H1236" s="77">
        <f>Procurement_Raw!H1236</f>
        <v>9</v>
      </c>
      <c r="I1236" s="124">
        <f>Procurement_Raw!I1236</f>
        <v>61.06</v>
      </c>
      <c r="J1236" s="125">
        <f>IF(Procurement_Raw!J1236="","",Procurement_Raw!J1236)</f>
        <v>549.54</v>
      </c>
      <c r="K1236" s="77">
        <f>Procurement_Raw!K1236</f>
        <v>45</v>
      </c>
      <c r="L1236" t="str">
        <f>Procurement_Raw!L1236</f>
        <v>Procurement Portal</v>
      </c>
      <c r="M1236" t="str">
        <f>Procurement_Raw!O1236</f>
        <v>N</v>
      </c>
      <c r="N1236" t="str">
        <f>IF(E1236="","Missing supplier",IF(B1236="","Missing site",IF(J1236="","Missing spend",IF(COUNTIFS($G$2:G1236,G1236,$E$2:E1236,E1236,$J$2:J1236,J1236)&gt;1,"Duplicate invoice",IF(COUNTIF($G$2:$G$1801,G1236)&gt;1,"Duplicate ID - review",IF(AND(P1236&lt;&gt;"Unmapped",P1236&lt;&gt;F1236),"Category mismatch","OK"))))))</f>
        <v>OK</v>
      </c>
      <c r="O1236" s="125">
        <f t="shared" si="57"/>
        <v>549.54</v>
      </c>
      <c r="P1236" t="str">
        <f>IF(E1236="","Unmapped",IFERROR(INDEX(Supplier_Lookup!$B$2:$B$25,MATCH(E1236,Supplier_Lookup!$A$2:$A$25,0)),"Unmapped"))</f>
        <v>Vehicle &amp; Fuel</v>
      </c>
      <c r="Q1236" s="76">
        <f>IFERROR(INDEX(Category_Targets!$B$2:$B$9,MATCH(F1236,Category_Targets!$A$2:$A$9,0)),0)</f>
        <v>0.05</v>
      </c>
      <c r="R1236" s="125">
        <f t="shared" si="58"/>
        <v>27.477</v>
      </c>
      <c r="S1236" s="78">
        <f t="shared" si="59"/>
        <v>45809</v>
      </c>
      <c r="T1236" t="str">
        <f>IFERROR(VLOOKUP(B1236,Sites!$A$2:$D$21,4,FALSE()),"Unknown")</f>
        <v>Leicester</v>
      </c>
      <c r="U1236" t="str">
        <f>IF(N1236="OK","",COUNTIF($N$2:N1236,"&lt;&gt;OK"))</f>
        <v/>
      </c>
      <c r="V1236">
        <f>IF(OR(NOT(EXACT(E1236,TRIM(Procurement_Raw!E1236))),NOT(EXACT(F1236,TRIM(Procurement_Raw!F1236)))),1,0)</f>
        <v>0</v>
      </c>
    </row>
    <row r="1237" spans="1:22" ht="15" customHeight="1" x14ac:dyDescent="0.25">
      <c r="A1237" s="123">
        <f>Procurement_Raw!A1237</f>
        <v>45729</v>
      </c>
      <c r="B1237" t="str">
        <f>TRIM(Procurement_Raw!B1237)</f>
        <v>S014</v>
      </c>
      <c r="C1237" t="str">
        <f>Procurement_Raw!C1237</f>
        <v>Southampton Care &amp; Education Centre</v>
      </c>
      <c r="D1237" t="str">
        <f>Procurement_Raw!D1237</f>
        <v>South</v>
      </c>
      <c r="E1237" t="str">
        <f>IF(TRIM(Procurement_Raw!E1237)="","",IFERROR(INDEX(Supplier_Lookup!$A$2:$A$25,MATCH(TRIM(Procurement_Raw!E1237),Supplier_Lookup!$A$2:$A$25,0)),TRIM(Procurement_Raw!E1237)))</f>
        <v>NourishCo</v>
      </c>
      <c r="F1237" t="str">
        <f>IFERROR(INDEX(Category_Targets!$A$2:$A$9,MATCH(TRIM(Procurement_Raw!F1237),Category_Targets!$A$2:$A$9,0)),"Unmapped")</f>
        <v>Food &amp; Catering</v>
      </c>
      <c r="G1237" t="str">
        <f>TRIM(Procurement_Raw!G1237)</f>
        <v>INV-2025-01236</v>
      </c>
      <c r="H1237" s="77">
        <f>Procurement_Raw!H1237</f>
        <v>31</v>
      </c>
      <c r="I1237" s="124">
        <f>Procurement_Raw!I1237</f>
        <v>160.12</v>
      </c>
      <c r="J1237" s="125">
        <f>IF(Procurement_Raw!J1237="","",Procurement_Raw!J1237)</f>
        <v>4963.6099999999997</v>
      </c>
      <c r="K1237" s="77">
        <f>Procurement_Raw!K1237</f>
        <v>30</v>
      </c>
      <c r="L1237" t="str">
        <f>Procurement_Raw!L1237</f>
        <v>Legacy Spend File</v>
      </c>
      <c r="M1237" t="str">
        <f>Procurement_Raw!O1237</f>
        <v>N</v>
      </c>
      <c r="N1237" t="str">
        <f>IF(E1237="","Missing supplier",IF(B1237="","Missing site",IF(J1237="","Missing spend",IF(COUNTIFS($G$2:G1237,G1237,$E$2:E1237,E1237,$J$2:J1237,J1237)&gt;1,"Duplicate invoice",IF(COUNTIF($G$2:$G$1801,G1237)&gt;1,"Duplicate ID - review",IF(AND(P1237&lt;&gt;"Unmapped",P1237&lt;&gt;F1237),"Category mismatch","OK"))))))</f>
        <v>OK</v>
      </c>
      <c r="O1237" s="125">
        <f t="shared" si="57"/>
        <v>4963.6099999999997</v>
      </c>
      <c r="P1237" t="str">
        <f>IF(E1237="","Unmapped",IFERROR(INDEX(Supplier_Lookup!$B$2:$B$25,MATCH(E1237,Supplier_Lookup!$A$2:$A$25,0)),"Unmapped"))</f>
        <v>Food &amp; Catering</v>
      </c>
      <c r="Q1237" s="76">
        <f>IFERROR(INDEX(Category_Targets!$B$2:$B$9,MATCH(F1237,Category_Targets!$A$2:$A$9,0)),0)</f>
        <v>0.04</v>
      </c>
      <c r="R1237" s="125">
        <f t="shared" si="58"/>
        <v>198.5444</v>
      </c>
      <c r="S1237" s="78">
        <f t="shared" si="59"/>
        <v>45717</v>
      </c>
      <c r="T1237" t="str">
        <f>IFERROR(VLOOKUP(B1237,Sites!$A$2:$D$21,4,FALSE()),"Unknown")</f>
        <v>Southampton</v>
      </c>
      <c r="U1237" t="str">
        <f>IF(N1237="OK","",COUNTIF($N$2:N1237,"&lt;&gt;OK"))</f>
        <v/>
      </c>
      <c r="V1237">
        <f>IF(OR(NOT(EXACT(E1237,TRIM(Procurement_Raw!E1237))),NOT(EXACT(F1237,TRIM(Procurement_Raw!F1237)))),1,0)</f>
        <v>0</v>
      </c>
    </row>
    <row r="1238" spans="1:22" ht="15" customHeight="1" x14ac:dyDescent="0.25">
      <c r="A1238" s="123">
        <f>Procurement_Raw!A1238</f>
        <v>45998</v>
      </c>
      <c r="B1238" t="str">
        <f>TRIM(Procurement_Raw!B1238)</f>
        <v>S002</v>
      </c>
      <c r="C1238" t="str">
        <f>Procurement_Raw!C1238</f>
        <v>Manchester Care &amp; Education Centre</v>
      </c>
      <c r="D1238" t="str">
        <f>Procurement_Raw!D1238</f>
        <v>North</v>
      </c>
      <c r="E1238" t="str">
        <f>IF(TRIM(Procurement_Raw!E1238)="","",IFERROR(INDEX(Supplier_Lookup!$A$2:$A$25,MATCH(TRIM(Procurement_Raw!E1238),Supplier_Lookup!$A$2:$A$25,0)),TRIM(Procurement_Raw!E1238)))</f>
        <v>KitchenPro</v>
      </c>
      <c r="F1238" t="str">
        <f>IFERROR(INDEX(Category_Targets!$A$2:$A$9,MATCH(TRIM(Procurement_Raw!F1238),Category_Targets!$A$2:$A$9,0)),"Unmapped")</f>
        <v>Food &amp; Catering</v>
      </c>
      <c r="G1238" t="str">
        <f>TRIM(Procurement_Raw!G1238)</f>
        <v>INV-2025-01237</v>
      </c>
      <c r="H1238" s="77">
        <f>Procurement_Raw!H1238</f>
        <v>75</v>
      </c>
      <c r="I1238" s="124">
        <f>Procurement_Raw!I1238</f>
        <v>163.55000000000001</v>
      </c>
      <c r="J1238" s="125">
        <f>IF(Procurement_Raw!J1238="","",Procurement_Raw!J1238)</f>
        <v>12266.3</v>
      </c>
      <c r="K1238" s="77">
        <f>Procurement_Raw!K1238</f>
        <v>60</v>
      </c>
      <c r="L1238" t="str">
        <f>Procurement_Raw!L1238</f>
        <v>Procurement Portal</v>
      </c>
      <c r="M1238" t="str">
        <f>Procurement_Raw!O1238</f>
        <v>N</v>
      </c>
      <c r="N1238" t="str">
        <f>IF(E1238="","Missing supplier",IF(B1238="","Missing site",IF(J1238="","Missing spend",IF(COUNTIFS($G$2:G1238,G1238,$E$2:E1238,E1238,$J$2:J1238,J1238)&gt;1,"Duplicate invoice",IF(COUNTIF($G$2:$G$1801,G1238)&gt;1,"Duplicate ID - review",IF(AND(P1238&lt;&gt;"Unmapped",P1238&lt;&gt;F1238),"Category mismatch","OK"))))))</f>
        <v>OK</v>
      </c>
      <c r="O1238" s="125">
        <f t="shared" si="57"/>
        <v>12266.3</v>
      </c>
      <c r="P1238" t="str">
        <f>IF(E1238="","Unmapped",IFERROR(INDEX(Supplier_Lookup!$B$2:$B$25,MATCH(E1238,Supplier_Lookup!$A$2:$A$25,0)),"Unmapped"))</f>
        <v>Food &amp; Catering</v>
      </c>
      <c r="Q1238" s="76">
        <f>IFERROR(INDEX(Category_Targets!$B$2:$B$9,MATCH(F1238,Category_Targets!$A$2:$A$9,0)),0)</f>
        <v>0.04</v>
      </c>
      <c r="R1238" s="125">
        <f t="shared" si="58"/>
        <v>490.65199999999999</v>
      </c>
      <c r="S1238" s="78">
        <f t="shared" si="59"/>
        <v>45992</v>
      </c>
      <c r="T1238" t="str">
        <f>IFERROR(VLOOKUP(B1238,Sites!$A$2:$D$21,4,FALSE()),"Unknown")</f>
        <v>Manchester</v>
      </c>
      <c r="U1238" t="str">
        <f>IF(N1238="OK","",COUNTIF($N$2:N1238,"&lt;&gt;OK"))</f>
        <v/>
      </c>
      <c r="V1238">
        <f>IF(OR(NOT(EXACT(E1238,TRIM(Procurement_Raw!E1238))),NOT(EXACT(F1238,TRIM(Procurement_Raw!F1238)))),1,0)</f>
        <v>0</v>
      </c>
    </row>
    <row r="1239" spans="1:22" ht="15" customHeight="1" x14ac:dyDescent="0.25">
      <c r="A1239" s="123">
        <f>Procurement_Raw!A1239</f>
        <v>45965</v>
      </c>
      <c r="B1239" t="str">
        <f>TRIM(Procurement_Raw!B1239)</f>
        <v>S015</v>
      </c>
      <c r="C1239" t="str">
        <f>Procurement_Raw!C1239</f>
        <v>Brighton Care &amp; Education Centre</v>
      </c>
      <c r="D1239" t="str">
        <f>Procurement_Raw!D1239</f>
        <v>South</v>
      </c>
      <c r="E1239" t="str">
        <f>IF(TRIM(Procurement_Raw!E1239)="","",IFERROR(INDEX(Supplier_Lookup!$A$2:$A$25,MATCH(TRIM(Procurement_Raw!E1239),Supplier_Lookup!$A$2:$A$25,0)),TRIM(Procurement_Raw!E1239)))</f>
        <v>FreshServe</v>
      </c>
      <c r="F1239" t="str">
        <f>IFERROR(INDEX(Category_Targets!$A$2:$A$9,MATCH(TRIM(Procurement_Raw!F1239),Category_Targets!$A$2:$A$9,0)),"Unmapped")</f>
        <v>Food &amp; Catering</v>
      </c>
      <c r="G1239" t="str">
        <f>TRIM(Procurement_Raw!G1239)</f>
        <v>INV-2025-01238</v>
      </c>
      <c r="H1239" s="77">
        <f>Procurement_Raw!H1239</f>
        <v>16</v>
      </c>
      <c r="I1239" s="124">
        <f>Procurement_Raw!I1239</f>
        <v>47.94</v>
      </c>
      <c r="J1239" s="125">
        <f>IF(Procurement_Raw!J1239="","",Procurement_Raw!J1239)</f>
        <v>767.01</v>
      </c>
      <c r="K1239" s="77">
        <f>Procurement_Raw!K1239</f>
        <v>45</v>
      </c>
      <c r="L1239" t="str">
        <f>Procurement_Raw!L1239</f>
        <v>Procurement Portal</v>
      </c>
      <c r="M1239" t="str">
        <f>Procurement_Raw!O1239</f>
        <v>Y</v>
      </c>
      <c r="N1239" t="str">
        <f>IF(E1239="","Missing supplier",IF(B1239="","Missing site",IF(J1239="","Missing spend",IF(COUNTIFS($G$2:G1239,G1239,$E$2:E1239,E1239,$J$2:J1239,J1239)&gt;1,"Duplicate invoice",IF(COUNTIF($G$2:$G$1801,G1239)&gt;1,"Duplicate ID - review",IF(AND(P1239&lt;&gt;"Unmapped",P1239&lt;&gt;F1239),"Category mismatch","OK"))))))</f>
        <v>OK</v>
      </c>
      <c r="O1239" s="125">
        <f t="shared" si="57"/>
        <v>767.01</v>
      </c>
      <c r="P1239" t="str">
        <f>IF(E1239="","Unmapped",IFERROR(INDEX(Supplier_Lookup!$B$2:$B$25,MATCH(E1239,Supplier_Lookup!$A$2:$A$25,0)),"Unmapped"))</f>
        <v>Food &amp; Catering</v>
      </c>
      <c r="Q1239" s="76">
        <f>IFERROR(INDEX(Category_Targets!$B$2:$B$9,MATCH(F1239,Category_Targets!$A$2:$A$9,0)),0)</f>
        <v>0.04</v>
      </c>
      <c r="R1239" s="125">
        <f t="shared" si="58"/>
        <v>30.680399999999999</v>
      </c>
      <c r="S1239" s="78">
        <f t="shared" si="59"/>
        <v>45962</v>
      </c>
      <c r="T1239" t="str">
        <f>IFERROR(VLOOKUP(B1239,Sites!$A$2:$D$21,4,FALSE()),"Unknown")</f>
        <v>Brighton</v>
      </c>
      <c r="U1239" t="str">
        <f>IF(N1239="OK","",COUNTIF($N$2:N1239,"&lt;&gt;OK"))</f>
        <v/>
      </c>
      <c r="V1239">
        <f>IF(OR(NOT(EXACT(E1239,TRIM(Procurement_Raw!E1239))),NOT(EXACT(F1239,TRIM(Procurement_Raw!F1239)))),1,0)</f>
        <v>0</v>
      </c>
    </row>
    <row r="1240" spans="1:22" ht="15" customHeight="1" x14ac:dyDescent="0.25">
      <c r="A1240" s="123">
        <f>Procurement_Raw!A1240</f>
        <v>45778</v>
      </c>
      <c r="B1240" t="str">
        <f>TRIM(Procurement_Raw!B1240)</f>
        <v>S005</v>
      </c>
      <c r="C1240" t="str">
        <f>Procurement_Raw!C1240</f>
        <v>Sheffield Care &amp; Education Centre</v>
      </c>
      <c r="D1240" t="str">
        <f>Procurement_Raw!D1240</f>
        <v>North</v>
      </c>
      <c r="E1240" t="str">
        <f>IF(TRIM(Procurement_Raw!E1240)="","",IFERROR(INDEX(Supplier_Lookup!$A$2:$A$25,MATCH(TRIM(Procurement_Raw!E1240),Supplier_Lookup!$A$2:$A$25,0)),TRIM(Procurement_Raw!E1240)))</f>
        <v>NurseLink</v>
      </c>
      <c r="F1240" t="str">
        <f>IFERROR(INDEX(Category_Targets!$A$2:$A$9,MATCH(TRIM(Procurement_Raw!F1240),Category_Targets!$A$2:$A$9,0)),"Unmapped")</f>
        <v>Agency Labour</v>
      </c>
      <c r="G1240" t="str">
        <f>TRIM(Procurement_Raw!G1240)</f>
        <v>INV-2025-01239</v>
      </c>
      <c r="H1240" s="77">
        <f>Procurement_Raw!H1240</f>
        <v>55</v>
      </c>
      <c r="I1240" s="124">
        <f>Procurement_Raw!I1240</f>
        <v>410.23</v>
      </c>
      <c r="J1240" s="125">
        <f>IF(Procurement_Raw!J1240="","",Procurement_Raw!J1240)</f>
        <v>22562.77</v>
      </c>
      <c r="K1240" s="77">
        <f>Procurement_Raw!K1240</f>
        <v>30</v>
      </c>
      <c r="L1240" t="str">
        <f>Procurement_Raw!L1240</f>
        <v>ERP</v>
      </c>
      <c r="M1240" t="str">
        <f>Procurement_Raw!O1240</f>
        <v>N</v>
      </c>
      <c r="N1240" t="str">
        <f>IF(E1240="","Missing supplier",IF(B1240="","Missing site",IF(J1240="","Missing spend",IF(COUNTIFS($G$2:G1240,G1240,$E$2:E1240,E1240,$J$2:J1240,J1240)&gt;1,"Duplicate invoice",IF(COUNTIF($G$2:$G$1801,G1240)&gt;1,"Duplicate ID - review",IF(AND(P1240&lt;&gt;"Unmapped",P1240&lt;&gt;F1240),"Category mismatch","OK"))))))</f>
        <v>OK</v>
      </c>
      <c r="O1240" s="125">
        <f t="shared" si="57"/>
        <v>22562.77</v>
      </c>
      <c r="P1240" t="str">
        <f>IF(E1240="","Unmapped",IFERROR(INDEX(Supplier_Lookup!$B$2:$B$25,MATCH(E1240,Supplier_Lookup!$A$2:$A$25,0)),"Unmapped"))</f>
        <v>Agency Labour</v>
      </c>
      <c r="Q1240" s="76">
        <f>IFERROR(INDEX(Category_Targets!$B$2:$B$9,MATCH(F1240,Category_Targets!$A$2:$A$9,0)),0)</f>
        <v>7.0000000000000007E-2</v>
      </c>
      <c r="R1240" s="125">
        <f t="shared" si="58"/>
        <v>1579.3939000000003</v>
      </c>
      <c r="S1240" s="78">
        <f t="shared" si="59"/>
        <v>45778</v>
      </c>
      <c r="T1240" t="str">
        <f>IFERROR(VLOOKUP(B1240,Sites!$A$2:$D$21,4,FALSE()),"Unknown")</f>
        <v>Sheffield</v>
      </c>
      <c r="U1240" t="str">
        <f>IF(N1240="OK","",COUNTIF($N$2:N1240,"&lt;&gt;OK"))</f>
        <v/>
      </c>
      <c r="V1240">
        <f>IF(OR(NOT(EXACT(E1240,TRIM(Procurement_Raw!E1240))),NOT(EXACT(F1240,TRIM(Procurement_Raw!F1240)))),1,0)</f>
        <v>0</v>
      </c>
    </row>
    <row r="1241" spans="1:22" ht="15" customHeight="1" x14ac:dyDescent="0.25">
      <c r="A1241" s="123">
        <f>Procurement_Raw!A1241</f>
        <v>45798</v>
      </c>
      <c r="B1241" t="str">
        <f>TRIM(Procurement_Raw!B1241)</f>
        <v>S004</v>
      </c>
      <c r="C1241" t="str">
        <f>Procurement_Raw!C1241</f>
        <v>Newcastle Care &amp; Education Centre</v>
      </c>
      <c r="D1241" t="str">
        <f>Procurement_Raw!D1241</f>
        <v>North</v>
      </c>
      <c r="E1241" t="str">
        <f>IF(TRIM(Procurement_Raw!E1241)="","",IFERROR(INDEX(Supplier_Lookup!$A$2:$A$25,MATCH(TRIM(Procurement_Raw!E1241),Supplier_Lookup!$A$2:$A$25,0)),TRIM(Procurement_Raw!E1241)))</f>
        <v>CleanWorks</v>
      </c>
      <c r="F1241" t="str">
        <f>IFERROR(INDEX(Category_Targets!$A$2:$A$9,MATCH(TRIM(Procurement_Raw!F1241),Category_Targets!$A$2:$A$9,0)),"Unmapped")</f>
        <v>Facilities</v>
      </c>
      <c r="G1241" t="str">
        <f>TRIM(Procurement_Raw!G1241)</f>
        <v>INV-2025-01240</v>
      </c>
      <c r="H1241" s="77">
        <f>Procurement_Raw!H1241</f>
        <v>57</v>
      </c>
      <c r="I1241" s="124">
        <f>Procurement_Raw!I1241</f>
        <v>440.79</v>
      </c>
      <c r="J1241" s="125">
        <f>IF(Procurement_Raw!J1241="","",Procurement_Raw!J1241)</f>
        <v>25125.19</v>
      </c>
      <c r="K1241" s="77">
        <f>Procurement_Raw!K1241</f>
        <v>45</v>
      </c>
      <c r="L1241" t="str">
        <f>Procurement_Raw!L1241</f>
        <v>Procurement Portal</v>
      </c>
      <c r="M1241" t="str">
        <f>Procurement_Raw!O1241</f>
        <v>Y</v>
      </c>
      <c r="N1241" t="str">
        <f>IF(E1241="","Missing supplier",IF(B1241="","Missing site",IF(J1241="","Missing spend",IF(COUNTIFS($G$2:G1241,G1241,$E$2:E1241,E1241,$J$2:J1241,J1241)&gt;1,"Duplicate invoice",IF(COUNTIF($G$2:$G$1801,G1241)&gt;1,"Duplicate ID - review",IF(AND(P1241&lt;&gt;"Unmapped",P1241&lt;&gt;F1241),"Category mismatch","OK"))))))</f>
        <v>OK</v>
      </c>
      <c r="O1241" s="125">
        <f t="shared" si="57"/>
        <v>25125.19</v>
      </c>
      <c r="P1241" t="str">
        <f>IF(E1241="","Unmapped",IFERROR(INDEX(Supplier_Lookup!$B$2:$B$25,MATCH(E1241,Supplier_Lookup!$A$2:$A$25,0)),"Unmapped"))</f>
        <v>Facilities</v>
      </c>
      <c r="Q1241" s="76">
        <f>IFERROR(INDEX(Category_Targets!$B$2:$B$9,MATCH(F1241,Category_Targets!$A$2:$A$9,0)),0)</f>
        <v>0.05</v>
      </c>
      <c r="R1241" s="125">
        <f t="shared" si="58"/>
        <v>1256.2595000000001</v>
      </c>
      <c r="S1241" s="78">
        <f t="shared" si="59"/>
        <v>45778</v>
      </c>
      <c r="T1241" t="str">
        <f>IFERROR(VLOOKUP(B1241,Sites!$A$2:$D$21,4,FALSE()),"Unknown")</f>
        <v>Newcastle</v>
      </c>
      <c r="U1241" t="str">
        <f>IF(N1241="OK","",COUNTIF($N$2:N1241,"&lt;&gt;OK"))</f>
        <v/>
      </c>
      <c r="V1241">
        <f>IF(OR(NOT(EXACT(E1241,TRIM(Procurement_Raw!E1241))),NOT(EXACT(F1241,TRIM(Procurement_Raw!F1241)))),1,0)</f>
        <v>0</v>
      </c>
    </row>
    <row r="1242" spans="1:22" ht="15" customHeight="1" x14ac:dyDescent="0.25">
      <c r="A1242" s="123">
        <f>Procurement_Raw!A1242</f>
        <v>45931</v>
      </c>
      <c r="B1242" t="str">
        <f>TRIM(Procurement_Raw!B1242)</f>
        <v>S002</v>
      </c>
      <c r="C1242" t="str">
        <f>Procurement_Raw!C1242</f>
        <v>Manchester Care &amp; Education Centre</v>
      </c>
      <c r="D1242" t="str">
        <f>Procurement_Raw!D1242</f>
        <v>North</v>
      </c>
      <c r="E1242" t="str">
        <f>IF(TRIM(Procurement_Raw!E1242)="","",IFERROR(INDEX(Supplier_Lookup!$A$2:$A$25,MATCH(TRIM(Procurement_Raw!E1242),Supplier_Lookup!$A$2:$A$25,0)),TRIM(Procurement_Raw!E1242)))</f>
        <v>CareMed</v>
      </c>
      <c r="F1242" t="str">
        <f>IFERROR(INDEX(Category_Targets!$A$2:$A$9,MATCH(TRIM(Procurement_Raw!F1242),Category_Targets!$A$2:$A$9,0)),"Unmapped")</f>
        <v>Medical Supplies</v>
      </c>
      <c r="G1242" t="str">
        <f>TRIM(Procurement_Raw!G1242)</f>
        <v>INV-2025-01241</v>
      </c>
      <c r="H1242" s="77">
        <f>Procurement_Raw!H1242</f>
        <v>48</v>
      </c>
      <c r="I1242" s="124">
        <f>Procurement_Raw!I1242</f>
        <v>97.41</v>
      </c>
      <c r="J1242" s="125">
        <f>IF(Procurement_Raw!J1242="","",Procurement_Raw!J1242)</f>
        <v>4675.88</v>
      </c>
      <c r="K1242" s="77">
        <f>Procurement_Raw!K1242</f>
        <v>60</v>
      </c>
      <c r="L1242" t="str">
        <f>Procurement_Raw!L1242</f>
        <v>ERP</v>
      </c>
      <c r="M1242" t="str">
        <f>Procurement_Raw!O1242</f>
        <v>N</v>
      </c>
      <c r="N1242" t="str">
        <f>IF(E1242="","Missing supplier",IF(B1242="","Missing site",IF(J1242="","Missing spend",IF(COUNTIFS($G$2:G1242,G1242,$E$2:E1242,E1242,$J$2:J1242,J1242)&gt;1,"Duplicate invoice",IF(COUNTIF($G$2:$G$1801,G1242)&gt;1,"Duplicate ID - review",IF(AND(P1242&lt;&gt;"Unmapped",P1242&lt;&gt;F1242),"Category mismatch","OK"))))))</f>
        <v>OK</v>
      </c>
      <c r="O1242" s="125">
        <f t="shared" si="57"/>
        <v>4675.88</v>
      </c>
      <c r="P1242" t="str">
        <f>IF(E1242="","Unmapped",IFERROR(INDEX(Supplier_Lookup!$B$2:$B$25,MATCH(E1242,Supplier_Lookup!$A$2:$A$25,0)),"Unmapped"))</f>
        <v>Medical Supplies</v>
      </c>
      <c r="Q1242" s="76">
        <f>IFERROR(INDEX(Category_Targets!$B$2:$B$9,MATCH(F1242,Category_Targets!$A$2:$A$9,0)),0)</f>
        <v>0.06</v>
      </c>
      <c r="R1242" s="125">
        <f t="shared" si="58"/>
        <v>280.55279999999999</v>
      </c>
      <c r="S1242" s="78">
        <f t="shared" si="59"/>
        <v>45931</v>
      </c>
      <c r="T1242" t="str">
        <f>IFERROR(VLOOKUP(B1242,Sites!$A$2:$D$21,4,FALSE()),"Unknown")</f>
        <v>Manchester</v>
      </c>
      <c r="U1242" t="str">
        <f>IF(N1242="OK","",COUNTIF($N$2:N1242,"&lt;&gt;OK"))</f>
        <v/>
      </c>
      <c r="V1242">
        <f>IF(OR(NOT(EXACT(E1242,TRIM(Procurement_Raw!E1242))),NOT(EXACT(F1242,TRIM(Procurement_Raw!F1242)))),1,0)</f>
        <v>0</v>
      </c>
    </row>
    <row r="1243" spans="1:22" ht="15" customHeight="1" x14ac:dyDescent="0.25">
      <c r="A1243" s="123">
        <f>Procurement_Raw!A1243</f>
        <v>46007</v>
      </c>
      <c r="B1243" t="str">
        <f>TRIM(Procurement_Raw!B1243)</f>
        <v>S009</v>
      </c>
      <c r="C1243" t="str">
        <f>Procurement_Raw!C1243</f>
        <v>Derby Care &amp; Education Centre</v>
      </c>
      <c r="D1243" t="str">
        <f>Procurement_Raw!D1243</f>
        <v>Midlands</v>
      </c>
      <c r="E1243" t="str">
        <f>IF(TRIM(Procurement_Raw!E1243)="","",IFERROR(INDEX(Supplier_Lookup!$A$2:$A$25,MATCH(TRIM(Procurement_Raw!E1243),Supplier_Lookup!$A$2:$A$25,0)),TRIM(Procurement_Raw!E1243)))</f>
        <v>CareTemps</v>
      </c>
      <c r="F1243" t="str">
        <f>IFERROR(INDEX(Category_Targets!$A$2:$A$9,MATCH(TRIM(Procurement_Raw!F1243),Category_Targets!$A$2:$A$9,0)),"Unmapped")</f>
        <v>Agency Labour</v>
      </c>
      <c r="G1243" t="str">
        <f>TRIM(Procurement_Raw!G1243)</f>
        <v>INV-2025-01242</v>
      </c>
      <c r="H1243" s="77">
        <f>Procurement_Raw!H1243</f>
        <v>32</v>
      </c>
      <c r="I1243" s="124">
        <f>Procurement_Raw!I1243</f>
        <v>268.22000000000003</v>
      </c>
      <c r="J1243" s="125">
        <f>IF(Procurement_Raw!J1243="","",Procurement_Raw!J1243)</f>
        <v>8583.09</v>
      </c>
      <c r="K1243" s="77">
        <f>Procurement_Raw!K1243</f>
        <v>45</v>
      </c>
      <c r="L1243" t="str">
        <f>Procurement_Raw!L1243</f>
        <v>ERP</v>
      </c>
      <c r="M1243" t="str">
        <f>Procurement_Raw!O1243</f>
        <v>N</v>
      </c>
      <c r="N1243" t="str">
        <f>IF(E1243="","Missing supplier",IF(B1243="","Missing site",IF(J1243="","Missing spend",IF(COUNTIFS($G$2:G1243,G1243,$E$2:E1243,E1243,$J$2:J1243,J1243)&gt;1,"Duplicate invoice",IF(COUNTIF($G$2:$G$1801,G1243)&gt;1,"Duplicate ID - review",IF(AND(P1243&lt;&gt;"Unmapped",P1243&lt;&gt;F1243),"Category mismatch","OK"))))))</f>
        <v>OK</v>
      </c>
      <c r="O1243" s="125">
        <f t="shared" si="57"/>
        <v>8583.09</v>
      </c>
      <c r="P1243" t="str">
        <f>IF(E1243="","Unmapped",IFERROR(INDEX(Supplier_Lookup!$B$2:$B$25,MATCH(E1243,Supplier_Lookup!$A$2:$A$25,0)),"Unmapped"))</f>
        <v>Agency Labour</v>
      </c>
      <c r="Q1243" s="76">
        <f>IFERROR(INDEX(Category_Targets!$B$2:$B$9,MATCH(F1243,Category_Targets!$A$2:$A$9,0)),0)</f>
        <v>7.0000000000000007E-2</v>
      </c>
      <c r="R1243" s="125">
        <f t="shared" si="58"/>
        <v>600.81630000000007</v>
      </c>
      <c r="S1243" s="78">
        <f t="shared" si="59"/>
        <v>45992</v>
      </c>
      <c r="T1243" t="str">
        <f>IFERROR(VLOOKUP(B1243,Sites!$A$2:$D$21,4,FALSE()),"Unknown")</f>
        <v>Derby</v>
      </c>
      <c r="U1243" t="str">
        <f>IF(N1243="OK","",COUNTIF($N$2:N1243,"&lt;&gt;OK"))</f>
        <v/>
      </c>
      <c r="V1243">
        <f>IF(OR(NOT(EXACT(E1243,TRIM(Procurement_Raw!E1243))),NOT(EXACT(F1243,TRIM(Procurement_Raw!F1243)))),1,0)</f>
        <v>0</v>
      </c>
    </row>
    <row r="1244" spans="1:22" ht="15" customHeight="1" x14ac:dyDescent="0.25">
      <c r="A1244" s="123">
        <f>Procurement_Raw!A1244</f>
        <v>45846</v>
      </c>
      <c r="B1244" t="str">
        <f>TRIM(Procurement_Raw!B1244)</f>
        <v>S003</v>
      </c>
      <c r="C1244" t="str">
        <f>Procurement_Raw!C1244</f>
        <v>Leeds Care &amp; Education Centre</v>
      </c>
      <c r="D1244" t="str">
        <f>Procurement_Raw!D1244</f>
        <v>North</v>
      </c>
      <c r="E1244" t="str">
        <f>IF(TRIM(Procurement_Raw!E1244)="","",IFERROR(INDEX(Supplier_Lookup!$A$2:$A$25,MATCH(TRIM(Procurement_Raw!E1244),Supplier_Lookup!$A$2:$A$25,0)),TRIM(Procurement_Raw!E1244)))</f>
        <v>PrintCo</v>
      </c>
      <c r="F1244" t="str">
        <f>IFERROR(INDEX(Category_Targets!$A$2:$A$9,MATCH(TRIM(Procurement_Raw!F1244),Category_Targets!$A$2:$A$9,0)),"Unmapped")</f>
        <v>Office &amp; Training</v>
      </c>
      <c r="G1244" t="str">
        <f>TRIM(Procurement_Raw!G1244)</f>
        <v>INV-2025-01243</v>
      </c>
      <c r="H1244" s="77">
        <f>Procurement_Raw!H1244</f>
        <v>40</v>
      </c>
      <c r="I1244" s="124">
        <f>Procurement_Raw!I1244</f>
        <v>54.47</v>
      </c>
      <c r="J1244" s="125">
        <f>IF(Procurement_Raw!J1244="","",Procurement_Raw!J1244)</f>
        <v>2178.61</v>
      </c>
      <c r="K1244" s="77">
        <f>Procurement_Raw!K1244</f>
        <v>30</v>
      </c>
      <c r="L1244" t="str">
        <f>Procurement_Raw!L1244</f>
        <v>Legacy Spend File</v>
      </c>
      <c r="M1244" t="str">
        <f>Procurement_Raw!O1244</f>
        <v>N</v>
      </c>
      <c r="N1244" t="str">
        <f>IF(E1244="","Missing supplier",IF(B1244="","Missing site",IF(J1244="","Missing spend",IF(COUNTIFS($G$2:G1244,G1244,$E$2:E1244,E1244,$J$2:J1244,J1244)&gt;1,"Duplicate invoice",IF(COUNTIF($G$2:$G$1801,G1244)&gt;1,"Duplicate ID - review",IF(AND(P1244&lt;&gt;"Unmapped",P1244&lt;&gt;F1244),"Category mismatch","OK"))))))</f>
        <v>OK</v>
      </c>
      <c r="O1244" s="125">
        <f t="shared" si="57"/>
        <v>2178.61</v>
      </c>
      <c r="P1244" t="str">
        <f>IF(E1244="","Unmapped",IFERROR(INDEX(Supplier_Lookup!$B$2:$B$25,MATCH(E1244,Supplier_Lookup!$A$2:$A$25,0)),"Unmapped"))</f>
        <v>Office &amp; Training</v>
      </c>
      <c r="Q1244" s="76">
        <f>IFERROR(INDEX(Category_Targets!$B$2:$B$9,MATCH(F1244,Category_Targets!$A$2:$A$9,0)),0)</f>
        <v>0.04</v>
      </c>
      <c r="R1244" s="125">
        <f t="shared" si="58"/>
        <v>87.144400000000005</v>
      </c>
      <c r="S1244" s="78">
        <f t="shared" si="59"/>
        <v>45839</v>
      </c>
      <c r="T1244" t="str">
        <f>IFERROR(VLOOKUP(B1244,Sites!$A$2:$D$21,4,FALSE()),"Unknown")</f>
        <v>Leeds</v>
      </c>
      <c r="U1244" t="str">
        <f>IF(N1244="OK","",COUNTIF($N$2:N1244,"&lt;&gt;OK"))</f>
        <v/>
      </c>
      <c r="V1244">
        <f>IF(OR(NOT(EXACT(E1244,TRIM(Procurement_Raw!E1244))),NOT(EXACT(F1244,TRIM(Procurement_Raw!F1244)))),1,0)</f>
        <v>0</v>
      </c>
    </row>
    <row r="1245" spans="1:22" ht="15" customHeight="1" x14ac:dyDescent="0.25">
      <c r="A1245" s="123">
        <f>Procurement_Raw!A1245</f>
        <v>45997</v>
      </c>
      <c r="B1245" t="str">
        <f>TRIM(Procurement_Raw!B1245)</f>
        <v>S014</v>
      </c>
      <c r="C1245" t="str">
        <f>Procurement_Raw!C1245</f>
        <v>Southampton Care &amp; Education Centre</v>
      </c>
      <c r="D1245" t="str">
        <f>Procurement_Raw!D1245</f>
        <v>South</v>
      </c>
      <c r="E1245" t="str">
        <f>IF(TRIM(Procurement_Raw!E1245)="","",IFERROR(INDEX(Supplier_Lookup!$A$2:$A$25,MATCH(TRIM(Procurement_Raw!E1245),Supplier_Lookup!$A$2:$A$25,0)),TRIM(Procurement_Raw!E1245)))</f>
        <v>ClinEquip</v>
      </c>
      <c r="F1245" t="str">
        <f>IFERROR(INDEX(Category_Targets!$A$2:$A$9,MATCH(TRIM(Procurement_Raw!F1245),Category_Targets!$A$2:$A$9,0)),"Unmapped")</f>
        <v>Medical Supplies</v>
      </c>
      <c r="G1245" t="str">
        <f>TRIM(Procurement_Raw!G1245)</f>
        <v>INV-2025-01244</v>
      </c>
      <c r="H1245" s="77">
        <f>Procurement_Raw!H1245</f>
        <v>7</v>
      </c>
      <c r="I1245" s="124">
        <f>Procurement_Raw!I1245</f>
        <v>68.67</v>
      </c>
      <c r="J1245" s="125">
        <f>IF(Procurement_Raw!J1245="","",Procurement_Raw!J1245)</f>
        <v>480.72</v>
      </c>
      <c r="K1245" s="77">
        <f>Procurement_Raw!K1245</f>
        <v>60</v>
      </c>
      <c r="L1245" t="str">
        <f>Procurement_Raw!L1245</f>
        <v>Legacy Spend File</v>
      </c>
      <c r="M1245" t="str">
        <f>Procurement_Raw!O1245</f>
        <v>N</v>
      </c>
      <c r="N1245" t="str">
        <f>IF(E1245="","Missing supplier",IF(B1245="","Missing site",IF(J1245="","Missing spend",IF(COUNTIFS($G$2:G1245,G1245,$E$2:E1245,E1245,$J$2:J1245,J1245)&gt;1,"Duplicate invoice",IF(COUNTIF($G$2:$G$1801,G1245)&gt;1,"Duplicate ID - review",IF(AND(P1245&lt;&gt;"Unmapped",P1245&lt;&gt;F1245),"Category mismatch","OK"))))))</f>
        <v>OK</v>
      </c>
      <c r="O1245" s="125">
        <f t="shared" si="57"/>
        <v>480.72</v>
      </c>
      <c r="P1245" t="str">
        <f>IF(E1245="","Unmapped",IFERROR(INDEX(Supplier_Lookup!$B$2:$B$25,MATCH(E1245,Supplier_Lookup!$A$2:$A$25,0)),"Unmapped"))</f>
        <v>Medical Supplies</v>
      </c>
      <c r="Q1245" s="76">
        <f>IFERROR(INDEX(Category_Targets!$B$2:$B$9,MATCH(F1245,Category_Targets!$A$2:$A$9,0)),0)</f>
        <v>0.06</v>
      </c>
      <c r="R1245" s="125">
        <f t="shared" si="58"/>
        <v>28.8432</v>
      </c>
      <c r="S1245" s="78">
        <f t="shared" si="59"/>
        <v>45992</v>
      </c>
      <c r="T1245" t="str">
        <f>IFERROR(VLOOKUP(B1245,Sites!$A$2:$D$21,4,FALSE()),"Unknown")</f>
        <v>Southampton</v>
      </c>
      <c r="U1245" t="str">
        <f>IF(N1245="OK","",COUNTIF($N$2:N1245,"&lt;&gt;OK"))</f>
        <v/>
      </c>
      <c r="V1245">
        <f>IF(OR(NOT(EXACT(E1245,TRIM(Procurement_Raw!E1245))),NOT(EXACT(F1245,TRIM(Procurement_Raw!F1245)))),1,0)</f>
        <v>0</v>
      </c>
    </row>
    <row r="1246" spans="1:22" ht="15" customHeight="1" x14ac:dyDescent="0.25">
      <c r="A1246" s="123">
        <f>Procurement_Raw!A1246</f>
        <v>45854</v>
      </c>
      <c r="B1246" t="str">
        <f>TRIM(Procurement_Raw!B1246)</f>
        <v>S011</v>
      </c>
      <c r="C1246" t="str">
        <f>Procurement_Raw!C1246</f>
        <v>London Care &amp; Education Centre</v>
      </c>
      <c r="D1246" t="str">
        <f>Procurement_Raw!D1246</f>
        <v>South</v>
      </c>
      <c r="E1246" t="str">
        <f>IF(TRIM(Procurement_Raw!E1246)="","",IFERROR(INDEX(Supplier_Lookup!$A$2:$A$25,MATCH(TRIM(Procurement_Raw!E1246),Supplier_Lookup!$A$2:$A$25,0)),TRIM(Procurement_Raw!E1246)))</f>
        <v>NetServe</v>
      </c>
      <c r="F1246" t="str">
        <f>IFERROR(INDEX(Category_Targets!$A$2:$A$9,MATCH(TRIM(Procurement_Raw!F1246),Category_Targets!$A$2:$A$9,0)),"Unmapped")</f>
        <v>IT &amp; Telecoms</v>
      </c>
      <c r="G1246" t="str">
        <f>TRIM(Procurement_Raw!G1246)</f>
        <v>INV-2025-01245</v>
      </c>
      <c r="H1246" s="77">
        <f>Procurement_Raw!H1246</f>
        <v>40</v>
      </c>
      <c r="I1246" s="124">
        <f>Procurement_Raw!I1246</f>
        <v>153.93</v>
      </c>
      <c r="J1246" s="125">
        <f>IF(Procurement_Raw!J1246="","",Procurement_Raw!J1246)</f>
        <v>6157.37</v>
      </c>
      <c r="K1246" s="77">
        <f>Procurement_Raw!K1246</f>
        <v>60</v>
      </c>
      <c r="L1246" t="str">
        <f>Procurement_Raw!L1246</f>
        <v>Legacy Spend File</v>
      </c>
      <c r="M1246" t="str">
        <f>Procurement_Raw!O1246</f>
        <v>N</v>
      </c>
      <c r="N1246" t="str">
        <f>IF(E1246="","Missing supplier",IF(B1246="","Missing site",IF(J1246="","Missing spend",IF(COUNTIFS($G$2:G1246,G1246,$E$2:E1246,E1246,$J$2:J1246,J1246)&gt;1,"Duplicate invoice",IF(COUNTIF($G$2:$G$1801,G1246)&gt;1,"Duplicate ID - review",IF(AND(P1246&lt;&gt;"Unmapped",P1246&lt;&gt;F1246),"Category mismatch","OK"))))))</f>
        <v>OK</v>
      </c>
      <c r="O1246" s="125">
        <f t="shared" si="57"/>
        <v>6157.37</v>
      </c>
      <c r="P1246" t="str">
        <f>IF(E1246="","Unmapped",IFERROR(INDEX(Supplier_Lookup!$B$2:$B$25,MATCH(E1246,Supplier_Lookup!$A$2:$A$25,0)),"Unmapped"))</f>
        <v>IT &amp; Telecoms</v>
      </c>
      <c r="Q1246" s="76">
        <f>IFERROR(INDEX(Category_Targets!$B$2:$B$9,MATCH(F1246,Category_Targets!$A$2:$A$9,0)),0)</f>
        <v>0.08</v>
      </c>
      <c r="R1246" s="125">
        <f t="shared" si="58"/>
        <v>492.58960000000002</v>
      </c>
      <c r="S1246" s="78">
        <f t="shared" si="59"/>
        <v>45839</v>
      </c>
      <c r="T1246" t="str">
        <f>IFERROR(VLOOKUP(B1246,Sites!$A$2:$D$21,4,FALSE()),"Unknown")</f>
        <v>London</v>
      </c>
      <c r="U1246" t="str">
        <f>IF(N1246="OK","",COUNTIF($N$2:N1246,"&lt;&gt;OK"))</f>
        <v/>
      </c>
      <c r="V1246">
        <f>IF(OR(NOT(EXACT(E1246,TRIM(Procurement_Raw!E1246))),NOT(EXACT(F1246,TRIM(Procurement_Raw!F1246)))),1,0)</f>
        <v>0</v>
      </c>
    </row>
    <row r="1247" spans="1:22" ht="15" customHeight="1" x14ac:dyDescent="0.25">
      <c r="A1247" s="123">
        <f>Procurement_Raw!A1247</f>
        <v>45779</v>
      </c>
      <c r="B1247" t="str">
        <f>TRIM(Procurement_Raw!B1247)</f>
        <v>S017</v>
      </c>
      <c r="C1247" t="str">
        <f>Procurement_Raw!C1247</f>
        <v>Swansea Care &amp; Education Centre</v>
      </c>
      <c r="D1247" t="str">
        <f>Procurement_Raw!D1247</f>
        <v>Wales</v>
      </c>
      <c r="E1247" t="str">
        <f>IF(TRIM(Procurement_Raw!E1247)="","",IFERROR(INDEX(Supplier_Lookup!$A$2:$A$25,MATCH(TRIM(Procurement_Raw!E1247),Supplier_Lookup!$A$2:$A$25,0)),TRIM(Procurement_Raw!E1247)))</f>
        <v>KitchenPro</v>
      </c>
      <c r="F1247" t="str">
        <f>IFERROR(INDEX(Category_Targets!$A$2:$A$9,MATCH(TRIM(Procurement_Raw!F1247),Category_Targets!$A$2:$A$9,0)),"Unmapped")</f>
        <v>Food &amp; Catering</v>
      </c>
      <c r="G1247" t="str">
        <f>TRIM(Procurement_Raw!G1247)</f>
        <v>INV-2025-01246</v>
      </c>
      <c r="H1247" s="77">
        <f>Procurement_Raw!H1247</f>
        <v>57</v>
      </c>
      <c r="I1247" s="124">
        <f>Procurement_Raw!I1247</f>
        <v>33.159999999999997</v>
      </c>
      <c r="J1247" s="125">
        <f>IF(Procurement_Raw!J1247="","",Procurement_Raw!J1247)</f>
        <v>1889.89</v>
      </c>
      <c r="K1247" s="77">
        <f>Procurement_Raw!K1247</f>
        <v>45</v>
      </c>
      <c r="L1247" t="str">
        <f>Procurement_Raw!L1247</f>
        <v>ERP</v>
      </c>
      <c r="M1247" t="str">
        <f>Procurement_Raw!O1247</f>
        <v>N</v>
      </c>
      <c r="N1247" t="str">
        <f>IF(E1247="","Missing supplier",IF(B1247="","Missing site",IF(J1247="","Missing spend",IF(COUNTIFS($G$2:G1247,G1247,$E$2:E1247,E1247,$J$2:J1247,J1247)&gt;1,"Duplicate invoice",IF(COUNTIF($G$2:$G$1801,G1247)&gt;1,"Duplicate ID - review",IF(AND(P1247&lt;&gt;"Unmapped",P1247&lt;&gt;F1247),"Category mismatch","OK"))))))</f>
        <v>OK</v>
      </c>
      <c r="O1247" s="125">
        <f t="shared" si="57"/>
        <v>1889.89</v>
      </c>
      <c r="P1247" t="str">
        <f>IF(E1247="","Unmapped",IFERROR(INDEX(Supplier_Lookup!$B$2:$B$25,MATCH(E1247,Supplier_Lookup!$A$2:$A$25,0)),"Unmapped"))</f>
        <v>Food &amp; Catering</v>
      </c>
      <c r="Q1247" s="76">
        <f>IFERROR(INDEX(Category_Targets!$B$2:$B$9,MATCH(F1247,Category_Targets!$A$2:$A$9,0)),0)</f>
        <v>0.04</v>
      </c>
      <c r="R1247" s="125">
        <f t="shared" si="58"/>
        <v>75.595600000000005</v>
      </c>
      <c r="S1247" s="78">
        <f t="shared" si="59"/>
        <v>45778</v>
      </c>
      <c r="T1247" t="str">
        <f>IFERROR(VLOOKUP(B1247,Sites!$A$2:$D$21,4,FALSE()),"Unknown")</f>
        <v>Swansea</v>
      </c>
      <c r="U1247" t="str">
        <f>IF(N1247="OK","",COUNTIF($N$2:N1247,"&lt;&gt;OK"))</f>
        <v/>
      </c>
      <c r="V1247">
        <f>IF(OR(NOT(EXACT(E1247,TRIM(Procurement_Raw!E1247))),NOT(EXACT(F1247,TRIM(Procurement_Raw!F1247)))),1,0)</f>
        <v>0</v>
      </c>
    </row>
    <row r="1248" spans="1:22" ht="15" customHeight="1" x14ac:dyDescent="0.25">
      <c r="A1248" s="123">
        <f>Procurement_Raw!A1248</f>
        <v>45704</v>
      </c>
      <c r="B1248" t="str">
        <f>TRIM(Procurement_Raw!B1248)</f>
        <v>S002</v>
      </c>
      <c r="C1248" t="str">
        <f>Procurement_Raw!C1248</f>
        <v>Manchester Care &amp; Education Centre</v>
      </c>
      <c r="D1248" t="str">
        <f>Procurement_Raw!D1248</f>
        <v>North</v>
      </c>
      <c r="E1248" t="str">
        <f>IF(TRIM(Procurement_Raw!E1248)="","",IFERROR(INDEX(Supplier_Lookup!$A$2:$A$25,MATCH(TRIM(Procurement_Raw!E1248),Supplier_Lookup!$A$2:$A$25,0)),TRIM(Procurement_Raw!E1248)))</f>
        <v>TeleCare IT</v>
      </c>
      <c r="F1248" t="str">
        <f>IFERROR(INDEX(Category_Targets!$A$2:$A$9,MATCH(TRIM(Procurement_Raw!F1248),Category_Targets!$A$2:$A$9,0)),"Unmapped")</f>
        <v>IT &amp; Telecoms</v>
      </c>
      <c r="G1248" t="str">
        <f>TRIM(Procurement_Raw!G1248)</f>
        <v>INV-2025-01247</v>
      </c>
      <c r="H1248" s="77">
        <f>Procurement_Raw!H1248</f>
        <v>31</v>
      </c>
      <c r="I1248" s="124">
        <f>Procurement_Raw!I1248</f>
        <v>224.16</v>
      </c>
      <c r="J1248" s="125">
        <f>IF(Procurement_Raw!J1248="","",Procurement_Raw!J1248)</f>
        <v>6949.05</v>
      </c>
      <c r="K1248" s="77">
        <f>Procurement_Raw!K1248</f>
        <v>45</v>
      </c>
      <c r="L1248" t="str">
        <f>Procurement_Raw!L1248</f>
        <v>ERP</v>
      </c>
      <c r="M1248" t="str">
        <f>Procurement_Raw!O1248</f>
        <v>N</v>
      </c>
      <c r="N1248" t="str">
        <f>IF(E1248="","Missing supplier",IF(B1248="","Missing site",IF(J1248="","Missing spend",IF(COUNTIFS($G$2:G1248,G1248,$E$2:E1248,E1248,$J$2:J1248,J1248)&gt;1,"Duplicate invoice",IF(COUNTIF($G$2:$G$1801,G1248)&gt;1,"Duplicate ID - review",IF(AND(P1248&lt;&gt;"Unmapped",P1248&lt;&gt;F1248),"Category mismatch","OK"))))))</f>
        <v>OK</v>
      </c>
      <c r="O1248" s="125">
        <f t="shared" si="57"/>
        <v>6949.05</v>
      </c>
      <c r="P1248" t="str">
        <f>IF(E1248="","Unmapped",IFERROR(INDEX(Supplier_Lookup!$B$2:$B$25,MATCH(E1248,Supplier_Lookup!$A$2:$A$25,0)),"Unmapped"))</f>
        <v>IT &amp; Telecoms</v>
      </c>
      <c r="Q1248" s="76">
        <f>IFERROR(INDEX(Category_Targets!$B$2:$B$9,MATCH(F1248,Category_Targets!$A$2:$A$9,0)),0)</f>
        <v>0.08</v>
      </c>
      <c r="R1248" s="125">
        <f t="shared" si="58"/>
        <v>555.92399999999998</v>
      </c>
      <c r="S1248" s="78">
        <f t="shared" si="59"/>
        <v>45689</v>
      </c>
      <c r="T1248" t="str">
        <f>IFERROR(VLOOKUP(B1248,Sites!$A$2:$D$21,4,FALSE()),"Unknown")</f>
        <v>Manchester</v>
      </c>
      <c r="U1248" t="str">
        <f>IF(N1248="OK","",COUNTIF($N$2:N1248,"&lt;&gt;OK"))</f>
        <v/>
      </c>
      <c r="V1248">
        <f>IF(OR(NOT(EXACT(E1248,TRIM(Procurement_Raw!E1248))),NOT(EXACT(F1248,TRIM(Procurement_Raw!F1248)))),1,0)</f>
        <v>0</v>
      </c>
    </row>
    <row r="1249" spans="1:22" ht="15" customHeight="1" x14ac:dyDescent="0.25">
      <c r="A1249" s="123">
        <f>Procurement_Raw!A1249</f>
        <v>45820</v>
      </c>
      <c r="B1249" t="str">
        <f>TRIM(Procurement_Raw!B1249)</f>
        <v>S015</v>
      </c>
      <c r="C1249" t="str">
        <f>Procurement_Raw!C1249</f>
        <v>Brighton Care &amp; Education Centre</v>
      </c>
      <c r="D1249" t="str">
        <f>Procurement_Raw!D1249</f>
        <v>South</v>
      </c>
      <c r="E1249" t="str">
        <f>IF(TRIM(Procurement_Raw!E1249)="","",IFERROR(INDEX(Supplier_Lookup!$A$2:$A$25,MATCH(TRIM(Procurement_Raw!E1249),Supplier_Lookup!$A$2:$A$25,0)),TRIM(Procurement_Raw!E1249)))</f>
        <v>PrintCo</v>
      </c>
      <c r="F1249" t="str">
        <f>IFERROR(INDEX(Category_Targets!$A$2:$A$9,MATCH(TRIM(Procurement_Raw!F1249),Category_Targets!$A$2:$A$9,0)),"Unmapped")</f>
        <v>Office &amp; Training</v>
      </c>
      <c r="G1249" t="str">
        <f>TRIM(Procurement_Raw!G1249)</f>
        <v>INV-2025-01248</v>
      </c>
      <c r="H1249" s="77">
        <f>Procurement_Raw!H1249</f>
        <v>53</v>
      </c>
      <c r="I1249" s="124">
        <f>Procurement_Raw!I1249</f>
        <v>49.11</v>
      </c>
      <c r="J1249" s="125">
        <f>IF(Procurement_Raw!J1249="","",Procurement_Raw!J1249)</f>
        <v>2602.67</v>
      </c>
      <c r="K1249" s="77">
        <f>Procurement_Raw!K1249</f>
        <v>30</v>
      </c>
      <c r="L1249" t="str">
        <f>Procurement_Raw!L1249</f>
        <v>Procurement Portal</v>
      </c>
      <c r="M1249" t="str">
        <f>Procurement_Raw!O1249</f>
        <v>N</v>
      </c>
      <c r="N1249" t="str">
        <f>IF(E1249="","Missing supplier",IF(B1249="","Missing site",IF(J1249="","Missing spend",IF(COUNTIFS($G$2:G1249,G1249,$E$2:E1249,E1249,$J$2:J1249,J1249)&gt;1,"Duplicate invoice",IF(COUNTIF($G$2:$G$1801,G1249)&gt;1,"Duplicate ID - review",IF(AND(P1249&lt;&gt;"Unmapped",P1249&lt;&gt;F1249),"Category mismatch","OK"))))))</f>
        <v>OK</v>
      </c>
      <c r="O1249" s="125">
        <f t="shared" si="57"/>
        <v>2602.67</v>
      </c>
      <c r="P1249" t="str">
        <f>IF(E1249="","Unmapped",IFERROR(INDEX(Supplier_Lookup!$B$2:$B$25,MATCH(E1249,Supplier_Lookup!$A$2:$A$25,0)),"Unmapped"))</f>
        <v>Office &amp; Training</v>
      </c>
      <c r="Q1249" s="76">
        <f>IFERROR(INDEX(Category_Targets!$B$2:$B$9,MATCH(F1249,Category_Targets!$A$2:$A$9,0)),0)</f>
        <v>0.04</v>
      </c>
      <c r="R1249" s="125">
        <f t="shared" si="58"/>
        <v>104.10680000000001</v>
      </c>
      <c r="S1249" s="78">
        <f t="shared" si="59"/>
        <v>45809</v>
      </c>
      <c r="T1249" t="str">
        <f>IFERROR(VLOOKUP(B1249,Sites!$A$2:$D$21,4,FALSE()),"Unknown")</f>
        <v>Brighton</v>
      </c>
      <c r="U1249" t="str">
        <f>IF(N1249="OK","",COUNTIF($N$2:N1249,"&lt;&gt;OK"))</f>
        <v/>
      </c>
      <c r="V1249">
        <f>IF(OR(NOT(EXACT(E1249,TRIM(Procurement_Raw!E1249))),NOT(EXACT(F1249,TRIM(Procurement_Raw!F1249)))),1,0)</f>
        <v>0</v>
      </c>
    </row>
    <row r="1250" spans="1:22" ht="15" customHeight="1" x14ac:dyDescent="0.25">
      <c r="A1250" s="123">
        <f>Procurement_Raw!A1250</f>
        <v>45869</v>
      </c>
      <c r="B1250" t="str">
        <f>TRIM(Procurement_Raw!B1250)</f>
        <v>S018</v>
      </c>
      <c r="C1250" t="str">
        <f>Procurement_Raw!C1250</f>
        <v>Newport Care &amp; Education Centre</v>
      </c>
      <c r="D1250" t="str">
        <f>Procurement_Raw!D1250</f>
        <v>Wales</v>
      </c>
      <c r="E1250" t="str">
        <f>IF(TRIM(Procurement_Raw!E1250)="","",IFERROR(INDEX(Supplier_Lookup!$A$2:$A$25,MATCH(TRIM(Procurement_Raw!E1250),Supplier_Lookup!$A$2:$A$25,0)),TRIM(Procurement_Raw!E1250)))</f>
        <v>LearnWell</v>
      </c>
      <c r="F1250" t="str">
        <f>IFERROR(INDEX(Category_Targets!$A$2:$A$9,MATCH(TRIM(Procurement_Raw!F1250),Category_Targets!$A$2:$A$9,0)),"Unmapped")</f>
        <v>Office &amp; Training</v>
      </c>
      <c r="G1250" t="str">
        <f>TRIM(Procurement_Raw!G1250)</f>
        <v>INV-2025-01249</v>
      </c>
      <c r="H1250" s="77">
        <f>Procurement_Raw!H1250</f>
        <v>43</v>
      </c>
      <c r="I1250" s="124">
        <f>Procurement_Raw!I1250</f>
        <v>85.29</v>
      </c>
      <c r="J1250" s="125">
        <f>IF(Procurement_Raw!J1250="","",Procurement_Raw!J1250)</f>
        <v>3667.52</v>
      </c>
      <c r="K1250" s="77">
        <f>Procurement_Raw!K1250</f>
        <v>60</v>
      </c>
      <c r="L1250" t="str">
        <f>Procurement_Raw!L1250</f>
        <v>Procurement Portal</v>
      </c>
      <c r="M1250" t="str">
        <f>Procurement_Raw!O1250</f>
        <v>N</v>
      </c>
      <c r="N1250" t="str">
        <f>IF(E1250="","Missing supplier",IF(B1250="","Missing site",IF(J1250="","Missing spend",IF(COUNTIFS($G$2:G1250,G1250,$E$2:E1250,E1250,$J$2:J1250,J1250)&gt;1,"Duplicate invoice",IF(COUNTIF($G$2:$G$1801,G1250)&gt;1,"Duplicate ID - review",IF(AND(P1250&lt;&gt;"Unmapped",P1250&lt;&gt;F1250),"Category mismatch","OK"))))))</f>
        <v>OK</v>
      </c>
      <c r="O1250" s="125">
        <f t="shared" si="57"/>
        <v>3667.52</v>
      </c>
      <c r="P1250" t="str">
        <f>IF(E1250="","Unmapped",IFERROR(INDEX(Supplier_Lookup!$B$2:$B$25,MATCH(E1250,Supplier_Lookup!$A$2:$A$25,0)),"Unmapped"))</f>
        <v>Office &amp; Training</v>
      </c>
      <c r="Q1250" s="76">
        <f>IFERROR(INDEX(Category_Targets!$B$2:$B$9,MATCH(F1250,Category_Targets!$A$2:$A$9,0)),0)</f>
        <v>0.04</v>
      </c>
      <c r="R1250" s="125">
        <f t="shared" si="58"/>
        <v>146.70080000000002</v>
      </c>
      <c r="S1250" s="78">
        <f t="shared" si="59"/>
        <v>45839</v>
      </c>
      <c r="T1250" t="str">
        <f>IFERROR(VLOOKUP(B1250,Sites!$A$2:$D$21,4,FALSE()),"Unknown")</f>
        <v>Newport</v>
      </c>
      <c r="U1250" t="str">
        <f>IF(N1250="OK","",COUNTIF($N$2:N1250,"&lt;&gt;OK"))</f>
        <v/>
      </c>
      <c r="V1250">
        <f>IF(OR(NOT(EXACT(E1250,TRIM(Procurement_Raw!E1250))),NOT(EXACT(F1250,TRIM(Procurement_Raw!F1250)))),1,0)</f>
        <v>0</v>
      </c>
    </row>
    <row r="1251" spans="1:22" ht="15" customHeight="1" x14ac:dyDescent="0.25">
      <c r="A1251" s="123">
        <f>Procurement_Raw!A1251</f>
        <v>45791</v>
      </c>
      <c r="B1251" t="str">
        <f>TRIM(Procurement_Raw!B1251)</f>
        <v>S020</v>
      </c>
      <c r="C1251" t="str">
        <f>Procurement_Raw!C1251</f>
        <v>Bangor Care &amp; Education Centre</v>
      </c>
      <c r="D1251" t="str">
        <f>Procurement_Raw!D1251</f>
        <v>Wales</v>
      </c>
      <c r="E1251" t="str">
        <f>IF(TRIM(Procurement_Raw!E1251)="","",IFERROR(INDEX(Supplier_Lookup!$A$2:$A$25,MATCH(TRIM(Procurement_Raw!E1251),Supplier_Lookup!$A$2:$A$25,0)),TRIM(Procurement_Raw!E1251)))</f>
        <v>BuildCare</v>
      </c>
      <c r="F1251" t="str">
        <f>IFERROR(INDEX(Category_Targets!$A$2:$A$9,MATCH(TRIM(Procurement_Raw!F1251),Category_Targets!$A$2:$A$9,0)),"Unmapped")</f>
        <v>Facilities</v>
      </c>
      <c r="G1251" t="str">
        <f>TRIM(Procurement_Raw!G1251)</f>
        <v>INV-2025-01250</v>
      </c>
      <c r="H1251" s="77">
        <f>Procurement_Raw!H1251</f>
        <v>65</v>
      </c>
      <c r="I1251" s="124">
        <f>Procurement_Raw!I1251</f>
        <v>76.489999999999995</v>
      </c>
      <c r="J1251" s="125">
        <f>IF(Procurement_Raw!J1251="","",Procurement_Raw!J1251)</f>
        <v>4972.12</v>
      </c>
      <c r="K1251" s="77">
        <f>Procurement_Raw!K1251</f>
        <v>30</v>
      </c>
      <c r="L1251" t="str">
        <f>Procurement_Raw!L1251</f>
        <v>Procurement Portal</v>
      </c>
      <c r="M1251" t="str">
        <f>Procurement_Raw!O1251</f>
        <v>N</v>
      </c>
      <c r="N1251" t="str">
        <f>IF(E1251="","Missing supplier",IF(B1251="","Missing site",IF(J1251="","Missing spend",IF(COUNTIFS($G$2:G1251,G1251,$E$2:E1251,E1251,$J$2:J1251,J1251)&gt;1,"Duplicate invoice",IF(COUNTIF($G$2:$G$1801,G1251)&gt;1,"Duplicate ID - review",IF(AND(P1251&lt;&gt;"Unmapped",P1251&lt;&gt;F1251),"Category mismatch","OK"))))))</f>
        <v>OK</v>
      </c>
      <c r="O1251" s="125">
        <f t="shared" si="57"/>
        <v>4972.12</v>
      </c>
      <c r="P1251" t="str">
        <f>IF(E1251="","Unmapped",IFERROR(INDEX(Supplier_Lookup!$B$2:$B$25,MATCH(E1251,Supplier_Lookup!$A$2:$A$25,0)),"Unmapped"))</f>
        <v>Facilities</v>
      </c>
      <c r="Q1251" s="76">
        <f>IFERROR(INDEX(Category_Targets!$B$2:$B$9,MATCH(F1251,Category_Targets!$A$2:$A$9,0)),0)</f>
        <v>0.05</v>
      </c>
      <c r="R1251" s="125">
        <f t="shared" si="58"/>
        <v>248.60599999999999</v>
      </c>
      <c r="S1251" s="78">
        <f t="shared" si="59"/>
        <v>45778</v>
      </c>
      <c r="T1251" t="str">
        <f>IFERROR(VLOOKUP(B1251,Sites!$A$2:$D$21,4,FALSE()),"Unknown")</f>
        <v>Bangor</v>
      </c>
      <c r="U1251" t="str">
        <f>IF(N1251="OK","",COUNTIF($N$2:N1251,"&lt;&gt;OK"))</f>
        <v/>
      </c>
      <c r="V1251">
        <f>IF(OR(NOT(EXACT(E1251,TRIM(Procurement_Raw!E1251))),NOT(EXACT(F1251,TRIM(Procurement_Raw!F1251)))),1,0)</f>
        <v>0</v>
      </c>
    </row>
    <row r="1252" spans="1:22" ht="15" customHeight="1" x14ac:dyDescent="0.25">
      <c r="A1252" s="123">
        <f>Procurement_Raw!A1252</f>
        <v>46013</v>
      </c>
      <c r="B1252" t="str">
        <f>TRIM(Procurement_Raw!B1252)</f>
        <v>S010</v>
      </c>
      <c r="C1252" t="str">
        <f>Procurement_Raw!C1252</f>
        <v>Coventry Care &amp; Education Centre</v>
      </c>
      <c r="D1252" t="str">
        <f>Procurement_Raw!D1252</f>
        <v>Midlands</v>
      </c>
      <c r="E1252" t="str">
        <f>IF(TRIM(Procurement_Raw!E1252)="","",IFERROR(INDEX(Supplier_Lookup!$A$2:$A$25,MATCH(TRIM(Procurement_Raw!E1252),Supplier_Lookup!$A$2:$A$25,0)),TRIM(Procurement_Raw!E1252)))</f>
        <v>RoadReady</v>
      </c>
      <c r="F1252" t="str">
        <f>IFERROR(INDEX(Category_Targets!$A$2:$A$9,MATCH(TRIM(Procurement_Raw!F1252),Category_Targets!$A$2:$A$9,0)),"Unmapped")</f>
        <v>Vehicle &amp; Fuel</v>
      </c>
      <c r="G1252" t="str">
        <f>TRIM(Procurement_Raw!G1252)</f>
        <v>INV-2025-01251</v>
      </c>
      <c r="H1252" s="77">
        <f>Procurement_Raw!H1252</f>
        <v>4</v>
      </c>
      <c r="I1252" s="124">
        <f>Procurement_Raw!I1252</f>
        <v>113.96</v>
      </c>
      <c r="J1252" s="125">
        <f>IF(Procurement_Raw!J1252="","",Procurement_Raw!J1252)</f>
        <v>455.85</v>
      </c>
      <c r="K1252" s="77">
        <f>Procurement_Raw!K1252</f>
        <v>30</v>
      </c>
      <c r="L1252" t="str">
        <f>Procurement_Raw!L1252</f>
        <v>Legacy Spend File</v>
      </c>
      <c r="M1252" t="str">
        <f>Procurement_Raw!O1252</f>
        <v>N</v>
      </c>
      <c r="N1252" t="str">
        <f>IF(E1252="","Missing supplier",IF(B1252="","Missing site",IF(J1252="","Missing spend",IF(COUNTIFS($G$2:G1252,G1252,$E$2:E1252,E1252,$J$2:J1252,J1252)&gt;1,"Duplicate invoice",IF(COUNTIF($G$2:$G$1801,G1252)&gt;1,"Duplicate ID - review",IF(AND(P1252&lt;&gt;"Unmapped",P1252&lt;&gt;F1252),"Category mismatch","OK"))))))</f>
        <v>OK</v>
      </c>
      <c r="O1252" s="125">
        <f t="shared" si="57"/>
        <v>455.85</v>
      </c>
      <c r="P1252" t="str">
        <f>IF(E1252="","Unmapped",IFERROR(INDEX(Supplier_Lookup!$B$2:$B$25,MATCH(E1252,Supplier_Lookup!$A$2:$A$25,0)),"Unmapped"))</f>
        <v>Vehicle &amp; Fuel</v>
      </c>
      <c r="Q1252" s="76">
        <f>IFERROR(INDEX(Category_Targets!$B$2:$B$9,MATCH(F1252,Category_Targets!$A$2:$A$9,0)),0)</f>
        <v>0.05</v>
      </c>
      <c r="R1252" s="125">
        <f t="shared" si="58"/>
        <v>22.792500000000004</v>
      </c>
      <c r="S1252" s="78">
        <f t="shared" si="59"/>
        <v>45992</v>
      </c>
      <c r="T1252" t="str">
        <f>IFERROR(VLOOKUP(B1252,Sites!$A$2:$D$21,4,FALSE()),"Unknown")</f>
        <v>Coventry</v>
      </c>
      <c r="U1252" t="str">
        <f>IF(N1252="OK","",COUNTIF($N$2:N1252,"&lt;&gt;OK"))</f>
        <v/>
      </c>
      <c r="V1252">
        <f>IF(OR(NOT(EXACT(E1252,TRIM(Procurement_Raw!E1252))),NOT(EXACT(F1252,TRIM(Procurement_Raw!F1252)))),1,0)</f>
        <v>0</v>
      </c>
    </row>
    <row r="1253" spans="1:22" ht="15" customHeight="1" x14ac:dyDescent="0.25">
      <c r="A1253" s="123">
        <f>Procurement_Raw!A1253</f>
        <v>45885</v>
      </c>
      <c r="B1253" t="str">
        <f>TRIM(Procurement_Raw!B1253)</f>
        <v>S005</v>
      </c>
      <c r="C1253" t="str">
        <f>Procurement_Raw!C1253</f>
        <v>Sheffield Care &amp; Education Centre</v>
      </c>
      <c r="D1253" t="str">
        <f>Procurement_Raw!D1253</f>
        <v>North</v>
      </c>
      <c r="E1253" t="str">
        <f>IF(TRIM(Procurement_Raw!E1253)="","",IFERROR(INDEX(Supplier_Lookup!$A$2:$A$25,MATCH(TRIM(Procurement_Raw!E1253),Supplier_Lookup!$A$2:$A$25,0)),TRIM(Procurement_Raw!E1253)))</f>
        <v>BuildCare</v>
      </c>
      <c r="F1253" t="str">
        <f>IFERROR(INDEX(Category_Targets!$A$2:$A$9,MATCH(TRIM(Procurement_Raw!F1253),Category_Targets!$A$2:$A$9,0)),"Unmapped")</f>
        <v>Facilities</v>
      </c>
      <c r="G1253" t="str">
        <f>TRIM(Procurement_Raw!G1253)</f>
        <v>INV-2025-01252</v>
      </c>
      <c r="H1253" s="77">
        <f>Procurement_Raw!H1253</f>
        <v>18</v>
      </c>
      <c r="I1253" s="124">
        <f>Procurement_Raw!I1253</f>
        <v>284.69</v>
      </c>
      <c r="J1253" s="125">
        <f>IF(Procurement_Raw!J1253="","",Procurement_Raw!J1253)</f>
        <v>5124.3999999999996</v>
      </c>
      <c r="K1253" s="77">
        <f>Procurement_Raw!K1253</f>
        <v>30</v>
      </c>
      <c r="L1253" t="str">
        <f>Procurement_Raw!L1253</f>
        <v>Procurement Portal</v>
      </c>
      <c r="M1253" t="str">
        <f>Procurement_Raw!O1253</f>
        <v>N</v>
      </c>
      <c r="N1253" t="str">
        <f>IF(E1253="","Missing supplier",IF(B1253="","Missing site",IF(J1253="","Missing spend",IF(COUNTIFS($G$2:G1253,G1253,$E$2:E1253,E1253,$J$2:J1253,J1253)&gt;1,"Duplicate invoice",IF(COUNTIF($G$2:$G$1801,G1253)&gt;1,"Duplicate ID - review",IF(AND(P1253&lt;&gt;"Unmapped",P1253&lt;&gt;F1253),"Category mismatch","OK"))))))</f>
        <v>OK</v>
      </c>
      <c r="O1253" s="125">
        <f t="shared" si="57"/>
        <v>5124.3999999999996</v>
      </c>
      <c r="P1253" t="str">
        <f>IF(E1253="","Unmapped",IFERROR(INDEX(Supplier_Lookup!$B$2:$B$25,MATCH(E1253,Supplier_Lookup!$A$2:$A$25,0)),"Unmapped"))</f>
        <v>Facilities</v>
      </c>
      <c r="Q1253" s="76">
        <f>IFERROR(INDEX(Category_Targets!$B$2:$B$9,MATCH(F1253,Category_Targets!$A$2:$A$9,0)),0)</f>
        <v>0.05</v>
      </c>
      <c r="R1253" s="125">
        <f t="shared" si="58"/>
        <v>256.21999999999997</v>
      </c>
      <c r="S1253" s="78">
        <f t="shared" si="59"/>
        <v>45870</v>
      </c>
      <c r="T1253" t="str">
        <f>IFERROR(VLOOKUP(B1253,Sites!$A$2:$D$21,4,FALSE()),"Unknown")</f>
        <v>Sheffield</v>
      </c>
      <c r="U1253" t="str">
        <f>IF(N1253="OK","",COUNTIF($N$2:N1253,"&lt;&gt;OK"))</f>
        <v/>
      </c>
      <c r="V1253">
        <f>IF(OR(NOT(EXACT(E1253,TRIM(Procurement_Raw!E1253))),NOT(EXACT(F1253,TRIM(Procurement_Raw!F1253)))),1,0)</f>
        <v>0</v>
      </c>
    </row>
    <row r="1254" spans="1:22" ht="15" customHeight="1" x14ac:dyDescent="0.25">
      <c r="A1254" s="123">
        <f>Procurement_Raw!A1254</f>
        <v>45952</v>
      </c>
      <c r="B1254" t="str">
        <f>TRIM(Procurement_Raw!B1254)</f>
        <v>S017</v>
      </c>
      <c r="C1254" t="str">
        <f>Procurement_Raw!C1254</f>
        <v>Swansea Care &amp; Education Centre</v>
      </c>
      <c r="D1254" t="str">
        <f>Procurement_Raw!D1254</f>
        <v>Wales</v>
      </c>
      <c r="E1254" t="str">
        <f>IF(TRIM(Procurement_Raw!E1254)="","",IFERROR(INDEX(Supplier_Lookup!$A$2:$A$25,MATCH(TRIM(Procurement_Raw!E1254),Supplier_Lookup!$A$2:$A$25,0)),TRIM(Procurement_Raw!E1254)))</f>
        <v>TeleCare IT</v>
      </c>
      <c r="F1254" t="str">
        <f>IFERROR(INDEX(Category_Targets!$A$2:$A$9,MATCH(TRIM(Procurement_Raw!F1254),Category_Targets!$A$2:$A$9,0)),"Unmapped")</f>
        <v>IT &amp; Telecoms</v>
      </c>
      <c r="G1254" t="str">
        <f>TRIM(Procurement_Raw!G1254)</f>
        <v>INV-2025-01253</v>
      </c>
      <c r="H1254" s="77">
        <f>Procurement_Raw!H1254</f>
        <v>11</v>
      </c>
      <c r="I1254" s="124">
        <f>Procurement_Raw!I1254</f>
        <v>73.48</v>
      </c>
      <c r="J1254" s="125">
        <f>IF(Procurement_Raw!J1254="","",Procurement_Raw!J1254)</f>
        <v>808.33</v>
      </c>
      <c r="K1254" s="77">
        <f>Procurement_Raw!K1254</f>
        <v>30</v>
      </c>
      <c r="L1254" t="str">
        <f>Procurement_Raw!L1254</f>
        <v>ERP</v>
      </c>
      <c r="M1254" t="str">
        <f>Procurement_Raw!O1254</f>
        <v>N</v>
      </c>
      <c r="N1254" t="str">
        <f>IF(E1254="","Missing supplier",IF(B1254="","Missing site",IF(J1254="","Missing spend",IF(COUNTIFS($G$2:G1254,G1254,$E$2:E1254,E1254,$J$2:J1254,J1254)&gt;1,"Duplicate invoice",IF(COUNTIF($G$2:$G$1801,G1254)&gt;1,"Duplicate ID - review",IF(AND(P1254&lt;&gt;"Unmapped",P1254&lt;&gt;F1254),"Category mismatch","OK"))))))</f>
        <v>OK</v>
      </c>
      <c r="O1254" s="125">
        <f t="shared" si="57"/>
        <v>808.33</v>
      </c>
      <c r="P1254" t="str">
        <f>IF(E1254="","Unmapped",IFERROR(INDEX(Supplier_Lookup!$B$2:$B$25,MATCH(E1254,Supplier_Lookup!$A$2:$A$25,0)),"Unmapped"))</f>
        <v>IT &amp; Telecoms</v>
      </c>
      <c r="Q1254" s="76">
        <f>IFERROR(INDEX(Category_Targets!$B$2:$B$9,MATCH(F1254,Category_Targets!$A$2:$A$9,0)),0)</f>
        <v>0.08</v>
      </c>
      <c r="R1254" s="125">
        <f t="shared" si="58"/>
        <v>64.66640000000001</v>
      </c>
      <c r="S1254" s="78">
        <f t="shared" si="59"/>
        <v>45931</v>
      </c>
      <c r="T1254" t="str">
        <f>IFERROR(VLOOKUP(B1254,Sites!$A$2:$D$21,4,FALSE()),"Unknown")</f>
        <v>Swansea</v>
      </c>
      <c r="U1254" t="str">
        <f>IF(N1254="OK","",COUNTIF($N$2:N1254,"&lt;&gt;OK"))</f>
        <v/>
      </c>
      <c r="V1254">
        <f>IF(OR(NOT(EXACT(E1254,TRIM(Procurement_Raw!E1254))),NOT(EXACT(F1254,TRIM(Procurement_Raw!F1254)))),1,0)</f>
        <v>0</v>
      </c>
    </row>
    <row r="1255" spans="1:22" ht="15" customHeight="1" x14ac:dyDescent="0.25">
      <c r="A1255" s="123">
        <f>Procurement_Raw!A1255</f>
        <v>46009</v>
      </c>
      <c r="B1255" t="str">
        <f>TRIM(Procurement_Raw!B1255)</f>
        <v>S014</v>
      </c>
      <c r="C1255" t="str">
        <f>Procurement_Raw!C1255</f>
        <v>Southampton Care &amp; Education Centre</v>
      </c>
      <c r="D1255" t="str">
        <f>Procurement_Raw!D1255</f>
        <v>South</v>
      </c>
      <c r="E1255" t="str">
        <f>IF(TRIM(Procurement_Raw!E1255)="","",IFERROR(INDEX(Supplier_Lookup!$A$2:$A$25,MATCH(TRIM(Procurement_Raw!E1255),Supplier_Lookup!$A$2:$A$25,0)),TRIM(Procurement_Raw!E1255)))</f>
        <v>BuildCare</v>
      </c>
      <c r="F1255" t="str">
        <f>IFERROR(INDEX(Category_Targets!$A$2:$A$9,MATCH(TRIM(Procurement_Raw!F1255),Category_Targets!$A$2:$A$9,0)),"Unmapped")</f>
        <v>Facilities</v>
      </c>
      <c r="G1255" t="str">
        <f>TRIM(Procurement_Raw!G1255)</f>
        <v>INV-2025-01254</v>
      </c>
      <c r="H1255" s="77">
        <f>Procurement_Raw!H1255</f>
        <v>53</v>
      </c>
      <c r="I1255" s="124">
        <f>Procurement_Raw!I1255</f>
        <v>221.12</v>
      </c>
      <c r="J1255" s="125">
        <f>IF(Procurement_Raw!J1255="","",Procurement_Raw!J1255)</f>
        <v>11719.15</v>
      </c>
      <c r="K1255" s="77">
        <f>Procurement_Raw!K1255</f>
        <v>45</v>
      </c>
      <c r="L1255" t="str">
        <f>Procurement_Raw!L1255</f>
        <v>Procurement Portal</v>
      </c>
      <c r="M1255" t="str">
        <f>Procurement_Raw!O1255</f>
        <v>N</v>
      </c>
      <c r="N1255" t="str">
        <f>IF(E1255="","Missing supplier",IF(B1255="","Missing site",IF(J1255="","Missing spend",IF(COUNTIFS($G$2:G1255,G1255,$E$2:E1255,E1255,$J$2:J1255,J1255)&gt;1,"Duplicate invoice",IF(COUNTIF($G$2:$G$1801,G1255)&gt;1,"Duplicate ID - review",IF(AND(P1255&lt;&gt;"Unmapped",P1255&lt;&gt;F1255),"Category mismatch","OK"))))))</f>
        <v>OK</v>
      </c>
      <c r="O1255" s="125">
        <f t="shared" si="57"/>
        <v>11719.15</v>
      </c>
      <c r="P1255" t="str">
        <f>IF(E1255="","Unmapped",IFERROR(INDEX(Supplier_Lookup!$B$2:$B$25,MATCH(E1255,Supplier_Lookup!$A$2:$A$25,0)),"Unmapped"))</f>
        <v>Facilities</v>
      </c>
      <c r="Q1255" s="76">
        <f>IFERROR(INDEX(Category_Targets!$B$2:$B$9,MATCH(F1255,Category_Targets!$A$2:$A$9,0)),0)</f>
        <v>0.05</v>
      </c>
      <c r="R1255" s="125">
        <f t="shared" si="58"/>
        <v>585.95749999999998</v>
      </c>
      <c r="S1255" s="78">
        <f t="shared" si="59"/>
        <v>45992</v>
      </c>
      <c r="T1255" t="str">
        <f>IFERROR(VLOOKUP(B1255,Sites!$A$2:$D$21,4,FALSE()),"Unknown")</f>
        <v>Southampton</v>
      </c>
      <c r="U1255" t="str">
        <f>IF(N1255="OK","",COUNTIF($N$2:N1255,"&lt;&gt;OK"))</f>
        <v/>
      </c>
      <c r="V1255">
        <f>IF(OR(NOT(EXACT(E1255,TRIM(Procurement_Raw!E1255))),NOT(EXACT(F1255,TRIM(Procurement_Raw!F1255)))),1,0)</f>
        <v>0</v>
      </c>
    </row>
    <row r="1256" spans="1:22" ht="15" customHeight="1" x14ac:dyDescent="0.25">
      <c r="A1256" s="123">
        <f>Procurement_Raw!A1256</f>
        <v>45746</v>
      </c>
      <c r="B1256" t="str">
        <f>TRIM(Procurement_Raw!B1256)</f>
        <v>S019</v>
      </c>
      <c r="C1256" t="str">
        <f>Procurement_Raw!C1256</f>
        <v>Wrexham Care &amp; Education Centre</v>
      </c>
      <c r="D1256" t="str">
        <f>Procurement_Raw!D1256</f>
        <v>Wales</v>
      </c>
      <c r="E1256" t="str">
        <f>IF(TRIM(Procurement_Raw!E1256)="","",IFERROR(INDEX(Supplier_Lookup!$A$2:$A$25,MATCH(TRIM(Procurement_Raw!E1256),Supplier_Lookup!$A$2:$A$25,0)),TRIM(Procurement_Raw!E1256)))</f>
        <v>SafeGuard FM</v>
      </c>
      <c r="F1256" t="str">
        <f>IFERROR(INDEX(Category_Targets!$A$2:$A$9,MATCH(TRIM(Procurement_Raw!F1256),Category_Targets!$A$2:$A$9,0)),"Unmapped")</f>
        <v>Facilities</v>
      </c>
      <c r="G1256" t="str">
        <f>TRIM(Procurement_Raw!G1256)</f>
        <v>INV-2025-01255</v>
      </c>
      <c r="H1256" s="77">
        <f>Procurement_Raw!H1256</f>
        <v>76</v>
      </c>
      <c r="I1256" s="124">
        <f>Procurement_Raw!I1256</f>
        <v>353.6</v>
      </c>
      <c r="J1256" s="125">
        <f>IF(Procurement_Raw!J1256="","",Procurement_Raw!J1256)</f>
        <v>26873.83</v>
      </c>
      <c r="K1256" s="77">
        <f>Procurement_Raw!K1256</f>
        <v>45</v>
      </c>
      <c r="L1256" t="str">
        <f>Procurement_Raw!L1256</f>
        <v>Procurement Portal</v>
      </c>
      <c r="M1256" t="str">
        <f>Procurement_Raw!O1256</f>
        <v>N</v>
      </c>
      <c r="N1256" t="str">
        <f>IF(E1256="","Missing supplier",IF(B1256="","Missing site",IF(J1256="","Missing spend",IF(COUNTIFS($G$2:G1256,G1256,$E$2:E1256,E1256,$J$2:J1256,J1256)&gt;1,"Duplicate invoice",IF(COUNTIF($G$2:$G$1801,G1256)&gt;1,"Duplicate ID - review",IF(AND(P1256&lt;&gt;"Unmapped",P1256&lt;&gt;F1256),"Category mismatch","OK"))))))</f>
        <v>OK</v>
      </c>
      <c r="O1256" s="125">
        <f t="shared" si="57"/>
        <v>26873.83</v>
      </c>
      <c r="P1256" t="str">
        <f>IF(E1256="","Unmapped",IFERROR(INDEX(Supplier_Lookup!$B$2:$B$25,MATCH(E1256,Supplier_Lookup!$A$2:$A$25,0)),"Unmapped"))</f>
        <v>Facilities</v>
      </c>
      <c r="Q1256" s="76">
        <f>IFERROR(INDEX(Category_Targets!$B$2:$B$9,MATCH(F1256,Category_Targets!$A$2:$A$9,0)),0)</f>
        <v>0.05</v>
      </c>
      <c r="R1256" s="125">
        <f t="shared" si="58"/>
        <v>1343.6915000000001</v>
      </c>
      <c r="S1256" s="78">
        <f t="shared" si="59"/>
        <v>45717</v>
      </c>
      <c r="T1256" t="str">
        <f>IFERROR(VLOOKUP(B1256,Sites!$A$2:$D$21,4,FALSE()),"Unknown")</f>
        <v>Wrexham</v>
      </c>
      <c r="U1256" t="str">
        <f>IF(N1256="OK","",COUNTIF($N$2:N1256,"&lt;&gt;OK"))</f>
        <v/>
      </c>
      <c r="V1256">
        <f>IF(OR(NOT(EXACT(E1256,TRIM(Procurement_Raw!E1256))),NOT(EXACT(F1256,TRIM(Procurement_Raw!F1256)))),1,0)</f>
        <v>0</v>
      </c>
    </row>
    <row r="1257" spans="1:22" ht="15" customHeight="1" x14ac:dyDescent="0.25">
      <c r="A1257" s="123">
        <f>Procurement_Raw!A1257</f>
        <v>45846</v>
      </c>
      <c r="B1257" t="str">
        <f>TRIM(Procurement_Raw!B1257)</f>
        <v>S019</v>
      </c>
      <c r="C1257" t="str">
        <f>Procurement_Raw!C1257</f>
        <v>Wrexham Care &amp; Education Centre</v>
      </c>
      <c r="D1257" t="str">
        <f>Procurement_Raw!D1257</f>
        <v>Wales</v>
      </c>
      <c r="E1257" t="str">
        <f>IF(TRIM(Procurement_Raw!E1257)="","",IFERROR(INDEX(Supplier_Lookup!$A$2:$A$25,MATCH(TRIM(Procurement_Raw!E1257),Supplier_Lookup!$A$2:$A$25,0)),TRIM(Procurement_Raw!E1257)))</f>
        <v>NourishCo</v>
      </c>
      <c r="F1257" t="str">
        <f>IFERROR(INDEX(Category_Targets!$A$2:$A$9,MATCH(TRIM(Procurement_Raw!F1257),Category_Targets!$A$2:$A$9,0)),"Unmapped")</f>
        <v>Food &amp; Catering</v>
      </c>
      <c r="G1257" t="str">
        <f>TRIM(Procurement_Raw!G1257)</f>
        <v>INV-2025-01256</v>
      </c>
      <c r="H1257" s="77">
        <f>Procurement_Raw!H1257</f>
        <v>24</v>
      </c>
      <c r="I1257" s="124">
        <f>Procurement_Raw!I1257</f>
        <v>33.42</v>
      </c>
      <c r="J1257" s="125">
        <f>IF(Procurement_Raw!J1257="","",Procurement_Raw!J1257)</f>
        <v>802.02</v>
      </c>
      <c r="K1257" s="77">
        <f>Procurement_Raw!K1257</f>
        <v>45</v>
      </c>
      <c r="L1257" t="str">
        <f>Procurement_Raw!L1257</f>
        <v>Procurement Portal</v>
      </c>
      <c r="M1257" t="str">
        <f>Procurement_Raw!O1257</f>
        <v>N</v>
      </c>
      <c r="N1257" t="str">
        <f>IF(E1257="","Missing supplier",IF(B1257="","Missing site",IF(J1257="","Missing spend",IF(COUNTIFS($G$2:G1257,G1257,$E$2:E1257,E1257,$J$2:J1257,J1257)&gt;1,"Duplicate invoice",IF(COUNTIF($G$2:$G$1801,G1257)&gt;1,"Duplicate ID - review",IF(AND(P1257&lt;&gt;"Unmapped",P1257&lt;&gt;F1257),"Category mismatch","OK"))))))</f>
        <v>OK</v>
      </c>
      <c r="O1257" s="125">
        <f t="shared" si="57"/>
        <v>802.02</v>
      </c>
      <c r="P1257" t="str">
        <f>IF(E1257="","Unmapped",IFERROR(INDEX(Supplier_Lookup!$B$2:$B$25,MATCH(E1257,Supplier_Lookup!$A$2:$A$25,0)),"Unmapped"))</f>
        <v>Food &amp; Catering</v>
      </c>
      <c r="Q1257" s="76">
        <f>IFERROR(INDEX(Category_Targets!$B$2:$B$9,MATCH(F1257,Category_Targets!$A$2:$A$9,0)),0)</f>
        <v>0.04</v>
      </c>
      <c r="R1257" s="125">
        <f t="shared" si="58"/>
        <v>32.080799999999996</v>
      </c>
      <c r="S1257" s="78">
        <f t="shared" si="59"/>
        <v>45839</v>
      </c>
      <c r="T1257" t="str">
        <f>IFERROR(VLOOKUP(B1257,Sites!$A$2:$D$21,4,FALSE()),"Unknown")</f>
        <v>Wrexham</v>
      </c>
      <c r="U1257" t="str">
        <f>IF(N1257="OK","",COUNTIF($N$2:N1257,"&lt;&gt;OK"))</f>
        <v/>
      </c>
      <c r="V1257">
        <f>IF(OR(NOT(EXACT(E1257,TRIM(Procurement_Raw!E1257))),NOT(EXACT(F1257,TRIM(Procurement_Raw!F1257)))),1,0)</f>
        <v>0</v>
      </c>
    </row>
    <row r="1258" spans="1:22" ht="15" customHeight="1" x14ac:dyDescent="0.25">
      <c r="A1258" s="123">
        <f>Procurement_Raw!A1258</f>
        <v>45669</v>
      </c>
      <c r="B1258" t="str">
        <f>TRIM(Procurement_Raw!B1258)</f>
        <v>S016</v>
      </c>
      <c r="C1258" t="str">
        <f>Procurement_Raw!C1258</f>
        <v>Cardiff Care &amp; Education Centre</v>
      </c>
      <c r="D1258" t="str">
        <f>Procurement_Raw!D1258</f>
        <v>Wales</v>
      </c>
      <c r="E1258" t="str">
        <f>IF(TRIM(Procurement_Raw!E1258)="","",IFERROR(INDEX(Supplier_Lookup!$A$2:$A$25,MATCH(TRIM(Procurement_Raw!E1258),Supplier_Lookup!$A$2:$A$25,0)),TRIM(Procurement_Raw!E1258)))</f>
        <v>UK Energy Partners</v>
      </c>
      <c r="F1258" t="str">
        <f>IFERROR(INDEX(Category_Targets!$A$2:$A$9,MATCH(TRIM(Procurement_Raw!F1258),Category_Targets!$A$2:$A$9,0)),"Unmapped")</f>
        <v>Utilities</v>
      </c>
      <c r="G1258" t="str">
        <f>TRIM(Procurement_Raw!G1258)</f>
        <v>INV-2025-01257</v>
      </c>
      <c r="H1258" s="77">
        <f>Procurement_Raw!H1258</f>
        <v>72</v>
      </c>
      <c r="I1258" s="124">
        <f>Procurement_Raw!I1258</f>
        <v>627.27</v>
      </c>
      <c r="J1258" s="125">
        <f>IF(Procurement_Raw!J1258="","",Procurement_Raw!J1258)</f>
        <v>45163.38</v>
      </c>
      <c r="K1258" s="77">
        <f>Procurement_Raw!K1258</f>
        <v>60</v>
      </c>
      <c r="L1258" t="str">
        <f>Procurement_Raw!L1258</f>
        <v>Legacy Spend File</v>
      </c>
      <c r="M1258" t="str">
        <f>Procurement_Raw!O1258</f>
        <v>N</v>
      </c>
      <c r="N1258" t="str">
        <f>IF(E1258="","Missing supplier",IF(B1258="","Missing site",IF(J1258="","Missing spend",IF(COUNTIFS($G$2:G1258,G1258,$E$2:E1258,E1258,$J$2:J1258,J1258)&gt;1,"Duplicate invoice",IF(COUNTIF($G$2:$G$1801,G1258)&gt;1,"Duplicate ID - review",IF(AND(P1258&lt;&gt;"Unmapped",P1258&lt;&gt;F1258),"Category mismatch","OK"))))))</f>
        <v>OK</v>
      </c>
      <c r="O1258" s="125">
        <f t="shared" si="57"/>
        <v>45163.38</v>
      </c>
      <c r="P1258" t="str">
        <f>IF(E1258="","Unmapped",IFERROR(INDEX(Supplier_Lookup!$B$2:$B$25,MATCH(E1258,Supplier_Lookup!$A$2:$A$25,0)),"Unmapped"))</f>
        <v>Utilities</v>
      </c>
      <c r="Q1258" s="76">
        <f>IFERROR(INDEX(Category_Targets!$B$2:$B$9,MATCH(F1258,Category_Targets!$A$2:$A$9,0)),0)</f>
        <v>0.03</v>
      </c>
      <c r="R1258" s="125">
        <f t="shared" si="58"/>
        <v>1354.9014</v>
      </c>
      <c r="S1258" s="78">
        <f t="shared" si="59"/>
        <v>45658</v>
      </c>
      <c r="T1258" t="str">
        <f>IFERROR(VLOOKUP(B1258,Sites!$A$2:$D$21,4,FALSE()),"Unknown")</f>
        <v>Cardiff</v>
      </c>
      <c r="U1258" t="str">
        <f>IF(N1258="OK","",COUNTIF($N$2:N1258,"&lt;&gt;OK"))</f>
        <v/>
      </c>
      <c r="V1258">
        <f>IF(OR(NOT(EXACT(E1258,TRIM(Procurement_Raw!E1258))),NOT(EXACT(F1258,TRIM(Procurement_Raw!F1258)))),1,0)</f>
        <v>0</v>
      </c>
    </row>
    <row r="1259" spans="1:22" ht="15" customHeight="1" x14ac:dyDescent="0.25">
      <c r="A1259" s="123">
        <f>Procurement_Raw!A1259</f>
        <v>45894</v>
      </c>
      <c r="B1259" t="str">
        <f>TRIM(Procurement_Raw!B1259)</f>
        <v>S011</v>
      </c>
      <c r="C1259" t="str">
        <f>Procurement_Raw!C1259</f>
        <v>London Care &amp; Education Centre</v>
      </c>
      <c r="D1259" t="str">
        <f>Procurement_Raw!D1259</f>
        <v>South</v>
      </c>
      <c r="E1259" t="str">
        <f>IF(TRIM(Procurement_Raw!E1259)="","",IFERROR(INDEX(Supplier_Lookup!$A$2:$A$25,MATCH(TRIM(Procurement_Raw!E1259),Supplier_Lookup!$A$2:$A$25,0)),TRIM(Procurement_Raw!E1259)))</f>
        <v>UK Energy Partners</v>
      </c>
      <c r="F1259" t="str">
        <f>IFERROR(INDEX(Category_Targets!$A$2:$A$9,MATCH(TRIM(Procurement_Raw!F1259),Category_Targets!$A$2:$A$9,0)),"Unmapped")</f>
        <v>Utilities</v>
      </c>
      <c r="G1259" t="str">
        <f>TRIM(Procurement_Raw!G1259)</f>
        <v>INV-2025-01258</v>
      </c>
      <c r="H1259" s="77">
        <f>Procurement_Raw!H1259</f>
        <v>26</v>
      </c>
      <c r="I1259" s="124">
        <f>Procurement_Raw!I1259</f>
        <v>314.79000000000002</v>
      </c>
      <c r="J1259" s="125">
        <f>IF(Procurement_Raw!J1259="","",Procurement_Raw!J1259)</f>
        <v>8184.67</v>
      </c>
      <c r="K1259" s="77">
        <f>Procurement_Raw!K1259</f>
        <v>45</v>
      </c>
      <c r="L1259" t="str">
        <f>Procurement_Raw!L1259</f>
        <v>Legacy Spend File</v>
      </c>
      <c r="M1259" t="str">
        <f>Procurement_Raw!O1259</f>
        <v>N</v>
      </c>
      <c r="N1259" t="str">
        <f>IF(E1259="","Missing supplier",IF(B1259="","Missing site",IF(J1259="","Missing spend",IF(COUNTIFS($G$2:G1259,G1259,$E$2:E1259,E1259,$J$2:J1259,J1259)&gt;1,"Duplicate invoice",IF(COUNTIF($G$2:$G$1801,G1259)&gt;1,"Duplicate ID - review",IF(AND(P1259&lt;&gt;"Unmapped",P1259&lt;&gt;F1259),"Category mismatch","OK"))))))</f>
        <v>OK</v>
      </c>
      <c r="O1259" s="125">
        <f t="shared" si="57"/>
        <v>8184.67</v>
      </c>
      <c r="P1259" t="str">
        <f>IF(E1259="","Unmapped",IFERROR(INDEX(Supplier_Lookup!$B$2:$B$25,MATCH(E1259,Supplier_Lookup!$A$2:$A$25,0)),"Unmapped"))</f>
        <v>Utilities</v>
      </c>
      <c r="Q1259" s="76">
        <f>IFERROR(INDEX(Category_Targets!$B$2:$B$9,MATCH(F1259,Category_Targets!$A$2:$A$9,0)),0)</f>
        <v>0.03</v>
      </c>
      <c r="R1259" s="125">
        <f t="shared" si="58"/>
        <v>245.5401</v>
      </c>
      <c r="S1259" s="78">
        <f t="shared" si="59"/>
        <v>45870</v>
      </c>
      <c r="T1259" t="str">
        <f>IFERROR(VLOOKUP(B1259,Sites!$A$2:$D$21,4,FALSE()),"Unknown")</f>
        <v>London</v>
      </c>
      <c r="U1259" t="str">
        <f>IF(N1259="OK","",COUNTIF($N$2:N1259,"&lt;&gt;OK"))</f>
        <v/>
      </c>
      <c r="V1259">
        <f>IF(OR(NOT(EXACT(E1259,TRIM(Procurement_Raw!E1259))),NOT(EXACT(F1259,TRIM(Procurement_Raw!F1259)))),1,0)</f>
        <v>0</v>
      </c>
    </row>
    <row r="1260" spans="1:22" ht="15" customHeight="1" x14ac:dyDescent="0.25">
      <c r="A1260" s="123">
        <f>Procurement_Raw!A1260</f>
        <v>45974</v>
      </c>
      <c r="B1260" t="str">
        <f>TRIM(Procurement_Raw!B1260)</f>
        <v>S010</v>
      </c>
      <c r="C1260" t="str">
        <f>Procurement_Raw!C1260</f>
        <v>Coventry Care &amp; Education Centre</v>
      </c>
      <c r="D1260" t="str">
        <f>Procurement_Raw!D1260</f>
        <v>Midlands</v>
      </c>
      <c r="E1260" t="str">
        <f>IF(TRIM(Procurement_Raw!E1260)="","",IFERROR(INDEX(Supplier_Lookup!$A$2:$A$25,MATCH(TRIM(Procurement_Raw!E1260),Supplier_Lookup!$A$2:$A$25,0)),TRIM(Procurement_Raw!E1260)))</f>
        <v>CareMed</v>
      </c>
      <c r="F1260" t="str">
        <f>IFERROR(INDEX(Category_Targets!$A$2:$A$9,MATCH(TRIM(Procurement_Raw!F1260),Category_Targets!$A$2:$A$9,0)),"Unmapped")</f>
        <v>Medical Supplies</v>
      </c>
      <c r="G1260" t="str">
        <f>TRIM(Procurement_Raw!G1260)</f>
        <v>INV-2025-01259</v>
      </c>
      <c r="H1260" s="77">
        <f>Procurement_Raw!H1260</f>
        <v>55</v>
      </c>
      <c r="I1260" s="124">
        <f>Procurement_Raw!I1260</f>
        <v>81.430000000000007</v>
      </c>
      <c r="J1260" s="125">
        <f>IF(Procurement_Raw!J1260="","",Procurement_Raw!J1260)</f>
        <v>4478.6099999999997</v>
      </c>
      <c r="K1260" s="77">
        <f>Procurement_Raw!K1260</f>
        <v>60</v>
      </c>
      <c r="L1260" t="str">
        <f>Procurement_Raw!L1260</f>
        <v>Procurement Portal</v>
      </c>
      <c r="M1260" t="str">
        <f>Procurement_Raw!O1260</f>
        <v>N</v>
      </c>
      <c r="N1260" t="str">
        <f>IF(E1260="","Missing supplier",IF(B1260="","Missing site",IF(J1260="","Missing spend",IF(COUNTIFS($G$2:G1260,G1260,$E$2:E1260,E1260,$J$2:J1260,J1260)&gt;1,"Duplicate invoice",IF(COUNTIF($G$2:$G$1801,G1260)&gt;1,"Duplicate ID - review",IF(AND(P1260&lt;&gt;"Unmapped",P1260&lt;&gt;F1260),"Category mismatch","OK"))))))</f>
        <v>OK</v>
      </c>
      <c r="O1260" s="125">
        <f t="shared" si="57"/>
        <v>4478.6099999999997</v>
      </c>
      <c r="P1260" t="str">
        <f>IF(E1260="","Unmapped",IFERROR(INDEX(Supplier_Lookup!$B$2:$B$25,MATCH(E1260,Supplier_Lookup!$A$2:$A$25,0)),"Unmapped"))</f>
        <v>Medical Supplies</v>
      </c>
      <c r="Q1260" s="76">
        <f>IFERROR(INDEX(Category_Targets!$B$2:$B$9,MATCH(F1260,Category_Targets!$A$2:$A$9,0)),0)</f>
        <v>0.06</v>
      </c>
      <c r="R1260" s="125">
        <f t="shared" si="58"/>
        <v>268.71659999999997</v>
      </c>
      <c r="S1260" s="78">
        <f t="shared" si="59"/>
        <v>45962</v>
      </c>
      <c r="T1260" t="str">
        <f>IFERROR(VLOOKUP(B1260,Sites!$A$2:$D$21,4,FALSE()),"Unknown")</f>
        <v>Coventry</v>
      </c>
      <c r="U1260" t="str">
        <f>IF(N1260="OK","",COUNTIF($N$2:N1260,"&lt;&gt;OK"))</f>
        <v/>
      </c>
      <c r="V1260">
        <f>IF(OR(NOT(EXACT(E1260,TRIM(Procurement_Raw!E1260))),NOT(EXACT(F1260,TRIM(Procurement_Raw!F1260)))),1,0)</f>
        <v>0</v>
      </c>
    </row>
    <row r="1261" spans="1:22" ht="15" customHeight="1" x14ac:dyDescent="0.25">
      <c r="A1261" s="123">
        <f>Procurement_Raw!A1261</f>
        <v>45745</v>
      </c>
      <c r="B1261" t="str">
        <f>TRIM(Procurement_Raw!B1261)</f>
        <v>S008</v>
      </c>
      <c r="C1261" t="str">
        <f>Procurement_Raw!C1261</f>
        <v>Leicester Care &amp; Education Centre</v>
      </c>
      <c r="D1261" t="str">
        <f>Procurement_Raw!D1261</f>
        <v>Midlands</v>
      </c>
      <c r="E1261" t="str">
        <f>IF(TRIM(Procurement_Raw!E1261)="","",IFERROR(INDEX(Supplier_Lookup!$A$2:$A$25,MATCH(TRIM(Procurement_Raw!E1261),Supplier_Lookup!$A$2:$A$25,0)),TRIM(Procurement_Raw!E1261)))</f>
        <v>NourishCo</v>
      </c>
      <c r="F1261" t="str">
        <f>IFERROR(INDEX(Category_Targets!$A$2:$A$9,MATCH(TRIM(Procurement_Raw!F1261),Category_Targets!$A$2:$A$9,0)),"Unmapped")</f>
        <v>Food &amp; Catering</v>
      </c>
      <c r="G1261" t="str">
        <f>TRIM(Procurement_Raw!G1261)</f>
        <v>INV-2025-01260</v>
      </c>
      <c r="H1261" s="77">
        <f>Procurement_Raw!H1261</f>
        <v>73</v>
      </c>
      <c r="I1261" s="124">
        <f>Procurement_Raw!I1261</f>
        <v>63.04</v>
      </c>
      <c r="J1261" s="125">
        <f>IF(Procurement_Raw!J1261="","",Procurement_Raw!J1261)</f>
        <v>4601.67</v>
      </c>
      <c r="K1261" s="77">
        <f>Procurement_Raw!K1261</f>
        <v>30</v>
      </c>
      <c r="L1261" t="str">
        <f>Procurement_Raw!L1261</f>
        <v>ERP</v>
      </c>
      <c r="M1261" t="str">
        <f>Procurement_Raw!O1261</f>
        <v>N</v>
      </c>
      <c r="N1261" t="str">
        <f>IF(E1261="","Missing supplier",IF(B1261="","Missing site",IF(J1261="","Missing spend",IF(COUNTIFS($G$2:G1261,G1261,$E$2:E1261,E1261,$J$2:J1261,J1261)&gt;1,"Duplicate invoice",IF(COUNTIF($G$2:$G$1801,G1261)&gt;1,"Duplicate ID - review",IF(AND(P1261&lt;&gt;"Unmapped",P1261&lt;&gt;F1261),"Category mismatch","OK"))))))</f>
        <v>OK</v>
      </c>
      <c r="O1261" s="125">
        <f t="shared" si="57"/>
        <v>4601.67</v>
      </c>
      <c r="P1261" t="str">
        <f>IF(E1261="","Unmapped",IFERROR(INDEX(Supplier_Lookup!$B$2:$B$25,MATCH(E1261,Supplier_Lookup!$A$2:$A$25,0)),"Unmapped"))</f>
        <v>Food &amp; Catering</v>
      </c>
      <c r="Q1261" s="76">
        <f>IFERROR(INDEX(Category_Targets!$B$2:$B$9,MATCH(F1261,Category_Targets!$A$2:$A$9,0)),0)</f>
        <v>0.04</v>
      </c>
      <c r="R1261" s="125">
        <f t="shared" si="58"/>
        <v>184.0668</v>
      </c>
      <c r="S1261" s="78">
        <f t="shared" si="59"/>
        <v>45717</v>
      </c>
      <c r="T1261" t="str">
        <f>IFERROR(VLOOKUP(B1261,Sites!$A$2:$D$21,4,FALSE()),"Unknown")</f>
        <v>Leicester</v>
      </c>
      <c r="U1261" t="str">
        <f>IF(N1261="OK","",COUNTIF($N$2:N1261,"&lt;&gt;OK"))</f>
        <v/>
      </c>
      <c r="V1261">
        <f>IF(OR(NOT(EXACT(E1261,TRIM(Procurement_Raw!E1261))),NOT(EXACT(F1261,TRIM(Procurement_Raw!F1261)))),1,0)</f>
        <v>0</v>
      </c>
    </row>
    <row r="1262" spans="1:22" ht="15" customHeight="1" x14ac:dyDescent="0.25">
      <c r="A1262" s="123">
        <f>Procurement_Raw!A1262</f>
        <v>46002</v>
      </c>
      <c r="B1262" t="str">
        <f>TRIM(Procurement_Raw!B1262)</f>
        <v>S013</v>
      </c>
      <c r="C1262" t="str">
        <f>Procurement_Raw!C1262</f>
        <v>Reading Care &amp; Education Centre</v>
      </c>
      <c r="D1262" t="str">
        <f>Procurement_Raw!D1262</f>
        <v>South</v>
      </c>
      <c r="E1262" t="str">
        <f>IF(TRIM(Procurement_Raw!E1262)="","",IFERROR(INDEX(Supplier_Lookup!$A$2:$A$25,MATCH(TRIM(Procurement_Raw!E1262),Supplier_Lookup!$A$2:$A$25,0)),TRIM(Procurement_Raw!E1262)))</f>
        <v>CareTemps</v>
      </c>
      <c r="F1262" t="str">
        <f>IFERROR(INDEX(Category_Targets!$A$2:$A$9,MATCH(TRIM(Procurement_Raw!F1262),Category_Targets!$A$2:$A$9,0)),"Unmapped")</f>
        <v>Agency Labour</v>
      </c>
      <c r="G1262" t="str">
        <f>TRIM(Procurement_Raw!G1262)</f>
        <v>INV-2025-01261</v>
      </c>
      <c r="H1262" s="77">
        <f>Procurement_Raw!H1262</f>
        <v>64</v>
      </c>
      <c r="I1262" s="124">
        <f>Procurement_Raw!I1262</f>
        <v>407.83</v>
      </c>
      <c r="J1262" s="125">
        <f>IF(Procurement_Raw!J1262="","",Procurement_Raw!J1262)</f>
        <v>26101.43</v>
      </c>
      <c r="K1262" s="77">
        <f>Procurement_Raw!K1262</f>
        <v>30</v>
      </c>
      <c r="L1262" t="str">
        <f>Procurement_Raw!L1262</f>
        <v>ERP</v>
      </c>
      <c r="M1262" t="str">
        <f>Procurement_Raw!O1262</f>
        <v>N</v>
      </c>
      <c r="N1262" t="str">
        <f>IF(E1262="","Missing supplier",IF(B1262="","Missing site",IF(J1262="","Missing spend",IF(COUNTIFS($G$2:G1262,G1262,$E$2:E1262,E1262,$J$2:J1262,J1262)&gt;1,"Duplicate invoice",IF(COUNTIF($G$2:$G$1801,G1262)&gt;1,"Duplicate ID - review",IF(AND(P1262&lt;&gt;"Unmapped",P1262&lt;&gt;F1262),"Category mismatch","OK"))))))</f>
        <v>OK</v>
      </c>
      <c r="O1262" s="125">
        <f t="shared" si="57"/>
        <v>26101.43</v>
      </c>
      <c r="P1262" t="str">
        <f>IF(E1262="","Unmapped",IFERROR(INDEX(Supplier_Lookup!$B$2:$B$25,MATCH(E1262,Supplier_Lookup!$A$2:$A$25,0)),"Unmapped"))</f>
        <v>Agency Labour</v>
      </c>
      <c r="Q1262" s="76">
        <f>IFERROR(INDEX(Category_Targets!$B$2:$B$9,MATCH(F1262,Category_Targets!$A$2:$A$9,0)),0)</f>
        <v>7.0000000000000007E-2</v>
      </c>
      <c r="R1262" s="125">
        <f t="shared" si="58"/>
        <v>1827.1001000000001</v>
      </c>
      <c r="S1262" s="78">
        <f t="shared" si="59"/>
        <v>45992</v>
      </c>
      <c r="T1262" t="str">
        <f>IFERROR(VLOOKUP(B1262,Sites!$A$2:$D$21,4,FALSE()),"Unknown")</f>
        <v>Reading</v>
      </c>
      <c r="U1262" t="str">
        <f>IF(N1262="OK","",COUNTIF($N$2:N1262,"&lt;&gt;OK"))</f>
        <v/>
      </c>
      <c r="V1262">
        <f>IF(OR(NOT(EXACT(E1262,TRIM(Procurement_Raw!E1262))),NOT(EXACT(F1262,TRIM(Procurement_Raw!F1262)))),1,0)</f>
        <v>0</v>
      </c>
    </row>
    <row r="1263" spans="1:22" ht="15" customHeight="1" x14ac:dyDescent="0.25">
      <c r="A1263" s="123">
        <f>Procurement_Raw!A1263</f>
        <v>45794</v>
      </c>
      <c r="B1263" t="str">
        <f>TRIM(Procurement_Raw!B1263)</f>
        <v>S004</v>
      </c>
      <c r="C1263" t="str">
        <f>Procurement_Raw!C1263</f>
        <v>Newcastle Care &amp; Education Centre</v>
      </c>
      <c r="D1263" t="str">
        <f>Procurement_Raw!D1263</f>
        <v>North</v>
      </c>
      <c r="E1263" t="str">
        <f>IF(TRIM(Procurement_Raw!E1263)="","",IFERROR(INDEX(Supplier_Lookup!$A$2:$A$25,MATCH(TRIM(Procurement_Raw!E1263),Supplier_Lookup!$A$2:$A$25,0)),TRIM(Procurement_Raw!E1263)))</f>
        <v>UK Energy Partners</v>
      </c>
      <c r="F1263" t="str">
        <f>IFERROR(INDEX(Category_Targets!$A$2:$A$9,MATCH(TRIM(Procurement_Raw!F1263),Category_Targets!$A$2:$A$9,0)),"Unmapped")</f>
        <v>Utilities</v>
      </c>
      <c r="G1263" t="str">
        <f>TRIM(Procurement_Raw!G1263)</f>
        <v>INV-2025-01262</v>
      </c>
      <c r="H1263" s="77">
        <f>Procurement_Raw!H1263</f>
        <v>37</v>
      </c>
      <c r="I1263" s="124">
        <f>Procurement_Raw!I1263</f>
        <v>260.67</v>
      </c>
      <c r="J1263" s="125">
        <f>IF(Procurement_Raw!J1263="","",Procurement_Raw!J1263)</f>
        <v>9644.8700000000008</v>
      </c>
      <c r="K1263" s="77">
        <f>Procurement_Raw!K1263</f>
        <v>60</v>
      </c>
      <c r="L1263" t="str">
        <f>Procurement_Raw!L1263</f>
        <v>Procurement Portal</v>
      </c>
      <c r="M1263" t="str">
        <f>Procurement_Raw!O1263</f>
        <v>N</v>
      </c>
      <c r="N1263" t="str">
        <f>IF(E1263="","Missing supplier",IF(B1263="","Missing site",IF(J1263="","Missing spend",IF(COUNTIFS($G$2:G1263,G1263,$E$2:E1263,E1263,$J$2:J1263,J1263)&gt;1,"Duplicate invoice",IF(COUNTIF($G$2:$G$1801,G1263)&gt;1,"Duplicate ID - review",IF(AND(P1263&lt;&gt;"Unmapped",P1263&lt;&gt;F1263),"Category mismatch","OK"))))))</f>
        <v>OK</v>
      </c>
      <c r="O1263" s="125">
        <f t="shared" si="57"/>
        <v>9644.8700000000008</v>
      </c>
      <c r="P1263" t="str">
        <f>IF(E1263="","Unmapped",IFERROR(INDEX(Supplier_Lookup!$B$2:$B$25,MATCH(E1263,Supplier_Lookup!$A$2:$A$25,0)),"Unmapped"))</f>
        <v>Utilities</v>
      </c>
      <c r="Q1263" s="76">
        <f>IFERROR(INDEX(Category_Targets!$B$2:$B$9,MATCH(F1263,Category_Targets!$A$2:$A$9,0)),0)</f>
        <v>0.03</v>
      </c>
      <c r="R1263" s="125">
        <f t="shared" si="58"/>
        <v>289.34610000000004</v>
      </c>
      <c r="S1263" s="78">
        <f t="shared" si="59"/>
        <v>45778</v>
      </c>
      <c r="T1263" t="str">
        <f>IFERROR(VLOOKUP(B1263,Sites!$A$2:$D$21,4,FALSE()),"Unknown")</f>
        <v>Newcastle</v>
      </c>
      <c r="U1263" t="str">
        <f>IF(N1263="OK","",COUNTIF($N$2:N1263,"&lt;&gt;OK"))</f>
        <v/>
      </c>
      <c r="V1263">
        <f>IF(OR(NOT(EXACT(E1263,TRIM(Procurement_Raw!E1263))),NOT(EXACT(F1263,TRIM(Procurement_Raw!F1263)))),1,0)</f>
        <v>0</v>
      </c>
    </row>
    <row r="1264" spans="1:22" ht="15" customHeight="1" x14ac:dyDescent="0.25">
      <c r="A1264" s="123">
        <f>Procurement_Raw!A1264</f>
        <v>45763</v>
      </c>
      <c r="B1264" t="str">
        <f>TRIM(Procurement_Raw!B1264)</f>
        <v>S012</v>
      </c>
      <c r="C1264" t="str">
        <f>Procurement_Raw!C1264</f>
        <v>Bristol Care &amp; Education Centre</v>
      </c>
      <c r="D1264" t="str">
        <f>Procurement_Raw!D1264</f>
        <v>South</v>
      </c>
      <c r="E1264" t="str">
        <f>IF(TRIM(Procurement_Raw!E1264)="","",IFERROR(INDEX(Supplier_Lookup!$A$2:$A$25,MATCH(TRIM(Procurement_Raw!E1264),Supplier_Lookup!$A$2:$A$25,0)),TRIM(Procurement_Raw!E1264)))</f>
        <v>SafeGuard FM</v>
      </c>
      <c r="F1264" t="str">
        <f>IFERROR(INDEX(Category_Targets!$A$2:$A$9,MATCH(TRIM(Procurement_Raw!F1264),Category_Targets!$A$2:$A$9,0)),"Unmapped")</f>
        <v>Facilities</v>
      </c>
      <c r="G1264" t="str">
        <f>TRIM(Procurement_Raw!G1264)</f>
        <v>INV-2025-01263</v>
      </c>
      <c r="H1264" s="77">
        <f>Procurement_Raw!H1264</f>
        <v>77</v>
      </c>
      <c r="I1264" s="124">
        <f>Procurement_Raw!I1264</f>
        <v>242.08</v>
      </c>
      <c r="J1264" s="125">
        <f>IF(Procurement_Raw!J1264="","",Procurement_Raw!J1264)</f>
        <v>18640.240000000002</v>
      </c>
      <c r="K1264" s="77">
        <f>Procurement_Raw!K1264</f>
        <v>30</v>
      </c>
      <c r="L1264" t="str">
        <f>Procurement_Raw!L1264</f>
        <v>Procurement Portal</v>
      </c>
      <c r="M1264" t="str">
        <f>Procurement_Raw!O1264</f>
        <v>N</v>
      </c>
      <c r="N1264" t="str">
        <f>IF(E1264="","Missing supplier",IF(B1264="","Missing site",IF(J1264="","Missing spend",IF(COUNTIFS($G$2:G1264,G1264,$E$2:E1264,E1264,$J$2:J1264,J1264)&gt;1,"Duplicate invoice",IF(COUNTIF($G$2:$G$1801,G1264)&gt;1,"Duplicate ID - review",IF(AND(P1264&lt;&gt;"Unmapped",P1264&lt;&gt;F1264),"Category mismatch","OK"))))))</f>
        <v>OK</v>
      </c>
      <c r="O1264" s="125">
        <f t="shared" si="57"/>
        <v>18640.240000000002</v>
      </c>
      <c r="P1264" t="str">
        <f>IF(E1264="","Unmapped",IFERROR(INDEX(Supplier_Lookup!$B$2:$B$25,MATCH(E1264,Supplier_Lookup!$A$2:$A$25,0)),"Unmapped"))</f>
        <v>Facilities</v>
      </c>
      <c r="Q1264" s="76">
        <f>IFERROR(INDEX(Category_Targets!$B$2:$B$9,MATCH(F1264,Category_Targets!$A$2:$A$9,0)),0)</f>
        <v>0.05</v>
      </c>
      <c r="R1264" s="125">
        <f t="shared" si="58"/>
        <v>932.01200000000017</v>
      </c>
      <c r="S1264" s="78">
        <f t="shared" si="59"/>
        <v>45748</v>
      </c>
      <c r="T1264" t="str">
        <f>IFERROR(VLOOKUP(B1264,Sites!$A$2:$D$21,4,FALSE()),"Unknown")</f>
        <v>Bristol</v>
      </c>
      <c r="U1264" t="str">
        <f>IF(N1264="OK","",COUNTIF($N$2:N1264,"&lt;&gt;OK"))</f>
        <v/>
      </c>
      <c r="V1264">
        <f>IF(OR(NOT(EXACT(E1264,TRIM(Procurement_Raw!E1264))),NOT(EXACT(F1264,TRIM(Procurement_Raw!F1264)))),1,0)</f>
        <v>0</v>
      </c>
    </row>
    <row r="1265" spans="1:22" ht="15" customHeight="1" x14ac:dyDescent="0.25">
      <c r="A1265" s="123">
        <f>Procurement_Raw!A1265</f>
        <v>45750</v>
      </c>
      <c r="B1265" t="str">
        <f>TRIM(Procurement_Raw!B1265)</f>
        <v>S017</v>
      </c>
      <c r="C1265" t="str">
        <f>Procurement_Raw!C1265</f>
        <v>Swansea Care &amp; Education Centre</v>
      </c>
      <c r="D1265" t="str">
        <f>Procurement_Raw!D1265</f>
        <v>Wales</v>
      </c>
      <c r="E1265" t="str">
        <f>IF(TRIM(Procurement_Raw!E1265)="","",IFERROR(INDEX(Supplier_Lookup!$A$2:$A$25,MATCH(TRIM(Procurement_Raw!E1265),Supplier_Lookup!$A$2:$A$25,0)),TRIM(Procurement_Raw!E1265)))</f>
        <v>WaterGrid</v>
      </c>
      <c r="F1265" t="str">
        <f>IFERROR(INDEX(Category_Targets!$A$2:$A$9,MATCH(TRIM(Procurement_Raw!F1265),Category_Targets!$A$2:$A$9,0)),"Unmapped")</f>
        <v>Utilities</v>
      </c>
      <c r="G1265" t="str">
        <f>TRIM(Procurement_Raw!G1265)</f>
        <v>INV-2025-01264</v>
      </c>
      <c r="H1265" s="77">
        <f>Procurement_Raw!H1265</f>
        <v>53</v>
      </c>
      <c r="I1265" s="124">
        <f>Procurement_Raw!I1265</f>
        <v>150.66999999999999</v>
      </c>
      <c r="J1265" s="125">
        <f>IF(Procurement_Raw!J1265="","",Procurement_Raw!J1265)</f>
        <v>7985.5</v>
      </c>
      <c r="K1265" s="77">
        <f>Procurement_Raw!K1265</f>
        <v>30</v>
      </c>
      <c r="L1265" t="str">
        <f>Procurement_Raw!L1265</f>
        <v>ERP</v>
      </c>
      <c r="M1265" t="str">
        <f>Procurement_Raw!O1265</f>
        <v>N</v>
      </c>
      <c r="N1265" t="str">
        <f>IF(E1265="","Missing supplier",IF(B1265="","Missing site",IF(J1265="","Missing spend",IF(COUNTIFS($G$2:G1265,G1265,$E$2:E1265,E1265,$J$2:J1265,J1265)&gt;1,"Duplicate invoice",IF(COUNTIF($G$2:$G$1801,G1265)&gt;1,"Duplicate ID - review",IF(AND(P1265&lt;&gt;"Unmapped",P1265&lt;&gt;F1265),"Category mismatch","OK"))))))</f>
        <v>OK</v>
      </c>
      <c r="O1265" s="125">
        <f t="shared" si="57"/>
        <v>7985.5</v>
      </c>
      <c r="P1265" t="str">
        <f>IF(E1265="","Unmapped",IFERROR(INDEX(Supplier_Lookup!$B$2:$B$25,MATCH(E1265,Supplier_Lookup!$A$2:$A$25,0)),"Unmapped"))</f>
        <v>Utilities</v>
      </c>
      <c r="Q1265" s="76">
        <f>IFERROR(INDEX(Category_Targets!$B$2:$B$9,MATCH(F1265,Category_Targets!$A$2:$A$9,0)),0)</f>
        <v>0.03</v>
      </c>
      <c r="R1265" s="125">
        <f t="shared" si="58"/>
        <v>239.565</v>
      </c>
      <c r="S1265" s="78">
        <f t="shared" si="59"/>
        <v>45748</v>
      </c>
      <c r="T1265" t="str">
        <f>IFERROR(VLOOKUP(B1265,Sites!$A$2:$D$21,4,FALSE()),"Unknown")</f>
        <v>Swansea</v>
      </c>
      <c r="U1265" t="str">
        <f>IF(N1265="OK","",COUNTIF($N$2:N1265,"&lt;&gt;OK"))</f>
        <v/>
      </c>
      <c r="V1265">
        <f>IF(OR(NOT(EXACT(E1265,TRIM(Procurement_Raw!E1265))),NOT(EXACT(F1265,TRIM(Procurement_Raw!F1265)))),1,0)</f>
        <v>0</v>
      </c>
    </row>
    <row r="1266" spans="1:22" ht="15" customHeight="1" x14ac:dyDescent="0.25">
      <c r="A1266" s="123">
        <f>Procurement_Raw!A1266</f>
        <v>45974</v>
      </c>
      <c r="B1266" t="str">
        <f>TRIM(Procurement_Raw!B1266)</f>
        <v>S003</v>
      </c>
      <c r="C1266" t="str">
        <f>Procurement_Raw!C1266</f>
        <v>Leeds Care &amp; Education Centre</v>
      </c>
      <c r="D1266" t="str">
        <f>Procurement_Raw!D1266</f>
        <v>North</v>
      </c>
      <c r="E1266" t="str">
        <f>IF(TRIM(Procurement_Raw!E1266)="","",IFERROR(INDEX(Supplier_Lookup!$A$2:$A$25,MATCH(TRIM(Procurement_Raw!E1266),Supplier_Lookup!$A$2:$A$25,0)),TRIM(Procurement_Raw!E1266)))</f>
        <v>CloudLink</v>
      </c>
      <c r="F1266" t="str">
        <f>IFERROR(INDEX(Category_Targets!$A$2:$A$9,MATCH(TRIM(Procurement_Raw!F1266),Category_Targets!$A$2:$A$9,0)),"Unmapped")</f>
        <v>IT &amp; Telecoms</v>
      </c>
      <c r="G1266" t="str">
        <f>TRIM(Procurement_Raw!G1266)</f>
        <v>INV-2025-01265</v>
      </c>
      <c r="H1266" s="77">
        <f>Procurement_Raw!H1266</f>
        <v>58</v>
      </c>
      <c r="I1266" s="124">
        <f>Procurement_Raw!I1266</f>
        <v>241.48</v>
      </c>
      <c r="J1266" s="125">
        <f>IF(Procurement_Raw!J1266="","",Procurement_Raw!J1266)</f>
        <v>14005.69</v>
      </c>
      <c r="K1266" s="77">
        <f>Procurement_Raw!K1266</f>
        <v>30</v>
      </c>
      <c r="L1266" t="str">
        <f>Procurement_Raw!L1266</f>
        <v>Procurement Portal</v>
      </c>
      <c r="M1266" t="str">
        <f>Procurement_Raw!O1266</f>
        <v>Y</v>
      </c>
      <c r="N1266" t="str">
        <f>IF(E1266="","Missing supplier",IF(B1266="","Missing site",IF(J1266="","Missing spend",IF(COUNTIFS($G$2:G1266,G1266,$E$2:E1266,E1266,$J$2:J1266,J1266)&gt;1,"Duplicate invoice",IF(COUNTIF($G$2:$G$1801,G1266)&gt;1,"Duplicate ID - review",IF(AND(P1266&lt;&gt;"Unmapped",P1266&lt;&gt;F1266),"Category mismatch","OK"))))))</f>
        <v>OK</v>
      </c>
      <c r="O1266" s="125">
        <f t="shared" si="57"/>
        <v>14005.69</v>
      </c>
      <c r="P1266" t="str">
        <f>IF(E1266="","Unmapped",IFERROR(INDEX(Supplier_Lookup!$B$2:$B$25,MATCH(E1266,Supplier_Lookup!$A$2:$A$25,0)),"Unmapped"))</f>
        <v>IT &amp; Telecoms</v>
      </c>
      <c r="Q1266" s="76">
        <f>IFERROR(INDEX(Category_Targets!$B$2:$B$9,MATCH(F1266,Category_Targets!$A$2:$A$9,0)),0)</f>
        <v>0.08</v>
      </c>
      <c r="R1266" s="125">
        <f t="shared" si="58"/>
        <v>1120.4552000000001</v>
      </c>
      <c r="S1266" s="78">
        <f t="shared" si="59"/>
        <v>45962</v>
      </c>
      <c r="T1266" t="str">
        <f>IFERROR(VLOOKUP(B1266,Sites!$A$2:$D$21,4,FALSE()),"Unknown")</f>
        <v>Leeds</v>
      </c>
      <c r="U1266" t="str">
        <f>IF(N1266="OK","",COUNTIF($N$2:N1266,"&lt;&gt;OK"))</f>
        <v/>
      </c>
      <c r="V1266">
        <f>IF(OR(NOT(EXACT(E1266,TRIM(Procurement_Raw!E1266))),NOT(EXACT(F1266,TRIM(Procurement_Raw!F1266)))),1,0)</f>
        <v>0</v>
      </c>
    </row>
    <row r="1267" spans="1:22" ht="15" customHeight="1" x14ac:dyDescent="0.25">
      <c r="A1267" s="123">
        <f>Procurement_Raw!A1267</f>
        <v>45663</v>
      </c>
      <c r="B1267" t="str">
        <f>TRIM(Procurement_Raw!B1267)</f>
        <v>S009</v>
      </c>
      <c r="C1267" t="str">
        <f>Procurement_Raw!C1267</f>
        <v>Derby Care &amp; Education Centre</v>
      </c>
      <c r="D1267" t="str">
        <f>Procurement_Raw!D1267</f>
        <v>Midlands</v>
      </c>
      <c r="E1267" t="str">
        <f>IF(TRIM(Procurement_Raw!E1267)="","",IFERROR(INDEX(Supplier_Lookup!$A$2:$A$25,MATCH(TRIM(Procurement_Raw!E1267),Supplier_Lookup!$A$2:$A$25,0)),TRIM(Procurement_Raw!E1267)))</f>
        <v>OfficePlus</v>
      </c>
      <c r="F1267" t="str">
        <f>IFERROR(INDEX(Category_Targets!$A$2:$A$9,MATCH(TRIM(Procurement_Raw!F1267),Category_Targets!$A$2:$A$9,0)),"Unmapped")</f>
        <v>Office &amp; Training</v>
      </c>
      <c r="G1267" t="str">
        <f>TRIM(Procurement_Raw!G1267)</f>
        <v>INV-2025-01266</v>
      </c>
      <c r="H1267" s="77">
        <f>Procurement_Raw!H1267</f>
        <v>61</v>
      </c>
      <c r="I1267" s="124">
        <f>Procurement_Raw!I1267</f>
        <v>34.47</v>
      </c>
      <c r="J1267" s="125">
        <f>IF(Procurement_Raw!J1267="","",Procurement_Raw!J1267)</f>
        <v>2102.37</v>
      </c>
      <c r="K1267" s="77">
        <f>Procurement_Raw!K1267</f>
        <v>30</v>
      </c>
      <c r="L1267" t="str">
        <f>Procurement_Raw!L1267</f>
        <v>Procurement Portal</v>
      </c>
      <c r="M1267" t="str">
        <f>Procurement_Raw!O1267</f>
        <v>N</v>
      </c>
      <c r="N1267" t="str">
        <f>IF(E1267="","Missing supplier",IF(B1267="","Missing site",IF(J1267="","Missing spend",IF(COUNTIFS($G$2:G1267,G1267,$E$2:E1267,E1267,$J$2:J1267,J1267)&gt;1,"Duplicate invoice",IF(COUNTIF($G$2:$G$1801,G1267)&gt;1,"Duplicate ID - review",IF(AND(P1267&lt;&gt;"Unmapped",P1267&lt;&gt;F1267),"Category mismatch","OK"))))))</f>
        <v>OK</v>
      </c>
      <c r="O1267" s="125">
        <f t="shared" si="57"/>
        <v>2102.37</v>
      </c>
      <c r="P1267" t="str">
        <f>IF(E1267="","Unmapped",IFERROR(INDEX(Supplier_Lookup!$B$2:$B$25,MATCH(E1267,Supplier_Lookup!$A$2:$A$25,0)),"Unmapped"))</f>
        <v>Office &amp; Training</v>
      </c>
      <c r="Q1267" s="76">
        <f>IFERROR(INDEX(Category_Targets!$B$2:$B$9,MATCH(F1267,Category_Targets!$A$2:$A$9,0)),0)</f>
        <v>0.04</v>
      </c>
      <c r="R1267" s="125">
        <f t="shared" si="58"/>
        <v>84.094799999999992</v>
      </c>
      <c r="S1267" s="78">
        <f t="shared" si="59"/>
        <v>45658</v>
      </c>
      <c r="T1267" t="str">
        <f>IFERROR(VLOOKUP(B1267,Sites!$A$2:$D$21,4,FALSE()),"Unknown")</f>
        <v>Derby</v>
      </c>
      <c r="U1267" t="str">
        <f>IF(N1267="OK","",COUNTIF($N$2:N1267,"&lt;&gt;OK"))</f>
        <v/>
      </c>
      <c r="V1267">
        <f>IF(OR(NOT(EXACT(E1267,TRIM(Procurement_Raw!E1267))),NOT(EXACT(F1267,TRIM(Procurement_Raw!F1267)))),1,0)</f>
        <v>0</v>
      </c>
    </row>
    <row r="1268" spans="1:22" ht="15" customHeight="1" x14ac:dyDescent="0.25">
      <c r="A1268" s="123">
        <f>Procurement_Raw!A1268</f>
        <v>45766</v>
      </c>
      <c r="B1268" t="str">
        <f>TRIM(Procurement_Raw!B1268)</f>
        <v>S001</v>
      </c>
      <c r="C1268" t="str">
        <f>Procurement_Raw!C1268</f>
        <v>Preston Care &amp; Education Centre</v>
      </c>
      <c r="D1268" t="str">
        <f>Procurement_Raw!D1268</f>
        <v>North</v>
      </c>
      <c r="E1268" t="str">
        <f>IF(TRIM(Procurement_Raw!E1268)="","",IFERROR(INDEX(Supplier_Lookup!$A$2:$A$25,MATCH(TRIM(Procurement_Raw!E1268),Supplier_Lookup!$A$2:$A$25,0)),TRIM(Procurement_Raw!E1268)))</f>
        <v>NurseLink</v>
      </c>
      <c r="F1268" t="str">
        <f>IFERROR(INDEX(Category_Targets!$A$2:$A$9,MATCH(TRIM(Procurement_Raw!F1268),Category_Targets!$A$2:$A$9,0)),"Unmapped")</f>
        <v>Agency Labour</v>
      </c>
      <c r="G1268" t="str">
        <f>TRIM(Procurement_Raw!G1268)</f>
        <v>INV-2025-01267</v>
      </c>
      <c r="H1268" s="77">
        <f>Procurement_Raw!H1268</f>
        <v>50</v>
      </c>
      <c r="I1268" s="124">
        <f>Procurement_Raw!I1268</f>
        <v>282.2</v>
      </c>
      <c r="J1268" s="125">
        <f>IF(Procurement_Raw!J1268="","",Procurement_Raw!J1268)</f>
        <v>14109.89</v>
      </c>
      <c r="K1268" s="77">
        <f>Procurement_Raw!K1268</f>
        <v>60</v>
      </c>
      <c r="L1268" t="str">
        <f>Procurement_Raw!L1268</f>
        <v>Procurement Portal</v>
      </c>
      <c r="M1268" t="str">
        <f>Procurement_Raw!O1268</f>
        <v>N</v>
      </c>
      <c r="N1268" t="str">
        <f>IF(E1268="","Missing supplier",IF(B1268="","Missing site",IF(J1268="","Missing spend",IF(COUNTIFS($G$2:G1268,G1268,$E$2:E1268,E1268,$J$2:J1268,J1268)&gt;1,"Duplicate invoice",IF(COUNTIF($G$2:$G$1801,G1268)&gt;1,"Duplicate ID - review",IF(AND(P1268&lt;&gt;"Unmapped",P1268&lt;&gt;F1268),"Category mismatch","OK"))))))</f>
        <v>OK</v>
      </c>
      <c r="O1268" s="125">
        <f t="shared" si="57"/>
        <v>14109.89</v>
      </c>
      <c r="P1268" t="str">
        <f>IF(E1268="","Unmapped",IFERROR(INDEX(Supplier_Lookup!$B$2:$B$25,MATCH(E1268,Supplier_Lookup!$A$2:$A$25,0)),"Unmapped"))</f>
        <v>Agency Labour</v>
      </c>
      <c r="Q1268" s="76">
        <f>IFERROR(INDEX(Category_Targets!$B$2:$B$9,MATCH(F1268,Category_Targets!$A$2:$A$9,0)),0)</f>
        <v>7.0000000000000007E-2</v>
      </c>
      <c r="R1268" s="125">
        <f t="shared" si="58"/>
        <v>987.69230000000005</v>
      </c>
      <c r="S1268" s="78">
        <f t="shared" si="59"/>
        <v>45748</v>
      </c>
      <c r="T1268" t="str">
        <f>IFERROR(VLOOKUP(B1268,Sites!$A$2:$D$21,4,FALSE()),"Unknown")</f>
        <v>Preston</v>
      </c>
      <c r="U1268" t="str">
        <f>IF(N1268="OK","",COUNTIF($N$2:N1268,"&lt;&gt;OK"))</f>
        <v/>
      </c>
      <c r="V1268">
        <f>IF(OR(NOT(EXACT(E1268,TRIM(Procurement_Raw!E1268))),NOT(EXACT(F1268,TRIM(Procurement_Raw!F1268)))),1,0)</f>
        <v>0</v>
      </c>
    </row>
    <row r="1269" spans="1:22" ht="15" customHeight="1" x14ac:dyDescent="0.25">
      <c r="A1269" s="123">
        <f>Procurement_Raw!A1269</f>
        <v>45706</v>
      </c>
      <c r="B1269" t="str">
        <f>TRIM(Procurement_Raw!B1269)</f>
        <v>S015</v>
      </c>
      <c r="C1269" t="str">
        <f>Procurement_Raw!C1269</f>
        <v>Brighton Care &amp; Education Centre</v>
      </c>
      <c r="D1269" t="str">
        <f>Procurement_Raw!D1269</f>
        <v>South</v>
      </c>
      <c r="E1269" t="str">
        <f>IF(TRIM(Procurement_Raw!E1269)="","",IFERROR(INDEX(Supplier_Lookup!$A$2:$A$25,MATCH(TRIM(Procurement_Raw!E1269),Supplier_Lookup!$A$2:$A$25,0)),TRIM(Procurement_Raw!E1269)))</f>
        <v>CloudLink</v>
      </c>
      <c r="F1269" t="str">
        <f>IFERROR(INDEX(Category_Targets!$A$2:$A$9,MATCH(TRIM(Procurement_Raw!F1269),Category_Targets!$A$2:$A$9,0)),"Unmapped")</f>
        <v>IT &amp; Telecoms</v>
      </c>
      <c r="G1269" t="str">
        <f>TRIM(Procurement_Raw!G1269)</f>
        <v>INV-2025-01268</v>
      </c>
      <c r="H1269" s="77">
        <f>Procurement_Raw!H1269</f>
        <v>72</v>
      </c>
      <c r="I1269" s="124">
        <f>Procurement_Raw!I1269</f>
        <v>133.82</v>
      </c>
      <c r="J1269" s="125">
        <f>IF(Procurement_Raw!J1269="","",Procurement_Raw!J1269)</f>
        <v>9634.8700000000008</v>
      </c>
      <c r="K1269" s="77">
        <f>Procurement_Raw!K1269</f>
        <v>30</v>
      </c>
      <c r="L1269" t="str">
        <f>Procurement_Raw!L1269</f>
        <v>ERP</v>
      </c>
      <c r="M1269" t="str">
        <f>Procurement_Raw!O1269</f>
        <v>Y</v>
      </c>
      <c r="N1269" t="str">
        <f>IF(E1269="","Missing supplier",IF(B1269="","Missing site",IF(J1269="","Missing spend",IF(COUNTIFS($G$2:G1269,G1269,$E$2:E1269,E1269,$J$2:J1269,J1269)&gt;1,"Duplicate invoice",IF(COUNTIF($G$2:$G$1801,G1269)&gt;1,"Duplicate ID - review",IF(AND(P1269&lt;&gt;"Unmapped",P1269&lt;&gt;F1269),"Category mismatch","OK"))))))</f>
        <v>OK</v>
      </c>
      <c r="O1269" s="125">
        <f t="shared" si="57"/>
        <v>9634.8700000000008</v>
      </c>
      <c r="P1269" t="str">
        <f>IF(E1269="","Unmapped",IFERROR(INDEX(Supplier_Lookup!$B$2:$B$25,MATCH(E1269,Supplier_Lookup!$A$2:$A$25,0)),"Unmapped"))</f>
        <v>IT &amp; Telecoms</v>
      </c>
      <c r="Q1269" s="76">
        <f>IFERROR(INDEX(Category_Targets!$B$2:$B$9,MATCH(F1269,Category_Targets!$A$2:$A$9,0)),0)</f>
        <v>0.08</v>
      </c>
      <c r="R1269" s="125">
        <f t="shared" si="58"/>
        <v>770.78960000000006</v>
      </c>
      <c r="S1269" s="78">
        <f t="shared" si="59"/>
        <v>45689</v>
      </c>
      <c r="T1269" t="str">
        <f>IFERROR(VLOOKUP(B1269,Sites!$A$2:$D$21,4,FALSE()),"Unknown")</f>
        <v>Brighton</v>
      </c>
      <c r="U1269" t="str">
        <f>IF(N1269="OK","",COUNTIF($N$2:N1269,"&lt;&gt;OK"))</f>
        <v/>
      </c>
      <c r="V1269">
        <f>IF(OR(NOT(EXACT(E1269,TRIM(Procurement_Raw!E1269))),NOT(EXACT(F1269,TRIM(Procurement_Raw!F1269)))),1,0)</f>
        <v>0</v>
      </c>
    </row>
    <row r="1270" spans="1:22" ht="15" customHeight="1" x14ac:dyDescent="0.25">
      <c r="A1270" s="123">
        <f>Procurement_Raw!A1270</f>
        <v>45839</v>
      </c>
      <c r="B1270" t="str">
        <f>TRIM(Procurement_Raw!B1270)</f>
        <v>S014</v>
      </c>
      <c r="C1270" t="str">
        <f>Procurement_Raw!C1270</f>
        <v>Southampton Care &amp; Education Centre</v>
      </c>
      <c r="D1270" t="str">
        <f>Procurement_Raw!D1270</f>
        <v>South</v>
      </c>
      <c r="E1270" t="str">
        <f>IF(TRIM(Procurement_Raw!E1270)="","",IFERROR(INDEX(Supplier_Lookup!$A$2:$A$25,MATCH(TRIM(Procurement_Raw!E1270),Supplier_Lookup!$A$2:$A$25,0)),TRIM(Procurement_Raw!E1270)))</f>
        <v>WaterGrid</v>
      </c>
      <c r="F1270" t="str">
        <f>IFERROR(INDEX(Category_Targets!$A$2:$A$9,MATCH(TRIM(Procurement_Raw!F1270),Category_Targets!$A$2:$A$9,0)),"Unmapped")</f>
        <v>Utilities</v>
      </c>
      <c r="G1270" t="str">
        <f>TRIM(Procurement_Raw!G1270)</f>
        <v>INV-2025-01269</v>
      </c>
      <c r="H1270" s="77">
        <f>Procurement_Raw!H1270</f>
        <v>78</v>
      </c>
      <c r="I1270" s="124">
        <f>Procurement_Raw!I1270</f>
        <v>166.82</v>
      </c>
      <c r="J1270" s="125">
        <f>IF(Procurement_Raw!J1270="","",Procurement_Raw!J1270)</f>
        <v>13012.01</v>
      </c>
      <c r="K1270" s="77">
        <f>Procurement_Raw!K1270</f>
        <v>60</v>
      </c>
      <c r="L1270" t="str">
        <f>Procurement_Raw!L1270</f>
        <v>Legacy Spend File</v>
      </c>
      <c r="M1270" t="str">
        <f>Procurement_Raw!O1270</f>
        <v>N</v>
      </c>
      <c r="N1270" t="str">
        <f>IF(E1270="","Missing supplier",IF(B1270="","Missing site",IF(J1270="","Missing spend",IF(COUNTIFS($G$2:G1270,G1270,$E$2:E1270,E1270,$J$2:J1270,J1270)&gt;1,"Duplicate invoice",IF(COUNTIF($G$2:$G$1801,G1270)&gt;1,"Duplicate ID - review",IF(AND(P1270&lt;&gt;"Unmapped",P1270&lt;&gt;F1270),"Category mismatch","OK"))))))</f>
        <v>OK</v>
      </c>
      <c r="O1270" s="125">
        <f t="shared" si="57"/>
        <v>13012.01</v>
      </c>
      <c r="P1270" t="str">
        <f>IF(E1270="","Unmapped",IFERROR(INDEX(Supplier_Lookup!$B$2:$B$25,MATCH(E1270,Supplier_Lookup!$A$2:$A$25,0)),"Unmapped"))</f>
        <v>Utilities</v>
      </c>
      <c r="Q1270" s="76">
        <f>IFERROR(INDEX(Category_Targets!$B$2:$B$9,MATCH(F1270,Category_Targets!$A$2:$A$9,0)),0)</f>
        <v>0.03</v>
      </c>
      <c r="R1270" s="125">
        <f t="shared" si="58"/>
        <v>390.3603</v>
      </c>
      <c r="S1270" s="78">
        <f t="shared" si="59"/>
        <v>45839</v>
      </c>
      <c r="T1270" t="str">
        <f>IFERROR(VLOOKUP(B1270,Sites!$A$2:$D$21,4,FALSE()),"Unknown")</f>
        <v>Southampton</v>
      </c>
      <c r="U1270" t="str">
        <f>IF(N1270="OK","",COUNTIF($N$2:N1270,"&lt;&gt;OK"))</f>
        <v/>
      </c>
      <c r="V1270">
        <f>IF(OR(NOT(EXACT(E1270,TRIM(Procurement_Raw!E1270))),NOT(EXACT(F1270,TRIM(Procurement_Raw!F1270)))),1,0)</f>
        <v>0</v>
      </c>
    </row>
    <row r="1271" spans="1:22" ht="15" customHeight="1" x14ac:dyDescent="0.25">
      <c r="A1271" s="123">
        <f>Procurement_Raw!A1271</f>
        <v>45787</v>
      </c>
      <c r="B1271" t="str">
        <f>TRIM(Procurement_Raw!B1271)</f>
        <v>S020</v>
      </c>
      <c r="C1271" t="str">
        <f>Procurement_Raw!C1271</f>
        <v>Bangor Care &amp; Education Centre</v>
      </c>
      <c r="D1271" t="str">
        <f>Procurement_Raw!D1271</f>
        <v>Wales</v>
      </c>
      <c r="E1271" t="str">
        <f>IF(TRIM(Procurement_Raw!E1271)="","",IFERROR(INDEX(Supplier_Lookup!$A$2:$A$25,MATCH(TRIM(Procurement_Raw!E1271),Supplier_Lookup!$A$2:$A$25,0)),TRIM(Procurement_Raw!E1271)))</f>
        <v>MediSure</v>
      </c>
      <c r="F1271" t="str">
        <f>IFERROR(INDEX(Category_Targets!$A$2:$A$9,MATCH(TRIM(Procurement_Raw!F1271),Category_Targets!$A$2:$A$9,0)),"Unmapped")</f>
        <v>Medical Supplies</v>
      </c>
      <c r="G1271" t="str">
        <f>TRIM(Procurement_Raw!G1271)</f>
        <v>INV-2025-01270</v>
      </c>
      <c r="H1271" s="77">
        <f>Procurement_Raw!H1271</f>
        <v>65</v>
      </c>
      <c r="I1271" s="124">
        <f>Procurement_Raw!I1271</f>
        <v>236.83</v>
      </c>
      <c r="J1271" s="125">
        <f>IF(Procurement_Raw!J1271="","",Procurement_Raw!J1271)</f>
        <v>15393.96</v>
      </c>
      <c r="K1271" s="77">
        <f>Procurement_Raw!K1271</f>
        <v>60</v>
      </c>
      <c r="L1271" t="str">
        <f>Procurement_Raw!L1271</f>
        <v>Procurement Portal</v>
      </c>
      <c r="M1271" t="str">
        <f>Procurement_Raw!O1271</f>
        <v>Y</v>
      </c>
      <c r="N1271" t="str">
        <f>IF(E1271="","Missing supplier",IF(B1271="","Missing site",IF(J1271="","Missing spend",IF(COUNTIFS($G$2:G1271,G1271,$E$2:E1271,E1271,$J$2:J1271,J1271)&gt;1,"Duplicate invoice",IF(COUNTIF($G$2:$G$1801,G1271)&gt;1,"Duplicate ID - review",IF(AND(P1271&lt;&gt;"Unmapped",P1271&lt;&gt;F1271),"Category mismatch","OK"))))))</f>
        <v>OK</v>
      </c>
      <c r="O1271" s="125">
        <f t="shared" si="57"/>
        <v>15393.96</v>
      </c>
      <c r="P1271" t="str">
        <f>IF(E1271="","Unmapped",IFERROR(INDEX(Supplier_Lookup!$B$2:$B$25,MATCH(E1271,Supplier_Lookup!$A$2:$A$25,0)),"Unmapped"))</f>
        <v>Medical Supplies</v>
      </c>
      <c r="Q1271" s="76">
        <f>IFERROR(INDEX(Category_Targets!$B$2:$B$9,MATCH(F1271,Category_Targets!$A$2:$A$9,0)),0)</f>
        <v>0.06</v>
      </c>
      <c r="R1271" s="125">
        <f t="shared" si="58"/>
        <v>923.63759999999991</v>
      </c>
      <c r="S1271" s="78">
        <f t="shared" si="59"/>
        <v>45778</v>
      </c>
      <c r="T1271" t="str">
        <f>IFERROR(VLOOKUP(B1271,Sites!$A$2:$D$21,4,FALSE()),"Unknown")</f>
        <v>Bangor</v>
      </c>
      <c r="U1271" t="str">
        <f>IF(N1271="OK","",COUNTIF($N$2:N1271,"&lt;&gt;OK"))</f>
        <v/>
      </c>
      <c r="V1271">
        <f>IF(OR(NOT(EXACT(E1271,TRIM(Procurement_Raw!E1271))),NOT(EXACT(F1271,TRIM(Procurement_Raw!F1271)))),1,0)</f>
        <v>0</v>
      </c>
    </row>
    <row r="1272" spans="1:22" ht="15" customHeight="1" x14ac:dyDescent="0.25">
      <c r="A1272" s="123">
        <f>Procurement_Raw!A1272</f>
        <v>45847</v>
      </c>
      <c r="B1272" t="str">
        <f>TRIM(Procurement_Raw!B1272)</f>
        <v>S018</v>
      </c>
      <c r="C1272" t="str">
        <f>Procurement_Raw!C1272</f>
        <v>Newport Care &amp; Education Centre</v>
      </c>
      <c r="D1272" t="str">
        <f>Procurement_Raw!D1272</f>
        <v>Wales</v>
      </c>
      <c r="E1272" t="str">
        <f>IF(TRIM(Procurement_Raw!E1272)="","",IFERROR(INDEX(Supplier_Lookup!$A$2:$A$25,MATCH(TRIM(Procurement_Raw!E1272),Supplier_Lookup!$A$2:$A$25,0)),TRIM(Procurement_Raw!E1272)))</f>
        <v>NurseLink</v>
      </c>
      <c r="F1272" t="str">
        <f>IFERROR(INDEX(Category_Targets!$A$2:$A$9,MATCH(TRIM(Procurement_Raw!F1272),Category_Targets!$A$2:$A$9,0)),"Unmapped")</f>
        <v>Agency Labour</v>
      </c>
      <c r="G1272" t="str">
        <f>TRIM(Procurement_Raw!G1272)</f>
        <v>INV-2025-01271</v>
      </c>
      <c r="H1272" s="77">
        <f>Procurement_Raw!H1272</f>
        <v>17</v>
      </c>
      <c r="I1272" s="124">
        <f>Procurement_Raw!I1272</f>
        <v>546.76</v>
      </c>
      <c r="J1272" s="125">
        <f>IF(Procurement_Raw!J1272="","",Procurement_Raw!J1272)</f>
        <v>9294.86</v>
      </c>
      <c r="K1272" s="77">
        <f>Procurement_Raw!K1272</f>
        <v>60</v>
      </c>
      <c r="L1272" t="str">
        <f>Procurement_Raw!L1272</f>
        <v>ERP</v>
      </c>
      <c r="M1272" t="str">
        <f>Procurement_Raw!O1272</f>
        <v>N</v>
      </c>
      <c r="N1272" t="str">
        <f>IF(E1272="","Missing supplier",IF(B1272="","Missing site",IF(J1272="","Missing spend",IF(COUNTIFS($G$2:G1272,G1272,$E$2:E1272,E1272,$J$2:J1272,J1272)&gt;1,"Duplicate invoice",IF(COUNTIF($G$2:$G$1801,G1272)&gt;1,"Duplicate ID - review",IF(AND(P1272&lt;&gt;"Unmapped",P1272&lt;&gt;F1272),"Category mismatch","OK"))))))</f>
        <v>OK</v>
      </c>
      <c r="O1272" s="125">
        <f t="shared" si="57"/>
        <v>9294.86</v>
      </c>
      <c r="P1272" t="str">
        <f>IF(E1272="","Unmapped",IFERROR(INDEX(Supplier_Lookup!$B$2:$B$25,MATCH(E1272,Supplier_Lookup!$A$2:$A$25,0)),"Unmapped"))</f>
        <v>Agency Labour</v>
      </c>
      <c r="Q1272" s="76">
        <f>IFERROR(INDEX(Category_Targets!$B$2:$B$9,MATCH(F1272,Category_Targets!$A$2:$A$9,0)),0)</f>
        <v>7.0000000000000007E-2</v>
      </c>
      <c r="R1272" s="125">
        <f t="shared" si="58"/>
        <v>650.64020000000005</v>
      </c>
      <c r="S1272" s="78">
        <f t="shared" si="59"/>
        <v>45839</v>
      </c>
      <c r="T1272" t="str">
        <f>IFERROR(VLOOKUP(B1272,Sites!$A$2:$D$21,4,FALSE()),"Unknown")</f>
        <v>Newport</v>
      </c>
      <c r="U1272" t="str">
        <f>IF(N1272="OK","",COUNTIF($N$2:N1272,"&lt;&gt;OK"))</f>
        <v/>
      </c>
      <c r="V1272">
        <f>IF(OR(NOT(EXACT(E1272,TRIM(Procurement_Raw!E1272))),NOT(EXACT(F1272,TRIM(Procurement_Raw!F1272)))),1,0)</f>
        <v>0</v>
      </c>
    </row>
    <row r="1273" spans="1:22" ht="15" customHeight="1" x14ac:dyDescent="0.25">
      <c r="A1273" s="123">
        <f>Procurement_Raw!A1273</f>
        <v>45744</v>
      </c>
      <c r="B1273" t="str">
        <f>TRIM(Procurement_Raw!B1273)</f>
        <v>S020</v>
      </c>
      <c r="C1273" t="str">
        <f>Procurement_Raw!C1273</f>
        <v>Bangor Care &amp; Education Centre</v>
      </c>
      <c r="D1273" t="str">
        <f>Procurement_Raw!D1273</f>
        <v>Wales</v>
      </c>
      <c r="E1273" t="str">
        <f>IF(TRIM(Procurement_Raw!E1273)="","",IFERROR(INDEX(Supplier_Lookup!$A$2:$A$25,MATCH(TRIM(Procurement_Raw!E1273),Supplier_Lookup!$A$2:$A$25,0)),TRIM(Procurement_Raw!E1273)))</f>
        <v>SafeGuard FM</v>
      </c>
      <c r="F1273" t="str">
        <f>IFERROR(INDEX(Category_Targets!$A$2:$A$9,MATCH(TRIM(Procurement_Raw!F1273),Category_Targets!$A$2:$A$9,0)),"Unmapped")</f>
        <v>Facilities</v>
      </c>
      <c r="G1273" t="str">
        <f>TRIM(Procurement_Raw!G1273)</f>
        <v>INV-2025-01272</v>
      </c>
      <c r="H1273" s="77">
        <f>Procurement_Raw!H1273</f>
        <v>65</v>
      </c>
      <c r="I1273" s="124">
        <f>Procurement_Raw!I1273</f>
        <v>251.64</v>
      </c>
      <c r="J1273" s="125">
        <f>IF(Procurement_Raw!J1273="","",Procurement_Raw!J1273)</f>
        <v>16356.33</v>
      </c>
      <c r="K1273" s="77">
        <f>Procurement_Raw!K1273</f>
        <v>45</v>
      </c>
      <c r="L1273" t="str">
        <f>Procurement_Raw!L1273</f>
        <v>Procurement Portal</v>
      </c>
      <c r="M1273" t="str">
        <f>Procurement_Raw!O1273</f>
        <v>N</v>
      </c>
      <c r="N1273" t="str">
        <f>IF(E1273="","Missing supplier",IF(B1273="","Missing site",IF(J1273="","Missing spend",IF(COUNTIFS($G$2:G1273,G1273,$E$2:E1273,E1273,$J$2:J1273,J1273)&gt;1,"Duplicate invoice",IF(COUNTIF($G$2:$G$1801,G1273)&gt;1,"Duplicate ID - review",IF(AND(P1273&lt;&gt;"Unmapped",P1273&lt;&gt;F1273),"Category mismatch","OK"))))))</f>
        <v>OK</v>
      </c>
      <c r="O1273" s="125">
        <f t="shared" si="57"/>
        <v>16356.33</v>
      </c>
      <c r="P1273" t="str">
        <f>IF(E1273="","Unmapped",IFERROR(INDEX(Supplier_Lookup!$B$2:$B$25,MATCH(E1273,Supplier_Lookup!$A$2:$A$25,0)),"Unmapped"))</f>
        <v>Facilities</v>
      </c>
      <c r="Q1273" s="76">
        <f>IFERROR(INDEX(Category_Targets!$B$2:$B$9,MATCH(F1273,Category_Targets!$A$2:$A$9,0)),0)</f>
        <v>0.05</v>
      </c>
      <c r="R1273" s="125">
        <f t="shared" si="58"/>
        <v>817.81650000000002</v>
      </c>
      <c r="S1273" s="78">
        <f t="shared" si="59"/>
        <v>45717</v>
      </c>
      <c r="T1273" t="str">
        <f>IFERROR(VLOOKUP(B1273,Sites!$A$2:$D$21,4,FALSE()),"Unknown")</f>
        <v>Bangor</v>
      </c>
      <c r="U1273" t="str">
        <f>IF(N1273="OK","",COUNTIF($N$2:N1273,"&lt;&gt;OK"))</f>
        <v/>
      </c>
      <c r="V1273">
        <f>IF(OR(NOT(EXACT(E1273,TRIM(Procurement_Raw!E1273))),NOT(EXACT(F1273,TRIM(Procurement_Raw!F1273)))),1,0)</f>
        <v>0</v>
      </c>
    </row>
    <row r="1274" spans="1:22" ht="15" customHeight="1" x14ac:dyDescent="0.25">
      <c r="A1274" s="123">
        <f>Procurement_Raw!A1274</f>
        <v>45820</v>
      </c>
      <c r="B1274" t="str">
        <f>TRIM(Procurement_Raw!B1274)</f>
        <v>S016</v>
      </c>
      <c r="C1274" t="str">
        <f>Procurement_Raw!C1274</f>
        <v>Cardiff Care &amp; Education Centre</v>
      </c>
      <c r="D1274" t="str">
        <f>Procurement_Raw!D1274</f>
        <v>Wales</v>
      </c>
      <c r="E1274" t="str">
        <f>IF(TRIM(Procurement_Raw!E1274)="","",IFERROR(INDEX(Supplier_Lookup!$A$2:$A$25,MATCH(TRIM(Procurement_Raw!E1274),Supplier_Lookup!$A$2:$A$25,0)),TRIM(Procurement_Raw!E1274)))</f>
        <v>CleanWorks</v>
      </c>
      <c r="F1274" t="str">
        <f>IFERROR(INDEX(Category_Targets!$A$2:$A$9,MATCH(TRIM(Procurement_Raw!F1274),Category_Targets!$A$2:$A$9,0)),"Unmapped")</f>
        <v>Facilities</v>
      </c>
      <c r="G1274" t="str">
        <f>TRIM(Procurement_Raw!G1274)</f>
        <v>INV-2025-01273</v>
      </c>
      <c r="H1274" s="77">
        <f>Procurement_Raw!H1274</f>
        <v>68</v>
      </c>
      <c r="I1274" s="124">
        <f>Procurement_Raw!I1274</f>
        <v>98.71</v>
      </c>
      <c r="J1274" s="125">
        <f>IF(Procurement_Raw!J1274="","",Procurement_Raw!J1274)</f>
        <v>6712.27</v>
      </c>
      <c r="K1274" s="77">
        <f>Procurement_Raw!K1274</f>
        <v>45</v>
      </c>
      <c r="L1274" t="str">
        <f>Procurement_Raw!L1274</f>
        <v>ERP</v>
      </c>
      <c r="M1274" t="str">
        <f>Procurement_Raw!O1274</f>
        <v>Y</v>
      </c>
      <c r="N1274" t="str">
        <f>IF(E1274="","Missing supplier",IF(B1274="","Missing site",IF(J1274="","Missing spend",IF(COUNTIFS($G$2:G1274,G1274,$E$2:E1274,E1274,$J$2:J1274,J1274)&gt;1,"Duplicate invoice",IF(COUNTIF($G$2:$G$1801,G1274)&gt;1,"Duplicate ID - review",IF(AND(P1274&lt;&gt;"Unmapped",P1274&lt;&gt;F1274),"Category mismatch","OK"))))))</f>
        <v>OK</v>
      </c>
      <c r="O1274" s="125">
        <f t="shared" si="57"/>
        <v>6712.27</v>
      </c>
      <c r="P1274" t="str">
        <f>IF(E1274="","Unmapped",IFERROR(INDEX(Supplier_Lookup!$B$2:$B$25,MATCH(E1274,Supplier_Lookup!$A$2:$A$25,0)),"Unmapped"))</f>
        <v>Facilities</v>
      </c>
      <c r="Q1274" s="76">
        <f>IFERROR(INDEX(Category_Targets!$B$2:$B$9,MATCH(F1274,Category_Targets!$A$2:$A$9,0)),0)</f>
        <v>0.05</v>
      </c>
      <c r="R1274" s="125">
        <f t="shared" si="58"/>
        <v>335.61350000000004</v>
      </c>
      <c r="S1274" s="78">
        <f t="shared" si="59"/>
        <v>45809</v>
      </c>
      <c r="T1274" t="str">
        <f>IFERROR(VLOOKUP(B1274,Sites!$A$2:$D$21,4,FALSE()),"Unknown")</f>
        <v>Cardiff</v>
      </c>
      <c r="U1274" t="str">
        <f>IF(N1274="OK","",COUNTIF($N$2:N1274,"&lt;&gt;OK"))</f>
        <v/>
      </c>
      <c r="V1274">
        <f>IF(OR(NOT(EXACT(E1274,TRIM(Procurement_Raw!E1274))),NOT(EXACT(F1274,TRIM(Procurement_Raw!F1274)))),1,0)</f>
        <v>0</v>
      </c>
    </row>
    <row r="1275" spans="1:22" ht="15" customHeight="1" x14ac:dyDescent="0.25">
      <c r="A1275" s="123">
        <f>Procurement_Raw!A1275</f>
        <v>45680</v>
      </c>
      <c r="B1275" t="str">
        <f>TRIM(Procurement_Raw!B1275)</f>
        <v>S008</v>
      </c>
      <c r="C1275" t="str">
        <f>Procurement_Raw!C1275</f>
        <v>Leicester Care &amp; Education Centre</v>
      </c>
      <c r="D1275" t="str">
        <f>Procurement_Raw!D1275</f>
        <v>Midlands</v>
      </c>
      <c r="E1275" t="str">
        <f>IF(TRIM(Procurement_Raw!E1275)="","",IFERROR(INDEX(Supplier_Lookup!$A$2:$A$25,MATCH(TRIM(Procurement_Raw!E1275),Supplier_Lookup!$A$2:$A$25,0)),TRIM(Procurement_Raw!E1275)))</f>
        <v>NourishCo</v>
      </c>
      <c r="F1275" t="str">
        <f>IFERROR(INDEX(Category_Targets!$A$2:$A$9,MATCH(TRIM(Procurement_Raw!F1275),Category_Targets!$A$2:$A$9,0)),"Unmapped")</f>
        <v>Food &amp; Catering</v>
      </c>
      <c r="G1275" t="str">
        <f>TRIM(Procurement_Raw!G1275)</f>
        <v>INV-2025-01274</v>
      </c>
      <c r="H1275" s="77">
        <f>Procurement_Raw!H1275</f>
        <v>17</v>
      </c>
      <c r="I1275" s="124">
        <f>Procurement_Raw!I1275</f>
        <v>54.62</v>
      </c>
      <c r="J1275" s="125">
        <f>IF(Procurement_Raw!J1275="","",Procurement_Raw!J1275)</f>
        <v>928.51</v>
      </c>
      <c r="K1275" s="77">
        <f>Procurement_Raw!K1275</f>
        <v>45</v>
      </c>
      <c r="L1275" t="str">
        <f>Procurement_Raw!L1275</f>
        <v>Procurement Portal</v>
      </c>
      <c r="M1275" t="str">
        <f>Procurement_Raw!O1275</f>
        <v>N</v>
      </c>
      <c r="N1275" t="str">
        <f>IF(E1275="","Missing supplier",IF(B1275="","Missing site",IF(J1275="","Missing spend",IF(COUNTIFS($G$2:G1275,G1275,$E$2:E1275,E1275,$J$2:J1275,J1275)&gt;1,"Duplicate invoice",IF(COUNTIF($G$2:$G$1801,G1275)&gt;1,"Duplicate ID - review",IF(AND(P1275&lt;&gt;"Unmapped",P1275&lt;&gt;F1275),"Category mismatch","OK"))))))</f>
        <v>OK</v>
      </c>
      <c r="O1275" s="125">
        <f t="shared" si="57"/>
        <v>928.51</v>
      </c>
      <c r="P1275" t="str">
        <f>IF(E1275="","Unmapped",IFERROR(INDEX(Supplier_Lookup!$B$2:$B$25,MATCH(E1275,Supplier_Lookup!$A$2:$A$25,0)),"Unmapped"))</f>
        <v>Food &amp; Catering</v>
      </c>
      <c r="Q1275" s="76">
        <f>IFERROR(INDEX(Category_Targets!$B$2:$B$9,MATCH(F1275,Category_Targets!$A$2:$A$9,0)),0)</f>
        <v>0.04</v>
      </c>
      <c r="R1275" s="125">
        <f t="shared" si="58"/>
        <v>37.1404</v>
      </c>
      <c r="S1275" s="78">
        <f t="shared" si="59"/>
        <v>45658</v>
      </c>
      <c r="T1275" t="str">
        <f>IFERROR(VLOOKUP(B1275,Sites!$A$2:$D$21,4,FALSE()),"Unknown")</f>
        <v>Leicester</v>
      </c>
      <c r="U1275" t="str">
        <f>IF(N1275="OK","",COUNTIF($N$2:N1275,"&lt;&gt;OK"))</f>
        <v/>
      </c>
      <c r="V1275">
        <f>IF(OR(NOT(EXACT(E1275,TRIM(Procurement_Raw!E1275))),NOT(EXACT(F1275,TRIM(Procurement_Raw!F1275)))),1,0)</f>
        <v>0</v>
      </c>
    </row>
    <row r="1276" spans="1:22" ht="15" customHeight="1" x14ac:dyDescent="0.25">
      <c r="A1276" s="123">
        <f>Procurement_Raw!A1276</f>
        <v>45802</v>
      </c>
      <c r="B1276" t="str">
        <f>TRIM(Procurement_Raw!B1276)</f>
        <v>S004</v>
      </c>
      <c r="C1276" t="str">
        <f>Procurement_Raw!C1276</f>
        <v>Newcastle Care &amp; Education Centre</v>
      </c>
      <c r="D1276" t="str">
        <f>Procurement_Raw!D1276</f>
        <v>North</v>
      </c>
      <c r="E1276" t="str">
        <f>IF(TRIM(Procurement_Raw!E1276)="","",IFERROR(INDEX(Supplier_Lookup!$A$2:$A$25,MATCH(TRIM(Procurement_Raw!E1276),Supplier_Lookup!$A$2:$A$25,0)),TRIM(Procurement_Raw!E1276)))</f>
        <v>RoadReady</v>
      </c>
      <c r="F1276" t="str">
        <f>IFERROR(INDEX(Category_Targets!$A$2:$A$9,MATCH(TRIM(Procurement_Raw!F1276),Category_Targets!$A$2:$A$9,0)),"Unmapped")</f>
        <v>Vehicle &amp; Fuel</v>
      </c>
      <c r="G1276" t="str">
        <f>TRIM(Procurement_Raw!G1276)</f>
        <v>INV-2025-01275</v>
      </c>
      <c r="H1276" s="77">
        <f>Procurement_Raw!H1276</f>
        <v>34</v>
      </c>
      <c r="I1276" s="124">
        <f>Procurement_Raw!I1276</f>
        <v>185.13</v>
      </c>
      <c r="J1276" s="125">
        <f>IF(Procurement_Raw!J1276="","",Procurement_Raw!J1276)</f>
        <v>6294.56</v>
      </c>
      <c r="K1276" s="77">
        <f>Procurement_Raw!K1276</f>
        <v>60</v>
      </c>
      <c r="L1276" t="str">
        <f>Procurement_Raw!L1276</f>
        <v>Procurement Portal</v>
      </c>
      <c r="M1276" t="str">
        <f>Procurement_Raw!O1276</f>
        <v>N</v>
      </c>
      <c r="N1276" t="str">
        <f>IF(E1276="","Missing supplier",IF(B1276="","Missing site",IF(J1276="","Missing spend",IF(COUNTIFS($G$2:G1276,G1276,$E$2:E1276,E1276,$J$2:J1276,J1276)&gt;1,"Duplicate invoice",IF(COUNTIF($G$2:$G$1801,G1276)&gt;1,"Duplicate ID - review",IF(AND(P1276&lt;&gt;"Unmapped",P1276&lt;&gt;F1276),"Category mismatch","OK"))))))</f>
        <v>OK</v>
      </c>
      <c r="O1276" s="125">
        <f t="shared" si="57"/>
        <v>6294.56</v>
      </c>
      <c r="P1276" t="str">
        <f>IF(E1276="","Unmapped",IFERROR(INDEX(Supplier_Lookup!$B$2:$B$25,MATCH(E1276,Supplier_Lookup!$A$2:$A$25,0)),"Unmapped"))</f>
        <v>Vehicle &amp; Fuel</v>
      </c>
      <c r="Q1276" s="76">
        <f>IFERROR(INDEX(Category_Targets!$B$2:$B$9,MATCH(F1276,Category_Targets!$A$2:$A$9,0)),0)</f>
        <v>0.05</v>
      </c>
      <c r="R1276" s="125">
        <f t="shared" si="58"/>
        <v>314.72800000000007</v>
      </c>
      <c r="S1276" s="78">
        <f t="shared" si="59"/>
        <v>45778</v>
      </c>
      <c r="T1276" t="str">
        <f>IFERROR(VLOOKUP(B1276,Sites!$A$2:$D$21,4,FALSE()),"Unknown")</f>
        <v>Newcastle</v>
      </c>
      <c r="U1276" t="str">
        <f>IF(N1276="OK","",COUNTIF($N$2:N1276,"&lt;&gt;OK"))</f>
        <v/>
      </c>
      <c r="V1276">
        <f>IF(OR(NOT(EXACT(E1276,TRIM(Procurement_Raw!E1276))),NOT(EXACT(F1276,TRIM(Procurement_Raw!F1276)))),1,0)</f>
        <v>0</v>
      </c>
    </row>
    <row r="1277" spans="1:22" ht="15" customHeight="1" x14ac:dyDescent="0.25">
      <c r="A1277" s="123">
        <f>Procurement_Raw!A1277</f>
        <v>45742</v>
      </c>
      <c r="B1277" t="str">
        <f>TRIM(Procurement_Raw!B1277)</f>
        <v>S016</v>
      </c>
      <c r="C1277" t="str">
        <f>Procurement_Raw!C1277</f>
        <v>Cardiff Care &amp; Education Centre</v>
      </c>
      <c r="D1277" t="str">
        <f>Procurement_Raw!D1277</f>
        <v>Wales</v>
      </c>
      <c r="E1277" t="str">
        <f>IF(TRIM(Procurement_Raw!E1277)="","",IFERROR(INDEX(Supplier_Lookup!$A$2:$A$25,MATCH(TRIM(Procurement_Raw!E1277),Supplier_Lookup!$A$2:$A$25,0)),TRIM(Procurement_Raw!E1277)))</f>
        <v>RoadReady</v>
      </c>
      <c r="F1277" t="str">
        <f>IFERROR(INDEX(Category_Targets!$A$2:$A$9,MATCH(TRIM(Procurement_Raw!F1277),Category_Targets!$A$2:$A$9,0)),"Unmapped")</f>
        <v>Vehicle &amp; Fuel</v>
      </c>
      <c r="G1277" t="str">
        <f>TRIM(Procurement_Raw!G1277)</f>
        <v>INV-2025-01276</v>
      </c>
      <c r="H1277" s="77">
        <f>Procurement_Raw!H1277</f>
        <v>41</v>
      </c>
      <c r="I1277" s="124">
        <f>Procurement_Raw!I1277</f>
        <v>102.7</v>
      </c>
      <c r="J1277" s="125">
        <f>IF(Procurement_Raw!J1277="","",Procurement_Raw!J1277)</f>
        <v>4210.74</v>
      </c>
      <c r="K1277" s="77">
        <f>Procurement_Raw!K1277</f>
        <v>60</v>
      </c>
      <c r="L1277" t="str">
        <f>Procurement_Raw!L1277</f>
        <v>Procurement Portal</v>
      </c>
      <c r="M1277" t="str">
        <f>Procurement_Raw!O1277</f>
        <v>N</v>
      </c>
      <c r="N1277" t="str">
        <f>IF(E1277="","Missing supplier",IF(B1277="","Missing site",IF(J1277="","Missing spend",IF(COUNTIFS($G$2:G1277,G1277,$E$2:E1277,E1277,$J$2:J1277,J1277)&gt;1,"Duplicate invoice",IF(COUNTIF($G$2:$G$1801,G1277)&gt;1,"Duplicate ID - review",IF(AND(P1277&lt;&gt;"Unmapped",P1277&lt;&gt;F1277),"Category mismatch","OK"))))))</f>
        <v>OK</v>
      </c>
      <c r="O1277" s="125">
        <f t="shared" si="57"/>
        <v>4210.74</v>
      </c>
      <c r="P1277" t="str">
        <f>IF(E1277="","Unmapped",IFERROR(INDEX(Supplier_Lookup!$B$2:$B$25,MATCH(E1277,Supplier_Lookup!$A$2:$A$25,0)),"Unmapped"))</f>
        <v>Vehicle &amp; Fuel</v>
      </c>
      <c r="Q1277" s="76">
        <f>IFERROR(INDEX(Category_Targets!$B$2:$B$9,MATCH(F1277,Category_Targets!$A$2:$A$9,0)),0)</f>
        <v>0.05</v>
      </c>
      <c r="R1277" s="125">
        <f t="shared" si="58"/>
        <v>210.53700000000001</v>
      </c>
      <c r="S1277" s="78">
        <f t="shared" si="59"/>
        <v>45717</v>
      </c>
      <c r="T1277" t="str">
        <f>IFERROR(VLOOKUP(B1277,Sites!$A$2:$D$21,4,FALSE()),"Unknown")</f>
        <v>Cardiff</v>
      </c>
      <c r="U1277" t="str">
        <f>IF(N1277="OK","",COUNTIF($N$2:N1277,"&lt;&gt;OK"))</f>
        <v/>
      </c>
      <c r="V1277">
        <f>IF(OR(NOT(EXACT(E1277,TRIM(Procurement_Raw!E1277))),NOT(EXACT(F1277,TRIM(Procurement_Raw!F1277)))),1,0)</f>
        <v>0</v>
      </c>
    </row>
    <row r="1278" spans="1:22" ht="15" customHeight="1" x14ac:dyDescent="0.25">
      <c r="A1278" s="123">
        <f>Procurement_Raw!A1278</f>
        <v>45754</v>
      </c>
      <c r="B1278" t="str">
        <f>TRIM(Procurement_Raw!B1278)</f>
        <v>S005</v>
      </c>
      <c r="C1278" t="str">
        <f>Procurement_Raw!C1278</f>
        <v>Sheffield Care &amp; Education Centre</v>
      </c>
      <c r="D1278" t="str">
        <f>Procurement_Raw!D1278</f>
        <v>North</v>
      </c>
      <c r="E1278" t="str">
        <f>IF(TRIM(Procurement_Raw!E1278)="","",IFERROR(INDEX(Supplier_Lookup!$A$2:$A$25,MATCH(TRIM(Procurement_Raw!E1278),Supplier_Lookup!$A$2:$A$25,0)),TRIM(Procurement_Raw!E1278)))</f>
        <v>OfficePlus</v>
      </c>
      <c r="F1278" t="str">
        <f>IFERROR(INDEX(Category_Targets!$A$2:$A$9,MATCH(TRIM(Procurement_Raw!F1278),Category_Targets!$A$2:$A$9,0)),"Unmapped")</f>
        <v>Office &amp; Training</v>
      </c>
      <c r="G1278" t="str">
        <f>TRIM(Procurement_Raw!G1278)</f>
        <v>INV-2025-01277</v>
      </c>
      <c r="H1278" s="77">
        <f>Procurement_Raw!H1278</f>
        <v>20</v>
      </c>
      <c r="I1278" s="124">
        <f>Procurement_Raw!I1278</f>
        <v>268.57</v>
      </c>
      <c r="J1278" s="125">
        <f>IF(Procurement_Raw!J1278="","",Procurement_Raw!J1278)</f>
        <v>5371.44</v>
      </c>
      <c r="K1278" s="77">
        <f>Procurement_Raw!K1278</f>
        <v>30</v>
      </c>
      <c r="L1278" t="str">
        <f>Procurement_Raw!L1278</f>
        <v>ERP</v>
      </c>
      <c r="M1278" t="str">
        <f>Procurement_Raw!O1278</f>
        <v>N</v>
      </c>
      <c r="N1278" t="str">
        <f>IF(E1278="","Missing supplier",IF(B1278="","Missing site",IF(J1278="","Missing spend",IF(COUNTIFS($G$2:G1278,G1278,$E$2:E1278,E1278,$J$2:J1278,J1278)&gt;1,"Duplicate invoice",IF(COUNTIF($G$2:$G$1801,G1278)&gt;1,"Duplicate ID - review",IF(AND(P1278&lt;&gt;"Unmapped",P1278&lt;&gt;F1278),"Category mismatch","OK"))))))</f>
        <v>OK</v>
      </c>
      <c r="O1278" s="125">
        <f t="shared" si="57"/>
        <v>5371.44</v>
      </c>
      <c r="P1278" t="str">
        <f>IF(E1278="","Unmapped",IFERROR(INDEX(Supplier_Lookup!$B$2:$B$25,MATCH(E1278,Supplier_Lookup!$A$2:$A$25,0)),"Unmapped"))</f>
        <v>Office &amp; Training</v>
      </c>
      <c r="Q1278" s="76">
        <f>IFERROR(INDEX(Category_Targets!$B$2:$B$9,MATCH(F1278,Category_Targets!$A$2:$A$9,0)),0)</f>
        <v>0.04</v>
      </c>
      <c r="R1278" s="125">
        <f t="shared" si="58"/>
        <v>214.85759999999999</v>
      </c>
      <c r="S1278" s="78">
        <f t="shared" si="59"/>
        <v>45748</v>
      </c>
      <c r="T1278" t="str">
        <f>IFERROR(VLOOKUP(B1278,Sites!$A$2:$D$21,4,FALSE()),"Unknown")</f>
        <v>Sheffield</v>
      </c>
      <c r="U1278" t="str">
        <f>IF(N1278="OK","",COUNTIF($N$2:N1278,"&lt;&gt;OK"))</f>
        <v/>
      </c>
      <c r="V1278">
        <f>IF(OR(NOT(EXACT(E1278,TRIM(Procurement_Raw!E1278))),NOT(EXACT(F1278,TRIM(Procurement_Raw!F1278)))),1,0)</f>
        <v>0</v>
      </c>
    </row>
    <row r="1279" spans="1:22" ht="15" customHeight="1" x14ac:dyDescent="0.25">
      <c r="A1279" s="123">
        <f>Procurement_Raw!A1279</f>
        <v>45791</v>
      </c>
      <c r="B1279" t="str">
        <f>TRIM(Procurement_Raw!B1279)</f>
        <v>S008</v>
      </c>
      <c r="C1279" t="str">
        <f>Procurement_Raw!C1279</f>
        <v>Leicester Care &amp; Education Centre</v>
      </c>
      <c r="D1279" t="str">
        <f>Procurement_Raw!D1279</f>
        <v>Midlands</v>
      </c>
      <c r="E1279" t="str">
        <f>IF(TRIM(Procurement_Raw!E1279)="","",IFERROR(INDEX(Supplier_Lookup!$A$2:$A$25,MATCH(TRIM(Procurement_Raw!E1279),Supplier_Lookup!$A$2:$A$25,0)),TRIM(Procurement_Raw!E1279)))</f>
        <v>CareMed</v>
      </c>
      <c r="F1279" t="str">
        <f>IFERROR(INDEX(Category_Targets!$A$2:$A$9,MATCH(TRIM(Procurement_Raw!F1279),Category_Targets!$A$2:$A$9,0)),"Unmapped")</f>
        <v>Medical Supplies</v>
      </c>
      <c r="G1279" t="str">
        <f>TRIM(Procurement_Raw!G1279)</f>
        <v>INV-2025-01278</v>
      </c>
      <c r="H1279" s="77">
        <f>Procurement_Raw!H1279</f>
        <v>21</v>
      </c>
      <c r="I1279" s="124">
        <f>Procurement_Raw!I1279</f>
        <v>148.97999999999999</v>
      </c>
      <c r="J1279" s="125">
        <f>IF(Procurement_Raw!J1279="","",Procurement_Raw!J1279)</f>
        <v>3128.59</v>
      </c>
      <c r="K1279" s="77">
        <f>Procurement_Raw!K1279</f>
        <v>60</v>
      </c>
      <c r="L1279" t="str">
        <f>Procurement_Raw!L1279</f>
        <v>Procurement Portal</v>
      </c>
      <c r="M1279" t="str">
        <f>Procurement_Raw!O1279</f>
        <v>N</v>
      </c>
      <c r="N1279" t="str">
        <f>IF(E1279="","Missing supplier",IF(B1279="","Missing site",IF(J1279="","Missing spend",IF(COUNTIFS($G$2:G1279,G1279,$E$2:E1279,E1279,$J$2:J1279,J1279)&gt;1,"Duplicate invoice",IF(COUNTIF($G$2:$G$1801,G1279)&gt;1,"Duplicate ID - review",IF(AND(P1279&lt;&gt;"Unmapped",P1279&lt;&gt;F1279),"Category mismatch","OK"))))))</f>
        <v>OK</v>
      </c>
      <c r="O1279" s="125">
        <f t="shared" si="57"/>
        <v>3128.59</v>
      </c>
      <c r="P1279" t="str">
        <f>IF(E1279="","Unmapped",IFERROR(INDEX(Supplier_Lookup!$B$2:$B$25,MATCH(E1279,Supplier_Lookup!$A$2:$A$25,0)),"Unmapped"))</f>
        <v>Medical Supplies</v>
      </c>
      <c r="Q1279" s="76">
        <f>IFERROR(INDEX(Category_Targets!$B$2:$B$9,MATCH(F1279,Category_Targets!$A$2:$A$9,0)),0)</f>
        <v>0.06</v>
      </c>
      <c r="R1279" s="125">
        <f t="shared" si="58"/>
        <v>187.71539999999999</v>
      </c>
      <c r="S1279" s="78">
        <f t="shared" si="59"/>
        <v>45778</v>
      </c>
      <c r="T1279" t="str">
        <f>IFERROR(VLOOKUP(B1279,Sites!$A$2:$D$21,4,FALSE()),"Unknown")</f>
        <v>Leicester</v>
      </c>
      <c r="U1279" t="str">
        <f>IF(N1279="OK","",COUNTIF($N$2:N1279,"&lt;&gt;OK"))</f>
        <v/>
      </c>
      <c r="V1279">
        <f>IF(OR(NOT(EXACT(E1279,TRIM(Procurement_Raw!E1279))),NOT(EXACT(F1279,TRIM(Procurement_Raw!F1279)))),1,0)</f>
        <v>0</v>
      </c>
    </row>
    <row r="1280" spans="1:22" ht="15" customHeight="1" x14ac:dyDescent="0.25">
      <c r="A1280" s="123">
        <f>Procurement_Raw!A1280</f>
        <v>45678</v>
      </c>
      <c r="B1280" t="str">
        <f>TRIM(Procurement_Raw!B1280)</f>
        <v>S018</v>
      </c>
      <c r="C1280" t="str">
        <f>Procurement_Raw!C1280</f>
        <v>Newport Care &amp; Education Centre</v>
      </c>
      <c r="D1280" t="str">
        <f>Procurement_Raw!D1280</f>
        <v>Wales</v>
      </c>
      <c r="E1280" t="str">
        <f>IF(TRIM(Procurement_Raw!E1280)="","",IFERROR(INDEX(Supplier_Lookup!$A$2:$A$25,MATCH(TRIM(Procurement_Raw!E1280),Supplier_Lookup!$A$2:$A$25,0)),TRIM(Procurement_Raw!E1280)))</f>
        <v>NourishCo</v>
      </c>
      <c r="F1280" t="str">
        <f>IFERROR(INDEX(Category_Targets!$A$2:$A$9,MATCH(TRIM(Procurement_Raw!F1280),Category_Targets!$A$2:$A$9,0)),"Unmapped")</f>
        <v>Food &amp; Catering</v>
      </c>
      <c r="G1280" t="str">
        <f>TRIM(Procurement_Raw!G1280)</f>
        <v>INV-2025-01279</v>
      </c>
      <c r="H1280" s="77">
        <f>Procurement_Raw!H1280</f>
        <v>57</v>
      </c>
      <c r="I1280" s="124">
        <f>Procurement_Raw!I1280</f>
        <v>72.239999999999995</v>
      </c>
      <c r="J1280" s="125">
        <f>IF(Procurement_Raw!J1280="","",Procurement_Raw!J1280)</f>
        <v>4117.76</v>
      </c>
      <c r="K1280" s="77">
        <f>Procurement_Raw!K1280</f>
        <v>45</v>
      </c>
      <c r="L1280" t="str">
        <f>Procurement_Raw!L1280</f>
        <v>Legacy Spend File</v>
      </c>
      <c r="M1280" t="str">
        <f>Procurement_Raw!O1280</f>
        <v>N</v>
      </c>
      <c r="N1280" t="str">
        <f>IF(E1280="","Missing supplier",IF(B1280="","Missing site",IF(J1280="","Missing spend",IF(COUNTIFS($G$2:G1280,G1280,$E$2:E1280,E1280,$J$2:J1280,J1280)&gt;1,"Duplicate invoice",IF(COUNTIF($G$2:$G$1801,G1280)&gt;1,"Duplicate ID - review",IF(AND(P1280&lt;&gt;"Unmapped",P1280&lt;&gt;F1280),"Category mismatch","OK"))))))</f>
        <v>OK</v>
      </c>
      <c r="O1280" s="125">
        <f t="shared" si="57"/>
        <v>4117.76</v>
      </c>
      <c r="P1280" t="str">
        <f>IF(E1280="","Unmapped",IFERROR(INDEX(Supplier_Lookup!$B$2:$B$25,MATCH(E1280,Supplier_Lookup!$A$2:$A$25,0)),"Unmapped"))</f>
        <v>Food &amp; Catering</v>
      </c>
      <c r="Q1280" s="76">
        <f>IFERROR(INDEX(Category_Targets!$B$2:$B$9,MATCH(F1280,Category_Targets!$A$2:$A$9,0)),0)</f>
        <v>0.04</v>
      </c>
      <c r="R1280" s="125">
        <f t="shared" si="58"/>
        <v>164.71040000000002</v>
      </c>
      <c r="S1280" s="78">
        <f t="shared" si="59"/>
        <v>45658</v>
      </c>
      <c r="T1280" t="str">
        <f>IFERROR(VLOOKUP(B1280,Sites!$A$2:$D$21,4,FALSE()),"Unknown")</f>
        <v>Newport</v>
      </c>
      <c r="U1280" t="str">
        <f>IF(N1280="OK","",COUNTIF($N$2:N1280,"&lt;&gt;OK"))</f>
        <v/>
      </c>
      <c r="V1280">
        <f>IF(OR(NOT(EXACT(E1280,TRIM(Procurement_Raw!E1280))),NOT(EXACT(F1280,TRIM(Procurement_Raw!F1280)))),1,0)</f>
        <v>0</v>
      </c>
    </row>
    <row r="1281" spans="1:22" ht="15" customHeight="1" x14ac:dyDescent="0.25">
      <c r="A1281" s="123">
        <f>Procurement_Raw!A1281</f>
        <v>45910</v>
      </c>
      <c r="B1281" t="str">
        <f>TRIM(Procurement_Raw!B1281)</f>
        <v>S005</v>
      </c>
      <c r="C1281" t="str">
        <f>Procurement_Raw!C1281</f>
        <v>Sheffield Care &amp; Education Centre</v>
      </c>
      <c r="D1281" t="str">
        <f>Procurement_Raw!D1281</f>
        <v>North</v>
      </c>
      <c r="E1281" t="str">
        <f>IF(TRIM(Procurement_Raw!E1281)="","",IFERROR(INDEX(Supplier_Lookup!$A$2:$A$25,MATCH(TRIM(Procurement_Raw!E1281),Supplier_Lookup!$A$2:$A$25,0)),TRIM(Procurement_Raw!E1281)))</f>
        <v>LearnWell</v>
      </c>
      <c r="F1281" t="str">
        <f>IFERROR(INDEX(Category_Targets!$A$2:$A$9,MATCH(TRIM(Procurement_Raw!F1281),Category_Targets!$A$2:$A$9,0)),"Unmapped")</f>
        <v>Office &amp; Training</v>
      </c>
      <c r="G1281" t="str">
        <f>TRIM(Procurement_Raw!G1281)</f>
        <v>INV-2025-01280</v>
      </c>
      <c r="H1281" s="77">
        <f>Procurement_Raw!H1281</f>
        <v>15</v>
      </c>
      <c r="I1281" s="124">
        <f>Procurement_Raw!I1281</f>
        <v>63.27</v>
      </c>
      <c r="J1281" s="125">
        <f>IF(Procurement_Raw!J1281="","",Procurement_Raw!J1281)</f>
        <v>949.11</v>
      </c>
      <c r="K1281" s="77">
        <f>Procurement_Raw!K1281</f>
        <v>60</v>
      </c>
      <c r="L1281" t="str">
        <f>Procurement_Raw!L1281</f>
        <v>ERP</v>
      </c>
      <c r="M1281" t="str">
        <f>Procurement_Raw!O1281</f>
        <v>N</v>
      </c>
      <c r="N1281" t="str">
        <f>IF(E1281="","Missing supplier",IF(B1281="","Missing site",IF(J1281="","Missing spend",IF(COUNTIFS($G$2:G1281,G1281,$E$2:E1281,E1281,$J$2:J1281,J1281)&gt;1,"Duplicate invoice",IF(COUNTIF($G$2:$G$1801,G1281)&gt;1,"Duplicate ID - review",IF(AND(P1281&lt;&gt;"Unmapped",P1281&lt;&gt;F1281),"Category mismatch","OK"))))))</f>
        <v>OK</v>
      </c>
      <c r="O1281" s="125">
        <f t="shared" si="57"/>
        <v>949.11</v>
      </c>
      <c r="P1281" t="str">
        <f>IF(E1281="","Unmapped",IFERROR(INDEX(Supplier_Lookup!$B$2:$B$25,MATCH(E1281,Supplier_Lookup!$A$2:$A$25,0)),"Unmapped"))</f>
        <v>Office &amp; Training</v>
      </c>
      <c r="Q1281" s="76">
        <f>IFERROR(INDEX(Category_Targets!$B$2:$B$9,MATCH(F1281,Category_Targets!$A$2:$A$9,0)),0)</f>
        <v>0.04</v>
      </c>
      <c r="R1281" s="125">
        <f t="shared" si="58"/>
        <v>37.964400000000005</v>
      </c>
      <c r="S1281" s="78">
        <f t="shared" si="59"/>
        <v>45901</v>
      </c>
      <c r="T1281" t="str">
        <f>IFERROR(VLOOKUP(B1281,Sites!$A$2:$D$21,4,FALSE()),"Unknown")</f>
        <v>Sheffield</v>
      </c>
      <c r="U1281" t="str">
        <f>IF(N1281="OK","",COUNTIF($N$2:N1281,"&lt;&gt;OK"))</f>
        <v/>
      </c>
      <c r="V1281">
        <f>IF(OR(NOT(EXACT(E1281,TRIM(Procurement_Raw!E1281))),NOT(EXACT(F1281,TRIM(Procurement_Raw!F1281)))),1,0)</f>
        <v>0</v>
      </c>
    </row>
    <row r="1282" spans="1:22" ht="15" customHeight="1" x14ac:dyDescent="0.25">
      <c r="A1282" s="123">
        <f>Procurement_Raw!A1282</f>
        <v>45762</v>
      </c>
      <c r="B1282" t="str">
        <f>TRIM(Procurement_Raw!B1282)</f>
        <v>S002</v>
      </c>
      <c r="C1282" t="str">
        <f>Procurement_Raw!C1282</f>
        <v>Manchester Care &amp; Education Centre</v>
      </c>
      <c r="D1282" t="str">
        <f>Procurement_Raw!D1282</f>
        <v>North</v>
      </c>
      <c r="E1282" t="str">
        <f>IF(TRIM(Procurement_Raw!E1282)="","",IFERROR(INDEX(Supplier_Lookup!$A$2:$A$25,MATCH(TRIM(Procurement_Raw!E1282),Supplier_Lookup!$A$2:$A$25,0)),TRIM(Procurement_Raw!E1282)))</f>
        <v>FleetFuel</v>
      </c>
      <c r="F1282" t="str">
        <f>IFERROR(INDEX(Category_Targets!$A$2:$A$9,MATCH(TRIM(Procurement_Raw!F1282),Category_Targets!$A$2:$A$9,0)),"Unmapped")</f>
        <v>Vehicle &amp; Fuel</v>
      </c>
      <c r="G1282" t="str">
        <f>TRIM(Procurement_Raw!G1282)</f>
        <v>INV-2025-01281</v>
      </c>
      <c r="H1282" s="77">
        <f>Procurement_Raw!H1282</f>
        <v>37</v>
      </c>
      <c r="I1282" s="124">
        <f>Procurement_Raw!I1282</f>
        <v>102.24</v>
      </c>
      <c r="J1282" s="125">
        <f>IF(Procurement_Raw!J1282="","",Procurement_Raw!J1282)</f>
        <v>3782.89</v>
      </c>
      <c r="K1282" s="77">
        <f>Procurement_Raw!K1282</f>
        <v>30</v>
      </c>
      <c r="L1282" t="str">
        <f>Procurement_Raw!L1282</f>
        <v>ERP</v>
      </c>
      <c r="M1282" t="str">
        <f>Procurement_Raw!O1282</f>
        <v>Y</v>
      </c>
      <c r="N1282" t="str">
        <f>IF(E1282="","Missing supplier",IF(B1282="","Missing site",IF(J1282="","Missing spend",IF(COUNTIFS($G$2:G1282,G1282,$E$2:E1282,E1282,$J$2:J1282,J1282)&gt;1,"Duplicate invoice",IF(COUNTIF($G$2:$G$1801,G1282)&gt;1,"Duplicate ID - review",IF(AND(P1282&lt;&gt;"Unmapped",P1282&lt;&gt;F1282),"Category mismatch","OK"))))))</f>
        <v>OK</v>
      </c>
      <c r="O1282" s="125">
        <f t="shared" ref="O1282:O1345" si="60">IF(OR(N1282="Missing spend",N1282="Duplicate invoice"),0,J1282)</f>
        <v>3782.89</v>
      </c>
      <c r="P1282" t="str">
        <f>IF(E1282="","Unmapped",IFERROR(INDEX(Supplier_Lookup!$B$2:$B$25,MATCH(E1282,Supplier_Lookup!$A$2:$A$25,0)),"Unmapped"))</f>
        <v>Vehicle &amp; Fuel</v>
      </c>
      <c r="Q1282" s="76">
        <f>IFERROR(INDEX(Category_Targets!$B$2:$B$9,MATCH(F1282,Category_Targets!$A$2:$A$9,0)),0)</f>
        <v>0.05</v>
      </c>
      <c r="R1282" s="125">
        <f t="shared" ref="R1282:R1345" si="61">O1282*Q1282</f>
        <v>189.14449999999999</v>
      </c>
      <c r="S1282" s="78">
        <f t="shared" ref="S1282:S1345" si="62">DATE(YEAR(A1282),MONTH(A1282),1)</f>
        <v>45748</v>
      </c>
      <c r="T1282" t="str">
        <f>IFERROR(VLOOKUP(B1282,Sites!$A$2:$D$21,4,FALSE()),"Unknown")</f>
        <v>Manchester</v>
      </c>
      <c r="U1282" t="str">
        <f>IF(N1282="OK","",COUNTIF($N$2:N1282,"&lt;&gt;OK"))</f>
        <v/>
      </c>
      <c r="V1282">
        <f>IF(OR(NOT(EXACT(E1282,TRIM(Procurement_Raw!E1282))),NOT(EXACT(F1282,TRIM(Procurement_Raw!F1282)))),1,0)</f>
        <v>0</v>
      </c>
    </row>
    <row r="1283" spans="1:22" ht="15" customHeight="1" x14ac:dyDescent="0.25">
      <c r="A1283" s="123">
        <f>Procurement_Raw!A1283</f>
        <v>45997</v>
      </c>
      <c r="B1283" t="str">
        <f>TRIM(Procurement_Raw!B1283)</f>
        <v>S018</v>
      </c>
      <c r="C1283" t="str">
        <f>Procurement_Raw!C1283</f>
        <v>Newport Care &amp; Education Centre</v>
      </c>
      <c r="D1283" t="str">
        <f>Procurement_Raw!D1283</f>
        <v>Wales</v>
      </c>
      <c r="E1283" t="str">
        <f>IF(TRIM(Procurement_Raw!E1283)="","",IFERROR(INDEX(Supplier_Lookup!$A$2:$A$25,MATCH(TRIM(Procurement_Raw!E1283),Supplier_Lookup!$A$2:$A$25,0)),TRIM(Procurement_Raw!E1283)))</f>
        <v>NetServe</v>
      </c>
      <c r="F1283" t="str">
        <f>IFERROR(INDEX(Category_Targets!$A$2:$A$9,MATCH(TRIM(Procurement_Raw!F1283),Category_Targets!$A$2:$A$9,0)),"Unmapped")</f>
        <v>IT &amp; Telecoms</v>
      </c>
      <c r="G1283" t="str">
        <f>TRIM(Procurement_Raw!G1283)</f>
        <v>INV-2025-01282</v>
      </c>
      <c r="H1283" s="77">
        <f>Procurement_Raw!H1283</f>
        <v>75</v>
      </c>
      <c r="I1283" s="124">
        <f>Procurement_Raw!I1283</f>
        <v>202.3</v>
      </c>
      <c r="J1283" s="125">
        <f>IF(Procurement_Raw!J1283="","",Procurement_Raw!J1283)</f>
        <v>15172.76</v>
      </c>
      <c r="K1283" s="77">
        <f>Procurement_Raw!K1283</f>
        <v>30</v>
      </c>
      <c r="L1283" t="str">
        <f>Procurement_Raw!L1283</f>
        <v>Legacy Spend File</v>
      </c>
      <c r="M1283" t="str">
        <f>Procurement_Raw!O1283</f>
        <v>N</v>
      </c>
      <c r="N1283" t="str">
        <f>IF(E1283="","Missing supplier",IF(B1283="","Missing site",IF(J1283="","Missing spend",IF(COUNTIFS($G$2:G1283,G1283,$E$2:E1283,E1283,$J$2:J1283,J1283)&gt;1,"Duplicate invoice",IF(COUNTIF($G$2:$G$1801,G1283)&gt;1,"Duplicate ID - review",IF(AND(P1283&lt;&gt;"Unmapped",P1283&lt;&gt;F1283),"Category mismatch","OK"))))))</f>
        <v>OK</v>
      </c>
      <c r="O1283" s="125">
        <f t="shared" si="60"/>
        <v>15172.76</v>
      </c>
      <c r="P1283" t="str">
        <f>IF(E1283="","Unmapped",IFERROR(INDEX(Supplier_Lookup!$B$2:$B$25,MATCH(E1283,Supplier_Lookup!$A$2:$A$25,0)),"Unmapped"))</f>
        <v>IT &amp; Telecoms</v>
      </c>
      <c r="Q1283" s="76">
        <f>IFERROR(INDEX(Category_Targets!$B$2:$B$9,MATCH(F1283,Category_Targets!$A$2:$A$9,0)),0)</f>
        <v>0.08</v>
      </c>
      <c r="R1283" s="125">
        <f t="shared" si="61"/>
        <v>1213.8208</v>
      </c>
      <c r="S1283" s="78">
        <f t="shared" si="62"/>
        <v>45992</v>
      </c>
      <c r="T1283" t="str">
        <f>IFERROR(VLOOKUP(B1283,Sites!$A$2:$D$21,4,FALSE()),"Unknown")</f>
        <v>Newport</v>
      </c>
      <c r="U1283" t="str">
        <f>IF(N1283="OK","",COUNTIF($N$2:N1283,"&lt;&gt;OK"))</f>
        <v/>
      </c>
      <c r="V1283">
        <f>IF(OR(NOT(EXACT(E1283,TRIM(Procurement_Raw!E1283))),NOT(EXACT(F1283,TRIM(Procurement_Raw!F1283)))),1,0)</f>
        <v>0</v>
      </c>
    </row>
    <row r="1284" spans="1:22" ht="15" customHeight="1" x14ac:dyDescent="0.25">
      <c r="A1284" s="123">
        <f>Procurement_Raw!A1284</f>
        <v>45697</v>
      </c>
      <c r="B1284" t="str">
        <f>TRIM(Procurement_Raw!B1284)</f>
        <v>S012</v>
      </c>
      <c r="C1284" t="str">
        <f>Procurement_Raw!C1284</f>
        <v>Bristol Care &amp; Education Centre</v>
      </c>
      <c r="D1284" t="str">
        <f>Procurement_Raw!D1284</f>
        <v>South</v>
      </c>
      <c r="E1284" t="str">
        <f>IF(TRIM(Procurement_Raw!E1284)="","",IFERROR(INDEX(Supplier_Lookup!$A$2:$A$25,MATCH(TRIM(Procurement_Raw!E1284),Supplier_Lookup!$A$2:$A$25,0)),TRIM(Procurement_Raw!E1284)))</f>
        <v>SafeGuard FM</v>
      </c>
      <c r="F1284" t="str">
        <f>IFERROR(INDEX(Category_Targets!$A$2:$A$9,MATCH(TRIM(Procurement_Raw!F1284),Category_Targets!$A$2:$A$9,0)),"Unmapped")</f>
        <v>Facilities</v>
      </c>
      <c r="G1284" t="str">
        <f>TRIM(Procurement_Raw!G1284)</f>
        <v>INV-2025-01283</v>
      </c>
      <c r="H1284" s="77">
        <f>Procurement_Raw!H1284</f>
        <v>32</v>
      </c>
      <c r="I1284" s="124">
        <f>Procurement_Raw!I1284</f>
        <v>265.70999999999998</v>
      </c>
      <c r="J1284" s="125">
        <f>IF(Procurement_Raw!J1284="","",Procurement_Raw!J1284)</f>
        <v>8502.81</v>
      </c>
      <c r="K1284" s="77">
        <f>Procurement_Raw!K1284</f>
        <v>45</v>
      </c>
      <c r="L1284" t="str">
        <f>Procurement_Raw!L1284</f>
        <v>Legacy Spend File</v>
      </c>
      <c r="M1284" t="str">
        <f>Procurement_Raw!O1284</f>
        <v>N</v>
      </c>
      <c r="N1284" t="str">
        <f>IF(E1284="","Missing supplier",IF(B1284="","Missing site",IF(J1284="","Missing spend",IF(COUNTIFS($G$2:G1284,G1284,$E$2:E1284,E1284,$J$2:J1284,J1284)&gt;1,"Duplicate invoice",IF(COUNTIF($G$2:$G$1801,G1284)&gt;1,"Duplicate ID - review",IF(AND(P1284&lt;&gt;"Unmapped",P1284&lt;&gt;F1284),"Category mismatch","OK"))))))</f>
        <v>OK</v>
      </c>
      <c r="O1284" s="125">
        <f t="shared" si="60"/>
        <v>8502.81</v>
      </c>
      <c r="P1284" t="str">
        <f>IF(E1284="","Unmapped",IFERROR(INDEX(Supplier_Lookup!$B$2:$B$25,MATCH(E1284,Supplier_Lookup!$A$2:$A$25,0)),"Unmapped"))</f>
        <v>Facilities</v>
      </c>
      <c r="Q1284" s="76">
        <f>IFERROR(INDEX(Category_Targets!$B$2:$B$9,MATCH(F1284,Category_Targets!$A$2:$A$9,0)),0)</f>
        <v>0.05</v>
      </c>
      <c r="R1284" s="125">
        <f t="shared" si="61"/>
        <v>425.14049999999997</v>
      </c>
      <c r="S1284" s="78">
        <f t="shared" si="62"/>
        <v>45689</v>
      </c>
      <c r="T1284" t="str">
        <f>IFERROR(VLOOKUP(B1284,Sites!$A$2:$D$21,4,FALSE()),"Unknown")</f>
        <v>Bristol</v>
      </c>
      <c r="U1284" t="str">
        <f>IF(N1284="OK","",COUNTIF($N$2:N1284,"&lt;&gt;OK"))</f>
        <v/>
      </c>
      <c r="V1284">
        <f>IF(OR(NOT(EXACT(E1284,TRIM(Procurement_Raw!E1284))),NOT(EXACT(F1284,TRIM(Procurement_Raw!F1284)))),1,0)</f>
        <v>0</v>
      </c>
    </row>
    <row r="1285" spans="1:22" ht="15" customHeight="1" x14ac:dyDescent="0.25">
      <c r="A1285" s="123">
        <f>Procurement_Raw!A1285</f>
        <v>45803</v>
      </c>
      <c r="B1285" t="str">
        <f>TRIM(Procurement_Raw!B1285)</f>
        <v>S011</v>
      </c>
      <c r="C1285" t="str">
        <f>Procurement_Raw!C1285</f>
        <v>London Care &amp; Education Centre</v>
      </c>
      <c r="D1285" t="str">
        <f>Procurement_Raw!D1285</f>
        <v>South</v>
      </c>
      <c r="E1285" t="str">
        <f>IF(TRIM(Procurement_Raw!E1285)="","",IFERROR(INDEX(Supplier_Lookup!$A$2:$A$25,MATCH(TRIM(Procurement_Raw!E1285),Supplier_Lookup!$A$2:$A$25,0)),TRIM(Procurement_Raw!E1285)))</f>
        <v>FleetFuel</v>
      </c>
      <c r="F1285" t="str">
        <f>IFERROR(INDEX(Category_Targets!$A$2:$A$9,MATCH(TRIM(Procurement_Raw!F1285),Category_Targets!$A$2:$A$9,0)),"Unmapped")</f>
        <v>Vehicle &amp; Fuel</v>
      </c>
      <c r="G1285" t="str">
        <f>TRIM(Procurement_Raw!G1285)</f>
        <v>INV-2025-01284</v>
      </c>
      <c r="H1285" s="77">
        <f>Procurement_Raw!H1285</f>
        <v>16</v>
      </c>
      <c r="I1285" s="124">
        <f>Procurement_Raw!I1285</f>
        <v>160.78</v>
      </c>
      <c r="J1285" s="125">
        <f>IF(Procurement_Raw!J1285="","",Procurement_Raw!J1285)</f>
        <v>2572.5500000000002</v>
      </c>
      <c r="K1285" s="77">
        <f>Procurement_Raw!K1285</f>
        <v>45</v>
      </c>
      <c r="L1285" t="str">
        <f>Procurement_Raw!L1285</f>
        <v>Procurement Portal</v>
      </c>
      <c r="M1285" t="str">
        <f>Procurement_Raw!O1285</f>
        <v>Y</v>
      </c>
      <c r="N1285" t="str">
        <f>IF(E1285="","Missing supplier",IF(B1285="","Missing site",IF(J1285="","Missing spend",IF(COUNTIFS($G$2:G1285,G1285,$E$2:E1285,E1285,$J$2:J1285,J1285)&gt;1,"Duplicate invoice",IF(COUNTIF($G$2:$G$1801,G1285)&gt;1,"Duplicate ID - review",IF(AND(P1285&lt;&gt;"Unmapped",P1285&lt;&gt;F1285),"Category mismatch","OK"))))))</f>
        <v>OK</v>
      </c>
      <c r="O1285" s="125">
        <f t="shared" si="60"/>
        <v>2572.5500000000002</v>
      </c>
      <c r="P1285" t="str">
        <f>IF(E1285="","Unmapped",IFERROR(INDEX(Supplier_Lookup!$B$2:$B$25,MATCH(E1285,Supplier_Lookup!$A$2:$A$25,0)),"Unmapped"))</f>
        <v>Vehicle &amp; Fuel</v>
      </c>
      <c r="Q1285" s="76">
        <f>IFERROR(INDEX(Category_Targets!$B$2:$B$9,MATCH(F1285,Category_Targets!$A$2:$A$9,0)),0)</f>
        <v>0.05</v>
      </c>
      <c r="R1285" s="125">
        <f t="shared" si="61"/>
        <v>128.62750000000003</v>
      </c>
      <c r="S1285" s="78">
        <f t="shared" si="62"/>
        <v>45778</v>
      </c>
      <c r="T1285" t="str">
        <f>IFERROR(VLOOKUP(B1285,Sites!$A$2:$D$21,4,FALSE()),"Unknown")</f>
        <v>London</v>
      </c>
      <c r="U1285" t="str">
        <f>IF(N1285="OK","",COUNTIF($N$2:N1285,"&lt;&gt;OK"))</f>
        <v/>
      </c>
      <c r="V1285">
        <f>IF(OR(NOT(EXACT(E1285,TRIM(Procurement_Raw!E1285))),NOT(EXACT(F1285,TRIM(Procurement_Raw!F1285)))),1,0)</f>
        <v>0</v>
      </c>
    </row>
    <row r="1286" spans="1:22" ht="15" customHeight="1" x14ac:dyDescent="0.25">
      <c r="A1286" s="123">
        <f>Procurement_Raw!A1286</f>
        <v>45736</v>
      </c>
      <c r="B1286" t="str">
        <f>TRIM(Procurement_Raw!B1286)</f>
        <v>S013</v>
      </c>
      <c r="C1286" t="str">
        <f>Procurement_Raw!C1286</f>
        <v>Reading Care &amp; Education Centre</v>
      </c>
      <c r="D1286" t="str">
        <f>Procurement_Raw!D1286</f>
        <v>South</v>
      </c>
      <c r="E1286" t="str">
        <f>IF(TRIM(Procurement_Raw!E1286)="","",IFERROR(INDEX(Supplier_Lookup!$A$2:$A$25,MATCH(TRIM(Procurement_Raw!E1286),Supplier_Lookup!$A$2:$A$25,0)),TRIM(Procurement_Raw!E1286)))</f>
        <v>NourishCo</v>
      </c>
      <c r="F1286" t="str">
        <f>IFERROR(INDEX(Category_Targets!$A$2:$A$9,MATCH(TRIM(Procurement_Raw!F1286),Category_Targets!$A$2:$A$9,0)),"Unmapped")</f>
        <v>Food &amp; Catering</v>
      </c>
      <c r="G1286" t="str">
        <f>TRIM(Procurement_Raw!G1286)</f>
        <v>INV-2025-01285</v>
      </c>
      <c r="H1286" s="77">
        <f>Procurement_Raw!H1286</f>
        <v>4</v>
      </c>
      <c r="I1286" s="124">
        <f>Procurement_Raw!I1286</f>
        <v>42.19</v>
      </c>
      <c r="J1286" s="125">
        <f>IF(Procurement_Raw!J1286="","",Procurement_Raw!J1286)</f>
        <v>168.74</v>
      </c>
      <c r="K1286" s="77">
        <f>Procurement_Raw!K1286</f>
        <v>30</v>
      </c>
      <c r="L1286" t="str">
        <f>Procurement_Raw!L1286</f>
        <v>Procurement Portal</v>
      </c>
      <c r="M1286" t="str">
        <f>Procurement_Raw!O1286</f>
        <v>N</v>
      </c>
      <c r="N1286" t="str">
        <f>IF(E1286="","Missing supplier",IF(B1286="","Missing site",IF(J1286="","Missing spend",IF(COUNTIFS($G$2:G1286,G1286,$E$2:E1286,E1286,$J$2:J1286,J1286)&gt;1,"Duplicate invoice",IF(COUNTIF($G$2:$G$1801,G1286)&gt;1,"Duplicate ID - review",IF(AND(P1286&lt;&gt;"Unmapped",P1286&lt;&gt;F1286),"Category mismatch","OK"))))))</f>
        <v>OK</v>
      </c>
      <c r="O1286" s="125">
        <f t="shared" si="60"/>
        <v>168.74</v>
      </c>
      <c r="P1286" t="str">
        <f>IF(E1286="","Unmapped",IFERROR(INDEX(Supplier_Lookup!$B$2:$B$25,MATCH(E1286,Supplier_Lookup!$A$2:$A$25,0)),"Unmapped"))</f>
        <v>Food &amp; Catering</v>
      </c>
      <c r="Q1286" s="76">
        <f>IFERROR(INDEX(Category_Targets!$B$2:$B$9,MATCH(F1286,Category_Targets!$A$2:$A$9,0)),0)</f>
        <v>0.04</v>
      </c>
      <c r="R1286" s="125">
        <f t="shared" si="61"/>
        <v>6.7496000000000009</v>
      </c>
      <c r="S1286" s="78">
        <f t="shared" si="62"/>
        <v>45717</v>
      </c>
      <c r="T1286" t="str">
        <f>IFERROR(VLOOKUP(B1286,Sites!$A$2:$D$21,4,FALSE()),"Unknown")</f>
        <v>Reading</v>
      </c>
      <c r="U1286" t="str">
        <f>IF(N1286="OK","",COUNTIF($N$2:N1286,"&lt;&gt;OK"))</f>
        <v/>
      </c>
      <c r="V1286">
        <f>IF(OR(NOT(EXACT(E1286,TRIM(Procurement_Raw!E1286))),NOT(EXACT(F1286,TRIM(Procurement_Raw!F1286)))),1,0)</f>
        <v>0</v>
      </c>
    </row>
    <row r="1287" spans="1:22" ht="15" customHeight="1" x14ac:dyDescent="0.25">
      <c r="A1287" s="123">
        <f>Procurement_Raw!A1287</f>
        <v>45979</v>
      </c>
      <c r="B1287" t="str">
        <f>TRIM(Procurement_Raw!B1287)</f>
        <v>S008</v>
      </c>
      <c r="C1287" t="str">
        <f>Procurement_Raw!C1287</f>
        <v>Leicester Care &amp; Education Centre</v>
      </c>
      <c r="D1287" t="str">
        <f>Procurement_Raw!D1287</f>
        <v>Midlands</v>
      </c>
      <c r="E1287" t="str">
        <f>IF(TRIM(Procurement_Raw!E1287)="","",IFERROR(INDEX(Supplier_Lookup!$A$2:$A$25,MATCH(TRIM(Procurement_Raw!E1287),Supplier_Lookup!$A$2:$A$25,0)),TRIM(Procurement_Raw!E1287)))</f>
        <v>LearnWell</v>
      </c>
      <c r="F1287" t="str">
        <f>IFERROR(INDEX(Category_Targets!$A$2:$A$9,MATCH(TRIM(Procurement_Raw!F1287),Category_Targets!$A$2:$A$9,0)),"Unmapped")</f>
        <v>Office &amp; Training</v>
      </c>
      <c r="G1287" t="str">
        <f>TRIM(Procurement_Raw!G1287)</f>
        <v>INV-2025-01286</v>
      </c>
      <c r="H1287" s="77">
        <f>Procurement_Raw!H1287</f>
        <v>35</v>
      </c>
      <c r="I1287" s="124">
        <f>Procurement_Raw!I1287</f>
        <v>36.06</v>
      </c>
      <c r="J1287" s="125">
        <f>IF(Procurement_Raw!J1287="","",Procurement_Raw!J1287)</f>
        <v>1262.26</v>
      </c>
      <c r="K1287" s="77">
        <f>Procurement_Raw!K1287</f>
        <v>60</v>
      </c>
      <c r="L1287" t="str">
        <f>Procurement_Raw!L1287</f>
        <v>Legacy Spend File</v>
      </c>
      <c r="M1287" t="str">
        <f>Procurement_Raw!O1287</f>
        <v>N</v>
      </c>
      <c r="N1287" t="str">
        <f>IF(E1287="","Missing supplier",IF(B1287="","Missing site",IF(J1287="","Missing spend",IF(COUNTIFS($G$2:G1287,G1287,$E$2:E1287,E1287,$J$2:J1287,J1287)&gt;1,"Duplicate invoice",IF(COUNTIF($G$2:$G$1801,G1287)&gt;1,"Duplicate ID - review",IF(AND(P1287&lt;&gt;"Unmapped",P1287&lt;&gt;F1287),"Category mismatch","OK"))))))</f>
        <v>OK</v>
      </c>
      <c r="O1287" s="125">
        <f t="shared" si="60"/>
        <v>1262.26</v>
      </c>
      <c r="P1287" t="str">
        <f>IF(E1287="","Unmapped",IFERROR(INDEX(Supplier_Lookup!$B$2:$B$25,MATCH(E1287,Supplier_Lookup!$A$2:$A$25,0)),"Unmapped"))</f>
        <v>Office &amp; Training</v>
      </c>
      <c r="Q1287" s="76">
        <f>IFERROR(INDEX(Category_Targets!$B$2:$B$9,MATCH(F1287,Category_Targets!$A$2:$A$9,0)),0)</f>
        <v>0.04</v>
      </c>
      <c r="R1287" s="125">
        <f t="shared" si="61"/>
        <v>50.490400000000001</v>
      </c>
      <c r="S1287" s="78">
        <f t="shared" si="62"/>
        <v>45962</v>
      </c>
      <c r="T1287" t="str">
        <f>IFERROR(VLOOKUP(B1287,Sites!$A$2:$D$21,4,FALSE()),"Unknown")</f>
        <v>Leicester</v>
      </c>
      <c r="U1287" t="str">
        <f>IF(N1287="OK","",COUNTIF($N$2:N1287,"&lt;&gt;OK"))</f>
        <v/>
      </c>
      <c r="V1287">
        <f>IF(OR(NOT(EXACT(E1287,TRIM(Procurement_Raw!E1287))),NOT(EXACT(F1287,TRIM(Procurement_Raw!F1287)))),1,0)</f>
        <v>0</v>
      </c>
    </row>
    <row r="1288" spans="1:22" ht="15" customHeight="1" x14ac:dyDescent="0.25">
      <c r="A1288" s="123">
        <f>Procurement_Raw!A1288</f>
        <v>45993</v>
      </c>
      <c r="B1288" t="str">
        <f>TRIM(Procurement_Raw!B1288)</f>
        <v>S009</v>
      </c>
      <c r="C1288" t="str">
        <f>Procurement_Raw!C1288</f>
        <v>Derby Care &amp; Education Centre</v>
      </c>
      <c r="D1288" t="str">
        <f>Procurement_Raw!D1288</f>
        <v>Midlands</v>
      </c>
      <c r="E1288" t="str">
        <f>IF(TRIM(Procurement_Raw!E1288)="","",IFERROR(INDEX(Supplier_Lookup!$A$2:$A$25,MATCH(TRIM(Procurement_Raw!E1288),Supplier_Lookup!$A$2:$A$25,0)),TRIM(Procurement_Raw!E1288)))</f>
        <v>FleetFuel</v>
      </c>
      <c r="F1288" t="str">
        <f>IFERROR(INDEX(Category_Targets!$A$2:$A$9,MATCH(TRIM(Procurement_Raw!F1288),Category_Targets!$A$2:$A$9,0)),"Unmapped")</f>
        <v>Vehicle &amp; Fuel</v>
      </c>
      <c r="G1288" t="str">
        <f>TRIM(Procurement_Raw!G1288)</f>
        <v>INV-2025-01287</v>
      </c>
      <c r="H1288" s="77">
        <f>Procurement_Raw!H1288</f>
        <v>80</v>
      </c>
      <c r="I1288" s="124">
        <f>Procurement_Raw!I1288</f>
        <v>34.6</v>
      </c>
      <c r="J1288" s="125">
        <f>IF(Procurement_Raw!J1288="","",Procurement_Raw!J1288)</f>
        <v>2768.31</v>
      </c>
      <c r="K1288" s="77">
        <f>Procurement_Raw!K1288</f>
        <v>45</v>
      </c>
      <c r="L1288" t="str">
        <f>Procurement_Raw!L1288</f>
        <v>Procurement Portal</v>
      </c>
      <c r="M1288" t="str">
        <f>Procurement_Raw!O1288</f>
        <v>Y</v>
      </c>
      <c r="N1288" t="str">
        <f>IF(E1288="","Missing supplier",IF(B1288="","Missing site",IF(J1288="","Missing spend",IF(COUNTIFS($G$2:G1288,G1288,$E$2:E1288,E1288,$J$2:J1288,J1288)&gt;1,"Duplicate invoice",IF(COUNTIF($G$2:$G$1801,G1288)&gt;1,"Duplicate ID - review",IF(AND(P1288&lt;&gt;"Unmapped",P1288&lt;&gt;F1288),"Category mismatch","OK"))))))</f>
        <v>OK</v>
      </c>
      <c r="O1288" s="125">
        <f t="shared" si="60"/>
        <v>2768.31</v>
      </c>
      <c r="P1288" t="str">
        <f>IF(E1288="","Unmapped",IFERROR(INDEX(Supplier_Lookup!$B$2:$B$25,MATCH(E1288,Supplier_Lookup!$A$2:$A$25,0)),"Unmapped"))</f>
        <v>Vehicle &amp; Fuel</v>
      </c>
      <c r="Q1288" s="76">
        <f>IFERROR(INDEX(Category_Targets!$B$2:$B$9,MATCH(F1288,Category_Targets!$A$2:$A$9,0)),0)</f>
        <v>0.05</v>
      </c>
      <c r="R1288" s="125">
        <f t="shared" si="61"/>
        <v>138.41550000000001</v>
      </c>
      <c r="S1288" s="78">
        <f t="shared" si="62"/>
        <v>45992</v>
      </c>
      <c r="T1288" t="str">
        <f>IFERROR(VLOOKUP(B1288,Sites!$A$2:$D$21,4,FALSE()),"Unknown")</f>
        <v>Derby</v>
      </c>
      <c r="U1288" t="str">
        <f>IF(N1288="OK","",COUNTIF($N$2:N1288,"&lt;&gt;OK"))</f>
        <v/>
      </c>
      <c r="V1288">
        <f>IF(OR(NOT(EXACT(E1288,TRIM(Procurement_Raw!E1288))),NOT(EXACT(F1288,TRIM(Procurement_Raw!F1288)))),1,0)</f>
        <v>0</v>
      </c>
    </row>
    <row r="1289" spans="1:22" ht="15" customHeight="1" x14ac:dyDescent="0.25">
      <c r="A1289" s="123">
        <f>Procurement_Raw!A1289</f>
        <v>45682</v>
      </c>
      <c r="B1289" t="str">
        <f>TRIM(Procurement_Raw!B1289)</f>
        <v>S019</v>
      </c>
      <c r="C1289" t="str">
        <f>Procurement_Raw!C1289</f>
        <v>Wrexham Care &amp; Education Centre</v>
      </c>
      <c r="D1289" t="str">
        <f>Procurement_Raw!D1289</f>
        <v>Wales</v>
      </c>
      <c r="E1289" t="str">
        <f>IF(TRIM(Procurement_Raw!E1289)="","",IFERROR(INDEX(Supplier_Lookup!$A$2:$A$25,MATCH(TRIM(Procurement_Raw!E1289),Supplier_Lookup!$A$2:$A$25,0)),TRIM(Procurement_Raw!E1289)))</f>
        <v>CleanWorks</v>
      </c>
      <c r="F1289" t="str">
        <f>IFERROR(INDEX(Category_Targets!$A$2:$A$9,MATCH(TRIM(Procurement_Raw!F1289),Category_Targets!$A$2:$A$9,0)),"Unmapped")</f>
        <v>Facilities</v>
      </c>
      <c r="G1289" t="str">
        <f>TRIM(Procurement_Raw!G1289)</f>
        <v>INV-2025-01288</v>
      </c>
      <c r="H1289" s="77">
        <f>Procurement_Raw!H1289</f>
        <v>37</v>
      </c>
      <c r="I1289" s="124">
        <f>Procurement_Raw!I1289</f>
        <v>238.02</v>
      </c>
      <c r="J1289" s="125">
        <f>IF(Procurement_Raw!J1289="","",Procurement_Raw!J1289)</f>
        <v>8806.7199999999993</v>
      </c>
      <c r="K1289" s="77">
        <f>Procurement_Raw!K1289</f>
        <v>45</v>
      </c>
      <c r="L1289" t="str">
        <f>Procurement_Raw!L1289</f>
        <v>ERP</v>
      </c>
      <c r="M1289" t="str">
        <f>Procurement_Raw!O1289</f>
        <v>Y</v>
      </c>
      <c r="N1289" t="str">
        <f>IF(E1289="","Missing supplier",IF(B1289="","Missing site",IF(J1289="","Missing spend",IF(COUNTIFS($G$2:G1289,G1289,$E$2:E1289,E1289,$J$2:J1289,J1289)&gt;1,"Duplicate invoice",IF(COUNTIF($G$2:$G$1801,G1289)&gt;1,"Duplicate ID - review",IF(AND(P1289&lt;&gt;"Unmapped",P1289&lt;&gt;F1289),"Category mismatch","OK"))))))</f>
        <v>OK</v>
      </c>
      <c r="O1289" s="125">
        <f t="shared" si="60"/>
        <v>8806.7199999999993</v>
      </c>
      <c r="P1289" t="str">
        <f>IF(E1289="","Unmapped",IFERROR(INDEX(Supplier_Lookup!$B$2:$B$25,MATCH(E1289,Supplier_Lookup!$A$2:$A$25,0)),"Unmapped"))</f>
        <v>Facilities</v>
      </c>
      <c r="Q1289" s="76">
        <f>IFERROR(INDEX(Category_Targets!$B$2:$B$9,MATCH(F1289,Category_Targets!$A$2:$A$9,0)),0)</f>
        <v>0.05</v>
      </c>
      <c r="R1289" s="125">
        <f t="shared" si="61"/>
        <v>440.33600000000001</v>
      </c>
      <c r="S1289" s="78">
        <f t="shared" si="62"/>
        <v>45658</v>
      </c>
      <c r="T1289" t="str">
        <f>IFERROR(VLOOKUP(B1289,Sites!$A$2:$D$21,4,FALSE()),"Unknown")</f>
        <v>Wrexham</v>
      </c>
      <c r="U1289" t="str">
        <f>IF(N1289="OK","",COUNTIF($N$2:N1289,"&lt;&gt;OK"))</f>
        <v/>
      </c>
      <c r="V1289">
        <f>IF(OR(NOT(EXACT(E1289,TRIM(Procurement_Raw!E1289))),NOT(EXACT(F1289,TRIM(Procurement_Raw!F1289)))),1,0)</f>
        <v>0</v>
      </c>
    </row>
    <row r="1290" spans="1:22" ht="15" customHeight="1" x14ac:dyDescent="0.25">
      <c r="A1290" s="123">
        <f>Procurement_Raw!A1290</f>
        <v>45966</v>
      </c>
      <c r="B1290" t="str">
        <f>TRIM(Procurement_Raw!B1290)</f>
        <v>S002</v>
      </c>
      <c r="C1290" t="str">
        <f>Procurement_Raw!C1290</f>
        <v>Manchester Care &amp; Education Centre</v>
      </c>
      <c r="D1290" t="str">
        <f>Procurement_Raw!D1290</f>
        <v>North</v>
      </c>
      <c r="E1290" t="str">
        <f>IF(TRIM(Procurement_Raw!E1290)="","",IFERROR(INDEX(Supplier_Lookup!$A$2:$A$25,MATCH(TRIM(Procurement_Raw!E1290),Supplier_Lookup!$A$2:$A$25,0)),TRIM(Procurement_Raw!E1290)))</f>
        <v>KitchenPro</v>
      </c>
      <c r="F1290" t="str">
        <f>IFERROR(INDEX(Category_Targets!$A$2:$A$9,MATCH(TRIM(Procurement_Raw!F1290),Category_Targets!$A$2:$A$9,0)),"Unmapped")</f>
        <v>Food &amp; Catering</v>
      </c>
      <c r="G1290" t="str">
        <f>TRIM(Procurement_Raw!G1290)</f>
        <v>INV-2025-01289</v>
      </c>
      <c r="H1290" s="77">
        <f>Procurement_Raw!H1290</f>
        <v>49</v>
      </c>
      <c r="I1290" s="124">
        <f>Procurement_Raw!I1290</f>
        <v>35.43</v>
      </c>
      <c r="J1290" s="125">
        <f>IF(Procurement_Raw!J1290="","",Procurement_Raw!J1290)</f>
        <v>1736.03</v>
      </c>
      <c r="K1290" s="77">
        <f>Procurement_Raw!K1290</f>
        <v>30</v>
      </c>
      <c r="L1290" t="str">
        <f>Procurement_Raw!L1290</f>
        <v>Procurement Portal</v>
      </c>
      <c r="M1290" t="str">
        <f>Procurement_Raw!O1290</f>
        <v>N</v>
      </c>
      <c r="N1290" t="str">
        <f>IF(E1290="","Missing supplier",IF(B1290="","Missing site",IF(J1290="","Missing spend",IF(COUNTIFS($G$2:G1290,G1290,$E$2:E1290,E1290,$J$2:J1290,J1290)&gt;1,"Duplicate invoice",IF(COUNTIF($G$2:$G$1801,G1290)&gt;1,"Duplicate ID - review",IF(AND(P1290&lt;&gt;"Unmapped",P1290&lt;&gt;F1290),"Category mismatch","OK"))))))</f>
        <v>OK</v>
      </c>
      <c r="O1290" s="125">
        <f t="shared" si="60"/>
        <v>1736.03</v>
      </c>
      <c r="P1290" t="str">
        <f>IF(E1290="","Unmapped",IFERROR(INDEX(Supplier_Lookup!$B$2:$B$25,MATCH(E1290,Supplier_Lookup!$A$2:$A$25,0)),"Unmapped"))</f>
        <v>Food &amp; Catering</v>
      </c>
      <c r="Q1290" s="76">
        <f>IFERROR(INDEX(Category_Targets!$B$2:$B$9,MATCH(F1290,Category_Targets!$A$2:$A$9,0)),0)</f>
        <v>0.04</v>
      </c>
      <c r="R1290" s="125">
        <f t="shared" si="61"/>
        <v>69.441199999999995</v>
      </c>
      <c r="S1290" s="78">
        <f t="shared" si="62"/>
        <v>45962</v>
      </c>
      <c r="T1290" t="str">
        <f>IFERROR(VLOOKUP(B1290,Sites!$A$2:$D$21,4,FALSE()),"Unknown")</f>
        <v>Manchester</v>
      </c>
      <c r="U1290" t="str">
        <f>IF(N1290="OK","",COUNTIF($N$2:N1290,"&lt;&gt;OK"))</f>
        <v/>
      </c>
      <c r="V1290">
        <f>IF(OR(NOT(EXACT(E1290,TRIM(Procurement_Raw!E1290))),NOT(EXACT(F1290,TRIM(Procurement_Raw!F1290)))),1,0)</f>
        <v>0</v>
      </c>
    </row>
    <row r="1291" spans="1:22" ht="15" customHeight="1" x14ac:dyDescent="0.25">
      <c r="A1291" s="123">
        <f>Procurement_Raw!A1291</f>
        <v>45862</v>
      </c>
      <c r="B1291" t="str">
        <f>TRIM(Procurement_Raw!B1291)</f>
        <v>S003</v>
      </c>
      <c r="C1291" t="str">
        <f>Procurement_Raw!C1291</f>
        <v>Leeds Care &amp; Education Centre</v>
      </c>
      <c r="D1291" t="str">
        <f>Procurement_Raw!D1291</f>
        <v>North</v>
      </c>
      <c r="E1291" t="str">
        <f>IF(TRIM(Procurement_Raw!E1291)="","",IFERROR(INDEX(Supplier_Lookup!$A$2:$A$25,MATCH(TRIM(Procurement_Raw!E1291),Supplier_Lookup!$A$2:$A$25,0)),TRIM(Procurement_Raw!E1291)))</f>
        <v>CleanWorks</v>
      </c>
      <c r="F1291" t="str">
        <f>IFERROR(INDEX(Category_Targets!$A$2:$A$9,MATCH(TRIM(Procurement_Raw!F1291),Category_Targets!$A$2:$A$9,0)),"Unmapped")</f>
        <v>Facilities</v>
      </c>
      <c r="G1291" t="str">
        <f>TRIM(Procurement_Raw!G1291)</f>
        <v>INV-2025-01290</v>
      </c>
      <c r="H1291" s="77">
        <f>Procurement_Raw!H1291</f>
        <v>12</v>
      </c>
      <c r="I1291" s="124">
        <f>Procurement_Raw!I1291</f>
        <v>55.08</v>
      </c>
      <c r="J1291" s="125">
        <f>IF(Procurement_Raw!J1291="","",Procurement_Raw!J1291)</f>
        <v>661.01</v>
      </c>
      <c r="K1291" s="77">
        <f>Procurement_Raw!K1291</f>
        <v>30</v>
      </c>
      <c r="L1291" t="str">
        <f>Procurement_Raw!L1291</f>
        <v>ERP</v>
      </c>
      <c r="M1291" t="str">
        <f>Procurement_Raw!O1291</f>
        <v>Y</v>
      </c>
      <c r="N1291" t="str">
        <f>IF(E1291="","Missing supplier",IF(B1291="","Missing site",IF(J1291="","Missing spend",IF(COUNTIFS($G$2:G1291,G1291,$E$2:E1291,E1291,$J$2:J1291,J1291)&gt;1,"Duplicate invoice",IF(COUNTIF($G$2:$G$1801,G1291)&gt;1,"Duplicate ID - review",IF(AND(P1291&lt;&gt;"Unmapped",P1291&lt;&gt;F1291),"Category mismatch","OK"))))))</f>
        <v>OK</v>
      </c>
      <c r="O1291" s="125">
        <f t="shared" si="60"/>
        <v>661.01</v>
      </c>
      <c r="P1291" t="str">
        <f>IF(E1291="","Unmapped",IFERROR(INDEX(Supplier_Lookup!$B$2:$B$25,MATCH(E1291,Supplier_Lookup!$A$2:$A$25,0)),"Unmapped"))</f>
        <v>Facilities</v>
      </c>
      <c r="Q1291" s="76">
        <f>IFERROR(INDEX(Category_Targets!$B$2:$B$9,MATCH(F1291,Category_Targets!$A$2:$A$9,0)),0)</f>
        <v>0.05</v>
      </c>
      <c r="R1291" s="125">
        <f t="shared" si="61"/>
        <v>33.0505</v>
      </c>
      <c r="S1291" s="78">
        <f t="shared" si="62"/>
        <v>45839</v>
      </c>
      <c r="T1291" t="str">
        <f>IFERROR(VLOOKUP(B1291,Sites!$A$2:$D$21,4,FALSE()),"Unknown")</f>
        <v>Leeds</v>
      </c>
      <c r="U1291" t="str">
        <f>IF(N1291="OK","",COUNTIF($N$2:N1291,"&lt;&gt;OK"))</f>
        <v/>
      </c>
      <c r="V1291">
        <f>IF(OR(NOT(EXACT(E1291,TRIM(Procurement_Raw!E1291))),NOT(EXACT(F1291,TRIM(Procurement_Raw!F1291)))),1,0)</f>
        <v>0</v>
      </c>
    </row>
    <row r="1292" spans="1:22" ht="15" customHeight="1" x14ac:dyDescent="0.25">
      <c r="A1292" s="123">
        <f>Procurement_Raw!A1292</f>
        <v>45803</v>
      </c>
      <c r="B1292" t="str">
        <f>TRIM(Procurement_Raw!B1292)</f>
        <v>S008</v>
      </c>
      <c r="C1292" t="str">
        <f>Procurement_Raw!C1292</f>
        <v>Leicester Care &amp; Education Centre</v>
      </c>
      <c r="D1292" t="str">
        <f>Procurement_Raw!D1292</f>
        <v>Midlands</v>
      </c>
      <c r="E1292" t="str">
        <f>IF(TRIM(Procurement_Raw!E1292)="","",IFERROR(INDEX(Supplier_Lookup!$A$2:$A$25,MATCH(TRIM(Procurement_Raw!E1292),Supplier_Lookup!$A$2:$A$25,0)),TRIM(Procurement_Raw!E1292)))</f>
        <v>CareTemps</v>
      </c>
      <c r="F1292" t="str">
        <f>IFERROR(INDEX(Category_Targets!$A$2:$A$9,MATCH(TRIM(Procurement_Raw!F1292),Category_Targets!$A$2:$A$9,0)),"Unmapped")</f>
        <v>Agency Labour</v>
      </c>
      <c r="G1292" t="str">
        <f>TRIM(Procurement_Raw!G1292)</f>
        <v>INV-2025-01291</v>
      </c>
      <c r="H1292" s="77">
        <f>Procurement_Raw!H1292</f>
        <v>20</v>
      </c>
      <c r="I1292" s="124">
        <f>Procurement_Raw!I1292</f>
        <v>371.48</v>
      </c>
      <c r="J1292" s="125">
        <f>IF(Procurement_Raw!J1292="","",Procurement_Raw!J1292)</f>
        <v>7429.64</v>
      </c>
      <c r="K1292" s="77">
        <f>Procurement_Raw!K1292</f>
        <v>30</v>
      </c>
      <c r="L1292" t="str">
        <f>Procurement_Raw!L1292</f>
        <v>Procurement Portal</v>
      </c>
      <c r="M1292" t="str">
        <f>Procurement_Raw!O1292</f>
        <v>N</v>
      </c>
      <c r="N1292" t="str">
        <f>IF(E1292="","Missing supplier",IF(B1292="","Missing site",IF(J1292="","Missing spend",IF(COUNTIFS($G$2:G1292,G1292,$E$2:E1292,E1292,$J$2:J1292,J1292)&gt;1,"Duplicate invoice",IF(COUNTIF($G$2:$G$1801,G1292)&gt;1,"Duplicate ID - review",IF(AND(P1292&lt;&gt;"Unmapped",P1292&lt;&gt;F1292),"Category mismatch","OK"))))))</f>
        <v>OK</v>
      </c>
      <c r="O1292" s="125">
        <f t="shared" si="60"/>
        <v>7429.64</v>
      </c>
      <c r="P1292" t="str">
        <f>IF(E1292="","Unmapped",IFERROR(INDEX(Supplier_Lookup!$B$2:$B$25,MATCH(E1292,Supplier_Lookup!$A$2:$A$25,0)),"Unmapped"))</f>
        <v>Agency Labour</v>
      </c>
      <c r="Q1292" s="76">
        <f>IFERROR(INDEX(Category_Targets!$B$2:$B$9,MATCH(F1292,Category_Targets!$A$2:$A$9,0)),0)</f>
        <v>7.0000000000000007E-2</v>
      </c>
      <c r="R1292" s="125">
        <f t="shared" si="61"/>
        <v>520.0748000000001</v>
      </c>
      <c r="S1292" s="78">
        <f t="shared" si="62"/>
        <v>45778</v>
      </c>
      <c r="T1292" t="str">
        <f>IFERROR(VLOOKUP(B1292,Sites!$A$2:$D$21,4,FALSE()),"Unknown")</f>
        <v>Leicester</v>
      </c>
      <c r="U1292" t="str">
        <f>IF(N1292="OK","",COUNTIF($N$2:N1292,"&lt;&gt;OK"))</f>
        <v/>
      </c>
      <c r="V1292">
        <f>IF(OR(NOT(EXACT(E1292,TRIM(Procurement_Raw!E1292))),NOT(EXACT(F1292,TRIM(Procurement_Raw!F1292)))),1,0)</f>
        <v>0</v>
      </c>
    </row>
    <row r="1293" spans="1:22" ht="15" customHeight="1" x14ac:dyDescent="0.25">
      <c r="A1293" s="123">
        <f>Procurement_Raw!A1293</f>
        <v>45816</v>
      </c>
      <c r="B1293" t="str">
        <f>TRIM(Procurement_Raw!B1293)</f>
        <v>S001</v>
      </c>
      <c r="C1293" t="str">
        <f>Procurement_Raw!C1293</f>
        <v>Preston Care &amp; Education Centre</v>
      </c>
      <c r="D1293" t="str">
        <f>Procurement_Raw!D1293</f>
        <v>North</v>
      </c>
      <c r="E1293" t="str">
        <f>IF(TRIM(Procurement_Raw!E1293)="","",IFERROR(INDEX(Supplier_Lookup!$A$2:$A$25,MATCH(TRIM(Procurement_Raw!E1293),Supplier_Lookup!$A$2:$A$25,0)),TRIM(Procurement_Raw!E1293)))</f>
        <v>NurseLink</v>
      </c>
      <c r="F1293" t="str">
        <f>IFERROR(INDEX(Category_Targets!$A$2:$A$9,MATCH(TRIM(Procurement_Raw!F1293),Category_Targets!$A$2:$A$9,0)),"Unmapped")</f>
        <v>Agency Labour</v>
      </c>
      <c r="G1293" t="str">
        <f>TRIM(Procurement_Raw!G1293)</f>
        <v>INV-2025-01292</v>
      </c>
      <c r="H1293" s="77">
        <f>Procurement_Raw!H1293</f>
        <v>78</v>
      </c>
      <c r="I1293" s="124">
        <f>Procurement_Raw!I1293</f>
        <v>1181.96</v>
      </c>
      <c r="J1293" s="125">
        <f>IF(Procurement_Raw!J1293="","",Procurement_Raw!J1293)</f>
        <v>92193.14</v>
      </c>
      <c r="K1293" s="77">
        <f>Procurement_Raw!K1293</f>
        <v>30</v>
      </c>
      <c r="L1293" t="str">
        <f>Procurement_Raw!L1293</f>
        <v>Procurement Portal</v>
      </c>
      <c r="M1293" t="str">
        <f>Procurement_Raw!O1293</f>
        <v>N</v>
      </c>
      <c r="N1293" t="str">
        <f>IF(E1293="","Missing supplier",IF(B1293="","Missing site",IF(J1293="","Missing spend",IF(COUNTIFS($G$2:G1293,G1293,$E$2:E1293,E1293,$J$2:J1293,J1293)&gt;1,"Duplicate invoice",IF(COUNTIF($G$2:$G$1801,G1293)&gt;1,"Duplicate ID - review",IF(AND(P1293&lt;&gt;"Unmapped",P1293&lt;&gt;F1293),"Category mismatch","OK"))))))</f>
        <v>OK</v>
      </c>
      <c r="O1293" s="125">
        <f t="shared" si="60"/>
        <v>92193.14</v>
      </c>
      <c r="P1293" t="str">
        <f>IF(E1293="","Unmapped",IFERROR(INDEX(Supplier_Lookup!$B$2:$B$25,MATCH(E1293,Supplier_Lookup!$A$2:$A$25,0)),"Unmapped"))</f>
        <v>Agency Labour</v>
      </c>
      <c r="Q1293" s="76">
        <f>IFERROR(INDEX(Category_Targets!$B$2:$B$9,MATCH(F1293,Category_Targets!$A$2:$A$9,0)),0)</f>
        <v>7.0000000000000007E-2</v>
      </c>
      <c r="R1293" s="125">
        <f t="shared" si="61"/>
        <v>6453.5198000000009</v>
      </c>
      <c r="S1293" s="78">
        <f t="shared" si="62"/>
        <v>45809</v>
      </c>
      <c r="T1293" t="str">
        <f>IFERROR(VLOOKUP(B1293,Sites!$A$2:$D$21,4,FALSE()),"Unknown")</f>
        <v>Preston</v>
      </c>
      <c r="U1293" t="str">
        <f>IF(N1293="OK","",COUNTIF($N$2:N1293,"&lt;&gt;OK"))</f>
        <v/>
      </c>
      <c r="V1293">
        <f>IF(OR(NOT(EXACT(E1293,TRIM(Procurement_Raw!E1293))),NOT(EXACT(F1293,TRIM(Procurement_Raw!F1293)))),1,0)</f>
        <v>0</v>
      </c>
    </row>
    <row r="1294" spans="1:22" ht="15" customHeight="1" x14ac:dyDescent="0.25">
      <c r="A1294" s="123">
        <f>Procurement_Raw!A1294</f>
        <v>45920</v>
      </c>
      <c r="B1294" t="str">
        <f>TRIM(Procurement_Raw!B1294)</f>
        <v>S012</v>
      </c>
      <c r="C1294" t="str">
        <f>Procurement_Raw!C1294</f>
        <v>Bristol Care &amp; Education Centre</v>
      </c>
      <c r="D1294" t="str">
        <f>Procurement_Raw!D1294</f>
        <v>South</v>
      </c>
      <c r="E1294" t="str">
        <f>IF(TRIM(Procurement_Raw!E1294)="","",IFERROR(INDEX(Supplier_Lookup!$A$2:$A$25,MATCH(TRIM(Procurement_Raw!E1294),Supplier_Lookup!$A$2:$A$25,0)),TRIM(Procurement_Raw!E1294)))</f>
        <v>NourishCo</v>
      </c>
      <c r="F1294" t="str">
        <f>IFERROR(INDEX(Category_Targets!$A$2:$A$9,MATCH(TRIM(Procurement_Raw!F1294),Category_Targets!$A$2:$A$9,0)),"Unmapped")</f>
        <v>Food &amp; Catering</v>
      </c>
      <c r="G1294" t="str">
        <f>TRIM(Procurement_Raw!G1294)</f>
        <v>INV-2025-01293</v>
      </c>
      <c r="H1294" s="77">
        <f>Procurement_Raw!H1294</f>
        <v>26</v>
      </c>
      <c r="I1294" s="124">
        <f>Procurement_Raw!I1294</f>
        <v>64.78</v>
      </c>
      <c r="J1294" s="125">
        <f>IF(Procurement_Raw!J1294="","",Procurement_Raw!J1294)</f>
        <v>1684.37</v>
      </c>
      <c r="K1294" s="77">
        <f>Procurement_Raw!K1294</f>
        <v>45</v>
      </c>
      <c r="L1294" t="str">
        <f>Procurement_Raw!L1294</f>
        <v>Procurement Portal</v>
      </c>
      <c r="M1294" t="str">
        <f>Procurement_Raw!O1294</f>
        <v>N</v>
      </c>
      <c r="N1294" t="str">
        <f>IF(E1294="","Missing supplier",IF(B1294="","Missing site",IF(J1294="","Missing spend",IF(COUNTIFS($G$2:G1294,G1294,$E$2:E1294,E1294,$J$2:J1294,J1294)&gt;1,"Duplicate invoice",IF(COUNTIF($G$2:$G$1801,G1294)&gt;1,"Duplicate ID - review",IF(AND(P1294&lt;&gt;"Unmapped",P1294&lt;&gt;F1294),"Category mismatch","OK"))))))</f>
        <v>OK</v>
      </c>
      <c r="O1294" s="125">
        <f t="shared" si="60"/>
        <v>1684.37</v>
      </c>
      <c r="P1294" t="str">
        <f>IF(E1294="","Unmapped",IFERROR(INDEX(Supplier_Lookup!$B$2:$B$25,MATCH(E1294,Supplier_Lookup!$A$2:$A$25,0)),"Unmapped"))</f>
        <v>Food &amp; Catering</v>
      </c>
      <c r="Q1294" s="76">
        <f>IFERROR(INDEX(Category_Targets!$B$2:$B$9,MATCH(F1294,Category_Targets!$A$2:$A$9,0)),0)</f>
        <v>0.04</v>
      </c>
      <c r="R1294" s="125">
        <f t="shared" si="61"/>
        <v>67.374799999999993</v>
      </c>
      <c r="S1294" s="78">
        <f t="shared" si="62"/>
        <v>45901</v>
      </c>
      <c r="T1294" t="str">
        <f>IFERROR(VLOOKUP(B1294,Sites!$A$2:$D$21,4,FALSE()),"Unknown")</f>
        <v>Bristol</v>
      </c>
      <c r="U1294" t="str">
        <f>IF(N1294="OK","",COUNTIF($N$2:N1294,"&lt;&gt;OK"))</f>
        <v/>
      </c>
      <c r="V1294">
        <f>IF(OR(NOT(EXACT(E1294,TRIM(Procurement_Raw!E1294))),NOT(EXACT(F1294,TRIM(Procurement_Raw!F1294)))),1,0)</f>
        <v>0</v>
      </c>
    </row>
    <row r="1295" spans="1:22" ht="15" customHeight="1" x14ac:dyDescent="0.25">
      <c r="A1295" s="123">
        <f>Procurement_Raw!A1295</f>
        <v>45946</v>
      </c>
      <c r="B1295" t="str">
        <f>TRIM(Procurement_Raw!B1295)</f>
        <v>S010</v>
      </c>
      <c r="C1295" t="str">
        <f>Procurement_Raw!C1295</f>
        <v>Coventry Care &amp; Education Centre</v>
      </c>
      <c r="D1295" t="str">
        <f>Procurement_Raw!D1295</f>
        <v>Midlands</v>
      </c>
      <c r="E1295" t="str">
        <f>IF(TRIM(Procurement_Raw!E1295)="","",IFERROR(INDEX(Supplier_Lookup!$A$2:$A$25,MATCH(TRIM(Procurement_Raw!E1295),Supplier_Lookup!$A$2:$A$25,0)),TRIM(Procurement_Raw!E1295)))</f>
        <v>LearnWell</v>
      </c>
      <c r="F1295" t="str">
        <f>IFERROR(INDEX(Category_Targets!$A$2:$A$9,MATCH(TRIM(Procurement_Raw!F1295),Category_Targets!$A$2:$A$9,0)),"Unmapped")</f>
        <v>Office &amp; Training</v>
      </c>
      <c r="G1295" t="str">
        <f>TRIM(Procurement_Raw!G1295)</f>
        <v>INV-2025-01294</v>
      </c>
      <c r="H1295" s="77">
        <f>Procurement_Raw!H1295</f>
        <v>77</v>
      </c>
      <c r="I1295" s="124">
        <f>Procurement_Raw!I1295</f>
        <v>118.94</v>
      </c>
      <c r="J1295" s="125">
        <f>IF(Procurement_Raw!J1295="","",Procurement_Raw!J1295)</f>
        <v>9158.74</v>
      </c>
      <c r="K1295" s="77">
        <f>Procurement_Raw!K1295</f>
        <v>45</v>
      </c>
      <c r="L1295" t="str">
        <f>Procurement_Raw!L1295</f>
        <v>ERP</v>
      </c>
      <c r="M1295" t="str">
        <f>Procurement_Raw!O1295</f>
        <v>N</v>
      </c>
      <c r="N1295" t="str">
        <f>IF(E1295="","Missing supplier",IF(B1295="","Missing site",IF(J1295="","Missing spend",IF(COUNTIFS($G$2:G1295,G1295,$E$2:E1295,E1295,$J$2:J1295,J1295)&gt;1,"Duplicate invoice",IF(COUNTIF($G$2:$G$1801,G1295)&gt;1,"Duplicate ID - review",IF(AND(P1295&lt;&gt;"Unmapped",P1295&lt;&gt;F1295),"Category mismatch","OK"))))))</f>
        <v>OK</v>
      </c>
      <c r="O1295" s="125">
        <f t="shared" si="60"/>
        <v>9158.74</v>
      </c>
      <c r="P1295" t="str">
        <f>IF(E1295="","Unmapped",IFERROR(INDEX(Supplier_Lookup!$B$2:$B$25,MATCH(E1295,Supplier_Lookup!$A$2:$A$25,0)),"Unmapped"))</f>
        <v>Office &amp; Training</v>
      </c>
      <c r="Q1295" s="76">
        <f>IFERROR(INDEX(Category_Targets!$B$2:$B$9,MATCH(F1295,Category_Targets!$A$2:$A$9,0)),0)</f>
        <v>0.04</v>
      </c>
      <c r="R1295" s="125">
        <f t="shared" si="61"/>
        <v>366.34960000000001</v>
      </c>
      <c r="S1295" s="78">
        <f t="shared" si="62"/>
        <v>45931</v>
      </c>
      <c r="T1295" t="str">
        <f>IFERROR(VLOOKUP(B1295,Sites!$A$2:$D$21,4,FALSE()),"Unknown")</f>
        <v>Coventry</v>
      </c>
      <c r="U1295" t="str">
        <f>IF(N1295="OK","",COUNTIF($N$2:N1295,"&lt;&gt;OK"))</f>
        <v/>
      </c>
      <c r="V1295">
        <f>IF(OR(NOT(EXACT(E1295,TRIM(Procurement_Raw!E1295))),NOT(EXACT(F1295,TRIM(Procurement_Raw!F1295)))),1,0)</f>
        <v>0</v>
      </c>
    </row>
    <row r="1296" spans="1:22" ht="15" customHeight="1" x14ac:dyDescent="0.25">
      <c r="A1296" s="123">
        <f>Procurement_Raw!A1296</f>
        <v>45972</v>
      </c>
      <c r="B1296" t="str">
        <f>TRIM(Procurement_Raw!B1296)</f>
        <v>S011</v>
      </c>
      <c r="C1296" t="str">
        <f>Procurement_Raw!C1296</f>
        <v>London Care &amp; Education Centre</v>
      </c>
      <c r="D1296" t="str">
        <f>Procurement_Raw!D1296</f>
        <v>South</v>
      </c>
      <c r="E1296" t="str">
        <f>IF(TRIM(Procurement_Raw!E1296)="","",IFERROR(INDEX(Supplier_Lookup!$A$2:$A$25,MATCH(TRIM(Procurement_Raw!E1296),Supplier_Lookup!$A$2:$A$25,0)),TRIM(Procurement_Raw!E1296)))</f>
        <v>CareTemps</v>
      </c>
      <c r="F1296" t="str">
        <f>IFERROR(INDEX(Category_Targets!$A$2:$A$9,MATCH(TRIM(Procurement_Raw!F1296),Category_Targets!$A$2:$A$9,0)),"Unmapped")</f>
        <v>Agency Labour</v>
      </c>
      <c r="G1296" t="str">
        <f>TRIM(Procurement_Raw!G1296)</f>
        <v>INV-2025-01295</v>
      </c>
      <c r="H1296" s="77">
        <f>Procurement_Raw!H1296</f>
        <v>24</v>
      </c>
      <c r="I1296" s="124">
        <f>Procurement_Raw!I1296</f>
        <v>313.81</v>
      </c>
      <c r="J1296" s="125">
        <f>IF(Procurement_Raw!J1296="","",Procurement_Raw!J1296)</f>
        <v>7531.45</v>
      </c>
      <c r="K1296" s="77">
        <f>Procurement_Raw!K1296</f>
        <v>45</v>
      </c>
      <c r="L1296" t="str">
        <f>Procurement_Raw!L1296</f>
        <v>Legacy Spend File</v>
      </c>
      <c r="M1296" t="str">
        <f>Procurement_Raw!O1296</f>
        <v>N</v>
      </c>
      <c r="N1296" t="str">
        <f>IF(E1296="","Missing supplier",IF(B1296="","Missing site",IF(J1296="","Missing spend",IF(COUNTIFS($G$2:G1296,G1296,$E$2:E1296,E1296,$J$2:J1296,J1296)&gt;1,"Duplicate invoice",IF(COUNTIF($G$2:$G$1801,G1296)&gt;1,"Duplicate ID - review",IF(AND(P1296&lt;&gt;"Unmapped",P1296&lt;&gt;F1296),"Category mismatch","OK"))))))</f>
        <v>OK</v>
      </c>
      <c r="O1296" s="125">
        <f t="shared" si="60"/>
        <v>7531.45</v>
      </c>
      <c r="P1296" t="str">
        <f>IF(E1296="","Unmapped",IFERROR(INDEX(Supplier_Lookup!$B$2:$B$25,MATCH(E1296,Supplier_Lookup!$A$2:$A$25,0)),"Unmapped"))</f>
        <v>Agency Labour</v>
      </c>
      <c r="Q1296" s="76">
        <f>IFERROR(INDEX(Category_Targets!$B$2:$B$9,MATCH(F1296,Category_Targets!$A$2:$A$9,0)),0)</f>
        <v>7.0000000000000007E-2</v>
      </c>
      <c r="R1296" s="125">
        <f t="shared" si="61"/>
        <v>527.20150000000001</v>
      </c>
      <c r="S1296" s="78">
        <f t="shared" si="62"/>
        <v>45962</v>
      </c>
      <c r="T1296" t="str">
        <f>IFERROR(VLOOKUP(B1296,Sites!$A$2:$D$21,4,FALSE()),"Unknown")</f>
        <v>London</v>
      </c>
      <c r="U1296" t="str">
        <f>IF(N1296="OK","",COUNTIF($N$2:N1296,"&lt;&gt;OK"))</f>
        <v/>
      </c>
      <c r="V1296">
        <f>IF(OR(NOT(EXACT(E1296,TRIM(Procurement_Raw!E1296))),NOT(EXACT(F1296,TRIM(Procurement_Raw!F1296)))),1,0)</f>
        <v>0</v>
      </c>
    </row>
    <row r="1297" spans="1:22" ht="15" customHeight="1" x14ac:dyDescent="0.25">
      <c r="A1297" s="123">
        <f>Procurement_Raw!A1297</f>
        <v>45920</v>
      </c>
      <c r="B1297" t="str">
        <f>TRIM(Procurement_Raw!B1297)</f>
        <v>S014</v>
      </c>
      <c r="C1297" t="str">
        <f>Procurement_Raw!C1297</f>
        <v>Southampton Care &amp; Education Centre</v>
      </c>
      <c r="D1297" t="str">
        <f>Procurement_Raw!D1297</f>
        <v>South</v>
      </c>
      <c r="E1297" t="str">
        <f>IF(TRIM(Procurement_Raw!E1297)="","",IFERROR(INDEX(Supplier_Lookup!$A$2:$A$25,MATCH(TRIM(Procurement_Raw!E1297),Supplier_Lookup!$A$2:$A$25,0)),TRIM(Procurement_Raw!E1297)))</f>
        <v>FreshServe</v>
      </c>
      <c r="F1297" t="str">
        <f>IFERROR(INDEX(Category_Targets!$A$2:$A$9,MATCH(TRIM(Procurement_Raw!F1297),Category_Targets!$A$2:$A$9,0)),"Unmapped")</f>
        <v>Food &amp; Catering</v>
      </c>
      <c r="G1297" t="str">
        <f>TRIM(Procurement_Raw!G1297)</f>
        <v>INV-2025-01296</v>
      </c>
      <c r="H1297" s="77">
        <f>Procurement_Raw!H1297</f>
        <v>44</v>
      </c>
      <c r="I1297" s="124">
        <f>Procurement_Raw!I1297</f>
        <v>61.56</v>
      </c>
      <c r="J1297" s="125">
        <f>IF(Procurement_Raw!J1297="","",Procurement_Raw!J1297)</f>
        <v>2708.6</v>
      </c>
      <c r="K1297" s="77">
        <f>Procurement_Raw!K1297</f>
        <v>45</v>
      </c>
      <c r="L1297" t="str">
        <f>Procurement_Raw!L1297</f>
        <v>Legacy Spend File</v>
      </c>
      <c r="M1297" t="str">
        <f>Procurement_Raw!O1297</f>
        <v>Y</v>
      </c>
      <c r="N1297" t="str">
        <f>IF(E1297="","Missing supplier",IF(B1297="","Missing site",IF(J1297="","Missing spend",IF(COUNTIFS($G$2:G1297,G1297,$E$2:E1297,E1297,$J$2:J1297,J1297)&gt;1,"Duplicate invoice",IF(COUNTIF($G$2:$G$1801,G1297)&gt;1,"Duplicate ID - review",IF(AND(P1297&lt;&gt;"Unmapped",P1297&lt;&gt;F1297),"Category mismatch","OK"))))))</f>
        <v>OK</v>
      </c>
      <c r="O1297" s="125">
        <f t="shared" si="60"/>
        <v>2708.6</v>
      </c>
      <c r="P1297" t="str">
        <f>IF(E1297="","Unmapped",IFERROR(INDEX(Supplier_Lookup!$B$2:$B$25,MATCH(E1297,Supplier_Lookup!$A$2:$A$25,0)),"Unmapped"))</f>
        <v>Food &amp; Catering</v>
      </c>
      <c r="Q1297" s="76">
        <f>IFERROR(INDEX(Category_Targets!$B$2:$B$9,MATCH(F1297,Category_Targets!$A$2:$A$9,0)),0)</f>
        <v>0.04</v>
      </c>
      <c r="R1297" s="125">
        <f t="shared" si="61"/>
        <v>108.34399999999999</v>
      </c>
      <c r="S1297" s="78">
        <f t="shared" si="62"/>
        <v>45901</v>
      </c>
      <c r="T1297" t="str">
        <f>IFERROR(VLOOKUP(B1297,Sites!$A$2:$D$21,4,FALSE()),"Unknown")</f>
        <v>Southampton</v>
      </c>
      <c r="U1297" t="str">
        <f>IF(N1297="OK","",COUNTIF($N$2:N1297,"&lt;&gt;OK"))</f>
        <v/>
      </c>
      <c r="V1297">
        <f>IF(OR(NOT(EXACT(E1297,TRIM(Procurement_Raw!E1297))),NOT(EXACT(F1297,TRIM(Procurement_Raw!F1297)))),1,0)</f>
        <v>0</v>
      </c>
    </row>
    <row r="1298" spans="1:22" ht="15" customHeight="1" x14ac:dyDescent="0.25">
      <c r="A1298" s="123">
        <f>Procurement_Raw!A1298</f>
        <v>45927</v>
      </c>
      <c r="B1298" t="str">
        <f>TRIM(Procurement_Raw!B1298)</f>
        <v>S003</v>
      </c>
      <c r="C1298" t="str">
        <f>Procurement_Raw!C1298</f>
        <v>Leeds Care &amp; Education Centre</v>
      </c>
      <c r="D1298" t="str">
        <f>Procurement_Raw!D1298</f>
        <v>North</v>
      </c>
      <c r="E1298" t="str">
        <f>IF(TRIM(Procurement_Raw!E1298)="","",IFERROR(INDEX(Supplier_Lookup!$A$2:$A$25,MATCH(TRIM(Procurement_Raw!E1298),Supplier_Lookup!$A$2:$A$25,0)),TRIM(Procurement_Raw!E1298)))</f>
        <v>SafeGuard FM</v>
      </c>
      <c r="F1298" t="str">
        <f>IFERROR(INDEX(Category_Targets!$A$2:$A$9,MATCH(TRIM(Procurement_Raw!F1298),Category_Targets!$A$2:$A$9,0)),"Unmapped")</f>
        <v>Facilities</v>
      </c>
      <c r="G1298" t="str">
        <f>TRIM(Procurement_Raw!G1298)</f>
        <v>INV-2025-01297</v>
      </c>
      <c r="H1298" s="77">
        <f>Procurement_Raw!H1298</f>
        <v>68</v>
      </c>
      <c r="I1298" s="124">
        <f>Procurement_Raw!I1298</f>
        <v>298.39999999999998</v>
      </c>
      <c r="J1298" s="125">
        <f>IF(Procurement_Raw!J1298="","",Procurement_Raw!J1298)</f>
        <v>20291.490000000002</v>
      </c>
      <c r="K1298" s="77">
        <f>Procurement_Raw!K1298</f>
        <v>30</v>
      </c>
      <c r="L1298" t="str">
        <f>Procurement_Raw!L1298</f>
        <v>Procurement Portal</v>
      </c>
      <c r="M1298" t="str">
        <f>Procurement_Raw!O1298</f>
        <v>N</v>
      </c>
      <c r="N1298" t="str">
        <f>IF(E1298="","Missing supplier",IF(B1298="","Missing site",IF(J1298="","Missing spend",IF(COUNTIFS($G$2:G1298,G1298,$E$2:E1298,E1298,$J$2:J1298,J1298)&gt;1,"Duplicate invoice",IF(COUNTIF($G$2:$G$1801,G1298)&gt;1,"Duplicate ID - review",IF(AND(P1298&lt;&gt;"Unmapped",P1298&lt;&gt;F1298),"Category mismatch","OK"))))))</f>
        <v>OK</v>
      </c>
      <c r="O1298" s="125">
        <f t="shared" si="60"/>
        <v>20291.490000000002</v>
      </c>
      <c r="P1298" t="str">
        <f>IF(E1298="","Unmapped",IFERROR(INDEX(Supplier_Lookup!$B$2:$B$25,MATCH(E1298,Supplier_Lookup!$A$2:$A$25,0)),"Unmapped"))</f>
        <v>Facilities</v>
      </c>
      <c r="Q1298" s="76">
        <f>IFERROR(INDEX(Category_Targets!$B$2:$B$9,MATCH(F1298,Category_Targets!$A$2:$A$9,0)),0)</f>
        <v>0.05</v>
      </c>
      <c r="R1298" s="125">
        <f t="shared" si="61"/>
        <v>1014.5745000000002</v>
      </c>
      <c r="S1298" s="78">
        <f t="shared" si="62"/>
        <v>45901</v>
      </c>
      <c r="T1298" t="str">
        <f>IFERROR(VLOOKUP(B1298,Sites!$A$2:$D$21,4,FALSE()),"Unknown")</f>
        <v>Leeds</v>
      </c>
      <c r="U1298" t="str">
        <f>IF(N1298="OK","",COUNTIF($N$2:N1298,"&lt;&gt;OK"))</f>
        <v/>
      </c>
      <c r="V1298">
        <f>IF(OR(NOT(EXACT(E1298,TRIM(Procurement_Raw!E1298))),NOT(EXACT(F1298,TRIM(Procurement_Raw!F1298)))),1,0)</f>
        <v>0</v>
      </c>
    </row>
    <row r="1299" spans="1:22" ht="15" customHeight="1" x14ac:dyDescent="0.25">
      <c r="A1299" s="123">
        <f>Procurement_Raw!A1299</f>
        <v>45902</v>
      </c>
      <c r="B1299" t="str">
        <f>TRIM(Procurement_Raw!B1299)</f>
        <v>S014</v>
      </c>
      <c r="C1299" t="str">
        <f>Procurement_Raw!C1299</f>
        <v>Southampton Care &amp; Education Centre</v>
      </c>
      <c r="D1299" t="str">
        <f>Procurement_Raw!D1299</f>
        <v>South</v>
      </c>
      <c r="E1299" t="str">
        <f>IF(TRIM(Procurement_Raw!E1299)="","",IFERROR(INDEX(Supplier_Lookup!$A$2:$A$25,MATCH(TRIM(Procurement_Raw!E1299),Supplier_Lookup!$A$2:$A$25,0)),TRIM(Procurement_Raw!E1299)))</f>
        <v>HealthStaffing</v>
      </c>
      <c r="F1299" t="str">
        <f>IFERROR(INDEX(Category_Targets!$A$2:$A$9,MATCH(TRIM(Procurement_Raw!F1299),Category_Targets!$A$2:$A$9,0)),"Unmapped")</f>
        <v>Agency Labour</v>
      </c>
      <c r="G1299" t="str">
        <f>TRIM(Procurement_Raw!G1299)</f>
        <v>INV-2025-01298</v>
      </c>
      <c r="H1299" s="77">
        <f>Procurement_Raw!H1299</f>
        <v>39</v>
      </c>
      <c r="I1299" s="124">
        <f>Procurement_Raw!I1299</f>
        <v>255.73</v>
      </c>
      <c r="J1299" s="125">
        <f>IF(Procurement_Raw!J1299="","",Procurement_Raw!J1299)</f>
        <v>9973.56</v>
      </c>
      <c r="K1299" s="77">
        <f>Procurement_Raw!K1299</f>
        <v>30</v>
      </c>
      <c r="L1299" t="str">
        <f>Procurement_Raw!L1299</f>
        <v>ERP</v>
      </c>
      <c r="M1299" t="str">
        <f>Procurement_Raw!O1299</f>
        <v>N</v>
      </c>
      <c r="N1299" t="str">
        <f>IF(E1299="","Missing supplier",IF(B1299="","Missing site",IF(J1299="","Missing spend",IF(COUNTIFS($G$2:G1299,G1299,$E$2:E1299,E1299,$J$2:J1299,J1299)&gt;1,"Duplicate invoice",IF(COUNTIF($G$2:$G$1801,G1299)&gt;1,"Duplicate ID - review",IF(AND(P1299&lt;&gt;"Unmapped",P1299&lt;&gt;F1299),"Category mismatch","OK"))))))</f>
        <v>OK</v>
      </c>
      <c r="O1299" s="125">
        <f t="shared" si="60"/>
        <v>9973.56</v>
      </c>
      <c r="P1299" t="str">
        <f>IF(E1299="","Unmapped",IFERROR(INDEX(Supplier_Lookup!$B$2:$B$25,MATCH(E1299,Supplier_Lookup!$A$2:$A$25,0)),"Unmapped"))</f>
        <v>Agency Labour</v>
      </c>
      <c r="Q1299" s="76">
        <f>IFERROR(INDEX(Category_Targets!$B$2:$B$9,MATCH(F1299,Category_Targets!$A$2:$A$9,0)),0)</f>
        <v>7.0000000000000007E-2</v>
      </c>
      <c r="R1299" s="125">
        <f t="shared" si="61"/>
        <v>698.14920000000006</v>
      </c>
      <c r="S1299" s="78">
        <f t="shared" si="62"/>
        <v>45901</v>
      </c>
      <c r="T1299" t="str">
        <f>IFERROR(VLOOKUP(B1299,Sites!$A$2:$D$21,4,FALSE()),"Unknown")</f>
        <v>Southampton</v>
      </c>
      <c r="U1299" t="str">
        <f>IF(N1299="OK","",COUNTIF($N$2:N1299,"&lt;&gt;OK"))</f>
        <v/>
      </c>
      <c r="V1299">
        <f>IF(OR(NOT(EXACT(E1299,TRIM(Procurement_Raw!E1299))),NOT(EXACT(F1299,TRIM(Procurement_Raw!F1299)))),1,0)</f>
        <v>0</v>
      </c>
    </row>
    <row r="1300" spans="1:22" ht="15" customHeight="1" x14ac:dyDescent="0.25">
      <c r="A1300" s="123">
        <f>Procurement_Raw!A1300</f>
        <v>45925</v>
      </c>
      <c r="B1300" t="str">
        <f>TRIM(Procurement_Raw!B1300)</f>
        <v>S001</v>
      </c>
      <c r="C1300" t="str">
        <f>Procurement_Raw!C1300</f>
        <v>Preston Care &amp; Education Centre</v>
      </c>
      <c r="D1300" t="str">
        <f>Procurement_Raw!D1300</f>
        <v>North</v>
      </c>
      <c r="E1300" t="str">
        <f>IF(TRIM(Procurement_Raw!E1300)="","",IFERROR(INDEX(Supplier_Lookup!$A$2:$A$25,MATCH(TRIM(Procurement_Raw!E1300),Supplier_Lookup!$A$2:$A$25,0)),TRIM(Procurement_Raw!E1300)))</f>
        <v>CloudLink</v>
      </c>
      <c r="F1300" t="str">
        <f>IFERROR(INDEX(Category_Targets!$A$2:$A$9,MATCH(TRIM(Procurement_Raw!F1300),Category_Targets!$A$2:$A$9,0)),"Unmapped")</f>
        <v>IT &amp; Telecoms</v>
      </c>
      <c r="G1300" t="str">
        <f>TRIM(Procurement_Raw!G1300)</f>
        <v>INV-2025-01299</v>
      </c>
      <c r="H1300" s="77">
        <f>Procurement_Raw!H1300</f>
        <v>55</v>
      </c>
      <c r="I1300" s="124">
        <f>Procurement_Raw!I1300</f>
        <v>254.85</v>
      </c>
      <c r="J1300" s="125">
        <f>IF(Procurement_Raw!J1300="","",Procurement_Raw!J1300)</f>
        <v>14017</v>
      </c>
      <c r="K1300" s="77">
        <f>Procurement_Raw!K1300</f>
        <v>45</v>
      </c>
      <c r="L1300" t="str">
        <f>Procurement_Raw!L1300</f>
        <v>Legacy Spend File</v>
      </c>
      <c r="M1300" t="str">
        <f>Procurement_Raw!O1300</f>
        <v>Y</v>
      </c>
      <c r="N1300" t="str">
        <f>IF(E1300="","Missing supplier",IF(B1300="","Missing site",IF(J1300="","Missing spend",IF(COUNTIFS($G$2:G1300,G1300,$E$2:E1300,E1300,$J$2:J1300,J1300)&gt;1,"Duplicate invoice",IF(COUNTIF($G$2:$G$1801,G1300)&gt;1,"Duplicate ID - review",IF(AND(P1300&lt;&gt;"Unmapped",P1300&lt;&gt;F1300),"Category mismatch","OK"))))))</f>
        <v>OK</v>
      </c>
      <c r="O1300" s="125">
        <f t="shared" si="60"/>
        <v>14017</v>
      </c>
      <c r="P1300" t="str">
        <f>IF(E1300="","Unmapped",IFERROR(INDEX(Supplier_Lookup!$B$2:$B$25,MATCH(E1300,Supplier_Lookup!$A$2:$A$25,0)),"Unmapped"))</f>
        <v>IT &amp; Telecoms</v>
      </c>
      <c r="Q1300" s="76">
        <f>IFERROR(INDEX(Category_Targets!$B$2:$B$9,MATCH(F1300,Category_Targets!$A$2:$A$9,0)),0)</f>
        <v>0.08</v>
      </c>
      <c r="R1300" s="125">
        <f t="shared" si="61"/>
        <v>1121.3600000000001</v>
      </c>
      <c r="S1300" s="78">
        <f t="shared" si="62"/>
        <v>45901</v>
      </c>
      <c r="T1300" t="str">
        <f>IFERROR(VLOOKUP(B1300,Sites!$A$2:$D$21,4,FALSE()),"Unknown")</f>
        <v>Preston</v>
      </c>
      <c r="U1300" t="str">
        <f>IF(N1300="OK","",COUNTIF($N$2:N1300,"&lt;&gt;OK"))</f>
        <v/>
      </c>
      <c r="V1300">
        <f>IF(OR(NOT(EXACT(E1300,TRIM(Procurement_Raw!E1300))),NOT(EXACT(F1300,TRIM(Procurement_Raw!F1300)))),1,0)</f>
        <v>0</v>
      </c>
    </row>
    <row r="1301" spans="1:22" ht="15" customHeight="1" x14ac:dyDescent="0.25">
      <c r="A1301" s="123">
        <f>Procurement_Raw!A1301</f>
        <v>45920</v>
      </c>
      <c r="B1301" t="str">
        <f>TRIM(Procurement_Raw!B1301)</f>
        <v>S003</v>
      </c>
      <c r="C1301" t="str">
        <f>Procurement_Raw!C1301</f>
        <v>Leeds Care &amp; Education Centre</v>
      </c>
      <c r="D1301" t="str">
        <f>Procurement_Raw!D1301</f>
        <v>North</v>
      </c>
      <c r="E1301" t="str">
        <f>IF(TRIM(Procurement_Raw!E1301)="","",IFERROR(INDEX(Supplier_Lookup!$A$2:$A$25,MATCH(TRIM(Procurement_Raw!E1301),Supplier_Lookup!$A$2:$A$25,0)),TRIM(Procurement_Raw!E1301)))</f>
        <v>FreshServe</v>
      </c>
      <c r="F1301" t="str">
        <f>IFERROR(INDEX(Category_Targets!$A$2:$A$9,MATCH(TRIM(Procurement_Raw!F1301),Category_Targets!$A$2:$A$9,0)),"Unmapped")</f>
        <v>Food &amp; Catering</v>
      </c>
      <c r="G1301" t="str">
        <f>TRIM(Procurement_Raw!G1301)</f>
        <v>INV-2025-01300</v>
      </c>
      <c r="H1301" s="77">
        <f>Procurement_Raw!H1301</f>
        <v>14</v>
      </c>
      <c r="I1301" s="124">
        <f>Procurement_Raw!I1301</f>
        <v>77.58</v>
      </c>
      <c r="J1301" s="125">
        <f>IF(Procurement_Raw!J1301="","",Procurement_Raw!J1301)</f>
        <v>1086.1300000000001</v>
      </c>
      <c r="K1301" s="77">
        <f>Procurement_Raw!K1301</f>
        <v>60</v>
      </c>
      <c r="L1301" t="str">
        <f>Procurement_Raw!L1301</f>
        <v>Procurement Portal</v>
      </c>
      <c r="M1301" t="str">
        <f>Procurement_Raw!O1301</f>
        <v>Y</v>
      </c>
      <c r="N1301" t="str">
        <f>IF(E1301="","Missing supplier",IF(B1301="","Missing site",IF(J1301="","Missing spend",IF(COUNTIFS($G$2:G1301,G1301,$E$2:E1301,E1301,$J$2:J1301,J1301)&gt;1,"Duplicate invoice",IF(COUNTIF($G$2:$G$1801,G1301)&gt;1,"Duplicate ID - review",IF(AND(P1301&lt;&gt;"Unmapped",P1301&lt;&gt;F1301),"Category mismatch","OK"))))))</f>
        <v>OK</v>
      </c>
      <c r="O1301" s="125">
        <f t="shared" si="60"/>
        <v>1086.1300000000001</v>
      </c>
      <c r="P1301" t="str">
        <f>IF(E1301="","Unmapped",IFERROR(INDEX(Supplier_Lookup!$B$2:$B$25,MATCH(E1301,Supplier_Lookup!$A$2:$A$25,0)),"Unmapped"))</f>
        <v>Food &amp; Catering</v>
      </c>
      <c r="Q1301" s="76">
        <f>IFERROR(INDEX(Category_Targets!$B$2:$B$9,MATCH(F1301,Category_Targets!$A$2:$A$9,0)),0)</f>
        <v>0.04</v>
      </c>
      <c r="R1301" s="125">
        <f t="shared" si="61"/>
        <v>43.445200000000007</v>
      </c>
      <c r="S1301" s="78">
        <f t="shared" si="62"/>
        <v>45901</v>
      </c>
      <c r="T1301" t="str">
        <f>IFERROR(VLOOKUP(B1301,Sites!$A$2:$D$21,4,FALSE()),"Unknown")</f>
        <v>Leeds</v>
      </c>
      <c r="U1301" t="str">
        <f>IF(N1301="OK","",COUNTIF($N$2:N1301,"&lt;&gt;OK"))</f>
        <v/>
      </c>
      <c r="V1301">
        <f>IF(OR(NOT(EXACT(E1301,TRIM(Procurement_Raw!E1301))),NOT(EXACT(F1301,TRIM(Procurement_Raw!F1301)))),1,0)</f>
        <v>0</v>
      </c>
    </row>
    <row r="1302" spans="1:22" ht="15" customHeight="1" x14ac:dyDescent="0.25">
      <c r="A1302" s="123">
        <f>Procurement_Raw!A1302</f>
        <v>45996</v>
      </c>
      <c r="B1302" t="str">
        <f>TRIM(Procurement_Raw!B1302)</f>
        <v>S013</v>
      </c>
      <c r="C1302" t="str">
        <f>Procurement_Raw!C1302</f>
        <v>Reading Care &amp; Education Centre</v>
      </c>
      <c r="D1302" t="str">
        <f>Procurement_Raw!D1302</f>
        <v>South</v>
      </c>
      <c r="E1302" t="str">
        <f>IF(TRIM(Procurement_Raw!E1302)="","",IFERROR(INDEX(Supplier_Lookup!$A$2:$A$25,MATCH(TRIM(Procurement_Raw!E1302),Supplier_Lookup!$A$2:$A$25,0)),TRIM(Procurement_Raw!E1302)))</f>
        <v>NourishCo</v>
      </c>
      <c r="F1302" t="str">
        <f>IFERROR(INDEX(Category_Targets!$A$2:$A$9,MATCH(TRIM(Procurement_Raw!F1302),Category_Targets!$A$2:$A$9,0)),"Unmapped")</f>
        <v>Food &amp; Catering</v>
      </c>
      <c r="G1302" t="str">
        <f>TRIM(Procurement_Raw!G1302)</f>
        <v>INV-2025-01301</v>
      </c>
      <c r="H1302" s="77">
        <f>Procurement_Raw!H1302</f>
        <v>73</v>
      </c>
      <c r="I1302" s="124">
        <f>Procurement_Raw!I1302</f>
        <v>45.01</v>
      </c>
      <c r="J1302" s="125">
        <f>IF(Procurement_Raw!J1302="","",Procurement_Raw!J1302)</f>
        <v>3285.9</v>
      </c>
      <c r="K1302" s="77">
        <f>Procurement_Raw!K1302</f>
        <v>45</v>
      </c>
      <c r="L1302" t="str">
        <f>Procurement_Raw!L1302</f>
        <v>Procurement Portal</v>
      </c>
      <c r="M1302" t="str">
        <f>Procurement_Raw!O1302</f>
        <v>N</v>
      </c>
      <c r="N1302" t="str">
        <f>IF(E1302="","Missing supplier",IF(B1302="","Missing site",IF(J1302="","Missing spend",IF(COUNTIFS($G$2:G1302,G1302,$E$2:E1302,E1302,$J$2:J1302,J1302)&gt;1,"Duplicate invoice",IF(COUNTIF($G$2:$G$1801,G1302)&gt;1,"Duplicate ID - review",IF(AND(P1302&lt;&gt;"Unmapped",P1302&lt;&gt;F1302),"Category mismatch","OK"))))))</f>
        <v>OK</v>
      </c>
      <c r="O1302" s="125">
        <f t="shared" si="60"/>
        <v>3285.9</v>
      </c>
      <c r="P1302" t="str">
        <f>IF(E1302="","Unmapped",IFERROR(INDEX(Supplier_Lookup!$B$2:$B$25,MATCH(E1302,Supplier_Lookup!$A$2:$A$25,0)),"Unmapped"))</f>
        <v>Food &amp; Catering</v>
      </c>
      <c r="Q1302" s="76">
        <f>IFERROR(INDEX(Category_Targets!$B$2:$B$9,MATCH(F1302,Category_Targets!$A$2:$A$9,0)),0)</f>
        <v>0.04</v>
      </c>
      <c r="R1302" s="125">
        <f t="shared" si="61"/>
        <v>131.43600000000001</v>
      </c>
      <c r="S1302" s="78">
        <f t="shared" si="62"/>
        <v>45992</v>
      </c>
      <c r="T1302" t="str">
        <f>IFERROR(VLOOKUP(B1302,Sites!$A$2:$D$21,4,FALSE()),"Unknown")</f>
        <v>Reading</v>
      </c>
      <c r="U1302" t="str">
        <f>IF(N1302="OK","",COUNTIF($N$2:N1302,"&lt;&gt;OK"))</f>
        <v/>
      </c>
      <c r="V1302">
        <f>IF(OR(NOT(EXACT(E1302,TRIM(Procurement_Raw!E1302))),NOT(EXACT(F1302,TRIM(Procurement_Raw!F1302)))),1,0)</f>
        <v>0</v>
      </c>
    </row>
    <row r="1303" spans="1:22" ht="15" customHeight="1" x14ac:dyDescent="0.25">
      <c r="A1303" s="123">
        <f>Procurement_Raw!A1303</f>
        <v>45666</v>
      </c>
      <c r="B1303" t="str">
        <f>TRIM(Procurement_Raw!B1303)</f>
        <v>S006</v>
      </c>
      <c r="C1303" t="str">
        <f>Procurement_Raw!C1303</f>
        <v>Birmingham Care &amp; Education Centre</v>
      </c>
      <c r="D1303" t="str">
        <f>Procurement_Raw!D1303</f>
        <v>Midlands</v>
      </c>
      <c r="E1303" t="str">
        <f>IF(TRIM(Procurement_Raw!E1303)="","",IFERROR(INDEX(Supplier_Lookup!$A$2:$A$25,MATCH(TRIM(Procurement_Raw!E1303),Supplier_Lookup!$A$2:$A$25,0)),TRIM(Procurement_Raw!E1303)))</f>
        <v>KitchenPro</v>
      </c>
      <c r="F1303" t="str">
        <f>IFERROR(INDEX(Category_Targets!$A$2:$A$9,MATCH(TRIM(Procurement_Raw!F1303),Category_Targets!$A$2:$A$9,0)),"Unmapped")</f>
        <v>Food &amp; Catering</v>
      </c>
      <c r="G1303" t="str">
        <f>TRIM(Procurement_Raw!G1303)</f>
        <v>INV-2025-01302</v>
      </c>
      <c r="H1303" s="77">
        <f>Procurement_Raw!H1303</f>
        <v>15</v>
      </c>
      <c r="I1303" s="124">
        <f>Procurement_Raw!I1303</f>
        <v>112.17</v>
      </c>
      <c r="J1303" s="125">
        <f>IF(Procurement_Raw!J1303="","",Procurement_Raw!J1303)</f>
        <v>1682.54</v>
      </c>
      <c r="K1303" s="77">
        <f>Procurement_Raw!K1303</f>
        <v>60</v>
      </c>
      <c r="L1303" t="str">
        <f>Procurement_Raw!L1303</f>
        <v>Legacy Spend File</v>
      </c>
      <c r="M1303" t="str">
        <f>Procurement_Raw!O1303</f>
        <v>N</v>
      </c>
      <c r="N1303" t="str">
        <f>IF(E1303="","Missing supplier",IF(B1303="","Missing site",IF(J1303="","Missing spend",IF(COUNTIFS($G$2:G1303,G1303,$E$2:E1303,E1303,$J$2:J1303,J1303)&gt;1,"Duplicate invoice",IF(COUNTIF($G$2:$G$1801,G1303)&gt;1,"Duplicate ID - review",IF(AND(P1303&lt;&gt;"Unmapped",P1303&lt;&gt;F1303),"Category mismatch","OK"))))))</f>
        <v>OK</v>
      </c>
      <c r="O1303" s="125">
        <f t="shared" si="60"/>
        <v>1682.54</v>
      </c>
      <c r="P1303" t="str">
        <f>IF(E1303="","Unmapped",IFERROR(INDEX(Supplier_Lookup!$B$2:$B$25,MATCH(E1303,Supplier_Lookup!$A$2:$A$25,0)),"Unmapped"))</f>
        <v>Food &amp; Catering</v>
      </c>
      <c r="Q1303" s="76">
        <f>IFERROR(INDEX(Category_Targets!$B$2:$B$9,MATCH(F1303,Category_Targets!$A$2:$A$9,0)),0)</f>
        <v>0.04</v>
      </c>
      <c r="R1303" s="125">
        <f t="shared" si="61"/>
        <v>67.301599999999993</v>
      </c>
      <c r="S1303" s="78">
        <f t="shared" si="62"/>
        <v>45658</v>
      </c>
      <c r="T1303" t="str">
        <f>IFERROR(VLOOKUP(B1303,Sites!$A$2:$D$21,4,FALSE()),"Unknown")</f>
        <v>Birmingham</v>
      </c>
      <c r="U1303" t="str">
        <f>IF(N1303="OK","",COUNTIF($N$2:N1303,"&lt;&gt;OK"))</f>
        <v/>
      </c>
      <c r="V1303">
        <f>IF(OR(NOT(EXACT(E1303,TRIM(Procurement_Raw!E1303))),NOT(EXACT(F1303,TRIM(Procurement_Raw!F1303)))),1,0)</f>
        <v>0</v>
      </c>
    </row>
    <row r="1304" spans="1:22" ht="15" customHeight="1" x14ac:dyDescent="0.25">
      <c r="A1304" s="123">
        <f>Procurement_Raw!A1304</f>
        <v>45859</v>
      </c>
      <c r="B1304" t="str">
        <f>TRIM(Procurement_Raw!B1304)</f>
        <v>S018</v>
      </c>
      <c r="C1304" t="str">
        <f>Procurement_Raw!C1304</f>
        <v>Newport Care &amp; Education Centre</v>
      </c>
      <c r="D1304" t="str">
        <f>Procurement_Raw!D1304</f>
        <v>Wales</v>
      </c>
      <c r="E1304" t="str">
        <f>IF(TRIM(Procurement_Raw!E1304)="","",IFERROR(INDEX(Supplier_Lookup!$A$2:$A$25,MATCH(TRIM(Procurement_Raw!E1304),Supplier_Lookup!$A$2:$A$25,0)),TRIM(Procurement_Raw!E1304)))</f>
        <v>CleanWorks</v>
      </c>
      <c r="F1304" t="str">
        <f>IFERROR(INDEX(Category_Targets!$A$2:$A$9,MATCH(TRIM(Procurement_Raw!F1304),Category_Targets!$A$2:$A$9,0)),"Unmapped")</f>
        <v>Facilities</v>
      </c>
      <c r="G1304" t="str">
        <f>TRIM(Procurement_Raw!G1304)</f>
        <v>INV-2025-01303</v>
      </c>
      <c r="H1304" s="77">
        <f>Procurement_Raw!H1304</f>
        <v>6</v>
      </c>
      <c r="I1304" s="124">
        <f>Procurement_Raw!I1304</f>
        <v>163.49</v>
      </c>
      <c r="J1304" s="125">
        <f>IF(Procurement_Raw!J1304="","",Procurement_Raw!J1304)</f>
        <v>980.92</v>
      </c>
      <c r="K1304" s="77">
        <f>Procurement_Raw!K1304</f>
        <v>30</v>
      </c>
      <c r="L1304" t="str">
        <f>Procurement_Raw!L1304</f>
        <v>Procurement Portal</v>
      </c>
      <c r="M1304" t="str">
        <f>Procurement_Raw!O1304</f>
        <v>Y</v>
      </c>
      <c r="N1304" t="str">
        <f>IF(E1304="","Missing supplier",IF(B1304="","Missing site",IF(J1304="","Missing spend",IF(COUNTIFS($G$2:G1304,G1304,$E$2:E1304,E1304,$J$2:J1304,J1304)&gt;1,"Duplicate invoice",IF(COUNTIF($G$2:$G$1801,G1304)&gt;1,"Duplicate ID - review",IF(AND(P1304&lt;&gt;"Unmapped",P1304&lt;&gt;F1304),"Category mismatch","OK"))))))</f>
        <v>OK</v>
      </c>
      <c r="O1304" s="125">
        <f t="shared" si="60"/>
        <v>980.92</v>
      </c>
      <c r="P1304" t="str">
        <f>IF(E1304="","Unmapped",IFERROR(INDEX(Supplier_Lookup!$B$2:$B$25,MATCH(E1304,Supplier_Lookup!$A$2:$A$25,0)),"Unmapped"))</f>
        <v>Facilities</v>
      </c>
      <c r="Q1304" s="76">
        <f>IFERROR(INDEX(Category_Targets!$B$2:$B$9,MATCH(F1304,Category_Targets!$A$2:$A$9,0)),0)</f>
        <v>0.05</v>
      </c>
      <c r="R1304" s="125">
        <f t="shared" si="61"/>
        <v>49.045999999999999</v>
      </c>
      <c r="S1304" s="78">
        <f t="shared" si="62"/>
        <v>45839</v>
      </c>
      <c r="T1304" t="str">
        <f>IFERROR(VLOOKUP(B1304,Sites!$A$2:$D$21,4,FALSE()),"Unknown")</f>
        <v>Newport</v>
      </c>
      <c r="U1304" t="str">
        <f>IF(N1304="OK","",COUNTIF($N$2:N1304,"&lt;&gt;OK"))</f>
        <v/>
      </c>
      <c r="V1304">
        <f>IF(OR(NOT(EXACT(E1304,TRIM(Procurement_Raw!E1304))),NOT(EXACT(F1304,TRIM(Procurement_Raw!F1304)))),1,0)</f>
        <v>0</v>
      </c>
    </row>
    <row r="1305" spans="1:22" ht="15" customHeight="1" x14ac:dyDescent="0.25">
      <c r="A1305" s="123">
        <f>Procurement_Raw!A1305</f>
        <v>45958</v>
      </c>
      <c r="B1305" t="str">
        <f>TRIM(Procurement_Raw!B1305)</f>
        <v>S010</v>
      </c>
      <c r="C1305" t="str">
        <f>Procurement_Raw!C1305</f>
        <v>Coventry Care &amp; Education Centre</v>
      </c>
      <c r="D1305" t="str">
        <f>Procurement_Raw!D1305</f>
        <v>Midlands</v>
      </c>
      <c r="E1305" t="str">
        <f>IF(TRIM(Procurement_Raw!E1305)="","",IFERROR(INDEX(Supplier_Lookup!$A$2:$A$25,MATCH(TRIM(Procurement_Raw!E1305),Supplier_Lookup!$A$2:$A$25,0)),TRIM(Procurement_Raw!E1305)))</f>
        <v>TeleCare IT</v>
      </c>
      <c r="F1305" t="str">
        <f>IFERROR(INDEX(Category_Targets!$A$2:$A$9,MATCH(TRIM(Procurement_Raw!F1305),Category_Targets!$A$2:$A$9,0)),"Unmapped")</f>
        <v>IT &amp; Telecoms</v>
      </c>
      <c r="G1305" t="str">
        <f>TRIM(Procurement_Raw!G1305)</f>
        <v>INV-2025-01304</v>
      </c>
      <c r="H1305" s="77">
        <f>Procurement_Raw!H1305</f>
        <v>59</v>
      </c>
      <c r="I1305" s="124">
        <f>Procurement_Raw!I1305</f>
        <v>145.18</v>
      </c>
      <c r="J1305" s="125">
        <f>IF(Procurement_Raw!J1305="","",Procurement_Raw!J1305)</f>
        <v>8565.56</v>
      </c>
      <c r="K1305" s="77">
        <f>Procurement_Raw!K1305</f>
        <v>60</v>
      </c>
      <c r="L1305" t="str">
        <f>Procurement_Raw!L1305</f>
        <v>Procurement Portal</v>
      </c>
      <c r="M1305" t="str">
        <f>Procurement_Raw!O1305</f>
        <v>N</v>
      </c>
      <c r="N1305" t="str">
        <f>IF(E1305="","Missing supplier",IF(B1305="","Missing site",IF(J1305="","Missing spend",IF(COUNTIFS($G$2:G1305,G1305,$E$2:E1305,E1305,$J$2:J1305,J1305)&gt;1,"Duplicate invoice",IF(COUNTIF($G$2:$G$1801,G1305)&gt;1,"Duplicate ID - review",IF(AND(P1305&lt;&gt;"Unmapped",P1305&lt;&gt;F1305),"Category mismatch","OK"))))))</f>
        <v>OK</v>
      </c>
      <c r="O1305" s="125">
        <f t="shared" si="60"/>
        <v>8565.56</v>
      </c>
      <c r="P1305" t="str">
        <f>IF(E1305="","Unmapped",IFERROR(INDEX(Supplier_Lookup!$B$2:$B$25,MATCH(E1305,Supplier_Lookup!$A$2:$A$25,0)),"Unmapped"))</f>
        <v>IT &amp; Telecoms</v>
      </c>
      <c r="Q1305" s="76">
        <f>IFERROR(INDEX(Category_Targets!$B$2:$B$9,MATCH(F1305,Category_Targets!$A$2:$A$9,0)),0)</f>
        <v>0.08</v>
      </c>
      <c r="R1305" s="125">
        <f t="shared" si="61"/>
        <v>685.24479999999994</v>
      </c>
      <c r="S1305" s="78">
        <f t="shared" si="62"/>
        <v>45931</v>
      </c>
      <c r="T1305" t="str">
        <f>IFERROR(VLOOKUP(B1305,Sites!$A$2:$D$21,4,FALSE()),"Unknown")</f>
        <v>Coventry</v>
      </c>
      <c r="U1305" t="str">
        <f>IF(N1305="OK","",COUNTIF($N$2:N1305,"&lt;&gt;OK"))</f>
        <v/>
      </c>
      <c r="V1305">
        <f>IF(OR(NOT(EXACT(E1305,TRIM(Procurement_Raw!E1305))),NOT(EXACT(F1305,TRIM(Procurement_Raw!F1305)))),1,0)</f>
        <v>0</v>
      </c>
    </row>
    <row r="1306" spans="1:22" ht="15" customHeight="1" x14ac:dyDescent="0.25">
      <c r="A1306" s="123">
        <f>Procurement_Raw!A1306</f>
        <v>45753</v>
      </c>
      <c r="B1306" t="str">
        <f>TRIM(Procurement_Raw!B1306)</f>
        <v>S001</v>
      </c>
      <c r="C1306" t="str">
        <f>Procurement_Raw!C1306</f>
        <v>Preston Care &amp; Education Centre</v>
      </c>
      <c r="D1306" t="str">
        <f>Procurement_Raw!D1306</f>
        <v>North</v>
      </c>
      <c r="E1306" t="str">
        <f>IF(TRIM(Procurement_Raw!E1306)="","",IFERROR(INDEX(Supplier_Lookup!$A$2:$A$25,MATCH(TRIM(Procurement_Raw!E1306),Supplier_Lookup!$A$2:$A$25,0)),TRIM(Procurement_Raw!E1306)))</f>
        <v>TeleCare IT</v>
      </c>
      <c r="F1306" t="str">
        <f>IFERROR(INDEX(Category_Targets!$A$2:$A$9,MATCH(TRIM(Procurement_Raw!F1306),Category_Targets!$A$2:$A$9,0)),"Unmapped")</f>
        <v>IT &amp; Telecoms</v>
      </c>
      <c r="G1306" t="str">
        <f>TRIM(Procurement_Raw!G1306)</f>
        <v>INV-2025-01305</v>
      </c>
      <c r="H1306" s="77">
        <f>Procurement_Raw!H1306</f>
        <v>28</v>
      </c>
      <c r="I1306" s="124">
        <f>Procurement_Raw!I1306</f>
        <v>295.51</v>
      </c>
      <c r="J1306" s="125">
        <f>IF(Procurement_Raw!J1306="","",Procurement_Raw!J1306)</f>
        <v>8274.32</v>
      </c>
      <c r="K1306" s="77">
        <f>Procurement_Raw!K1306</f>
        <v>30</v>
      </c>
      <c r="L1306" t="str">
        <f>Procurement_Raw!L1306</f>
        <v>ERP</v>
      </c>
      <c r="M1306" t="str">
        <f>Procurement_Raw!O1306</f>
        <v>N</v>
      </c>
      <c r="N1306" t="str">
        <f>IF(E1306="","Missing supplier",IF(B1306="","Missing site",IF(J1306="","Missing spend",IF(COUNTIFS($G$2:G1306,G1306,$E$2:E1306,E1306,$J$2:J1306,J1306)&gt;1,"Duplicate invoice",IF(COUNTIF($G$2:$G$1801,G1306)&gt;1,"Duplicate ID - review",IF(AND(P1306&lt;&gt;"Unmapped",P1306&lt;&gt;F1306),"Category mismatch","OK"))))))</f>
        <v>OK</v>
      </c>
      <c r="O1306" s="125">
        <f t="shared" si="60"/>
        <v>8274.32</v>
      </c>
      <c r="P1306" t="str">
        <f>IF(E1306="","Unmapped",IFERROR(INDEX(Supplier_Lookup!$B$2:$B$25,MATCH(E1306,Supplier_Lookup!$A$2:$A$25,0)),"Unmapped"))</f>
        <v>IT &amp; Telecoms</v>
      </c>
      <c r="Q1306" s="76">
        <f>IFERROR(INDEX(Category_Targets!$B$2:$B$9,MATCH(F1306,Category_Targets!$A$2:$A$9,0)),0)</f>
        <v>0.08</v>
      </c>
      <c r="R1306" s="125">
        <f t="shared" si="61"/>
        <v>661.94560000000001</v>
      </c>
      <c r="S1306" s="78">
        <f t="shared" si="62"/>
        <v>45748</v>
      </c>
      <c r="T1306" t="str">
        <f>IFERROR(VLOOKUP(B1306,Sites!$A$2:$D$21,4,FALSE()),"Unknown")</f>
        <v>Preston</v>
      </c>
      <c r="U1306" t="str">
        <f>IF(N1306="OK","",COUNTIF($N$2:N1306,"&lt;&gt;OK"))</f>
        <v/>
      </c>
      <c r="V1306">
        <f>IF(OR(NOT(EXACT(E1306,TRIM(Procurement_Raw!E1306))),NOT(EXACT(F1306,TRIM(Procurement_Raw!F1306)))),1,0)</f>
        <v>0</v>
      </c>
    </row>
    <row r="1307" spans="1:22" ht="15" customHeight="1" x14ac:dyDescent="0.25">
      <c r="A1307" s="123">
        <f>Procurement_Raw!A1307</f>
        <v>45712</v>
      </c>
      <c r="B1307" t="str">
        <f>TRIM(Procurement_Raw!B1307)</f>
        <v>S020</v>
      </c>
      <c r="C1307" t="str">
        <f>Procurement_Raw!C1307</f>
        <v>Bangor Care &amp; Education Centre</v>
      </c>
      <c r="D1307" t="str">
        <f>Procurement_Raw!D1307</f>
        <v>Wales</v>
      </c>
      <c r="E1307" t="str">
        <f>IF(TRIM(Procurement_Raw!E1307)="","",IFERROR(INDEX(Supplier_Lookup!$A$2:$A$25,MATCH(TRIM(Procurement_Raw!E1307),Supplier_Lookup!$A$2:$A$25,0)),TRIM(Procurement_Raw!E1307)))</f>
        <v>NetServe</v>
      </c>
      <c r="F1307" t="str">
        <f>IFERROR(INDEX(Category_Targets!$A$2:$A$9,MATCH(TRIM(Procurement_Raw!F1307),Category_Targets!$A$2:$A$9,0)),"Unmapped")</f>
        <v>IT &amp; Telecoms</v>
      </c>
      <c r="G1307" t="str">
        <f>TRIM(Procurement_Raw!G1307)</f>
        <v>INV-2025-01306</v>
      </c>
      <c r="H1307" s="77">
        <f>Procurement_Raw!H1307</f>
        <v>56</v>
      </c>
      <c r="I1307" s="124">
        <f>Procurement_Raw!I1307</f>
        <v>134.22</v>
      </c>
      <c r="J1307" s="125">
        <f>IF(Procurement_Raw!J1307="","",Procurement_Raw!J1307)</f>
        <v>7516.24</v>
      </c>
      <c r="K1307" s="77">
        <f>Procurement_Raw!K1307</f>
        <v>60</v>
      </c>
      <c r="L1307" t="str">
        <f>Procurement_Raw!L1307</f>
        <v>ERP</v>
      </c>
      <c r="M1307" t="str">
        <f>Procurement_Raw!O1307</f>
        <v>N</v>
      </c>
      <c r="N1307" t="str">
        <f>IF(E1307="","Missing supplier",IF(B1307="","Missing site",IF(J1307="","Missing spend",IF(COUNTIFS($G$2:G1307,G1307,$E$2:E1307,E1307,$J$2:J1307,J1307)&gt;1,"Duplicate invoice",IF(COUNTIF($G$2:$G$1801,G1307)&gt;1,"Duplicate ID - review",IF(AND(P1307&lt;&gt;"Unmapped",P1307&lt;&gt;F1307),"Category mismatch","OK"))))))</f>
        <v>OK</v>
      </c>
      <c r="O1307" s="125">
        <f t="shared" si="60"/>
        <v>7516.24</v>
      </c>
      <c r="P1307" t="str">
        <f>IF(E1307="","Unmapped",IFERROR(INDEX(Supplier_Lookup!$B$2:$B$25,MATCH(E1307,Supplier_Lookup!$A$2:$A$25,0)),"Unmapped"))</f>
        <v>IT &amp; Telecoms</v>
      </c>
      <c r="Q1307" s="76">
        <f>IFERROR(INDEX(Category_Targets!$B$2:$B$9,MATCH(F1307,Category_Targets!$A$2:$A$9,0)),0)</f>
        <v>0.08</v>
      </c>
      <c r="R1307" s="125">
        <f t="shared" si="61"/>
        <v>601.29920000000004</v>
      </c>
      <c r="S1307" s="78">
        <f t="shared" si="62"/>
        <v>45689</v>
      </c>
      <c r="T1307" t="str">
        <f>IFERROR(VLOOKUP(B1307,Sites!$A$2:$D$21,4,FALSE()),"Unknown")</f>
        <v>Bangor</v>
      </c>
      <c r="U1307" t="str">
        <f>IF(N1307="OK","",COUNTIF($N$2:N1307,"&lt;&gt;OK"))</f>
        <v/>
      </c>
      <c r="V1307">
        <f>IF(OR(NOT(EXACT(E1307,TRIM(Procurement_Raw!E1307))),NOT(EXACT(F1307,TRIM(Procurement_Raw!F1307)))),1,0)</f>
        <v>0</v>
      </c>
    </row>
    <row r="1308" spans="1:22" ht="15" customHeight="1" x14ac:dyDescent="0.25">
      <c r="A1308" s="123">
        <f>Procurement_Raw!A1308</f>
        <v>45664</v>
      </c>
      <c r="B1308" t="str">
        <f>TRIM(Procurement_Raw!B1308)</f>
        <v>S012</v>
      </c>
      <c r="C1308" t="str">
        <f>Procurement_Raw!C1308</f>
        <v>Bristol Care &amp; Education Centre</v>
      </c>
      <c r="D1308" t="str">
        <f>Procurement_Raw!D1308</f>
        <v>South</v>
      </c>
      <c r="E1308" t="str">
        <f>IF(TRIM(Procurement_Raw!E1308)="","",IFERROR(INDEX(Supplier_Lookup!$A$2:$A$25,MATCH(TRIM(Procurement_Raw!E1308),Supplier_Lookup!$A$2:$A$25,0)),TRIM(Procurement_Raw!E1308)))</f>
        <v>HealthStaffing</v>
      </c>
      <c r="F1308" t="str">
        <f>IFERROR(INDEX(Category_Targets!$A$2:$A$9,MATCH(TRIM(Procurement_Raw!F1308),Category_Targets!$A$2:$A$9,0)),"Unmapped")</f>
        <v>Agency Labour</v>
      </c>
      <c r="G1308" t="str">
        <f>TRIM(Procurement_Raw!G1308)</f>
        <v>INV-2025-01307</v>
      </c>
      <c r="H1308" s="77">
        <f>Procurement_Raw!H1308</f>
        <v>22</v>
      </c>
      <c r="I1308" s="124">
        <f>Procurement_Raw!I1308</f>
        <v>304.69</v>
      </c>
      <c r="J1308" s="125">
        <f>IF(Procurement_Raw!J1308="","",Procurement_Raw!J1308)</f>
        <v>6703.09</v>
      </c>
      <c r="K1308" s="77">
        <f>Procurement_Raw!K1308</f>
        <v>60</v>
      </c>
      <c r="L1308" t="str">
        <f>Procurement_Raw!L1308</f>
        <v>Procurement Portal</v>
      </c>
      <c r="M1308" t="str">
        <f>Procurement_Raw!O1308</f>
        <v>N</v>
      </c>
      <c r="N1308" t="str">
        <f>IF(E1308="","Missing supplier",IF(B1308="","Missing site",IF(J1308="","Missing spend",IF(COUNTIFS($G$2:G1308,G1308,$E$2:E1308,E1308,$J$2:J1308,J1308)&gt;1,"Duplicate invoice",IF(COUNTIF($G$2:$G$1801,G1308)&gt;1,"Duplicate ID - review",IF(AND(P1308&lt;&gt;"Unmapped",P1308&lt;&gt;F1308),"Category mismatch","OK"))))))</f>
        <v>OK</v>
      </c>
      <c r="O1308" s="125">
        <f t="shared" si="60"/>
        <v>6703.09</v>
      </c>
      <c r="P1308" t="str">
        <f>IF(E1308="","Unmapped",IFERROR(INDEX(Supplier_Lookup!$B$2:$B$25,MATCH(E1308,Supplier_Lookup!$A$2:$A$25,0)),"Unmapped"))</f>
        <v>Agency Labour</v>
      </c>
      <c r="Q1308" s="76">
        <f>IFERROR(INDEX(Category_Targets!$B$2:$B$9,MATCH(F1308,Category_Targets!$A$2:$A$9,0)),0)</f>
        <v>7.0000000000000007E-2</v>
      </c>
      <c r="R1308" s="125">
        <f t="shared" si="61"/>
        <v>469.21630000000005</v>
      </c>
      <c r="S1308" s="78">
        <f t="shared" si="62"/>
        <v>45658</v>
      </c>
      <c r="T1308" t="str">
        <f>IFERROR(VLOOKUP(B1308,Sites!$A$2:$D$21,4,FALSE()),"Unknown")</f>
        <v>Bristol</v>
      </c>
      <c r="U1308" t="str">
        <f>IF(N1308="OK","",COUNTIF($N$2:N1308,"&lt;&gt;OK"))</f>
        <v/>
      </c>
      <c r="V1308">
        <f>IF(OR(NOT(EXACT(E1308,TRIM(Procurement_Raw!E1308))),NOT(EXACT(F1308,TRIM(Procurement_Raw!F1308)))),1,0)</f>
        <v>0</v>
      </c>
    </row>
    <row r="1309" spans="1:22" ht="15" customHeight="1" x14ac:dyDescent="0.25">
      <c r="A1309" s="123">
        <f>Procurement_Raw!A1309</f>
        <v>45966</v>
      </c>
      <c r="B1309" t="str">
        <f>TRIM(Procurement_Raw!B1309)</f>
        <v>S013</v>
      </c>
      <c r="C1309" t="str">
        <f>Procurement_Raw!C1309</f>
        <v>Reading Care &amp; Education Centre</v>
      </c>
      <c r="D1309" t="str">
        <f>Procurement_Raw!D1309</f>
        <v>South</v>
      </c>
      <c r="E1309" t="str">
        <f>IF(TRIM(Procurement_Raw!E1309)="","",IFERROR(INDEX(Supplier_Lookup!$A$2:$A$25,MATCH(TRIM(Procurement_Raw!E1309),Supplier_Lookup!$A$2:$A$25,0)),TRIM(Procurement_Raw!E1309)))</f>
        <v>NurseLink</v>
      </c>
      <c r="F1309" t="str">
        <f>IFERROR(INDEX(Category_Targets!$A$2:$A$9,MATCH(TRIM(Procurement_Raw!F1309),Category_Targets!$A$2:$A$9,0)),"Unmapped")</f>
        <v>Agency Labour</v>
      </c>
      <c r="G1309" t="str">
        <f>TRIM(Procurement_Raw!G1309)</f>
        <v>INV-2025-01308</v>
      </c>
      <c r="H1309" s="77">
        <f>Procurement_Raw!H1309</f>
        <v>63</v>
      </c>
      <c r="I1309" s="124">
        <f>Procurement_Raw!I1309</f>
        <v>298.5</v>
      </c>
      <c r="J1309" s="125">
        <f>IF(Procurement_Raw!J1309="","",Procurement_Raw!J1309)</f>
        <v>18805.45</v>
      </c>
      <c r="K1309" s="77">
        <f>Procurement_Raw!K1309</f>
        <v>45</v>
      </c>
      <c r="L1309" t="str">
        <f>Procurement_Raw!L1309</f>
        <v>Legacy Spend File</v>
      </c>
      <c r="M1309" t="str">
        <f>Procurement_Raw!O1309</f>
        <v>N</v>
      </c>
      <c r="N1309" t="str">
        <f>IF(E1309="","Missing supplier",IF(B1309="","Missing site",IF(J1309="","Missing spend",IF(COUNTIFS($G$2:G1309,G1309,$E$2:E1309,E1309,$J$2:J1309,J1309)&gt;1,"Duplicate invoice",IF(COUNTIF($G$2:$G$1801,G1309)&gt;1,"Duplicate ID - review",IF(AND(P1309&lt;&gt;"Unmapped",P1309&lt;&gt;F1309),"Category mismatch","OK"))))))</f>
        <v>OK</v>
      </c>
      <c r="O1309" s="125">
        <f t="shared" si="60"/>
        <v>18805.45</v>
      </c>
      <c r="P1309" t="str">
        <f>IF(E1309="","Unmapped",IFERROR(INDEX(Supplier_Lookup!$B$2:$B$25,MATCH(E1309,Supplier_Lookup!$A$2:$A$25,0)),"Unmapped"))</f>
        <v>Agency Labour</v>
      </c>
      <c r="Q1309" s="76">
        <f>IFERROR(INDEX(Category_Targets!$B$2:$B$9,MATCH(F1309,Category_Targets!$A$2:$A$9,0)),0)</f>
        <v>7.0000000000000007E-2</v>
      </c>
      <c r="R1309" s="125">
        <f t="shared" si="61"/>
        <v>1316.3815000000002</v>
      </c>
      <c r="S1309" s="78">
        <f t="shared" si="62"/>
        <v>45962</v>
      </c>
      <c r="T1309" t="str">
        <f>IFERROR(VLOOKUP(B1309,Sites!$A$2:$D$21,4,FALSE()),"Unknown")</f>
        <v>Reading</v>
      </c>
      <c r="U1309" t="str">
        <f>IF(N1309="OK","",COUNTIF($N$2:N1309,"&lt;&gt;OK"))</f>
        <v/>
      </c>
      <c r="V1309">
        <f>IF(OR(NOT(EXACT(E1309,TRIM(Procurement_Raw!E1309))),NOT(EXACT(F1309,TRIM(Procurement_Raw!F1309)))),1,0)</f>
        <v>0</v>
      </c>
    </row>
    <row r="1310" spans="1:22" ht="15" customHeight="1" x14ac:dyDescent="0.25">
      <c r="A1310" s="123">
        <f>Procurement_Raw!A1310</f>
        <v>46002</v>
      </c>
      <c r="B1310" t="str">
        <f>TRIM(Procurement_Raw!B1310)</f>
        <v>S011</v>
      </c>
      <c r="C1310" t="str">
        <f>Procurement_Raw!C1310</f>
        <v>London Care &amp; Education Centre</v>
      </c>
      <c r="D1310" t="str">
        <f>Procurement_Raw!D1310</f>
        <v>South</v>
      </c>
      <c r="E1310" t="str">
        <f>IF(TRIM(Procurement_Raw!E1310)="","",IFERROR(INDEX(Supplier_Lookup!$A$2:$A$25,MATCH(TRIM(Procurement_Raw!E1310),Supplier_Lookup!$A$2:$A$25,0)),TRIM(Procurement_Raw!E1310)))</f>
        <v>AutoCare</v>
      </c>
      <c r="F1310" t="str">
        <f>IFERROR(INDEX(Category_Targets!$A$2:$A$9,MATCH(TRIM(Procurement_Raw!F1310),Category_Targets!$A$2:$A$9,0)),"Unmapped")</f>
        <v>Vehicle &amp; Fuel</v>
      </c>
      <c r="G1310" t="str">
        <f>TRIM(Procurement_Raw!G1310)</f>
        <v>INV-2025-01309</v>
      </c>
      <c r="H1310" s="77">
        <f>Procurement_Raw!H1310</f>
        <v>51</v>
      </c>
      <c r="I1310" s="124">
        <f>Procurement_Raw!I1310</f>
        <v>172.62</v>
      </c>
      <c r="J1310" s="125">
        <f>IF(Procurement_Raw!J1310="","",Procurement_Raw!J1310)</f>
        <v>8803.86</v>
      </c>
      <c r="K1310" s="77">
        <f>Procurement_Raw!K1310</f>
        <v>45</v>
      </c>
      <c r="L1310" t="str">
        <f>Procurement_Raw!L1310</f>
        <v>ERP</v>
      </c>
      <c r="M1310" t="str">
        <f>Procurement_Raw!O1310</f>
        <v>N</v>
      </c>
      <c r="N1310" t="str">
        <f>IF(E1310="","Missing supplier",IF(B1310="","Missing site",IF(J1310="","Missing spend",IF(COUNTIFS($G$2:G1310,G1310,$E$2:E1310,E1310,$J$2:J1310,J1310)&gt;1,"Duplicate invoice",IF(COUNTIF($G$2:$G$1801,G1310)&gt;1,"Duplicate ID - review",IF(AND(P1310&lt;&gt;"Unmapped",P1310&lt;&gt;F1310),"Category mismatch","OK"))))))</f>
        <v>OK</v>
      </c>
      <c r="O1310" s="125">
        <f t="shared" si="60"/>
        <v>8803.86</v>
      </c>
      <c r="P1310" t="str">
        <f>IF(E1310="","Unmapped",IFERROR(INDEX(Supplier_Lookup!$B$2:$B$25,MATCH(E1310,Supplier_Lookup!$A$2:$A$25,0)),"Unmapped"))</f>
        <v>Vehicle &amp; Fuel</v>
      </c>
      <c r="Q1310" s="76">
        <f>IFERROR(INDEX(Category_Targets!$B$2:$B$9,MATCH(F1310,Category_Targets!$A$2:$A$9,0)),0)</f>
        <v>0.05</v>
      </c>
      <c r="R1310" s="125">
        <f t="shared" si="61"/>
        <v>440.19300000000004</v>
      </c>
      <c r="S1310" s="78">
        <f t="shared" si="62"/>
        <v>45992</v>
      </c>
      <c r="T1310" t="str">
        <f>IFERROR(VLOOKUP(B1310,Sites!$A$2:$D$21,4,FALSE()),"Unknown")</f>
        <v>London</v>
      </c>
      <c r="U1310" t="str">
        <f>IF(N1310="OK","",COUNTIF($N$2:N1310,"&lt;&gt;OK"))</f>
        <v/>
      </c>
      <c r="V1310">
        <f>IF(OR(NOT(EXACT(E1310,TRIM(Procurement_Raw!E1310))),NOT(EXACT(F1310,TRIM(Procurement_Raw!F1310)))),1,0)</f>
        <v>0</v>
      </c>
    </row>
    <row r="1311" spans="1:22" ht="15" customHeight="1" x14ac:dyDescent="0.25">
      <c r="A1311" s="123">
        <f>Procurement_Raw!A1311</f>
        <v>45755</v>
      </c>
      <c r="B1311" t="str">
        <f>TRIM(Procurement_Raw!B1311)</f>
        <v>S003</v>
      </c>
      <c r="C1311" t="str">
        <f>Procurement_Raw!C1311</f>
        <v>Leeds Care &amp; Education Centre</v>
      </c>
      <c r="D1311" t="str">
        <f>Procurement_Raw!D1311</f>
        <v>North</v>
      </c>
      <c r="E1311" t="str">
        <f>IF(TRIM(Procurement_Raw!E1311)="","",IFERROR(INDEX(Supplier_Lookup!$A$2:$A$25,MATCH(TRIM(Procurement_Raw!E1311),Supplier_Lookup!$A$2:$A$25,0)),TRIM(Procurement_Raw!E1311)))</f>
        <v>CleanWorks</v>
      </c>
      <c r="F1311" t="str">
        <f>IFERROR(INDEX(Category_Targets!$A$2:$A$9,MATCH(TRIM(Procurement_Raw!F1311),Category_Targets!$A$2:$A$9,0)),"Unmapped")</f>
        <v>Facilities</v>
      </c>
      <c r="G1311" t="str">
        <f>TRIM(Procurement_Raw!G1311)</f>
        <v>INV-2025-01310</v>
      </c>
      <c r="H1311" s="77">
        <f>Procurement_Raw!H1311</f>
        <v>15</v>
      </c>
      <c r="I1311" s="124">
        <f>Procurement_Raw!I1311</f>
        <v>233.7</v>
      </c>
      <c r="J1311" s="125">
        <f>IF(Procurement_Raw!J1311="","",Procurement_Raw!J1311)</f>
        <v>3505.51</v>
      </c>
      <c r="K1311" s="77">
        <f>Procurement_Raw!K1311</f>
        <v>30</v>
      </c>
      <c r="L1311" t="str">
        <f>Procurement_Raw!L1311</f>
        <v>Legacy Spend File</v>
      </c>
      <c r="M1311" t="str">
        <f>Procurement_Raw!O1311</f>
        <v>Y</v>
      </c>
      <c r="N1311" t="str">
        <f>IF(E1311="","Missing supplier",IF(B1311="","Missing site",IF(J1311="","Missing spend",IF(COUNTIFS($G$2:G1311,G1311,$E$2:E1311,E1311,$J$2:J1311,J1311)&gt;1,"Duplicate invoice",IF(COUNTIF($G$2:$G$1801,G1311)&gt;1,"Duplicate ID - review",IF(AND(P1311&lt;&gt;"Unmapped",P1311&lt;&gt;F1311),"Category mismatch","OK"))))))</f>
        <v>OK</v>
      </c>
      <c r="O1311" s="125">
        <f t="shared" si="60"/>
        <v>3505.51</v>
      </c>
      <c r="P1311" t="str">
        <f>IF(E1311="","Unmapped",IFERROR(INDEX(Supplier_Lookup!$B$2:$B$25,MATCH(E1311,Supplier_Lookup!$A$2:$A$25,0)),"Unmapped"))</f>
        <v>Facilities</v>
      </c>
      <c r="Q1311" s="76">
        <f>IFERROR(INDEX(Category_Targets!$B$2:$B$9,MATCH(F1311,Category_Targets!$A$2:$A$9,0)),0)</f>
        <v>0.05</v>
      </c>
      <c r="R1311" s="125">
        <f t="shared" si="61"/>
        <v>175.27550000000002</v>
      </c>
      <c r="S1311" s="78">
        <f t="shared" si="62"/>
        <v>45748</v>
      </c>
      <c r="T1311" t="str">
        <f>IFERROR(VLOOKUP(B1311,Sites!$A$2:$D$21,4,FALSE()),"Unknown")</f>
        <v>Leeds</v>
      </c>
      <c r="U1311" t="str">
        <f>IF(N1311="OK","",COUNTIF($N$2:N1311,"&lt;&gt;OK"))</f>
        <v/>
      </c>
      <c r="V1311">
        <f>IF(OR(NOT(EXACT(E1311,TRIM(Procurement_Raw!E1311))),NOT(EXACT(F1311,TRIM(Procurement_Raw!F1311)))),1,0)</f>
        <v>0</v>
      </c>
    </row>
    <row r="1312" spans="1:22" ht="15" customHeight="1" x14ac:dyDescent="0.25">
      <c r="A1312" s="123">
        <f>Procurement_Raw!A1312</f>
        <v>45904</v>
      </c>
      <c r="B1312" t="str">
        <f>TRIM(Procurement_Raw!B1312)</f>
        <v>S012</v>
      </c>
      <c r="C1312" t="str">
        <f>Procurement_Raw!C1312</f>
        <v>Bristol Care &amp; Education Centre</v>
      </c>
      <c r="D1312" t="str">
        <f>Procurement_Raw!D1312</f>
        <v>South</v>
      </c>
      <c r="E1312" t="str">
        <f>IF(TRIM(Procurement_Raw!E1312)="","",IFERROR(INDEX(Supplier_Lookup!$A$2:$A$25,MATCH(TRIM(Procurement_Raw!E1312),Supplier_Lookup!$A$2:$A$25,0)),TRIM(Procurement_Raw!E1312)))</f>
        <v>MediSure</v>
      </c>
      <c r="F1312" t="str">
        <f>IFERROR(INDEX(Category_Targets!$A$2:$A$9,MATCH(TRIM(Procurement_Raw!F1312),Category_Targets!$A$2:$A$9,0)),"Unmapped")</f>
        <v>Medical Supplies</v>
      </c>
      <c r="G1312" t="str">
        <f>TRIM(Procurement_Raw!G1312)</f>
        <v>INV-2025-01311</v>
      </c>
      <c r="H1312" s="77">
        <f>Procurement_Raw!H1312</f>
        <v>19</v>
      </c>
      <c r="I1312" s="124">
        <f>Procurement_Raw!I1312</f>
        <v>118.36</v>
      </c>
      <c r="J1312" s="125">
        <f>IF(Procurement_Raw!J1312="","",Procurement_Raw!J1312)</f>
        <v>2248.83</v>
      </c>
      <c r="K1312" s="77">
        <f>Procurement_Raw!K1312</f>
        <v>60</v>
      </c>
      <c r="L1312" t="str">
        <f>Procurement_Raw!L1312</f>
        <v>ERP</v>
      </c>
      <c r="M1312" t="str">
        <f>Procurement_Raw!O1312</f>
        <v>Y</v>
      </c>
      <c r="N1312" t="str">
        <f>IF(E1312="","Missing supplier",IF(B1312="","Missing site",IF(J1312="","Missing spend",IF(COUNTIFS($G$2:G1312,G1312,$E$2:E1312,E1312,$J$2:J1312,J1312)&gt;1,"Duplicate invoice",IF(COUNTIF($G$2:$G$1801,G1312)&gt;1,"Duplicate ID - review",IF(AND(P1312&lt;&gt;"Unmapped",P1312&lt;&gt;F1312),"Category mismatch","OK"))))))</f>
        <v>OK</v>
      </c>
      <c r="O1312" s="125">
        <f t="shared" si="60"/>
        <v>2248.83</v>
      </c>
      <c r="P1312" t="str">
        <f>IF(E1312="","Unmapped",IFERROR(INDEX(Supplier_Lookup!$B$2:$B$25,MATCH(E1312,Supplier_Lookup!$A$2:$A$25,0)),"Unmapped"))</f>
        <v>Medical Supplies</v>
      </c>
      <c r="Q1312" s="76">
        <f>IFERROR(INDEX(Category_Targets!$B$2:$B$9,MATCH(F1312,Category_Targets!$A$2:$A$9,0)),0)</f>
        <v>0.06</v>
      </c>
      <c r="R1312" s="125">
        <f t="shared" si="61"/>
        <v>134.9298</v>
      </c>
      <c r="S1312" s="78">
        <f t="shared" si="62"/>
        <v>45901</v>
      </c>
      <c r="T1312" t="str">
        <f>IFERROR(VLOOKUP(B1312,Sites!$A$2:$D$21,4,FALSE()),"Unknown")</f>
        <v>Bristol</v>
      </c>
      <c r="U1312" t="str">
        <f>IF(N1312="OK","",COUNTIF($N$2:N1312,"&lt;&gt;OK"))</f>
        <v/>
      </c>
      <c r="V1312">
        <f>IF(OR(NOT(EXACT(E1312,TRIM(Procurement_Raw!E1312))),NOT(EXACT(F1312,TRIM(Procurement_Raw!F1312)))),1,0)</f>
        <v>0</v>
      </c>
    </row>
    <row r="1313" spans="1:22" ht="15" customHeight="1" x14ac:dyDescent="0.25">
      <c r="A1313" s="123">
        <f>Procurement_Raw!A1313</f>
        <v>45812</v>
      </c>
      <c r="B1313" t="str">
        <f>TRIM(Procurement_Raw!B1313)</f>
        <v>S017</v>
      </c>
      <c r="C1313" t="str">
        <f>Procurement_Raw!C1313</f>
        <v>Swansea Care &amp; Education Centre</v>
      </c>
      <c r="D1313" t="str">
        <f>Procurement_Raw!D1313</f>
        <v>Wales</v>
      </c>
      <c r="E1313" t="str">
        <f>IF(TRIM(Procurement_Raw!E1313)="","",IFERROR(INDEX(Supplier_Lookup!$A$2:$A$25,MATCH(TRIM(Procurement_Raw!E1313),Supplier_Lookup!$A$2:$A$25,0)),TRIM(Procurement_Raw!E1313)))</f>
        <v>UK Energy Partners</v>
      </c>
      <c r="F1313" t="str">
        <f>IFERROR(INDEX(Category_Targets!$A$2:$A$9,MATCH(TRIM(Procurement_Raw!F1313),Category_Targets!$A$2:$A$9,0)),"Unmapped")</f>
        <v>Utilities</v>
      </c>
      <c r="G1313" t="str">
        <f>TRIM(Procurement_Raw!G1313)</f>
        <v>INV-2025-01312</v>
      </c>
      <c r="H1313" s="77">
        <f>Procurement_Raw!H1313</f>
        <v>60</v>
      </c>
      <c r="I1313" s="124">
        <f>Procurement_Raw!I1313</f>
        <v>391.99</v>
      </c>
      <c r="J1313" s="125">
        <f>IF(Procurement_Raw!J1313="","",Procurement_Raw!J1313)</f>
        <v>23519.31</v>
      </c>
      <c r="K1313" s="77">
        <f>Procurement_Raw!K1313</f>
        <v>30</v>
      </c>
      <c r="L1313" t="str">
        <f>Procurement_Raw!L1313</f>
        <v>Procurement Portal</v>
      </c>
      <c r="M1313" t="str">
        <f>Procurement_Raw!O1313</f>
        <v>N</v>
      </c>
      <c r="N1313" t="str">
        <f>IF(E1313="","Missing supplier",IF(B1313="","Missing site",IF(J1313="","Missing spend",IF(COUNTIFS($G$2:G1313,G1313,$E$2:E1313,E1313,$J$2:J1313,J1313)&gt;1,"Duplicate invoice",IF(COUNTIF($G$2:$G$1801,G1313)&gt;1,"Duplicate ID - review",IF(AND(P1313&lt;&gt;"Unmapped",P1313&lt;&gt;F1313),"Category mismatch","OK"))))))</f>
        <v>OK</v>
      </c>
      <c r="O1313" s="125">
        <f t="shared" si="60"/>
        <v>23519.31</v>
      </c>
      <c r="P1313" t="str">
        <f>IF(E1313="","Unmapped",IFERROR(INDEX(Supplier_Lookup!$B$2:$B$25,MATCH(E1313,Supplier_Lookup!$A$2:$A$25,0)),"Unmapped"))</f>
        <v>Utilities</v>
      </c>
      <c r="Q1313" s="76">
        <f>IFERROR(INDEX(Category_Targets!$B$2:$B$9,MATCH(F1313,Category_Targets!$A$2:$A$9,0)),0)</f>
        <v>0.03</v>
      </c>
      <c r="R1313" s="125">
        <f t="shared" si="61"/>
        <v>705.57929999999999</v>
      </c>
      <c r="S1313" s="78">
        <f t="shared" si="62"/>
        <v>45809</v>
      </c>
      <c r="T1313" t="str">
        <f>IFERROR(VLOOKUP(B1313,Sites!$A$2:$D$21,4,FALSE()),"Unknown")</f>
        <v>Swansea</v>
      </c>
      <c r="U1313" t="str">
        <f>IF(N1313="OK","",COUNTIF($N$2:N1313,"&lt;&gt;OK"))</f>
        <v/>
      </c>
      <c r="V1313">
        <f>IF(OR(NOT(EXACT(E1313,TRIM(Procurement_Raw!E1313))),NOT(EXACT(F1313,TRIM(Procurement_Raw!F1313)))),1,0)</f>
        <v>0</v>
      </c>
    </row>
    <row r="1314" spans="1:22" ht="15" customHeight="1" x14ac:dyDescent="0.25">
      <c r="A1314" s="123">
        <f>Procurement_Raw!A1314</f>
        <v>45743</v>
      </c>
      <c r="B1314" t="str">
        <f>TRIM(Procurement_Raw!B1314)</f>
        <v>S018</v>
      </c>
      <c r="C1314" t="str">
        <f>Procurement_Raw!C1314</f>
        <v>Newport Care &amp; Education Centre</v>
      </c>
      <c r="D1314" t="str">
        <f>Procurement_Raw!D1314</f>
        <v>Wales</v>
      </c>
      <c r="E1314" t="str">
        <f>IF(TRIM(Procurement_Raw!E1314)="","",IFERROR(INDEX(Supplier_Lookup!$A$2:$A$25,MATCH(TRIM(Procurement_Raw!E1314),Supplier_Lookup!$A$2:$A$25,0)),TRIM(Procurement_Raw!E1314)))</f>
        <v>MediSure</v>
      </c>
      <c r="F1314" t="str">
        <f>IFERROR(INDEX(Category_Targets!$A$2:$A$9,MATCH(TRIM(Procurement_Raw!F1314),Category_Targets!$A$2:$A$9,0)),"Unmapped")</f>
        <v>Medical Supplies</v>
      </c>
      <c r="G1314" t="str">
        <f>TRIM(Procurement_Raw!G1314)</f>
        <v>INV-2025-01313</v>
      </c>
      <c r="H1314" s="77">
        <f>Procurement_Raw!H1314</f>
        <v>20</v>
      </c>
      <c r="I1314" s="124">
        <f>Procurement_Raw!I1314</f>
        <v>257.77999999999997</v>
      </c>
      <c r="J1314" s="125">
        <f>IF(Procurement_Raw!J1314="","",Procurement_Raw!J1314)</f>
        <v>5155.6000000000004</v>
      </c>
      <c r="K1314" s="77">
        <f>Procurement_Raw!K1314</f>
        <v>60</v>
      </c>
      <c r="L1314" t="str">
        <f>Procurement_Raw!L1314</f>
        <v>Legacy Spend File</v>
      </c>
      <c r="M1314" t="str">
        <f>Procurement_Raw!O1314</f>
        <v>Y</v>
      </c>
      <c r="N1314" t="str">
        <f>IF(E1314="","Missing supplier",IF(B1314="","Missing site",IF(J1314="","Missing spend",IF(COUNTIFS($G$2:G1314,G1314,$E$2:E1314,E1314,$J$2:J1314,J1314)&gt;1,"Duplicate invoice",IF(COUNTIF($G$2:$G$1801,G1314)&gt;1,"Duplicate ID - review",IF(AND(P1314&lt;&gt;"Unmapped",P1314&lt;&gt;F1314),"Category mismatch","OK"))))))</f>
        <v>OK</v>
      </c>
      <c r="O1314" s="125">
        <f t="shared" si="60"/>
        <v>5155.6000000000004</v>
      </c>
      <c r="P1314" t="str">
        <f>IF(E1314="","Unmapped",IFERROR(INDEX(Supplier_Lookup!$B$2:$B$25,MATCH(E1314,Supplier_Lookup!$A$2:$A$25,0)),"Unmapped"))</f>
        <v>Medical Supplies</v>
      </c>
      <c r="Q1314" s="76">
        <f>IFERROR(INDEX(Category_Targets!$B$2:$B$9,MATCH(F1314,Category_Targets!$A$2:$A$9,0)),0)</f>
        <v>0.06</v>
      </c>
      <c r="R1314" s="125">
        <f t="shared" si="61"/>
        <v>309.33600000000001</v>
      </c>
      <c r="S1314" s="78">
        <f t="shared" si="62"/>
        <v>45717</v>
      </c>
      <c r="T1314" t="str">
        <f>IFERROR(VLOOKUP(B1314,Sites!$A$2:$D$21,4,FALSE()),"Unknown")</f>
        <v>Newport</v>
      </c>
      <c r="U1314" t="str">
        <f>IF(N1314="OK","",COUNTIF($N$2:N1314,"&lt;&gt;OK"))</f>
        <v/>
      </c>
      <c r="V1314">
        <f>IF(OR(NOT(EXACT(E1314,TRIM(Procurement_Raw!E1314))),NOT(EXACT(F1314,TRIM(Procurement_Raw!F1314)))),1,0)</f>
        <v>0</v>
      </c>
    </row>
    <row r="1315" spans="1:22" ht="15" customHeight="1" x14ac:dyDescent="0.25">
      <c r="A1315" s="123">
        <f>Procurement_Raw!A1315</f>
        <v>45668</v>
      </c>
      <c r="B1315" t="str">
        <f>TRIM(Procurement_Raw!B1315)</f>
        <v>S004</v>
      </c>
      <c r="C1315" t="str">
        <f>Procurement_Raw!C1315</f>
        <v>Newcastle Care &amp; Education Centre</v>
      </c>
      <c r="D1315" t="str">
        <f>Procurement_Raw!D1315</f>
        <v>North</v>
      </c>
      <c r="E1315" t="str">
        <f>IF(TRIM(Procurement_Raw!E1315)="","",IFERROR(INDEX(Supplier_Lookup!$A$2:$A$25,MATCH(TRIM(Procurement_Raw!E1315),Supplier_Lookup!$A$2:$A$25,0)),TRIM(Procurement_Raw!E1315)))</f>
        <v>LearnWell</v>
      </c>
      <c r="F1315" t="str">
        <f>IFERROR(INDEX(Category_Targets!$A$2:$A$9,MATCH(TRIM(Procurement_Raw!F1315),Category_Targets!$A$2:$A$9,0)),"Unmapped")</f>
        <v>Office &amp; Training</v>
      </c>
      <c r="G1315" t="str">
        <f>TRIM(Procurement_Raw!G1315)</f>
        <v>INV-2025-01314</v>
      </c>
      <c r="H1315" s="77">
        <f>Procurement_Raw!H1315</f>
        <v>58</v>
      </c>
      <c r="I1315" s="124">
        <f>Procurement_Raw!I1315</f>
        <v>101.93</v>
      </c>
      <c r="J1315" s="125">
        <f>IF(Procurement_Raw!J1315="","",Procurement_Raw!J1315)</f>
        <v>5911.93</v>
      </c>
      <c r="K1315" s="77">
        <f>Procurement_Raw!K1315</f>
        <v>60</v>
      </c>
      <c r="L1315" t="str">
        <f>Procurement_Raw!L1315</f>
        <v>ERP</v>
      </c>
      <c r="M1315" t="str">
        <f>Procurement_Raw!O1315</f>
        <v>N</v>
      </c>
      <c r="N1315" t="str">
        <f>IF(E1315="","Missing supplier",IF(B1315="","Missing site",IF(J1315="","Missing spend",IF(COUNTIFS($G$2:G1315,G1315,$E$2:E1315,E1315,$J$2:J1315,J1315)&gt;1,"Duplicate invoice",IF(COUNTIF($G$2:$G$1801,G1315)&gt;1,"Duplicate ID - review",IF(AND(P1315&lt;&gt;"Unmapped",P1315&lt;&gt;F1315),"Category mismatch","OK"))))))</f>
        <v>OK</v>
      </c>
      <c r="O1315" s="125">
        <f t="shared" si="60"/>
        <v>5911.93</v>
      </c>
      <c r="P1315" t="str">
        <f>IF(E1315="","Unmapped",IFERROR(INDEX(Supplier_Lookup!$B$2:$B$25,MATCH(E1315,Supplier_Lookup!$A$2:$A$25,0)),"Unmapped"))</f>
        <v>Office &amp; Training</v>
      </c>
      <c r="Q1315" s="76">
        <f>IFERROR(INDEX(Category_Targets!$B$2:$B$9,MATCH(F1315,Category_Targets!$A$2:$A$9,0)),0)</f>
        <v>0.04</v>
      </c>
      <c r="R1315" s="125">
        <f t="shared" si="61"/>
        <v>236.47720000000001</v>
      </c>
      <c r="S1315" s="78">
        <f t="shared" si="62"/>
        <v>45658</v>
      </c>
      <c r="T1315" t="str">
        <f>IFERROR(VLOOKUP(B1315,Sites!$A$2:$D$21,4,FALSE()),"Unknown")</f>
        <v>Newcastle</v>
      </c>
      <c r="U1315" t="str">
        <f>IF(N1315="OK","",COUNTIF($N$2:N1315,"&lt;&gt;OK"))</f>
        <v/>
      </c>
      <c r="V1315">
        <f>IF(OR(NOT(EXACT(E1315,TRIM(Procurement_Raw!E1315))),NOT(EXACT(F1315,TRIM(Procurement_Raw!F1315)))),1,0)</f>
        <v>0</v>
      </c>
    </row>
    <row r="1316" spans="1:22" ht="15" customHeight="1" x14ac:dyDescent="0.25">
      <c r="A1316" s="123">
        <f>Procurement_Raw!A1316</f>
        <v>45858</v>
      </c>
      <c r="B1316" t="str">
        <f>TRIM(Procurement_Raw!B1316)</f>
        <v>S017</v>
      </c>
      <c r="C1316" t="str">
        <f>Procurement_Raw!C1316</f>
        <v>Swansea Care &amp; Education Centre</v>
      </c>
      <c r="D1316" t="str">
        <f>Procurement_Raw!D1316</f>
        <v>Wales</v>
      </c>
      <c r="E1316" t="str">
        <f>IF(TRIM(Procurement_Raw!E1316)="","",IFERROR(INDEX(Supplier_Lookup!$A$2:$A$25,MATCH(TRIM(Procurement_Raw!E1316),Supplier_Lookup!$A$2:$A$25,0)),TRIM(Procurement_Raw!E1316)))</f>
        <v>NetServe</v>
      </c>
      <c r="F1316" t="str">
        <f>IFERROR(INDEX(Category_Targets!$A$2:$A$9,MATCH(TRIM(Procurement_Raw!F1316),Category_Targets!$A$2:$A$9,0)),"Unmapped")</f>
        <v>IT &amp; Telecoms</v>
      </c>
      <c r="G1316" t="str">
        <f>TRIM(Procurement_Raw!G1316)</f>
        <v>INV-2025-01315</v>
      </c>
      <c r="H1316" s="77">
        <f>Procurement_Raw!H1316</f>
        <v>7</v>
      </c>
      <c r="I1316" s="124">
        <f>Procurement_Raw!I1316</f>
        <v>221.26</v>
      </c>
      <c r="J1316" s="125">
        <f>IF(Procurement_Raw!J1316="","",Procurement_Raw!J1316)</f>
        <v>1548.79</v>
      </c>
      <c r="K1316" s="77">
        <f>Procurement_Raw!K1316</f>
        <v>45</v>
      </c>
      <c r="L1316" t="str">
        <f>Procurement_Raw!L1316</f>
        <v>ERP</v>
      </c>
      <c r="M1316" t="str">
        <f>Procurement_Raw!O1316</f>
        <v>N</v>
      </c>
      <c r="N1316" t="str">
        <f>IF(E1316="","Missing supplier",IF(B1316="","Missing site",IF(J1316="","Missing spend",IF(COUNTIFS($G$2:G1316,G1316,$E$2:E1316,E1316,$J$2:J1316,J1316)&gt;1,"Duplicate invoice",IF(COUNTIF($G$2:$G$1801,G1316)&gt;1,"Duplicate ID - review",IF(AND(P1316&lt;&gt;"Unmapped",P1316&lt;&gt;F1316),"Category mismatch","OK"))))))</f>
        <v>OK</v>
      </c>
      <c r="O1316" s="125">
        <f t="shared" si="60"/>
        <v>1548.79</v>
      </c>
      <c r="P1316" t="str">
        <f>IF(E1316="","Unmapped",IFERROR(INDEX(Supplier_Lookup!$B$2:$B$25,MATCH(E1316,Supplier_Lookup!$A$2:$A$25,0)),"Unmapped"))</f>
        <v>IT &amp; Telecoms</v>
      </c>
      <c r="Q1316" s="76">
        <f>IFERROR(INDEX(Category_Targets!$B$2:$B$9,MATCH(F1316,Category_Targets!$A$2:$A$9,0)),0)</f>
        <v>0.08</v>
      </c>
      <c r="R1316" s="125">
        <f t="shared" si="61"/>
        <v>123.9032</v>
      </c>
      <c r="S1316" s="78">
        <f t="shared" si="62"/>
        <v>45839</v>
      </c>
      <c r="T1316" t="str">
        <f>IFERROR(VLOOKUP(B1316,Sites!$A$2:$D$21,4,FALSE()),"Unknown")</f>
        <v>Swansea</v>
      </c>
      <c r="U1316" t="str">
        <f>IF(N1316="OK","",COUNTIF($N$2:N1316,"&lt;&gt;OK"))</f>
        <v/>
      </c>
      <c r="V1316">
        <f>IF(OR(NOT(EXACT(E1316,TRIM(Procurement_Raw!E1316))),NOT(EXACT(F1316,TRIM(Procurement_Raw!F1316)))),1,0)</f>
        <v>0</v>
      </c>
    </row>
    <row r="1317" spans="1:22" ht="15" customHeight="1" x14ac:dyDescent="0.25">
      <c r="A1317" s="123">
        <f>Procurement_Raw!A1317</f>
        <v>45911</v>
      </c>
      <c r="B1317" t="str">
        <f>TRIM(Procurement_Raw!B1317)</f>
        <v>S009</v>
      </c>
      <c r="C1317" t="str">
        <f>Procurement_Raw!C1317</f>
        <v>Derby Care &amp; Education Centre</v>
      </c>
      <c r="D1317" t="str">
        <f>Procurement_Raw!D1317</f>
        <v>Midlands</v>
      </c>
      <c r="E1317" t="str">
        <f>IF(TRIM(Procurement_Raw!E1317)="","",IFERROR(INDEX(Supplier_Lookup!$A$2:$A$25,MATCH(TRIM(Procurement_Raw!E1317),Supplier_Lookup!$A$2:$A$25,0)),TRIM(Procurement_Raw!E1317)))</f>
        <v>CareTemps</v>
      </c>
      <c r="F1317" t="str">
        <f>IFERROR(INDEX(Category_Targets!$A$2:$A$9,MATCH(TRIM(Procurement_Raw!F1317),Category_Targets!$A$2:$A$9,0)),"Unmapped")</f>
        <v>Agency Labour</v>
      </c>
      <c r="G1317" t="str">
        <f>TRIM(Procurement_Raw!G1317)</f>
        <v>INV-2025-01316</v>
      </c>
      <c r="H1317" s="77">
        <f>Procurement_Raw!H1317</f>
        <v>75</v>
      </c>
      <c r="I1317" s="124">
        <f>Procurement_Raw!I1317</f>
        <v>145.81</v>
      </c>
      <c r="J1317" s="125">
        <f>IF(Procurement_Raw!J1317="","",Procurement_Raw!J1317)</f>
        <v>10935.4</v>
      </c>
      <c r="K1317" s="77">
        <f>Procurement_Raw!K1317</f>
        <v>60</v>
      </c>
      <c r="L1317" t="str">
        <f>Procurement_Raw!L1317</f>
        <v>Legacy Spend File</v>
      </c>
      <c r="M1317" t="str">
        <f>Procurement_Raw!O1317</f>
        <v>N</v>
      </c>
      <c r="N1317" t="str">
        <f>IF(E1317="","Missing supplier",IF(B1317="","Missing site",IF(J1317="","Missing spend",IF(COUNTIFS($G$2:G1317,G1317,$E$2:E1317,E1317,$J$2:J1317,J1317)&gt;1,"Duplicate invoice",IF(COUNTIF($G$2:$G$1801,G1317)&gt;1,"Duplicate ID - review",IF(AND(P1317&lt;&gt;"Unmapped",P1317&lt;&gt;F1317),"Category mismatch","OK"))))))</f>
        <v>OK</v>
      </c>
      <c r="O1317" s="125">
        <f t="shared" si="60"/>
        <v>10935.4</v>
      </c>
      <c r="P1317" t="str">
        <f>IF(E1317="","Unmapped",IFERROR(INDEX(Supplier_Lookup!$B$2:$B$25,MATCH(E1317,Supplier_Lookup!$A$2:$A$25,0)),"Unmapped"))</f>
        <v>Agency Labour</v>
      </c>
      <c r="Q1317" s="76">
        <f>IFERROR(INDEX(Category_Targets!$B$2:$B$9,MATCH(F1317,Category_Targets!$A$2:$A$9,0)),0)</f>
        <v>7.0000000000000007E-2</v>
      </c>
      <c r="R1317" s="125">
        <f t="shared" si="61"/>
        <v>765.47800000000007</v>
      </c>
      <c r="S1317" s="78">
        <f t="shared" si="62"/>
        <v>45901</v>
      </c>
      <c r="T1317" t="str">
        <f>IFERROR(VLOOKUP(B1317,Sites!$A$2:$D$21,4,FALSE()),"Unknown")</f>
        <v>Derby</v>
      </c>
      <c r="U1317" t="str">
        <f>IF(N1317="OK","",COUNTIF($N$2:N1317,"&lt;&gt;OK"))</f>
        <v/>
      </c>
      <c r="V1317">
        <f>IF(OR(NOT(EXACT(E1317,TRIM(Procurement_Raw!E1317))),NOT(EXACT(F1317,TRIM(Procurement_Raw!F1317)))),1,0)</f>
        <v>0</v>
      </c>
    </row>
    <row r="1318" spans="1:22" ht="15" customHeight="1" x14ac:dyDescent="0.25">
      <c r="A1318" s="123">
        <f>Procurement_Raw!A1318</f>
        <v>45907</v>
      </c>
      <c r="B1318" t="str">
        <f>TRIM(Procurement_Raw!B1318)</f>
        <v>S007</v>
      </c>
      <c r="C1318" t="str">
        <f>Procurement_Raw!C1318</f>
        <v>Nottingham Care &amp; Education Centre</v>
      </c>
      <c r="D1318" t="str">
        <f>Procurement_Raw!D1318</f>
        <v>Midlands</v>
      </c>
      <c r="E1318" t="str">
        <f>IF(TRIM(Procurement_Raw!E1318)="","",IFERROR(INDEX(Supplier_Lookup!$A$2:$A$25,MATCH(TRIM(Procurement_Raw!E1318),Supplier_Lookup!$A$2:$A$25,0)),TRIM(Procurement_Raw!E1318)))</f>
        <v>CloudLink</v>
      </c>
      <c r="F1318" t="str">
        <f>IFERROR(INDEX(Category_Targets!$A$2:$A$9,MATCH(TRIM(Procurement_Raw!F1318),Category_Targets!$A$2:$A$9,0)),"Unmapped")</f>
        <v>IT &amp; Telecoms</v>
      </c>
      <c r="G1318" t="str">
        <f>TRIM(Procurement_Raw!G1318)</f>
        <v>INV-2025-01317</v>
      </c>
      <c r="H1318" s="77">
        <f>Procurement_Raw!H1318</f>
        <v>52</v>
      </c>
      <c r="I1318" s="124">
        <f>Procurement_Raw!I1318</f>
        <v>122.46</v>
      </c>
      <c r="J1318" s="125">
        <f>IF(Procurement_Raw!J1318="","",Procurement_Raw!J1318)</f>
        <v>6368.11</v>
      </c>
      <c r="K1318" s="77">
        <f>Procurement_Raw!K1318</f>
        <v>45</v>
      </c>
      <c r="L1318" t="str">
        <f>Procurement_Raw!L1318</f>
        <v>Legacy Spend File</v>
      </c>
      <c r="M1318" t="str">
        <f>Procurement_Raw!O1318</f>
        <v>Y</v>
      </c>
      <c r="N1318" t="str">
        <f>IF(E1318="","Missing supplier",IF(B1318="","Missing site",IF(J1318="","Missing spend",IF(COUNTIFS($G$2:G1318,G1318,$E$2:E1318,E1318,$J$2:J1318,J1318)&gt;1,"Duplicate invoice",IF(COUNTIF($G$2:$G$1801,G1318)&gt;1,"Duplicate ID - review",IF(AND(P1318&lt;&gt;"Unmapped",P1318&lt;&gt;F1318),"Category mismatch","OK"))))))</f>
        <v>OK</v>
      </c>
      <c r="O1318" s="125">
        <f t="shared" si="60"/>
        <v>6368.11</v>
      </c>
      <c r="P1318" t="str">
        <f>IF(E1318="","Unmapped",IFERROR(INDEX(Supplier_Lookup!$B$2:$B$25,MATCH(E1318,Supplier_Lookup!$A$2:$A$25,0)),"Unmapped"))</f>
        <v>IT &amp; Telecoms</v>
      </c>
      <c r="Q1318" s="76">
        <f>IFERROR(INDEX(Category_Targets!$B$2:$B$9,MATCH(F1318,Category_Targets!$A$2:$A$9,0)),0)</f>
        <v>0.08</v>
      </c>
      <c r="R1318" s="125">
        <f t="shared" si="61"/>
        <v>509.44880000000001</v>
      </c>
      <c r="S1318" s="78">
        <f t="shared" si="62"/>
        <v>45901</v>
      </c>
      <c r="T1318" t="str">
        <f>IFERROR(VLOOKUP(B1318,Sites!$A$2:$D$21,4,FALSE()),"Unknown")</f>
        <v>Nottingham</v>
      </c>
      <c r="U1318" t="str">
        <f>IF(N1318="OK","",COUNTIF($N$2:N1318,"&lt;&gt;OK"))</f>
        <v/>
      </c>
      <c r="V1318">
        <f>IF(OR(NOT(EXACT(E1318,TRIM(Procurement_Raw!E1318))),NOT(EXACT(F1318,TRIM(Procurement_Raw!F1318)))),1,0)</f>
        <v>0</v>
      </c>
    </row>
    <row r="1319" spans="1:22" ht="15" customHeight="1" x14ac:dyDescent="0.25">
      <c r="A1319" s="123">
        <f>Procurement_Raw!A1319</f>
        <v>45689</v>
      </c>
      <c r="B1319" t="str">
        <f>TRIM(Procurement_Raw!B1319)</f>
        <v>S010</v>
      </c>
      <c r="C1319" t="str">
        <f>Procurement_Raw!C1319</f>
        <v>Coventry Care &amp; Education Centre</v>
      </c>
      <c r="D1319" t="str">
        <f>Procurement_Raw!D1319</f>
        <v>Midlands</v>
      </c>
      <c r="E1319" t="str">
        <f>IF(TRIM(Procurement_Raw!E1319)="","",IFERROR(INDEX(Supplier_Lookup!$A$2:$A$25,MATCH(TRIM(Procurement_Raw!E1319),Supplier_Lookup!$A$2:$A$25,0)),TRIM(Procurement_Raw!E1319)))</f>
        <v>OfficePlus</v>
      </c>
      <c r="F1319" t="str">
        <f>IFERROR(INDEX(Category_Targets!$A$2:$A$9,MATCH(TRIM(Procurement_Raw!F1319),Category_Targets!$A$2:$A$9,0)),"Unmapped")</f>
        <v>Office &amp; Training</v>
      </c>
      <c r="G1319" t="str">
        <f>TRIM(Procurement_Raw!G1319)</f>
        <v>INV-2025-01318</v>
      </c>
      <c r="H1319" s="77">
        <f>Procurement_Raw!H1319</f>
        <v>68</v>
      </c>
      <c r="I1319" s="124">
        <f>Procurement_Raw!I1319</f>
        <v>63.41</v>
      </c>
      <c r="J1319" s="125">
        <f>IF(Procurement_Raw!J1319="","",Procurement_Raw!J1319)</f>
        <v>4311.8500000000004</v>
      </c>
      <c r="K1319" s="77">
        <f>Procurement_Raw!K1319</f>
        <v>30</v>
      </c>
      <c r="L1319" t="str">
        <f>Procurement_Raw!L1319</f>
        <v>Procurement Portal</v>
      </c>
      <c r="M1319" t="str">
        <f>Procurement_Raw!O1319</f>
        <v>N</v>
      </c>
      <c r="N1319" t="str">
        <f>IF(E1319="","Missing supplier",IF(B1319="","Missing site",IF(J1319="","Missing spend",IF(COUNTIFS($G$2:G1319,G1319,$E$2:E1319,E1319,$J$2:J1319,J1319)&gt;1,"Duplicate invoice",IF(COUNTIF($G$2:$G$1801,G1319)&gt;1,"Duplicate ID - review",IF(AND(P1319&lt;&gt;"Unmapped",P1319&lt;&gt;F1319),"Category mismatch","OK"))))))</f>
        <v>OK</v>
      </c>
      <c r="O1319" s="125">
        <f t="shared" si="60"/>
        <v>4311.8500000000004</v>
      </c>
      <c r="P1319" t="str">
        <f>IF(E1319="","Unmapped",IFERROR(INDEX(Supplier_Lookup!$B$2:$B$25,MATCH(E1319,Supplier_Lookup!$A$2:$A$25,0)),"Unmapped"))</f>
        <v>Office &amp; Training</v>
      </c>
      <c r="Q1319" s="76">
        <f>IFERROR(INDEX(Category_Targets!$B$2:$B$9,MATCH(F1319,Category_Targets!$A$2:$A$9,0)),0)</f>
        <v>0.04</v>
      </c>
      <c r="R1319" s="125">
        <f t="shared" si="61"/>
        <v>172.47400000000002</v>
      </c>
      <c r="S1319" s="78">
        <f t="shared" si="62"/>
        <v>45689</v>
      </c>
      <c r="T1319" t="str">
        <f>IFERROR(VLOOKUP(B1319,Sites!$A$2:$D$21,4,FALSE()),"Unknown")</f>
        <v>Coventry</v>
      </c>
      <c r="U1319" t="str">
        <f>IF(N1319="OK","",COUNTIF($N$2:N1319,"&lt;&gt;OK"))</f>
        <v/>
      </c>
      <c r="V1319">
        <f>IF(OR(NOT(EXACT(E1319,TRIM(Procurement_Raw!E1319))),NOT(EXACT(F1319,TRIM(Procurement_Raw!F1319)))),1,0)</f>
        <v>0</v>
      </c>
    </row>
    <row r="1320" spans="1:22" ht="15" customHeight="1" x14ac:dyDescent="0.25">
      <c r="A1320" s="123">
        <f>Procurement_Raw!A1320</f>
        <v>45690</v>
      </c>
      <c r="B1320" t="str">
        <f>TRIM(Procurement_Raw!B1320)</f>
        <v>S006</v>
      </c>
      <c r="C1320" t="str">
        <f>Procurement_Raw!C1320</f>
        <v>Birmingham Care &amp; Education Centre</v>
      </c>
      <c r="D1320" t="str">
        <f>Procurement_Raw!D1320</f>
        <v>Midlands</v>
      </c>
      <c r="E1320" t="str">
        <f>IF(TRIM(Procurement_Raw!E1320)="","",IFERROR(INDEX(Supplier_Lookup!$A$2:$A$25,MATCH(TRIM(Procurement_Raw!E1320),Supplier_Lookup!$A$2:$A$25,0)),TRIM(Procurement_Raw!E1320)))</f>
        <v>AutoCare</v>
      </c>
      <c r="F1320" t="str">
        <f>IFERROR(INDEX(Category_Targets!$A$2:$A$9,MATCH(TRIM(Procurement_Raw!F1320),Category_Targets!$A$2:$A$9,0)),"Unmapped")</f>
        <v>Vehicle &amp; Fuel</v>
      </c>
      <c r="G1320" t="str">
        <f>TRIM(Procurement_Raw!G1320)</f>
        <v>INV-2025-01319</v>
      </c>
      <c r="H1320" s="77">
        <f>Procurement_Raw!H1320</f>
        <v>35</v>
      </c>
      <c r="I1320" s="124">
        <f>Procurement_Raw!I1320</f>
        <v>67.94</v>
      </c>
      <c r="J1320" s="125">
        <f>IF(Procurement_Raw!J1320="","",Procurement_Raw!J1320)</f>
        <v>2377.9499999999998</v>
      </c>
      <c r="K1320" s="77">
        <f>Procurement_Raw!K1320</f>
        <v>60</v>
      </c>
      <c r="L1320" t="str">
        <f>Procurement_Raw!L1320</f>
        <v>Procurement Portal</v>
      </c>
      <c r="M1320" t="str">
        <f>Procurement_Raw!O1320</f>
        <v>N</v>
      </c>
      <c r="N1320" t="str">
        <f>IF(E1320="","Missing supplier",IF(B1320="","Missing site",IF(J1320="","Missing spend",IF(COUNTIFS($G$2:G1320,G1320,$E$2:E1320,E1320,$J$2:J1320,J1320)&gt;1,"Duplicate invoice",IF(COUNTIF($G$2:$G$1801,G1320)&gt;1,"Duplicate ID - review",IF(AND(P1320&lt;&gt;"Unmapped",P1320&lt;&gt;F1320),"Category mismatch","OK"))))))</f>
        <v>OK</v>
      </c>
      <c r="O1320" s="125">
        <f t="shared" si="60"/>
        <v>2377.9499999999998</v>
      </c>
      <c r="P1320" t="str">
        <f>IF(E1320="","Unmapped",IFERROR(INDEX(Supplier_Lookup!$B$2:$B$25,MATCH(E1320,Supplier_Lookup!$A$2:$A$25,0)),"Unmapped"))</f>
        <v>Vehicle &amp; Fuel</v>
      </c>
      <c r="Q1320" s="76">
        <f>IFERROR(INDEX(Category_Targets!$B$2:$B$9,MATCH(F1320,Category_Targets!$A$2:$A$9,0)),0)</f>
        <v>0.05</v>
      </c>
      <c r="R1320" s="125">
        <f t="shared" si="61"/>
        <v>118.89749999999999</v>
      </c>
      <c r="S1320" s="78">
        <f t="shared" si="62"/>
        <v>45689</v>
      </c>
      <c r="T1320" t="str">
        <f>IFERROR(VLOOKUP(B1320,Sites!$A$2:$D$21,4,FALSE()),"Unknown")</f>
        <v>Birmingham</v>
      </c>
      <c r="U1320" t="str">
        <f>IF(N1320="OK","",COUNTIF($N$2:N1320,"&lt;&gt;OK"))</f>
        <v/>
      </c>
      <c r="V1320">
        <f>IF(OR(NOT(EXACT(E1320,TRIM(Procurement_Raw!E1320))),NOT(EXACT(F1320,TRIM(Procurement_Raw!F1320)))),1,0)</f>
        <v>0</v>
      </c>
    </row>
    <row r="1321" spans="1:22" ht="15" customHeight="1" x14ac:dyDescent="0.25">
      <c r="A1321" s="123">
        <f>Procurement_Raw!A1321</f>
        <v>45976</v>
      </c>
      <c r="B1321" t="str">
        <f>TRIM(Procurement_Raw!B1321)</f>
        <v>S004</v>
      </c>
      <c r="C1321" t="str">
        <f>Procurement_Raw!C1321</f>
        <v>Newcastle Care &amp; Education Centre</v>
      </c>
      <c r="D1321" t="str">
        <f>Procurement_Raw!D1321</f>
        <v>North</v>
      </c>
      <c r="E1321" t="str">
        <f>IF(TRIM(Procurement_Raw!E1321)="","",IFERROR(INDEX(Supplier_Lookup!$A$2:$A$25,MATCH(TRIM(Procurement_Raw!E1321),Supplier_Lookup!$A$2:$A$25,0)),TRIM(Procurement_Raw!E1321)))</f>
        <v>NourishCo</v>
      </c>
      <c r="F1321" t="str">
        <f>IFERROR(INDEX(Category_Targets!$A$2:$A$9,MATCH(TRIM(Procurement_Raw!F1321),Category_Targets!$A$2:$A$9,0)),"Unmapped")</f>
        <v>Food &amp; Catering</v>
      </c>
      <c r="G1321" t="str">
        <f>TRIM(Procurement_Raw!G1321)</f>
        <v>INV-2025-01320</v>
      </c>
      <c r="H1321" s="77">
        <f>Procurement_Raw!H1321</f>
        <v>45</v>
      </c>
      <c r="I1321" s="124">
        <f>Procurement_Raw!I1321</f>
        <v>58.65</v>
      </c>
      <c r="J1321" s="125">
        <f>IF(Procurement_Raw!J1321="","",Procurement_Raw!J1321)</f>
        <v>2639.16</v>
      </c>
      <c r="K1321" s="77">
        <f>Procurement_Raw!K1321</f>
        <v>45</v>
      </c>
      <c r="L1321" t="str">
        <f>Procurement_Raw!L1321</f>
        <v>Legacy Spend File</v>
      </c>
      <c r="M1321" t="str">
        <f>Procurement_Raw!O1321</f>
        <v>N</v>
      </c>
      <c r="N1321" t="str">
        <f>IF(E1321="","Missing supplier",IF(B1321="","Missing site",IF(J1321="","Missing spend",IF(COUNTIFS($G$2:G1321,G1321,$E$2:E1321,E1321,$J$2:J1321,J1321)&gt;1,"Duplicate invoice",IF(COUNTIF($G$2:$G$1801,G1321)&gt;1,"Duplicate ID - review",IF(AND(P1321&lt;&gt;"Unmapped",P1321&lt;&gt;F1321),"Category mismatch","OK"))))))</f>
        <v>OK</v>
      </c>
      <c r="O1321" s="125">
        <f t="shared" si="60"/>
        <v>2639.16</v>
      </c>
      <c r="P1321" t="str">
        <f>IF(E1321="","Unmapped",IFERROR(INDEX(Supplier_Lookup!$B$2:$B$25,MATCH(E1321,Supplier_Lookup!$A$2:$A$25,0)),"Unmapped"))</f>
        <v>Food &amp; Catering</v>
      </c>
      <c r="Q1321" s="76">
        <f>IFERROR(INDEX(Category_Targets!$B$2:$B$9,MATCH(F1321,Category_Targets!$A$2:$A$9,0)),0)</f>
        <v>0.04</v>
      </c>
      <c r="R1321" s="125">
        <f t="shared" si="61"/>
        <v>105.5664</v>
      </c>
      <c r="S1321" s="78">
        <f t="shared" si="62"/>
        <v>45962</v>
      </c>
      <c r="T1321" t="str">
        <f>IFERROR(VLOOKUP(B1321,Sites!$A$2:$D$21,4,FALSE()),"Unknown")</f>
        <v>Newcastle</v>
      </c>
      <c r="U1321" t="str">
        <f>IF(N1321="OK","",COUNTIF($N$2:N1321,"&lt;&gt;OK"))</f>
        <v/>
      </c>
      <c r="V1321">
        <f>IF(OR(NOT(EXACT(E1321,TRIM(Procurement_Raw!E1321))),NOT(EXACT(F1321,TRIM(Procurement_Raw!F1321)))),1,0)</f>
        <v>0</v>
      </c>
    </row>
    <row r="1322" spans="1:22" ht="15" customHeight="1" x14ac:dyDescent="0.25">
      <c r="A1322" s="123">
        <f>Procurement_Raw!A1322</f>
        <v>45805</v>
      </c>
      <c r="B1322" t="str">
        <f>TRIM(Procurement_Raw!B1322)</f>
        <v>S005</v>
      </c>
      <c r="C1322" t="str">
        <f>Procurement_Raw!C1322</f>
        <v>Sheffield Care &amp; Education Centre</v>
      </c>
      <c r="D1322" t="str">
        <f>Procurement_Raw!D1322</f>
        <v>North</v>
      </c>
      <c r="E1322" t="str">
        <f>IF(TRIM(Procurement_Raw!E1322)="","",IFERROR(INDEX(Supplier_Lookup!$A$2:$A$25,MATCH(TRIM(Procurement_Raw!E1322),Supplier_Lookup!$A$2:$A$25,0)),TRIM(Procurement_Raw!E1322)))</f>
        <v>MediSure</v>
      </c>
      <c r="F1322" t="str">
        <f>IFERROR(INDEX(Category_Targets!$A$2:$A$9,MATCH(TRIM(Procurement_Raw!F1322),Category_Targets!$A$2:$A$9,0)),"Unmapped")</f>
        <v>Medical Supplies</v>
      </c>
      <c r="G1322" t="str">
        <f>TRIM(Procurement_Raw!G1322)</f>
        <v>INV-2025-01321</v>
      </c>
      <c r="H1322" s="77">
        <f>Procurement_Raw!H1322</f>
        <v>25</v>
      </c>
      <c r="I1322" s="124">
        <f>Procurement_Raw!I1322</f>
        <v>123.8</v>
      </c>
      <c r="J1322" s="125">
        <f>IF(Procurement_Raw!J1322="","",Procurement_Raw!J1322)</f>
        <v>3094.94</v>
      </c>
      <c r="K1322" s="77">
        <f>Procurement_Raw!K1322</f>
        <v>45</v>
      </c>
      <c r="L1322" t="str">
        <f>Procurement_Raw!L1322</f>
        <v>Procurement Portal</v>
      </c>
      <c r="M1322" t="str">
        <f>Procurement_Raw!O1322</f>
        <v>Y</v>
      </c>
      <c r="N1322" t="str">
        <f>IF(E1322="","Missing supplier",IF(B1322="","Missing site",IF(J1322="","Missing spend",IF(COUNTIFS($G$2:G1322,G1322,$E$2:E1322,E1322,$J$2:J1322,J1322)&gt;1,"Duplicate invoice",IF(COUNTIF($G$2:$G$1801,G1322)&gt;1,"Duplicate ID - review",IF(AND(P1322&lt;&gt;"Unmapped",P1322&lt;&gt;F1322),"Category mismatch","OK"))))))</f>
        <v>OK</v>
      </c>
      <c r="O1322" s="125">
        <f t="shared" si="60"/>
        <v>3094.94</v>
      </c>
      <c r="P1322" t="str">
        <f>IF(E1322="","Unmapped",IFERROR(INDEX(Supplier_Lookup!$B$2:$B$25,MATCH(E1322,Supplier_Lookup!$A$2:$A$25,0)),"Unmapped"))</f>
        <v>Medical Supplies</v>
      </c>
      <c r="Q1322" s="76">
        <f>IFERROR(INDEX(Category_Targets!$B$2:$B$9,MATCH(F1322,Category_Targets!$A$2:$A$9,0)),0)</f>
        <v>0.06</v>
      </c>
      <c r="R1322" s="125">
        <f t="shared" si="61"/>
        <v>185.69639999999998</v>
      </c>
      <c r="S1322" s="78">
        <f t="shared" si="62"/>
        <v>45778</v>
      </c>
      <c r="T1322" t="str">
        <f>IFERROR(VLOOKUP(B1322,Sites!$A$2:$D$21,4,FALSE()),"Unknown")</f>
        <v>Sheffield</v>
      </c>
      <c r="U1322" t="str">
        <f>IF(N1322="OK","",COUNTIF($N$2:N1322,"&lt;&gt;OK"))</f>
        <v/>
      </c>
      <c r="V1322">
        <f>IF(OR(NOT(EXACT(E1322,TRIM(Procurement_Raw!E1322))),NOT(EXACT(F1322,TRIM(Procurement_Raw!F1322)))),1,0)</f>
        <v>0</v>
      </c>
    </row>
    <row r="1323" spans="1:22" ht="15" customHeight="1" x14ac:dyDescent="0.25">
      <c r="A1323" s="123">
        <f>Procurement_Raw!A1323</f>
        <v>45770</v>
      </c>
      <c r="B1323" t="str">
        <f>TRIM(Procurement_Raw!B1323)</f>
        <v>S018</v>
      </c>
      <c r="C1323" t="str">
        <f>Procurement_Raw!C1323</f>
        <v>Newport Care &amp; Education Centre</v>
      </c>
      <c r="D1323" t="str">
        <f>Procurement_Raw!D1323</f>
        <v>Wales</v>
      </c>
      <c r="E1323" t="str">
        <f>IF(TRIM(Procurement_Raw!E1323)="","",IFERROR(INDEX(Supplier_Lookup!$A$2:$A$25,MATCH(TRIM(Procurement_Raw!E1323),Supplier_Lookup!$A$2:$A$25,0)),TRIM(Procurement_Raw!E1323)))</f>
        <v>PowerDirect</v>
      </c>
      <c r="F1323" t="str">
        <f>IFERROR(INDEX(Category_Targets!$A$2:$A$9,MATCH(TRIM(Procurement_Raw!F1323),Category_Targets!$A$2:$A$9,0)),"Unmapped")</f>
        <v>Utilities</v>
      </c>
      <c r="G1323" t="str">
        <f>TRIM(Procurement_Raw!G1323)</f>
        <v>INV-2025-01322</v>
      </c>
      <c r="H1323" s="77">
        <f>Procurement_Raw!H1323</f>
        <v>76</v>
      </c>
      <c r="I1323" s="124">
        <f>Procurement_Raw!I1323</f>
        <v>334.55</v>
      </c>
      <c r="J1323" s="125">
        <f>IF(Procurement_Raw!J1323="","",Procurement_Raw!J1323)</f>
        <v>25425.94</v>
      </c>
      <c r="K1323" s="77">
        <f>Procurement_Raw!K1323</f>
        <v>60</v>
      </c>
      <c r="L1323" t="str">
        <f>Procurement_Raw!L1323</f>
        <v>Procurement Portal</v>
      </c>
      <c r="M1323" t="str">
        <f>Procurement_Raw!O1323</f>
        <v>N</v>
      </c>
      <c r="N1323" t="str">
        <f>IF(E1323="","Missing supplier",IF(B1323="","Missing site",IF(J1323="","Missing spend",IF(COUNTIFS($G$2:G1323,G1323,$E$2:E1323,E1323,$J$2:J1323,J1323)&gt;1,"Duplicate invoice",IF(COUNTIF($G$2:$G$1801,G1323)&gt;1,"Duplicate ID - review",IF(AND(P1323&lt;&gt;"Unmapped",P1323&lt;&gt;F1323),"Category mismatch","OK"))))))</f>
        <v>OK</v>
      </c>
      <c r="O1323" s="125">
        <f t="shared" si="60"/>
        <v>25425.94</v>
      </c>
      <c r="P1323" t="str">
        <f>IF(E1323="","Unmapped",IFERROR(INDEX(Supplier_Lookup!$B$2:$B$25,MATCH(E1323,Supplier_Lookup!$A$2:$A$25,0)),"Unmapped"))</f>
        <v>Utilities</v>
      </c>
      <c r="Q1323" s="76">
        <f>IFERROR(INDEX(Category_Targets!$B$2:$B$9,MATCH(F1323,Category_Targets!$A$2:$A$9,0)),0)</f>
        <v>0.03</v>
      </c>
      <c r="R1323" s="125">
        <f t="shared" si="61"/>
        <v>762.77819999999997</v>
      </c>
      <c r="S1323" s="78">
        <f t="shared" si="62"/>
        <v>45748</v>
      </c>
      <c r="T1323" t="str">
        <f>IFERROR(VLOOKUP(B1323,Sites!$A$2:$D$21,4,FALSE()),"Unknown")</f>
        <v>Newport</v>
      </c>
      <c r="U1323" t="str">
        <f>IF(N1323="OK","",COUNTIF($N$2:N1323,"&lt;&gt;OK"))</f>
        <v/>
      </c>
      <c r="V1323">
        <f>IF(OR(NOT(EXACT(E1323,TRIM(Procurement_Raw!E1323))),NOT(EXACT(F1323,TRIM(Procurement_Raw!F1323)))),1,0)</f>
        <v>0</v>
      </c>
    </row>
    <row r="1324" spans="1:22" ht="15" customHeight="1" x14ac:dyDescent="0.25">
      <c r="A1324" s="123">
        <f>Procurement_Raw!A1324</f>
        <v>45808</v>
      </c>
      <c r="B1324" t="str">
        <f>TRIM(Procurement_Raw!B1324)</f>
        <v>S003</v>
      </c>
      <c r="C1324" t="str">
        <f>Procurement_Raw!C1324</f>
        <v>Leeds Care &amp; Education Centre</v>
      </c>
      <c r="D1324" t="str">
        <f>Procurement_Raw!D1324</f>
        <v>North</v>
      </c>
      <c r="E1324" t="str">
        <f>IF(TRIM(Procurement_Raw!E1324)="","",IFERROR(INDEX(Supplier_Lookup!$A$2:$A$25,MATCH(TRIM(Procurement_Raw!E1324),Supplier_Lookup!$A$2:$A$25,0)),TRIM(Procurement_Raw!E1324)))</f>
        <v>OfficePlus</v>
      </c>
      <c r="F1324" t="str">
        <f>IFERROR(INDEX(Category_Targets!$A$2:$A$9,MATCH(TRIM(Procurement_Raw!F1324),Category_Targets!$A$2:$A$9,0)),"Unmapped")</f>
        <v>Office &amp; Training</v>
      </c>
      <c r="G1324" t="str">
        <f>TRIM(Procurement_Raw!G1324)</f>
        <v>INV-2025-01323</v>
      </c>
      <c r="H1324" s="77">
        <f>Procurement_Raw!H1324</f>
        <v>50</v>
      </c>
      <c r="I1324" s="124">
        <f>Procurement_Raw!I1324</f>
        <v>72.150000000000006</v>
      </c>
      <c r="J1324" s="125">
        <f>IF(Procurement_Raw!J1324="","",Procurement_Raw!J1324)</f>
        <v>3607.38</v>
      </c>
      <c r="K1324" s="77">
        <f>Procurement_Raw!K1324</f>
        <v>45</v>
      </c>
      <c r="L1324" t="str">
        <f>Procurement_Raw!L1324</f>
        <v>Legacy Spend File</v>
      </c>
      <c r="M1324" t="str">
        <f>Procurement_Raw!O1324</f>
        <v>N</v>
      </c>
      <c r="N1324" t="str">
        <f>IF(E1324="","Missing supplier",IF(B1324="","Missing site",IF(J1324="","Missing spend",IF(COUNTIFS($G$2:G1324,G1324,$E$2:E1324,E1324,$J$2:J1324,J1324)&gt;1,"Duplicate invoice",IF(COUNTIF($G$2:$G$1801,G1324)&gt;1,"Duplicate ID - review",IF(AND(P1324&lt;&gt;"Unmapped",P1324&lt;&gt;F1324),"Category mismatch","OK"))))))</f>
        <v>OK</v>
      </c>
      <c r="O1324" s="125">
        <f t="shared" si="60"/>
        <v>3607.38</v>
      </c>
      <c r="P1324" t="str">
        <f>IF(E1324="","Unmapped",IFERROR(INDEX(Supplier_Lookup!$B$2:$B$25,MATCH(E1324,Supplier_Lookup!$A$2:$A$25,0)),"Unmapped"))</f>
        <v>Office &amp; Training</v>
      </c>
      <c r="Q1324" s="76">
        <f>IFERROR(INDEX(Category_Targets!$B$2:$B$9,MATCH(F1324,Category_Targets!$A$2:$A$9,0)),0)</f>
        <v>0.04</v>
      </c>
      <c r="R1324" s="125">
        <f t="shared" si="61"/>
        <v>144.29519999999999</v>
      </c>
      <c r="S1324" s="78">
        <f t="shared" si="62"/>
        <v>45778</v>
      </c>
      <c r="T1324" t="str">
        <f>IFERROR(VLOOKUP(B1324,Sites!$A$2:$D$21,4,FALSE()),"Unknown")</f>
        <v>Leeds</v>
      </c>
      <c r="U1324" t="str">
        <f>IF(N1324="OK","",COUNTIF($N$2:N1324,"&lt;&gt;OK"))</f>
        <v/>
      </c>
      <c r="V1324">
        <f>IF(OR(NOT(EXACT(E1324,TRIM(Procurement_Raw!E1324))),NOT(EXACT(F1324,TRIM(Procurement_Raw!F1324)))),1,0)</f>
        <v>0</v>
      </c>
    </row>
    <row r="1325" spans="1:22" ht="15" customHeight="1" x14ac:dyDescent="0.25">
      <c r="A1325" s="123">
        <f>Procurement_Raw!A1325</f>
        <v>45740</v>
      </c>
      <c r="B1325" t="str">
        <f>TRIM(Procurement_Raw!B1325)</f>
        <v>S019</v>
      </c>
      <c r="C1325" t="str">
        <f>Procurement_Raw!C1325</f>
        <v>Wrexham Care &amp; Education Centre</v>
      </c>
      <c r="D1325" t="str">
        <f>Procurement_Raw!D1325</f>
        <v>Wales</v>
      </c>
      <c r="E1325" t="str">
        <f>IF(TRIM(Procurement_Raw!E1325)="","",IFERROR(INDEX(Supplier_Lookup!$A$2:$A$25,MATCH(TRIM(Procurement_Raw!E1325),Supplier_Lookup!$A$2:$A$25,0)),TRIM(Procurement_Raw!E1325)))</f>
        <v>RoadReady</v>
      </c>
      <c r="F1325" t="str">
        <f>IFERROR(INDEX(Category_Targets!$A$2:$A$9,MATCH(TRIM(Procurement_Raw!F1325),Category_Targets!$A$2:$A$9,0)),"Unmapped")</f>
        <v>Vehicle &amp; Fuel</v>
      </c>
      <c r="G1325" t="str">
        <f>TRIM(Procurement_Raw!G1325)</f>
        <v>INV-2025-01324</v>
      </c>
      <c r="H1325" s="77">
        <f>Procurement_Raw!H1325</f>
        <v>80</v>
      </c>
      <c r="I1325" s="124">
        <f>Procurement_Raw!I1325</f>
        <v>124.15</v>
      </c>
      <c r="J1325" s="125">
        <f>IF(Procurement_Raw!J1325="","",Procurement_Raw!J1325)</f>
        <v>9931.6299999999992</v>
      </c>
      <c r="K1325" s="77">
        <f>Procurement_Raw!K1325</f>
        <v>30</v>
      </c>
      <c r="L1325" t="str">
        <f>Procurement_Raw!L1325</f>
        <v>Procurement Portal</v>
      </c>
      <c r="M1325" t="str">
        <f>Procurement_Raw!O1325</f>
        <v>N</v>
      </c>
      <c r="N1325" t="str">
        <f>IF(E1325="","Missing supplier",IF(B1325="","Missing site",IF(J1325="","Missing spend",IF(COUNTIFS($G$2:G1325,G1325,$E$2:E1325,E1325,$J$2:J1325,J1325)&gt;1,"Duplicate invoice",IF(COUNTIF($G$2:$G$1801,G1325)&gt;1,"Duplicate ID - review",IF(AND(P1325&lt;&gt;"Unmapped",P1325&lt;&gt;F1325),"Category mismatch","OK"))))))</f>
        <v>OK</v>
      </c>
      <c r="O1325" s="125">
        <f t="shared" si="60"/>
        <v>9931.6299999999992</v>
      </c>
      <c r="P1325" t="str">
        <f>IF(E1325="","Unmapped",IFERROR(INDEX(Supplier_Lookup!$B$2:$B$25,MATCH(E1325,Supplier_Lookup!$A$2:$A$25,0)),"Unmapped"))</f>
        <v>Vehicle &amp; Fuel</v>
      </c>
      <c r="Q1325" s="76">
        <f>IFERROR(INDEX(Category_Targets!$B$2:$B$9,MATCH(F1325,Category_Targets!$A$2:$A$9,0)),0)</f>
        <v>0.05</v>
      </c>
      <c r="R1325" s="125">
        <f t="shared" si="61"/>
        <v>496.58150000000001</v>
      </c>
      <c r="S1325" s="78">
        <f t="shared" si="62"/>
        <v>45717</v>
      </c>
      <c r="T1325" t="str">
        <f>IFERROR(VLOOKUP(B1325,Sites!$A$2:$D$21,4,FALSE()),"Unknown")</f>
        <v>Wrexham</v>
      </c>
      <c r="U1325" t="str">
        <f>IF(N1325="OK","",COUNTIF($N$2:N1325,"&lt;&gt;OK"))</f>
        <v/>
      </c>
      <c r="V1325">
        <f>IF(OR(NOT(EXACT(E1325,TRIM(Procurement_Raw!E1325))),NOT(EXACT(F1325,TRIM(Procurement_Raw!F1325)))),1,0)</f>
        <v>0</v>
      </c>
    </row>
    <row r="1326" spans="1:22" ht="15" customHeight="1" x14ac:dyDescent="0.25">
      <c r="A1326" s="123">
        <f>Procurement_Raw!A1326</f>
        <v>45905</v>
      </c>
      <c r="B1326" t="str">
        <f>TRIM(Procurement_Raw!B1326)</f>
        <v>S006</v>
      </c>
      <c r="C1326" t="str">
        <f>Procurement_Raw!C1326</f>
        <v>Birmingham Care &amp; Education Centre</v>
      </c>
      <c r="D1326" t="str">
        <f>Procurement_Raw!D1326</f>
        <v>Midlands</v>
      </c>
      <c r="E1326" t="str">
        <f>IF(TRIM(Procurement_Raw!E1326)="","",IFERROR(INDEX(Supplier_Lookup!$A$2:$A$25,MATCH(TRIM(Procurement_Raw!E1326),Supplier_Lookup!$A$2:$A$25,0)),TRIM(Procurement_Raw!E1326)))</f>
        <v>KitchenPro</v>
      </c>
      <c r="F1326" t="str">
        <f>IFERROR(INDEX(Category_Targets!$A$2:$A$9,MATCH(TRIM(Procurement_Raw!F1326),Category_Targets!$A$2:$A$9,0)),"Unmapped")</f>
        <v>Food &amp; Catering</v>
      </c>
      <c r="G1326" t="str">
        <f>TRIM(Procurement_Raw!G1326)</f>
        <v>INV-2025-01325</v>
      </c>
      <c r="H1326" s="77">
        <f>Procurement_Raw!H1326</f>
        <v>17</v>
      </c>
      <c r="I1326" s="124">
        <f>Procurement_Raw!I1326</f>
        <v>67.349999999999994</v>
      </c>
      <c r="J1326" s="125">
        <f>IF(Procurement_Raw!J1326="","",Procurement_Raw!J1326)</f>
        <v>1144.8900000000001</v>
      </c>
      <c r="K1326" s="77">
        <f>Procurement_Raw!K1326</f>
        <v>30</v>
      </c>
      <c r="L1326" t="str">
        <f>Procurement_Raw!L1326</f>
        <v>ERP</v>
      </c>
      <c r="M1326" t="str">
        <f>Procurement_Raw!O1326</f>
        <v>N</v>
      </c>
      <c r="N1326" t="str">
        <f>IF(E1326="","Missing supplier",IF(B1326="","Missing site",IF(J1326="","Missing spend",IF(COUNTIFS($G$2:G1326,G1326,$E$2:E1326,E1326,$J$2:J1326,J1326)&gt;1,"Duplicate invoice",IF(COUNTIF($G$2:$G$1801,G1326)&gt;1,"Duplicate ID - review",IF(AND(P1326&lt;&gt;"Unmapped",P1326&lt;&gt;F1326),"Category mismatch","OK"))))))</f>
        <v>OK</v>
      </c>
      <c r="O1326" s="125">
        <f t="shared" si="60"/>
        <v>1144.8900000000001</v>
      </c>
      <c r="P1326" t="str">
        <f>IF(E1326="","Unmapped",IFERROR(INDEX(Supplier_Lookup!$B$2:$B$25,MATCH(E1326,Supplier_Lookup!$A$2:$A$25,0)),"Unmapped"))</f>
        <v>Food &amp; Catering</v>
      </c>
      <c r="Q1326" s="76">
        <f>IFERROR(INDEX(Category_Targets!$B$2:$B$9,MATCH(F1326,Category_Targets!$A$2:$A$9,0)),0)</f>
        <v>0.04</v>
      </c>
      <c r="R1326" s="125">
        <f t="shared" si="61"/>
        <v>45.795600000000007</v>
      </c>
      <c r="S1326" s="78">
        <f t="shared" si="62"/>
        <v>45901</v>
      </c>
      <c r="T1326" t="str">
        <f>IFERROR(VLOOKUP(B1326,Sites!$A$2:$D$21,4,FALSE()),"Unknown")</f>
        <v>Birmingham</v>
      </c>
      <c r="U1326" t="str">
        <f>IF(N1326="OK","",COUNTIF($N$2:N1326,"&lt;&gt;OK"))</f>
        <v/>
      </c>
      <c r="V1326">
        <f>IF(OR(NOT(EXACT(E1326,TRIM(Procurement_Raw!E1326))),NOT(EXACT(F1326,TRIM(Procurement_Raw!F1326)))),1,0)</f>
        <v>0</v>
      </c>
    </row>
    <row r="1327" spans="1:22" ht="15" customHeight="1" x14ac:dyDescent="0.25">
      <c r="A1327" s="123">
        <f>Procurement_Raw!A1327</f>
        <v>45870</v>
      </c>
      <c r="B1327" t="str">
        <f>TRIM(Procurement_Raw!B1327)</f>
        <v>S019</v>
      </c>
      <c r="C1327" t="str">
        <f>Procurement_Raw!C1327</f>
        <v>Wrexham Care &amp; Education Centre</v>
      </c>
      <c r="D1327" t="str">
        <f>Procurement_Raw!D1327</f>
        <v>Wales</v>
      </c>
      <c r="E1327" t="str">
        <f>IF(TRIM(Procurement_Raw!E1327)="","",IFERROR(INDEX(Supplier_Lookup!$A$2:$A$25,MATCH(TRIM(Procurement_Raw!E1327),Supplier_Lookup!$A$2:$A$25,0)),TRIM(Procurement_Raw!E1327)))</f>
        <v>OfficePlus</v>
      </c>
      <c r="F1327" t="str">
        <f>IFERROR(INDEX(Category_Targets!$A$2:$A$9,MATCH(TRIM(Procurement_Raw!F1327),Category_Targets!$A$2:$A$9,0)),"Unmapped")</f>
        <v>Office &amp; Training</v>
      </c>
      <c r="G1327" t="str">
        <f>TRIM(Procurement_Raw!G1327)</f>
        <v>INV-2025-01326</v>
      </c>
      <c r="H1327" s="77">
        <f>Procurement_Raw!H1327</f>
        <v>64</v>
      </c>
      <c r="I1327" s="124">
        <f>Procurement_Raw!I1327</f>
        <v>25.3</v>
      </c>
      <c r="J1327" s="125">
        <f>IF(Procurement_Raw!J1327="","",Procurement_Raw!J1327)</f>
        <v>1619.49</v>
      </c>
      <c r="K1327" s="77">
        <f>Procurement_Raw!K1327</f>
        <v>45</v>
      </c>
      <c r="L1327" t="str">
        <f>Procurement_Raw!L1327</f>
        <v>ERP</v>
      </c>
      <c r="M1327" t="str">
        <f>Procurement_Raw!O1327</f>
        <v>N</v>
      </c>
      <c r="N1327" t="str">
        <f>IF(E1327="","Missing supplier",IF(B1327="","Missing site",IF(J1327="","Missing spend",IF(COUNTIFS($G$2:G1327,G1327,$E$2:E1327,E1327,$J$2:J1327,J1327)&gt;1,"Duplicate invoice",IF(COUNTIF($G$2:$G$1801,G1327)&gt;1,"Duplicate ID - review",IF(AND(P1327&lt;&gt;"Unmapped",P1327&lt;&gt;F1327),"Category mismatch","OK"))))))</f>
        <v>OK</v>
      </c>
      <c r="O1327" s="125">
        <f t="shared" si="60"/>
        <v>1619.49</v>
      </c>
      <c r="P1327" t="str">
        <f>IF(E1327="","Unmapped",IFERROR(INDEX(Supplier_Lookup!$B$2:$B$25,MATCH(E1327,Supplier_Lookup!$A$2:$A$25,0)),"Unmapped"))</f>
        <v>Office &amp; Training</v>
      </c>
      <c r="Q1327" s="76">
        <f>IFERROR(INDEX(Category_Targets!$B$2:$B$9,MATCH(F1327,Category_Targets!$A$2:$A$9,0)),0)</f>
        <v>0.04</v>
      </c>
      <c r="R1327" s="125">
        <f t="shared" si="61"/>
        <v>64.779600000000002</v>
      </c>
      <c r="S1327" s="78">
        <f t="shared" si="62"/>
        <v>45870</v>
      </c>
      <c r="T1327" t="str">
        <f>IFERROR(VLOOKUP(B1327,Sites!$A$2:$D$21,4,FALSE()),"Unknown")</f>
        <v>Wrexham</v>
      </c>
      <c r="U1327" t="str">
        <f>IF(N1327="OK","",COUNTIF($N$2:N1327,"&lt;&gt;OK"))</f>
        <v/>
      </c>
      <c r="V1327">
        <f>IF(OR(NOT(EXACT(E1327,TRIM(Procurement_Raw!E1327))),NOT(EXACT(F1327,TRIM(Procurement_Raw!F1327)))),1,0)</f>
        <v>0</v>
      </c>
    </row>
    <row r="1328" spans="1:22" ht="15" customHeight="1" x14ac:dyDescent="0.25">
      <c r="A1328" s="123">
        <f>Procurement_Raw!A1328</f>
        <v>45841</v>
      </c>
      <c r="B1328" t="str">
        <f>TRIM(Procurement_Raw!B1328)</f>
        <v>S011</v>
      </c>
      <c r="C1328" t="str">
        <f>Procurement_Raw!C1328</f>
        <v>London Care &amp; Education Centre</v>
      </c>
      <c r="D1328" t="str">
        <f>Procurement_Raw!D1328</f>
        <v>South</v>
      </c>
      <c r="E1328" t="str">
        <f>IF(TRIM(Procurement_Raw!E1328)="","",IFERROR(INDEX(Supplier_Lookup!$A$2:$A$25,MATCH(TRIM(Procurement_Raw!E1328),Supplier_Lookup!$A$2:$A$25,0)),TRIM(Procurement_Raw!E1328)))</f>
        <v>MediSure</v>
      </c>
      <c r="F1328" t="str">
        <f>IFERROR(INDEX(Category_Targets!$A$2:$A$9,MATCH(TRIM(Procurement_Raw!F1328),Category_Targets!$A$2:$A$9,0)),"Unmapped")</f>
        <v>Medical Supplies</v>
      </c>
      <c r="G1328" t="str">
        <f>TRIM(Procurement_Raw!G1328)</f>
        <v>INV-2025-01327</v>
      </c>
      <c r="H1328" s="77">
        <f>Procurement_Raw!H1328</f>
        <v>34</v>
      </c>
      <c r="I1328" s="124">
        <f>Procurement_Raw!I1328</f>
        <v>71.58</v>
      </c>
      <c r="J1328" s="125">
        <f>IF(Procurement_Raw!J1328="","",Procurement_Raw!J1328)</f>
        <v>2433.8200000000002</v>
      </c>
      <c r="K1328" s="77">
        <f>Procurement_Raw!K1328</f>
        <v>45</v>
      </c>
      <c r="L1328" t="str">
        <f>Procurement_Raw!L1328</f>
        <v>Legacy Spend File</v>
      </c>
      <c r="M1328" t="str">
        <f>Procurement_Raw!O1328</f>
        <v>Y</v>
      </c>
      <c r="N1328" t="str">
        <f>IF(E1328="","Missing supplier",IF(B1328="","Missing site",IF(J1328="","Missing spend",IF(COUNTIFS($G$2:G1328,G1328,$E$2:E1328,E1328,$J$2:J1328,J1328)&gt;1,"Duplicate invoice",IF(COUNTIF($G$2:$G$1801,G1328)&gt;1,"Duplicate ID - review",IF(AND(P1328&lt;&gt;"Unmapped",P1328&lt;&gt;F1328),"Category mismatch","OK"))))))</f>
        <v>OK</v>
      </c>
      <c r="O1328" s="125">
        <f t="shared" si="60"/>
        <v>2433.8200000000002</v>
      </c>
      <c r="P1328" t="str">
        <f>IF(E1328="","Unmapped",IFERROR(INDEX(Supplier_Lookup!$B$2:$B$25,MATCH(E1328,Supplier_Lookup!$A$2:$A$25,0)),"Unmapped"))</f>
        <v>Medical Supplies</v>
      </c>
      <c r="Q1328" s="76">
        <f>IFERROR(INDEX(Category_Targets!$B$2:$B$9,MATCH(F1328,Category_Targets!$A$2:$A$9,0)),0)</f>
        <v>0.06</v>
      </c>
      <c r="R1328" s="125">
        <f t="shared" si="61"/>
        <v>146.0292</v>
      </c>
      <c r="S1328" s="78">
        <f t="shared" si="62"/>
        <v>45839</v>
      </c>
      <c r="T1328" t="str">
        <f>IFERROR(VLOOKUP(B1328,Sites!$A$2:$D$21,4,FALSE()),"Unknown")</f>
        <v>London</v>
      </c>
      <c r="U1328" t="str">
        <f>IF(N1328="OK","",COUNTIF($N$2:N1328,"&lt;&gt;OK"))</f>
        <v/>
      </c>
      <c r="V1328">
        <f>IF(OR(NOT(EXACT(E1328,TRIM(Procurement_Raw!E1328))),NOT(EXACT(F1328,TRIM(Procurement_Raw!F1328)))),1,0)</f>
        <v>0</v>
      </c>
    </row>
    <row r="1329" spans="1:22" ht="15" customHeight="1" x14ac:dyDescent="0.25">
      <c r="A1329" s="123">
        <f>Procurement_Raw!A1329</f>
        <v>45674</v>
      </c>
      <c r="B1329" t="str">
        <f>TRIM(Procurement_Raw!B1329)</f>
        <v>S012</v>
      </c>
      <c r="C1329" t="str">
        <f>Procurement_Raw!C1329</f>
        <v>Bristol Care &amp; Education Centre</v>
      </c>
      <c r="D1329" t="str">
        <f>Procurement_Raw!D1329</f>
        <v>South</v>
      </c>
      <c r="E1329" t="str">
        <f>IF(TRIM(Procurement_Raw!E1329)="","",IFERROR(INDEX(Supplier_Lookup!$A$2:$A$25,MATCH(TRIM(Procurement_Raw!E1329),Supplier_Lookup!$A$2:$A$25,0)),TRIM(Procurement_Raw!E1329)))</f>
        <v>BuildCare</v>
      </c>
      <c r="F1329" t="str">
        <f>IFERROR(INDEX(Category_Targets!$A$2:$A$9,MATCH(TRIM(Procurement_Raw!F1329),Category_Targets!$A$2:$A$9,0)),"Unmapped")</f>
        <v>Facilities</v>
      </c>
      <c r="G1329" t="str">
        <f>TRIM(Procurement_Raw!G1329)</f>
        <v>INV-2025-01328</v>
      </c>
      <c r="H1329" s="77">
        <f>Procurement_Raw!H1329</f>
        <v>9</v>
      </c>
      <c r="I1329" s="124">
        <f>Procurement_Raw!I1329</f>
        <v>166.29</v>
      </c>
      <c r="J1329" s="125">
        <f>IF(Procurement_Raw!J1329="","",Procurement_Raw!J1329)</f>
        <v>1496.57</v>
      </c>
      <c r="K1329" s="77">
        <f>Procurement_Raw!K1329</f>
        <v>45</v>
      </c>
      <c r="L1329" t="str">
        <f>Procurement_Raw!L1329</f>
        <v>Procurement Portal</v>
      </c>
      <c r="M1329" t="str">
        <f>Procurement_Raw!O1329</f>
        <v>N</v>
      </c>
      <c r="N1329" t="str">
        <f>IF(E1329="","Missing supplier",IF(B1329="","Missing site",IF(J1329="","Missing spend",IF(COUNTIFS($G$2:G1329,G1329,$E$2:E1329,E1329,$J$2:J1329,J1329)&gt;1,"Duplicate invoice",IF(COUNTIF($G$2:$G$1801,G1329)&gt;1,"Duplicate ID - review",IF(AND(P1329&lt;&gt;"Unmapped",P1329&lt;&gt;F1329),"Category mismatch","OK"))))))</f>
        <v>OK</v>
      </c>
      <c r="O1329" s="125">
        <f t="shared" si="60"/>
        <v>1496.57</v>
      </c>
      <c r="P1329" t="str">
        <f>IF(E1329="","Unmapped",IFERROR(INDEX(Supplier_Lookup!$B$2:$B$25,MATCH(E1329,Supplier_Lookup!$A$2:$A$25,0)),"Unmapped"))</f>
        <v>Facilities</v>
      </c>
      <c r="Q1329" s="76">
        <f>IFERROR(INDEX(Category_Targets!$B$2:$B$9,MATCH(F1329,Category_Targets!$A$2:$A$9,0)),0)</f>
        <v>0.05</v>
      </c>
      <c r="R1329" s="125">
        <f t="shared" si="61"/>
        <v>74.828500000000005</v>
      </c>
      <c r="S1329" s="78">
        <f t="shared" si="62"/>
        <v>45658</v>
      </c>
      <c r="T1329" t="str">
        <f>IFERROR(VLOOKUP(B1329,Sites!$A$2:$D$21,4,FALSE()),"Unknown")</f>
        <v>Bristol</v>
      </c>
      <c r="U1329" t="str">
        <f>IF(N1329="OK","",COUNTIF($N$2:N1329,"&lt;&gt;OK"))</f>
        <v/>
      </c>
      <c r="V1329">
        <f>IF(OR(NOT(EXACT(E1329,TRIM(Procurement_Raw!E1329))),NOT(EXACT(F1329,TRIM(Procurement_Raw!F1329)))),1,0)</f>
        <v>0</v>
      </c>
    </row>
    <row r="1330" spans="1:22" ht="15" customHeight="1" x14ac:dyDescent="0.25">
      <c r="A1330" s="123">
        <f>Procurement_Raw!A1330</f>
        <v>45945</v>
      </c>
      <c r="B1330" t="str">
        <f>TRIM(Procurement_Raw!B1330)</f>
        <v>S018</v>
      </c>
      <c r="C1330" t="str">
        <f>Procurement_Raw!C1330</f>
        <v>Newport Care &amp; Education Centre</v>
      </c>
      <c r="D1330" t="str">
        <f>Procurement_Raw!D1330</f>
        <v>Wales</v>
      </c>
      <c r="E1330" t="str">
        <f>IF(TRIM(Procurement_Raw!E1330)="","",IFERROR(INDEX(Supplier_Lookup!$A$2:$A$25,MATCH(TRIM(Procurement_Raw!E1330),Supplier_Lookup!$A$2:$A$25,0)),TRIM(Procurement_Raw!E1330)))</f>
        <v>UK Energy Partners</v>
      </c>
      <c r="F1330" t="str">
        <f>IFERROR(INDEX(Category_Targets!$A$2:$A$9,MATCH(TRIM(Procurement_Raw!F1330),Category_Targets!$A$2:$A$9,0)),"Unmapped")</f>
        <v>Utilities</v>
      </c>
      <c r="G1330" t="str">
        <f>TRIM(Procurement_Raw!G1330)</f>
        <v>INV-2025-01329</v>
      </c>
      <c r="H1330" s="77">
        <f>Procurement_Raw!H1330</f>
        <v>29</v>
      </c>
      <c r="I1330" s="124">
        <f>Procurement_Raw!I1330</f>
        <v>128.53</v>
      </c>
      <c r="J1330" s="125">
        <f>IF(Procurement_Raw!J1330="","",Procurement_Raw!J1330)</f>
        <v>3727.25</v>
      </c>
      <c r="K1330" s="77">
        <f>Procurement_Raw!K1330</f>
        <v>45</v>
      </c>
      <c r="L1330" t="str">
        <f>Procurement_Raw!L1330</f>
        <v>Procurement Portal</v>
      </c>
      <c r="M1330" t="str">
        <f>Procurement_Raw!O1330</f>
        <v>N</v>
      </c>
      <c r="N1330" t="str">
        <f>IF(E1330="","Missing supplier",IF(B1330="","Missing site",IF(J1330="","Missing spend",IF(COUNTIFS($G$2:G1330,G1330,$E$2:E1330,E1330,$J$2:J1330,J1330)&gt;1,"Duplicate invoice",IF(COUNTIF($G$2:$G$1801,G1330)&gt;1,"Duplicate ID - review",IF(AND(P1330&lt;&gt;"Unmapped",P1330&lt;&gt;F1330),"Category mismatch","OK"))))))</f>
        <v>OK</v>
      </c>
      <c r="O1330" s="125">
        <f t="shared" si="60"/>
        <v>3727.25</v>
      </c>
      <c r="P1330" t="str">
        <f>IF(E1330="","Unmapped",IFERROR(INDEX(Supplier_Lookup!$B$2:$B$25,MATCH(E1330,Supplier_Lookup!$A$2:$A$25,0)),"Unmapped"))</f>
        <v>Utilities</v>
      </c>
      <c r="Q1330" s="76">
        <f>IFERROR(INDEX(Category_Targets!$B$2:$B$9,MATCH(F1330,Category_Targets!$A$2:$A$9,0)),0)</f>
        <v>0.03</v>
      </c>
      <c r="R1330" s="125">
        <f t="shared" si="61"/>
        <v>111.8175</v>
      </c>
      <c r="S1330" s="78">
        <f t="shared" si="62"/>
        <v>45931</v>
      </c>
      <c r="T1330" t="str">
        <f>IFERROR(VLOOKUP(B1330,Sites!$A$2:$D$21,4,FALSE()),"Unknown")</f>
        <v>Newport</v>
      </c>
      <c r="U1330" t="str">
        <f>IF(N1330="OK","",COUNTIF($N$2:N1330,"&lt;&gt;OK"))</f>
        <v/>
      </c>
      <c r="V1330">
        <f>IF(OR(NOT(EXACT(E1330,TRIM(Procurement_Raw!E1330))),NOT(EXACT(F1330,TRIM(Procurement_Raw!F1330)))),1,0)</f>
        <v>0</v>
      </c>
    </row>
    <row r="1331" spans="1:22" ht="15" customHeight="1" x14ac:dyDescent="0.25">
      <c r="A1331" s="123">
        <f>Procurement_Raw!A1331</f>
        <v>45943</v>
      </c>
      <c r="B1331" t="str">
        <f>TRIM(Procurement_Raw!B1331)</f>
        <v>S003</v>
      </c>
      <c r="C1331" t="str">
        <f>Procurement_Raw!C1331</f>
        <v>Leeds Care &amp; Education Centre</v>
      </c>
      <c r="D1331" t="str">
        <f>Procurement_Raw!D1331</f>
        <v>North</v>
      </c>
      <c r="E1331" t="str">
        <f>IF(TRIM(Procurement_Raw!E1331)="","",IFERROR(INDEX(Supplier_Lookup!$A$2:$A$25,MATCH(TRIM(Procurement_Raw!E1331),Supplier_Lookup!$A$2:$A$25,0)),TRIM(Procurement_Raw!E1331)))</f>
        <v>FleetFuel</v>
      </c>
      <c r="F1331" t="str">
        <f>IFERROR(INDEX(Category_Targets!$A$2:$A$9,MATCH(TRIM(Procurement_Raw!F1331),Category_Targets!$A$2:$A$9,0)),"Unmapped")</f>
        <v>Vehicle &amp; Fuel</v>
      </c>
      <c r="G1331" t="str">
        <f>TRIM(Procurement_Raw!G1331)</f>
        <v>INV-2025-01330</v>
      </c>
      <c r="H1331" s="77">
        <f>Procurement_Raw!H1331</f>
        <v>35</v>
      </c>
      <c r="I1331" s="124">
        <f>Procurement_Raw!I1331</f>
        <v>132.13999999999999</v>
      </c>
      <c r="J1331" s="125">
        <f>IF(Procurement_Raw!J1331="","",Procurement_Raw!J1331)</f>
        <v>4624.79</v>
      </c>
      <c r="K1331" s="77">
        <f>Procurement_Raw!K1331</f>
        <v>30</v>
      </c>
      <c r="L1331" t="str">
        <f>Procurement_Raw!L1331</f>
        <v>Legacy Spend File</v>
      </c>
      <c r="M1331" t="str">
        <f>Procurement_Raw!O1331</f>
        <v>Y</v>
      </c>
      <c r="N1331" t="str">
        <f>IF(E1331="","Missing supplier",IF(B1331="","Missing site",IF(J1331="","Missing spend",IF(COUNTIFS($G$2:G1331,G1331,$E$2:E1331,E1331,$J$2:J1331,J1331)&gt;1,"Duplicate invoice",IF(COUNTIF($G$2:$G$1801,G1331)&gt;1,"Duplicate ID - review",IF(AND(P1331&lt;&gt;"Unmapped",P1331&lt;&gt;F1331),"Category mismatch","OK"))))))</f>
        <v>OK</v>
      </c>
      <c r="O1331" s="125">
        <f t="shared" si="60"/>
        <v>4624.79</v>
      </c>
      <c r="P1331" t="str">
        <f>IF(E1331="","Unmapped",IFERROR(INDEX(Supplier_Lookup!$B$2:$B$25,MATCH(E1331,Supplier_Lookup!$A$2:$A$25,0)),"Unmapped"))</f>
        <v>Vehicle &amp; Fuel</v>
      </c>
      <c r="Q1331" s="76">
        <f>IFERROR(INDEX(Category_Targets!$B$2:$B$9,MATCH(F1331,Category_Targets!$A$2:$A$9,0)),0)</f>
        <v>0.05</v>
      </c>
      <c r="R1331" s="125">
        <f t="shared" si="61"/>
        <v>231.23950000000002</v>
      </c>
      <c r="S1331" s="78">
        <f t="shared" si="62"/>
        <v>45931</v>
      </c>
      <c r="T1331" t="str">
        <f>IFERROR(VLOOKUP(B1331,Sites!$A$2:$D$21,4,FALSE()),"Unknown")</f>
        <v>Leeds</v>
      </c>
      <c r="U1331" t="str">
        <f>IF(N1331="OK","",COUNTIF($N$2:N1331,"&lt;&gt;OK"))</f>
        <v/>
      </c>
      <c r="V1331">
        <f>IF(OR(NOT(EXACT(E1331,TRIM(Procurement_Raw!E1331))),NOT(EXACT(F1331,TRIM(Procurement_Raw!F1331)))),1,0)</f>
        <v>0</v>
      </c>
    </row>
    <row r="1332" spans="1:22" ht="15" customHeight="1" x14ac:dyDescent="0.25">
      <c r="A1332" s="123">
        <f>Procurement_Raw!A1332</f>
        <v>45683</v>
      </c>
      <c r="B1332" t="str">
        <f>TRIM(Procurement_Raw!B1332)</f>
        <v>S015</v>
      </c>
      <c r="C1332" t="str">
        <f>Procurement_Raw!C1332</f>
        <v>Brighton Care &amp; Education Centre</v>
      </c>
      <c r="D1332" t="str">
        <f>Procurement_Raw!D1332</f>
        <v>South</v>
      </c>
      <c r="E1332" t="str">
        <f>IF(TRIM(Procurement_Raw!E1332)="","",IFERROR(INDEX(Supplier_Lookup!$A$2:$A$25,MATCH(TRIM(Procurement_Raw!E1332),Supplier_Lookup!$A$2:$A$25,0)),TRIM(Procurement_Raw!E1332)))</f>
        <v>KitchenPro</v>
      </c>
      <c r="F1332" t="str">
        <f>IFERROR(INDEX(Category_Targets!$A$2:$A$9,MATCH(TRIM(Procurement_Raw!F1332),Category_Targets!$A$2:$A$9,0)),"Unmapped")</f>
        <v>Food &amp; Catering</v>
      </c>
      <c r="G1332" t="str">
        <f>TRIM(Procurement_Raw!G1332)</f>
        <v>INV-2025-01331</v>
      </c>
      <c r="H1332" s="77">
        <f>Procurement_Raw!H1332</f>
        <v>57</v>
      </c>
      <c r="I1332" s="124">
        <f>Procurement_Raw!I1332</f>
        <v>150.85</v>
      </c>
      <c r="J1332" s="125">
        <f>IF(Procurement_Raw!J1332="","",Procurement_Raw!J1332)</f>
        <v>8598.57</v>
      </c>
      <c r="K1332" s="77">
        <f>Procurement_Raw!K1332</f>
        <v>45</v>
      </c>
      <c r="L1332" t="str">
        <f>Procurement_Raw!L1332</f>
        <v>ERP</v>
      </c>
      <c r="M1332" t="str">
        <f>Procurement_Raw!O1332</f>
        <v>N</v>
      </c>
      <c r="N1332" t="str">
        <f>IF(E1332="","Missing supplier",IF(B1332="","Missing site",IF(J1332="","Missing spend",IF(COUNTIFS($G$2:G1332,G1332,$E$2:E1332,E1332,$J$2:J1332,J1332)&gt;1,"Duplicate invoice",IF(COUNTIF($G$2:$G$1801,G1332)&gt;1,"Duplicate ID - review",IF(AND(P1332&lt;&gt;"Unmapped",P1332&lt;&gt;F1332),"Category mismatch","OK"))))))</f>
        <v>OK</v>
      </c>
      <c r="O1332" s="125">
        <f t="shared" si="60"/>
        <v>8598.57</v>
      </c>
      <c r="P1332" t="str">
        <f>IF(E1332="","Unmapped",IFERROR(INDEX(Supplier_Lookup!$B$2:$B$25,MATCH(E1332,Supplier_Lookup!$A$2:$A$25,0)),"Unmapped"))</f>
        <v>Food &amp; Catering</v>
      </c>
      <c r="Q1332" s="76">
        <f>IFERROR(INDEX(Category_Targets!$B$2:$B$9,MATCH(F1332,Category_Targets!$A$2:$A$9,0)),0)</f>
        <v>0.04</v>
      </c>
      <c r="R1332" s="125">
        <f t="shared" si="61"/>
        <v>343.94279999999998</v>
      </c>
      <c r="S1332" s="78">
        <f t="shared" si="62"/>
        <v>45658</v>
      </c>
      <c r="T1332" t="str">
        <f>IFERROR(VLOOKUP(B1332,Sites!$A$2:$D$21,4,FALSE()),"Unknown")</f>
        <v>Brighton</v>
      </c>
      <c r="U1332" t="str">
        <f>IF(N1332="OK","",COUNTIF($N$2:N1332,"&lt;&gt;OK"))</f>
        <v/>
      </c>
      <c r="V1332">
        <f>IF(OR(NOT(EXACT(E1332,TRIM(Procurement_Raw!E1332))),NOT(EXACT(F1332,TRIM(Procurement_Raw!F1332)))),1,0)</f>
        <v>0</v>
      </c>
    </row>
    <row r="1333" spans="1:22" ht="15" customHeight="1" x14ac:dyDescent="0.25">
      <c r="A1333" s="123">
        <f>Procurement_Raw!A1333</f>
        <v>45679</v>
      </c>
      <c r="B1333" t="str">
        <f>TRIM(Procurement_Raw!B1333)</f>
        <v>S013</v>
      </c>
      <c r="C1333" t="str">
        <f>Procurement_Raw!C1333</f>
        <v>Reading Care &amp; Education Centre</v>
      </c>
      <c r="D1333" t="str">
        <f>Procurement_Raw!D1333</f>
        <v>South</v>
      </c>
      <c r="E1333" t="str">
        <f>IF(TRIM(Procurement_Raw!E1333)="","",IFERROR(INDEX(Supplier_Lookup!$A$2:$A$25,MATCH(TRIM(Procurement_Raw!E1333),Supplier_Lookup!$A$2:$A$25,0)),TRIM(Procurement_Raw!E1333)))</f>
        <v>KitchenPro</v>
      </c>
      <c r="F1333" t="str">
        <f>IFERROR(INDEX(Category_Targets!$A$2:$A$9,MATCH(TRIM(Procurement_Raw!F1333),Category_Targets!$A$2:$A$9,0)),"Unmapped")</f>
        <v>Food &amp; Catering</v>
      </c>
      <c r="G1333" t="str">
        <f>TRIM(Procurement_Raw!G1333)</f>
        <v>INV-2025-01332</v>
      </c>
      <c r="H1333" s="77">
        <f>Procurement_Raw!H1333</f>
        <v>65</v>
      </c>
      <c r="I1333" s="124">
        <f>Procurement_Raw!I1333</f>
        <v>127.07</v>
      </c>
      <c r="J1333" s="125">
        <f>IF(Procurement_Raw!J1333="","",Procurement_Raw!J1333)</f>
        <v>8259.2900000000009</v>
      </c>
      <c r="K1333" s="77">
        <f>Procurement_Raw!K1333</f>
        <v>30</v>
      </c>
      <c r="L1333" t="str">
        <f>Procurement_Raw!L1333</f>
        <v>ERP</v>
      </c>
      <c r="M1333" t="str">
        <f>Procurement_Raw!O1333</f>
        <v>N</v>
      </c>
      <c r="N1333" t="str">
        <f>IF(E1333="","Missing supplier",IF(B1333="","Missing site",IF(J1333="","Missing spend",IF(COUNTIFS($G$2:G1333,G1333,$E$2:E1333,E1333,$J$2:J1333,J1333)&gt;1,"Duplicate invoice",IF(COUNTIF($G$2:$G$1801,G1333)&gt;1,"Duplicate ID - review",IF(AND(P1333&lt;&gt;"Unmapped",P1333&lt;&gt;F1333),"Category mismatch","OK"))))))</f>
        <v>OK</v>
      </c>
      <c r="O1333" s="125">
        <f t="shared" si="60"/>
        <v>8259.2900000000009</v>
      </c>
      <c r="P1333" t="str">
        <f>IF(E1333="","Unmapped",IFERROR(INDEX(Supplier_Lookup!$B$2:$B$25,MATCH(E1333,Supplier_Lookup!$A$2:$A$25,0)),"Unmapped"))</f>
        <v>Food &amp; Catering</v>
      </c>
      <c r="Q1333" s="76">
        <f>IFERROR(INDEX(Category_Targets!$B$2:$B$9,MATCH(F1333,Category_Targets!$A$2:$A$9,0)),0)</f>
        <v>0.04</v>
      </c>
      <c r="R1333" s="125">
        <f t="shared" si="61"/>
        <v>330.37160000000006</v>
      </c>
      <c r="S1333" s="78">
        <f t="shared" si="62"/>
        <v>45658</v>
      </c>
      <c r="T1333" t="str">
        <f>IFERROR(VLOOKUP(B1333,Sites!$A$2:$D$21,4,FALSE()),"Unknown")</f>
        <v>Reading</v>
      </c>
      <c r="U1333" t="str">
        <f>IF(N1333="OK","",COUNTIF($N$2:N1333,"&lt;&gt;OK"))</f>
        <v/>
      </c>
      <c r="V1333">
        <f>IF(OR(NOT(EXACT(E1333,TRIM(Procurement_Raw!E1333))),NOT(EXACT(F1333,TRIM(Procurement_Raw!F1333)))),1,0)</f>
        <v>0</v>
      </c>
    </row>
    <row r="1334" spans="1:22" ht="15" customHeight="1" x14ac:dyDescent="0.25">
      <c r="A1334" s="123">
        <f>Procurement_Raw!A1334</f>
        <v>45843</v>
      </c>
      <c r="B1334" t="str">
        <f>TRIM(Procurement_Raw!B1334)</f>
        <v>S019</v>
      </c>
      <c r="C1334" t="str">
        <f>Procurement_Raw!C1334</f>
        <v>Wrexham Care &amp; Education Centre</v>
      </c>
      <c r="D1334" t="str">
        <f>Procurement_Raw!D1334</f>
        <v>Wales</v>
      </c>
      <c r="E1334" t="str">
        <f>IF(TRIM(Procurement_Raw!E1334)="","",IFERROR(INDEX(Supplier_Lookup!$A$2:$A$25,MATCH(TRIM(Procurement_Raw!E1334),Supplier_Lookup!$A$2:$A$25,0)),TRIM(Procurement_Raw!E1334)))</f>
        <v>FreshServe</v>
      </c>
      <c r="F1334" t="str">
        <f>IFERROR(INDEX(Category_Targets!$A$2:$A$9,MATCH(TRIM(Procurement_Raw!F1334),Category_Targets!$A$2:$A$9,0)),"Unmapped")</f>
        <v>Food &amp; Catering</v>
      </c>
      <c r="G1334" t="str">
        <f>TRIM(Procurement_Raw!G1334)</f>
        <v>INV-2025-01333</v>
      </c>
      <c r="H1334" s="77">
        <f>Procurement_Raw!H1334</f>
        <v>21</v>
      </c>
      <c r="I1334" s="124">
        <f>Procurement_Raw!I1334</f>
        <v>57.8</v>
      </c>
      <c r="J1334" s="125">
        <f>IF(Procurement_Raw!J1334="","",Procurement_Raw!J1334)</f>
        <v>1213.81</v>
      </c>
      <c r="K1334" s="77">
        <f>Procurement_Raw!K1334</f>
        <v>60</v>
      </c>
      <c r="L1334" t="str">
        <f>Procurement_Raw!L1334</f>
        <v>Procurement Portal</v>
      </c>
      <c r="M1334" t="str">
        <f>Procurement_Raw!O1334</f>
        <v>Y</v>
      </c>
      <c r="N1334" t="str">
        <f>IF(E1334="","Missing supplier",IF(B1334="","Missing site",IF(J1334="","Missing spend",IF(COUNTIFS($G$2:G1334,G1334,$E$2:E1334,E1334,$J$2:J1334,J1334)&gt;1,"Duplicate invoice",IF(COUNTIF($G$2:$G$1801,G1334)&gt;1,"Duplicate ID - review",IF(AND(P1334&lt;&gt;"Unmapped",P1334&lt;&gt;F1334),"Category mismatch","OK"))))))</f>
        <v>OK</v>
      </c>
      <c r="O1334" s="125">
        <f t="shared" si="60"/>
        <v>1213.81</v>
      </c>
      <c r="P1334" t="str">
        <f>IF(E1334="","Unmapped",IFERROR(INDEX(Supplier_Lookup!$B$2:$B$25,MATCH(E1334,Supplier_Lookup!$A$2:$A$25,0)),"Unmapped"))</f>
        <v>Food &amp; Catering</v>
      </c>
      <c r="Q1334" s="76">
        <f>IFERROR(INDEX(Category_Targets!$B$2:$B$9,MATCH(F1334,Category_Targets!$A$2:$A$9,0)),0)</f>
        <v>0.04</v>
      </c>
      <c r="R1334" s="125">
        <f t="shared" si="61"/>
        <v>48.552399999999999</v>
      </c>
      <c r="S1334" s="78">
        <f t="shared" si="62"/>
        <v>45839</v>
      </c>
      <c r="T1334" t="str">
        <f>IFERROR(VLOOKUP(B1334,Sites!$A$2:$D$21,4,FALSE()),"Unknown")</f>
        <v>Wrexham</v>
      </c>
      <c r="U1334" t="str">
        <f>IF(N1334="OK","",COUNTIF($N$2:N1334,"&lt;&gt;OK"))</f>
        <v/>
      </c>
      <c r="V1334">
        <f>IF(OR(NOT(EXACT(E1334,TRIM(Procurement_Raw!E1334))),NOT(EXACT(F1334,TRIM(Procurement_Raw!F1334)))),1,0)</f>
        <v>0</v>
      </c>
    </row>
    <row r="1335" spans="1:22" ht="15" customHeight="1" x14ac:dyDescent="0.25">
      <c r="A1335" s="123">
        <f>Procurement_Raw!A1335</f>
        <v>45913</v>
      </c>
      <c r="B1335" t="str">
        <f>TRIM(Procurement_Raw!B1335)</f>
        <v>S018</v>
      </c>
      <c r="C1335" t="str">
        <f>Procurement_Raw!C1335</f>
        <v>Newport Care &amp; Education Centre</v>
      </c>
      <c r="D1335" t="str">
        <f>Procurement_Raw!D1335</f>
        <v>Wales</v>
      </c>
      <c r="E1335" t="str">
        <f>IF(TRIM(Procurement_Raw!E1335)="","",IFERROR(INDEX(Supplier_Lookup!$A$2:$A$25,MATCH(TRIM(Procurement_Raw!E1335),Supplier_Lookup!$A$2:$A$25,0)),TRIM(Procurement_Raw!E1335)))</f>
        <v>PrintCo</v>
      </c>
      <c r="F1335" t="str">
        <f>IFERROR(INDEX(Category_Targets!$A$2:$A$9,MATCH(TRIM(Procurement_Raw!F1335),Category_Targets!$A$2:$A$9,0)),"Unmapped")</f>
        <v>Office &amp; Training</v>
      </c>
      <c r="G1335" t="str">
        <f>TRIM(Procurement_Raw!G1335)</f>
        <v>INV-2025-01334</v>
      </c>
      <c r="H1335" s="77">
        <f>Procurement_Raw!H1335</f>
        <v>13</v>
      </c>
      <c r="I1335" s="124">
        <f>Procurement_Raw!I1335</f>
        <v>170.27</v>
      </c>
      <c r="J1335" s="125">
        <f>IF(Procurement_Raw!J1335="","",Procurement_Raw!J1335)</f>
        <v>2213.5100000000002</v>
      </c>
      <c r="K1335" s="77">
        <f>Procurement_Raw!K1335</f>
        <v>30</v>
      </c>
      <c r="L1335" t="str">
        <f>Procurement_Raw!L1335</f>
        <v>Legacy Spend File</v>
      </c>
      <c r="M1335" t="str">
        <f>Procurement_Raw!O1335</f>
        <v>N</v>
      </c>
      <c r="N1335" t="str">
        <f>IF(E1335="","Missing supplier",IF(B1335="","Missing site",IF(J1335="","Missing spend",IF(COUNTIFS($G$2:G1335,G1335,$E$2:E1335,E1335,$J$2:J1335,J1335)&gt;1,"Duplicate invoice",IF(COUNTIF($G$2:$G$1801,G1335)&gt;1,"Duplicate ID - review",IF(AND(P1335&lt;&gt;"Unmapped",P1335&lt;&gt;F1335),"Category mismatch","OK"))))))</f>
        <v>OK</v>
      </c>
      <c r="O1335" s="125">
        <f t="shared" si="60"/>
        <v>2213.5100000000002</v>
      </c>
      <c r="P1335" t="str">
        <f>IF(E1335="","Unmapped",IFERROR(INDEX(Supplier_Lookup!$B$2:$B$25,MATCH(E1335,Supplier_Lookup!$A$2:$A$25,0)),"Unmapped"))</f>
        <v>Office &amp; Training</v>
      </c>
      <c r="Q1335" s="76">
        <f>IFERROR(INDEX(Category_Targets!$B$2:$B$9,MATCH(F1335,Category_Targets!$A$2:$A$9,0)),0)</f>
        <v>0.04</v>
      </c>
      <c r="R1335" s="125">
        <f t="shared" si="61"/>
        <v>88.540400000000005</v>
      </c>
      <c r="S1335" s="78">
        <f t="shared" si="62"/>
        <v>45901</v>
      </c>
      <c r="T1335" t="str">
        <f>IFERROR(VLOOKUP(B1335,Sites!$A$2:$D$21,4,FALSE()),"Unknown")</f>
        <v>Newport</v>
      </c>
      <c r="U1335" t="str">
        <f>IF(N1335="OK","",COUNTIF($N$2:N1335,"&lt;&gt;OK"))</f>
        <v/>
      </c>
      <c r="V1335">
        <f>IF(OR(NOT(EXACT(E1335,TRIM(Procurement_Raw!E1335))),NOT(EXACT(F1335,TRIM(Procurement_Raw!F1335)))),1,0)</f>
        <v>0</v>
      </c>
    </row>
    <row r="1336" spans="1:22" ht="15" customHeight="1" x14ac:dyDescent="0.25">
      <c r="A1336" s="123">
        <f>Procurement_Raw!A1336</f>
        <v>45720</v>
      </c>
      <c r="B1336" t="str">
        <f>TRIM(Procurement_Raw!B1336)</f>
        <v>S017</v>
      </c>
      <c r="C1336" t="str">
        <f>Procurement_Raw!C1336</f>
        <v>Swansea Care &amp; Education Centre</v>
      </c>
      <c r="D1336" t="str">
        <f>Procurement_Raw!D1336</f>
        <v>Wales</v>
      </c>
      <c r="E1336" t="str">
        <f>IF(TRIM(Procurement_Raw!E1336)="","",IFERROR(INDEX(Supplier_Lookup!$A$2:$A$25,MATCH(TRIM(Procurement_Raw!E1336),Supplier_Lookup!$A$2:$A$25,0)),TRIM(Procurement_Raw!E1336)))</f>
        <v>FleetFuel</v>
      </c>
      <c r="F1336" t="str">
        <f>IFERROR(INDEX(Category_Targets!$A$2:$A$9,MATCH(TRIM(Procurement_Raw!F1336),Category_Targets!$A$2:$A$9,0)),"Unmapped")</f>
        <v>Vehicle &amp; Fuel</v>
      </c>
      <c r="G1336" t="str">
        <f>TRIM(Procurement_Raw!G1336)</f>
        <v>INV-2025-01335</v>
      </c>
      <c r="H1336" s="77">
        <f>Procurement_Raw!H1336</f>
        <v>26</v>
      </c>
      <c r="I1336" s="124">
        <f>Procurement_Raw!I1336</f>
        <v>103.09</v>
      </c>
      <c r="J1336" s="125">
        <f>IF(Procurement_Raw!J1336="","",Procurement_Raw!J1336)</f>
        <v>2680.45</v>
      </c>
      <c r="K1336" s="77">
        <f>Procurement_Raw!K1336</f>
        <v>45</v>
      </c>
      <c r="L1336" t="str">
        <f>Procurement_Raw!L1336</f>
        <v>Procurement Portal</v>
      </c>
      <c r="M1336" t="str">
        <f>Procurement_Raw!O1336</f>
        <v>Y</v>
      </c>
      <c r="N1336" t="str">
        <f>IF(E1336="","Missing supplier",IF(B1336="","Missing site",IF(J1336="","Missing spend",IF(COUNTIFS($G$2:G1336,G1336,$E$2:E1336,E1336,$J$2:J1336,J1336)&gt;1,"Duplicate invoice",IF(COUNTIF($G$2:$G$1801,G1336)&gt;1,"Duplicate ID - review",IF(AND(P1336&lt;&gt;"Unmapped",P1336&lt;&gt;F1336),"Category mismatch","OK"))))))</f>
        <v>OK</v>
      </c>
      <c r="O1336" s="125">
        <f t="shared" si="60"/>
        <v>2680.45</v>
      </c>
      <c r="P1336" t="str">
        <f>IF(E1336="","Unmapped",IFERROR(INDEX(Supplier_Lookup!$B$2:$B$25,MATCH(E1336,Supplier_Lookup!$A$2:$A$25,0)),"Unmapped"))</f>
        <v>Vehicle &amp; Fuel</v>
      </c>
      <c r="Q1336" s="76">
        <f>IFERROR(INDEX(Category_Targets!$B$2:$B$9,MATCH(F1336,Category_Targets!$A$2:$A$9,0)),0)</f>
        <v>0.05</v>
      </c>
      <c r="R1336" s="125">
        <f t="shared" si="61"/>
        <v>134.02250000000001</v>
      </c>
      <c r="S1336" s="78">
        <f t="shared" si="62"/>
        <v>45717</v>
      </c>
      <c r="T1336" t="str">
        <f>IFERROR(VLOOKUP(B1336,Sites!$A$2:$D$21,4,FALSE()),"Unknown")</f>
        <v>Swansea</v>
      </c>
      <c r="U1336" t="str">
        <f>IF(N1336="OK","",COUNTIF($N$2:N1336,"&lt;&gt;OK"))</f>
        <v/>
      </c>
      <c r="V1336">
        <f>IF(OR(NOT(EXACT(E1336,TRIM(Procurement_Raw!E1336))),NOT(EXACT(F1336,TRIM(Procurement_Raw!F1336)))),1,0)</f>
        <v>0</v>
      </c>
    </row>
    <row r="1337" spans="1:22" ht="15" customHeight="1" x14ac:dyDescent="0.25">
      <c r="A1337" s="123">
        <f>Procurement_Raw!A1337</f>
        <v>45832</v>
      </c>
      <c r="B1337" t="str">
        <f>TRIM(Procurement_Raw!B1337)</f>
        <v>S012</v>
      </c>
      <c r="C1337" t="str">
        <f>Procurement_Raw!C1337</f>
        <v>Bristol Care &amp; Education Centre</v>
      </c>
      <c r="D1337" t="str">
        <f>Procurement_Raw!D1337</f>
        <v>South</v>
      </c>
      <c r="E1337" t="str">
        <f>IF(TRIM(Procurement_Raw!E1337)="","",IFERROR(INDEX(Supplier_Lookup!$A$2:$A$25,MATCH(TRIM(Procurement_Raw!E1337),Supplier_Lookup!$A$2:$A$25,0)),TRIM(Procurement_Raw!E1337)))</f>
        <v>WaterGrid</v>
      </c>
      <c r="F1337" t="str">
        <f>IFERROR(INDEX(Category_Targets!$A$2:$A$9,MATCH(TRIM(Procurement_Raw!F1337),Category_Targets!$A$2:$A$9,0)),"Unmapped")</f>
        <v>Utilities</v>
      </c>
      <c r="G1337" t="str">
        <f>TRIM(Procurement_Raw!G1337)</f>
        <v>INV-2025-01336</v>
      </c>
      <c r="H1337" s="77">
        <f>Procurement_Raw!H1337</f>
        <v>37</v>
      </c>
      <c r="I1337" s="124">
        <f>Procurement_Raw!I1337</f>
        <v>207.69</v>
      </c>
      <c r="J1337" s="125">
        <f>IF(Procurement_Raw!J1337="","",Procurement_Raw!J1337)</f>
        <v>7684.66</v>
      </c>
      <c r="K1337" s="77">
        <f>Procurement_Raw!K1337</f>
        <v>60</v>
      </c>
      <c r="L1337" t="str">
        <f>Procurement_Raw!L1337</f>
        <v>ERP</v>
      </c>
      <c r="M1337" t="str">
        <f>Procurement_Raw!O1337</f>
        <v>N</v>
      </c>
      <c r="N1337" t="str">
        <f>IF(E1337="","Missing supplier",IF(B1337="","Missing site",IF(J1337="","Missing spend",IF(COUNTIFS($G$2:G1337,G1337,$E$2:E1337,E1337,$J$2:J1337,J1337)&gt;1,"Duplicate invoice",IF(COUNTIF($G$2:$G$1801,G1337)&gt;1,"Duplicate ID - review",IF(AND(P1337&lt;&gt;"Unmapped",P1337&lt;&gt;F1337),"Category mismatch","OK"))))))</f>
        <v>OK</v>
      </c>
      <c r="O1337" s="125">
        <f t="shared" si="60"/>
        <v>7684.66</v>
      </c>
      <c r="P1337" t="str">
        <f>IF(E1337="","Unmapped",IFERROR(INDEX(Supplier_Lookup!$B$2:$B$25,MATCH(E1337,Supplier_Lookup!$A$2:$A$25,0)),"Unmapped"))</f>
        <v>Utilities</v>
      </c>
      <c r="Q1337" s="76">
        <f>IFERROR(INDEX(Category_Targets!$B$2:$B$9,MATCH(F1337,Category_Targets!$A$2:$A$9,0)),0)</f>
        <v>0.03</v>
      </c>
      <c r="R1337" s="125">
        <f t="shared" si="61"/>
        <v>230.53979999999999</v>
      </c>
      <c r="S1337" s="78">
        <f t="shared" si="62"/>
        <v>45809</v>
      </c>
      <c r="T1337" t="str">
        <f>IFERROR(VLOOKUP(B1337,Sites!$A$2:$D$21,4,FALSE()),"Unknown")</f>
        <v>Bristol</v>
      </c>
      <c r="U1337" t="str">
        <f>IF(N1337="OK","",COUNTIF($N$2:N1337,"&lt;&gt;OK"))</f>
        <v/>
      </c>
      <c r="V1337">
        <f>IF(OR(NOT(EXACT(E1337,TRIM(Procurement_Raw!E1337))),NOT(EXACT(F1337,TRIM(Procurement_Raw!F1337)))),1,0)</f>
        <v>0</v>
      </c>
    </row>
    <row r="1338" spans="1:22" ht="15" customHeight="1" x14ac:dyDescent="0.25">
      <c r="A1338" s="123">
        <f>Procurement_Raw!A1338</f>
        <v>45870</v>
      </c>
      <c r="B1338" t="str">
        <f>TRIM(Procurement_Raw!B1338)</f>
        <v>S007</v>
      </c>
      <c r="C1338" t="str">
        <f>Procurement_Raw!C1338</f>
        <v>Nottingham Care &amp; Education Centre</v>
      </c>
      <c r="D1338" t="str">
        <f>Procurement_Raw!D1338</f>
        <v>Midlands</v>
      </c>
      <c r="E1338" t="str">
        <f>IF(TRIM(Procurement_Raw!E1338)="","",IFERROR(INDEX(Supplier_Lookup!$A$2:$A$25,MATCH(TRIM(Procurement_Raw!E1338),Supplier_Lookup!$A$2:$A$25,0)),TRIM(Procurement_Raw!E1338)))</f>
        <v>TeleCare IT</v>
      </c>
      <c r="F1338" t="str">
        <f>IFERROR(INDEX(Category_Targets!$A$2:$A$9,MATCH(TRIM(Procurement_Raw!F1338),Category_Targets!$A$2:$A$9,0)),"Unmapped")</f>
        <v>IT &amp; Telecoms</v>
      </c>
      <c r="G1338" t="str">
        <f>TRIM(Procurement_Raw!G1338)</f>
        <v>INV-2025-01337</v>
      </c>
      <c r="H1338" s="77">
        <f>Procurement_Raw!H1338</f>
        <v>47</v>
      </c>
      <c r="I1338" s="124">
        <f>Procurement_Raw!I1338</f>
        <v>157</v>
      </c>
      <c r="J1338" s="125">
        <f>IF(Procurement_Raw!J1338="","",Procurement_Raw!J1338)</f>
        <v>7379.08</v>
      </c>
      <c r="K1338" s="77">
        <f>Procurement_Raw!K1338</f>
        <v>60</v>
      </c>
      <c r="L1338" t="str">
        <f>Procurement_Raw!L1338</f>
        <v>Legacy Spend File</v>
      </c>
      <c r="M1338" t="str">
        <f>Procurement_Raw!O1338</f>
        <v>N</v>
      </c>
      <c r="N1338" t="str">
        <f>IF(E1338="","Missing supplier",IF(B1338="","Missing site",IF(J1338="","Missing spend",IF(COUNTIFS($G$2:G1338,G1338,$E$2:E1338,E1338,$J$2:J1338,J1338)&gt;1,"Duplicate invoice",IF(COUNTIF($G$2:$G$1801,G1338)&gt;1,"Duplicate ID - review",IF(AND(P1338&lt;&gt;"Unmapped",P1338&lt;&gt;F1338),"Category mismatch","OK"))))))</f>
        <v>OK</v>
      </c>
      <c r="O1338" s="125">
        <f t="shared" si="60"/>
        <v>7379.08</v>
      </c>
      <c r="P1338" t="str">
        <f>IF(E1338="","Unmapped",IFERROR(INDEX(Supplier_Lookup!$B$2:$B$25,MATCH(E1338,Supplier_Lookup!$A$2:$A$25,0)),"Unmapped"))</f>
        <v>IT &amp; Telecoms</v>
      </c>
      <c r="Q1338" s="76">
        <f>IFERROR(INDEX(Category_Targets!$B$2:$B$9,MATCH(F1338,Category_Targets!$A$2:$A$9,0)),0)</f>
        <v>0.08</v>
      </c>
      <c r="R1338" s="125">
        <f t="shared" si="61"/>
        <v>590.32640000000004</v>
      </c>
      <c r="S1338" s="78">
        <f t="shared" si="62"/>
        <v>45870</v>
      </c>
      <c r="T1338" t="str">
        <f>IFERROR(VLOOKUP(B1338,Sites!$A$2:$D$21,4,FALSE()),"Unknown")</f>
        <v>Nottingham</v>
      </c>
      <c r="U1338" t="str">
        <f>IF(N1338="OK","",COUNTIF($N$2:N1338,"&lt;&gt;OK"))</f>
        <v/>
      </c>
      <c r="V1338">
        <f>IF(OR(NOT(EXACT(E1338,TRIM(Procurement_Raw!E1338))),NOT(EXACT(F1338,TRIM(Procurement_Raw!F1338)))),1,0)</f>
        <v>0</v>
      </c>
    </row>
    <row r="1339" spans="1:22" ht="15" customHeight="1" x14ac:dyDescent="0.25">
      <c r="A1339" s="123">
        <f>Procurement_Raw!A1339</f>
        <v>45873</v>
      </c>
      <c r="B1339" t="str">
        <f>TRIM(Procurement_Raw!B1339)</f>
        <v>S005</v>
      </c>
      <c r="C1339" t="str">
        <f>Procurement_Raw!C1339</f>
        <v>Sheffield Care &amp; Education Centre</v>
      </c>
      <c r="D1339" t="str">
        <f>Procurement_Raw!D1339</f>
        <v>North</v>
      </c>
      <c r="E1339" t="str">
        <f>IF(TRIM(Procurement_Raw!E1339)="","",IFERROR(INDEX(Supplier_Lookup!$A$2:$A$25,MATCH(TRIM(Procurement_Raw!E1339),Supplier_Lookup!$A$2:$A$25,0)),TRIM(Procurement_Raw!E1339)))</f>
        <v>BuildCare</v>
      </c>
      <c r="F1339" t="str">
        <f>IFERROR(INDEX(Category_Targets!$A$2:$A$9,MATCH(TRIM(Procurement_Raw!F1339),Category_Targets!$A$2:$A$9,0)),"Unmapped")</f>
        <v>Facilities</v>
      </c>
      <c r="G1339" t="str">
        <f>TRIM(Procurement_Raw!G1339)</f>
        <v>INV-2025-01338</v>
      </c>
      <c r="H1339" s="77">
        <f>Procurement_Raw!H1339</f>
        <v>30</v>
      </c>
      <c r="I1339" s="124">
        <f>Procurement_Raw!I1339</f>
        <v>152.41</v>
      </c>
      <c r="J1339" s="125">
        <f>IF(Procurement_Raw!J1339="","",Procurement_Raw!J1339)</f>
        <v>4572.41</v>
      </c>
      <c r="K1339" s="77">
        <f>Procurement_Raw!K1339</f>
        <v>30</v>
      </c>
      <c r="L1339" t="str">
        <f>Procurement_Raw!L1339</f>
        <v>Procurement Portal</v>
      </c>
      <c r="M1339" t="str">
        <f>Procurement_Raw!O1339</f>
        <v>N</v>
      </c>
      <c r="N1339" t="str">
        <f>IF(E1339="","Missing supplier",IF(B1339="","Missing site",IF(J1339="","Missing spend",IF(COUNTIFS($G$2:G1339,G1339,$E$2:E1339,E1339,$J$2:J1339,J1339)&gt;1,"Duplicate invoice",IF(COUNTIF($G$2:$G$1801,G1339)&gt;1,"Duplicate ID - review",IF(AND(P1339&lt;&gt;"Unmapped",P1339&lt;&gt;F1339),"Category mismatch","OK"))))))</f>
        <v>OK</v>
      </c>
      <c r="O1339" s="125">
        <f t="shared" si="60"/>
        <v>4572.41</v>
      </c>
      <c r="P1339" t="str">
        <f>IF(E1339="","Unmapped",IFERROR(INDEX(Supplier_Lookup!$B$2:$B$25,MATCH(E1339,Supplier_Lookup!$A$2:$A$25,0)),"Unmapped"))</f>
        <v>Facilities</v>
      </c>
      <c r="Q1339" s="76">
        <f>IFERROR(INDEX(Category_Targets!$B$2:$B$9,MATCH(F1339,Category_Targets!$A$2:$A$9,0)),0)</f>
        <v>0.05</v>
      </c>
      <c r="R1339" s="125">
        <f t="shared" si="61"/>
        <v>228.62049999999999</v>
      </c>
      <c r="S1339" s="78">
        <f t="shared" si="62"/>
        <v>45870</v>
      </c>
      <c r="T1339" t="str">
        <f>IFERROR(VLOOKUP(B1339,Sites!$A$2:$D$21,4,FALSE()),"Unknown")</f>
        <v>Sheffield</v>
      </c>
      <c r="U1339" t="str">
        <f>IF(N1339="OK","",COUNTIF($N$2:N1339,"&lt;&gt;OK"))</f>
        <v/>
      </c>
      <c r="V1339">
        <f>IF(OR(NOT(EXACT(E1339,TRIM(Procurement_Raw!E1339))),NOT(EXACT(F1339,TRIM(Procurement_Raw!F1339)))),1,0)</f>
        <v>0</v>
      </c>
    </row>
    <row r="1340" spans="1:22" ht="15" customHeight="1" x14ac:dyDescent="0.25">
      <c r="A1340" s="123">
        <f>Procurement_Raw!A1340</f>
        <v>45922</v>
      </c>
      <c r="B1340" t="str">
        <f>TRIM(Procurement_Raw!B1340)</f>
        <v>S020</v>
      </c>
      <c r="C1340" t="str">
        <f>Procurement_Raw!C1340</f>
        <v>Bangor Care &amp; Education Centre</v>
      </c>
      <c r="D1340" t="str">
        <f>Procurement_Raw!D1340</f>
        <v>Wales</v>
      </c>
      <c r="E1340" t="str">
        <f>IF(TRIM(Procurement_Raw!E1340)="","",IFERROR(INDEX(Supplier_Lookup!$A$2:$A$25,MATCH(TRIM(Procurement_Raw!E1340),Supplier_Lookup!$A$2:$A$25,0)),TRIM(Procurement_Raw!E1340)))</f>
        <v>CareTemps</v>
      </c>
      <c r="F1340" t="str">
        <f>IFERROR(INDEX(Category_Targets!$A$2:$A$9,MATCH(TRIM(Procurement_Raw!F1340),Category_Targets!$A$2:$A$9,0)),"Unmapped")</f>
        <v>Agency Labour</v>
      </c>
      <c r="G1340" t="str">
        <f>TRIM(Procurement_Raw!G1340)</f>
        <v>INV-2025-01339</v>
      </c>
      <c r="H1340" s="77">
        <f>Procurement_Raw!H1340</f>
        <v>47</v>
      </c>
      <c r="I1340" s="124">
        <f>Procurement_Raw!I1340</f>
        <v>242.33</v>
      </c>
      <c r="J1340" s="125">
        <f>IF(Procurement_Raw!J1340="","",Procurement_Raw!J1340)</f>
        <v>11389.34</v>
      </c>
      <c r="K1340" s="77">
        <f>Procurement_Raw!K1340</f>
        <v>30</v>
      </c>
      <c r="L1340" t="str">
        <f>Procurement_Raw!L1340</f>
        <v>Procurement Portal</v>
      </c>
      <c r="M1340" t="str">
        <f>Procurement_Raw!O1340</f>
        <v>N</v>
      </c>
      <c r="N1340" t="str">
        <f>IF(E1340="","Missing supplier",IF(B1340="","Missing site",IF(J1340="","Missing spend",IF(COUNTIFS($G$2:G1340,G1340,$E$2:E1340,E1340,$J$2:J1340,J1340)&gt;1,"Duplicate invoice",IF(COUNTIF($G$2:$G$1801,G1340)&gt;1,"Duplicate ID - review",IF(AND(P1340&lt;&gt;"Unmapped",P1340&lt;&gt;F1340),"Category mismatch","OK"))))))</f>
        <v>OK</v>
      </c>
      <c r="O1340" s="125">
        <f t="shared" si="60"/>
        <v>11389.34</v>
      </c>
      <c r="P1340" t="str">
        <f>IF(E1340="","Unmapped",IFERROR(INDEX(Supplier_Lookup!$B$2:$B$25,MATCH(E1340,Supplier_Lookup!$A$2:$A$25,0)),"Unmapped"))</f>
        <v>Agency Labour</v>
      </c>
      <c r="Q1340" s="76">
        <f>IFERROR(INDEX(Category_Targets!$B$2:$B$9,MATCH(F1340,Category_Targets!$A$2:$A$9,0)),0)</f>
        <v>7.0000000000000007E-2</v>
      </c>
      <c r="R1340" s="125">
        <f t="shared" si="61"/>
        <v>797.25380000000007</v>
      </c>
      <c r="S1340" s="78">
        <f t="shared" si="62"/>
        <v>45901</v>
      </c>
      <c r="T1340" t="str">
        <f>IFERROR(VLOOKUP(B1340,Sites!$A$2:$D$21,4,FALSE()),"Unknown")</f>
        <v>Bangor</v>
      </c>
      <c r="U1340" t="str">
        <f>IF(N1340="OK","",COUNTIF($N$2:N1340,"&lt;&gt;OK"))</f>
        <v/>
      </c>
      <c r="V1340">
        <f>IF(OR(NOT(EXACT(E1340,TRIM(Procurement_Raw!E1340))),NOT(EXACT(F1340,TRIM(Procurement_Raw!F1340)))),1,0)</f>
        <v>0</v>
      </c>
    </row>
    <row r="1341" spans="1:22" ht="15" customHeight="1" x14ac:dyDescent="0.25">
      <c r="A1341" s="123">
        <f>Procurement_Raw!A1341</f>
        <v>45922</v>
      </c>
      <c r="B1341" t="str">
        <f>TRIM(Procurement_Raw!B1341)</f>
        <v>S008</v>
      </c>
      <c r="C1341" t="str">
        <f>Procurement_Raw!C1341</f>
        <v>Leicester Care &amp; Education Centre</v>
      </c>
      <c r="D1341" t="str">
        <f>Procurement_Raw!D1341</f>
        <v>Midlands</v>
      </c>
      <c r="E1341" t="str">
        <f>IF(TRIM(Procurement_Raw!E1341)="","",IFERROR(INDEX(Supplier_Lookup!$A$2:$A$25,MATCH(TRIM(Procurement_Raw!E1341),Supplier_Lookup!$A$2:$A$25,0)),TRIM(Procurement_Raw!E1341)))</f>
        <v>ClinEquip</v>
      </c>
      <c r="F1341" t="str">
        <f>IFERROR(INDEX(Category_Targets!$A$2:$A$9,MATCH(TRIM(Procurement_Raw!F1341),Category_Targets!$A$2:$A$9,0)),"Unmapped")</f>
        <v>Medical Supplies</v>
      </c>
      <c r="G1341" t="str">
        <f>TRIM(Procurement_Raw!G1341)</f>
        <v>INV-2025-01340</v>
      </c>
      <c r="H1341" s="77">
        <f>Procurement_Raw!H1341</f>
        <v>9</v>
      </c>
      <c r="I1341" s="124">
        <f>Procurement_Raw!I1341</f>
        <v>131.79</v>
      </c>
      <c r="J1341" s="125">
        <f>IF(Procurement_Raw!J1341="","",Procurement_Raw!J1341)</f>
        <v>1186.1199999999999</v>
      </c>
      <c r="K1341" s="77">
        <f>Procurement_Raw!K1341</f>
        <v>30</v>
      </c>
      <c r="L1341" t="str">
        <f>Procurement_Raw!L1341</f>
        <v>Procurement Portal</v>
      </c>
      <c r="M1341" t="str">
        <f>Procurement_Raw!O1341</f>
        <v>N</v>
      </c>
      <c r="N1341" t="str">
        <f>IF(E1341="","Missing supplier",IF(B1341="","Missing site",IF(J1341="","Missing spend",IF(COUNTIFS($G$2:G1341,G1341,$E$2:E1341,E1341,$J$2:J1341,J1341)&gt;1,"Duplicate invoice",IF(COUNTIF($G$2:$G$1801,G1341)&gt;1,"Duplicate ID - review",IF(AND(P1341&lt;&gt;"Unmapped",P1341&lt;&gt;F1341),"Category mismatch","OK"))))))</f>
        <v>OK</v>
      </c>
      <c r="O1341" s="125">
        <f t="shared" si="60"/>
        <v>1186.1199999999999</v>
      </c>
      <c r="P1341" t="str">
        <f>IF(E1341="","Unmapped",IFERROR(INDEX(Supplier_Lookup!$B$2:$B$25,MATCH(E1341,Supplier_Lookup!$A$2:$A$25,0)),"Unmapped"))</f>
        <v>Medical Supplies</v>
      </c>
      <c r="Q1341" s="76">
        <f>IFERROR(INDEX(Category_Targets!$B$2:$B$9,MATCH(F1341,Category_Targets!$A$2:$A$9,0)),0)</f>
        <v>0.06</v>
      </c>
      <c r="R1341" s="125">
        <f t="shared" si="61"/>
        <v>71.167199999999994</v>
      </c>
      <c r="S1341" s="78">
        <f t="shared" si="62"/>
        <v>45901</v>
      </c>
      <c r="T1341" t="str">
        <f>IFERROR(VLOOKUP(B1341,Sites!$A$2:$D$21,4,FALSE()),"Unknown")</f>
        <v>Leicester</v>
      </c>
      <c r="U1341" t="str">
        <f>IF(N1341="OK","",COUNTIF($N$2:N1341,"&lt;&gt;OK"))</f>
        <v/>
      </c>
      <c r="V1341">
        <f>IF(OR(NOT(EXACT(E1341,TRIM(Procurement_Raw!E1341))),NOT(EXACT(F1341,TRIM(Procurement_Raw!F1341)))),1,0)</f>
        <v>0</v>
      </c>
    </row>
    <row r="1342" spans="1:22" ht="15" customHeight="1" x14ac:dyDescent="0.25">
      <c r="A1342" s="123">
        <f>Procurement_Raw!A1342</f>
        <v>45880</v>
      </c>
      <c r="B1342" t="str">
        <f>TRIM(Procurement_Raw!B1342)</f>
        <v>S014</v>
      </c>
      <c r="C1342" t="str">
        <f>Procurement_Raw!C1342</f>
        <v>Southampton Care &amp; Education Centre</v>
      </c>
      <c r="D1342" t="str">
        <f>Procurement_Raw!D1342</f>
        <v>South</v>
      </c>
      <c r="E1342" t="str">
        <f>IF(TRIM(Procurement_Raw!E1342)="","",IFERROR(INDEX(Supplier_Lookup!$A$2:$A$25,MATCH(TRIM(Procurement_Raw!E1342),Supplier_Lookup!$A$2:$A$25,0)),TRIM(Procurement_Raw!E1342)))</f>
        <v>HealthStaffing</v>
      </c>
      <c r="F1342" t="str">
        <f>IFERROR(INDEX(Category_Targets!$A$2:$A$9,MATCH(TRIM(Procurement_Raw!F1342),Category_Targets!$A$2:$A$9,0)),"Unmapped")</f>
        <v>Agency Labour</v>
      </c>
      <c r="G1342" t="str">
        <f>TRIM(Procurement_Raw!G1342)</f>
        <v>INV-2025-01341</v>
      </c>
      <c r="H1342" s="77">
        <f>Procurement_Raw!H1342</f>
        <v>8</v>
      </c>
      <c r="I1342" s="124">
        <f>Procurement_Raw!I1342</f>
        <v>327.7</v>
      </c>
      <c r="J1342" s="125">
        <f>IF(Procurement_Raw!J1342="","",Procurement_Raw!J1342)</f>
        <v>2621.6</v>
      </c>
      <c r="K1342" s="77">
        <f>Procurement_Raw!K1342</f>
        <v>45</v>
      </c>
      <c r="L1342" t="str">
        <f>Procurement_Raw!L1342</f>
        <v>ERP</v>
      </c>
      <c r="M1342" t="str">
        <f>Procurement_Raw!O1342</f>
        <v>N</v>
      </c>
      <c r="N1342" t="str">
        <f>IF(E1342="","Missing supplier",IF(B1342="","Missing site",IF(J1342="","Missing spend",IF(COUNTIFS($G$2:G1342,G1342,$E$2:E1342,E1342,$J$2:J1342,J1342)&gt;1,"Duplicate invoice",IF(COUNTIF($G$2:$G$1801,G1342)&gt;1,"Duplicate ID - review",IF(AND(P1342&lt;&gt;"Unmapped",P1342&lt;&gt;F1342),"Category mismatch","OK"))))))</f>
        <v>OK</v>
      </c>
      <c r="O1342" s="125">
        <f t="shared" si="60"/>
        <v>2621.6</v>
      </c>
      <c r="P1342" t="str">
        <f>IF(E1342="","Unmapped",IFERROR(INDEX(Supplier_Lookup!$B$2:$B$25,MATCH(E1342,Supplier_Lookup!$A$2:$A$25,0)),"Unmapped"))</f>
        <v>Agency Labour</v>
      </c>
      <c r="Q1342" s="76">
        <f>IFERROR(INDEX(Category_Targets!$B$2:$B$9,MATCH(F1342,Category_Targets!$A$2:$A$9,0)),0)</f>
        <v>7.0000000000000007E-2</v>
      </c>
      <c r="R1342" s="125">
        <f t="shared" si="61"/>
        <v>183.512</v>
      </c>
      <c r="S1342" s="78">
        <f t="shared" si="62"/>
        <v>45870</v>
      </c>
      <c r="T1342" t="str">
        <f>IFERROR(VLOOKUP(B1342,Sites!$A$2:$D$21,4,FALSE()),"Unknown")</f>
        <v>Southampton</v>
      </c>
      <c r="U1342" t="str">
        <f>IF(N1342="OK","",COUNTIF($N$2:N1342,"&lt;&gt;OK"))</f>
        <v/>
      </c>
      <c r="V1342">
        <f>IF(OR(NOT(EXACT(E1342,TRIM(Procurement_Raw!E1342))),NOT(EXACT(F1342,TRIM(Procurement_Raw!F1342)))),1,0)</f>
        <v>0</v>
      </c>
    </row>
    <row r="1343" spans="1:22" ht="15" customHeight="1" x14ac:dyDescent="0.25">
      <c r="A1343" s="123">
        <f>Procurement_Raw!A1343</f>
        <v>45687</v>
      </c>
      <c r="B1343" t="str">
        <f>TRIM(Procurement_Raw!B1343)</f>
        <v>S002</v>
      </c>
      <c r="C1343" t="str">
        <f>Procurement_Raw!C1343</f>
        <v>Manchester Care &amp; Education Centre</v>
      </c>
      <c r="D1343" t="str">
        <f>Procurement_Raw!D1343</f>
        <v>North</v>
      </c>
      <c r="E1343" t="str">
        <f>IF(TRIM(Procurement_Raw!E1343)="","",IFERROR(INDEX(Supplier_Lookup!$A$2:$A$25,MATCH(TRIM(Procurement_Raw!E1343),Supplier_Lookup!$A$2:$A$25,0)),TRIM(Procurement_Raw!E1343)))</f>
        <v>BuildCare</v>
      </c>
      <c r="F1343" t="str">
        <f>IFERROR(INDEX(Category_Targets!$A$2:$A$9,MATCH(TRIM(Procurement_Raw!F1343),Category_Targets!$A$2:$A$9,0)),"Unmapped")</f>
        <v>Facilities</v>
      </c>
      <c r="G1343" t="str">
        <f>TRIM(Procurement_Raw!G1343)</f>
        <v>INV-2025-01342</v>
      </c>
      <c r="H1343" s="77">
        <f>Procurement_Raw!H1343</f>
        <v>67</v>
      </c>
      <c r="I1343" s="124">
        <f>Procurement_Raw!I1343</f>
        <v>180.3</v>
      </c>
      <c r="J1343" s="125">
        <f>IF(Procurement_Raw!J1343="","",Procurement_Raw!J1343)</f>
        <v>12080.22</v>
      </c>
      <c r="K1343" s="77">
        <f>Procurement_Raw!K1343</f>
        <v>45</v>
      </c>
      <c r="L1343" t="str">
        <f>Procurement_Raw!L1343</f>
        <v>Procurement Portal</v>
      </c>
      <c r="M1343" t="str">
        <f>Procurement_Raw!O1343</f>
        <v>N</v>
      </c>
      <c r="N1343" t="str">
        <f>IF(E1343="","Missing supplier",IF(B1343="","Missing site",IF(J1343="","Missing spend",IF(COUNTIFS($G$2:G1343,G1343,$E$2:E1343,E1343,$J$2:J1343,J1343)&gt;1,"Duplicate invoice",IF(COUNTIF($G$2:$G$1801,G1343)&gt;1,"Duplicate ID - review",IF(AND(P1343&lt;&gt;"Unmapped",P1343&lt;&gt;F1343),"Category mismatch","OK"))))))</f>
        <v>OK</v>
      </c>
      <c r="O1343" s="125">
        <f t="shared" si="60"/>
        <v>12080.22</v>
      </c>
      <c r="P1343" t="str">
        <f>IF(E1343="","Unmapped",IFERROR(INDEX(Supplier_Lookup!$B$2:$B$25,MATCH(E1343,Supplier_Lookup!$A$2:$A$25,0)),"Unmapped"))</f>
        <v>Facilities</v>
      </c>
      <c r="Q1343" s="76">
        <f>IFERROR(INDEX(Category_Targets!$B$2:$B$9,MATCH(F1343,Category_Targets!$A$2:$A$9,0)),0)</f>
        <v>0.05</v>
      </c>
      <c r="R1343" s="125">
        <f t="shared" si="61"/>
        <v>604.01099999999997</v>
      </c>
      <c r="S1343" s="78">
        <f t="shared" si="62"/>
        <v>45658</v>
      </c>
      <c r="T1343" t="str">
        <f>IFERROR(VLOOKUP(B1343,Sites!$A$2:$D$21,4,FALSE()),"Unknown")</f>
        <v>Manchester</v>
      </c>
      <c r="U1343" t="str">
        <f>IF(N1343="OK","",COUNTIF($N$2:N1343,"&lt;&gt;OK"))</f>
        <v/>
      </c>
      <c r="V1343">
        <f>IF(OR(NOT(EXACT(E1343,TRIM(Procurement_Raw!E1343))),NOT(EXACT(F1343,TRIM(Procurement_Raw!F1343)))),1,0)</f>
        <v>0</v>
      </c>
    </row>
    <row r="1344" spans="1:22" ht="15" customHeight="1" x14ac:dyDescent="0.25">
      <c r="A1344" s="123">
        <f>Procurement_Raw!A1344</f>
        <v>45818</v>
      </c>
      <c r="B1344" t="str">
        <f>TRIM(Procurement_Raw!B1344)</f>
        <v>S019</v>
      </c>
      <c r="C1344" t="str">
        <f>Procurement_Raw!C1344</f>
        <v>Wrexham Care &amp; Education Centre</v>
      </c>
      <c r="D1344" t="str">
        <f>Procurement_Raw!D1344</f>
        <v>Wales</v>
      </c>
      <c r="E1344" t="str">
        <f>IF(TRIM(Procurement_Raw!E1344)="","",IFERROR(INDEX(Supplier_Lookup!$A$2:$A$25,MATCH(TRIM(Procurement_Raw!E1344),Supplier_Lookup!$A$2:$A$25,0)),TRIM(Procurement_Raw!E1344)))</f>
        <v>NetServe</v>
      </c>
      <c r="F1344" t="str">
        <f>IFERROR(INDEX(Category_Targets!$A$2:$A$9,MATCH(TRIM(Procurement_Raw!F1344),Category_Targets!$A$2:$A$9,0)),"Unmapped")</f>
        <v>IT &amp; Telecoms</v>
      </c>
      <c r="G1344" t="str">
        <f>TRIM(Procurement_Raw!G1344)</f>
        <v>INV-2025-01343</v>
      </c>
      <c r="H1344" s="77">
        <f>Procurement_Raw!H1344</f>
        <v>45</v>
      </c>
      <c r="I1344" s="124">
        <f>Procurement_Raw!I1344</f>
        <v>279.76</v>
      </c>
      <c r="J1344" s="125">
        <f>IF(Procurement_Raw!J1344="","",Procurement_Raw!J1344)</f>
        <v>12589.34</v>
      </c>
      <c r="K1344" s="77">
        <f>Procurement_Raw!K1344</f>
        <v>30</v>
      </c>
      <c r="L1344" t="str">
        <f>Procurement_Raw!L1344</f>
        <v>Procurement Portal</v>
      </c>
      <c r="M1344" t="str">
        <f>Procurement_Raw!O1344</f>
        <v>N</v>
      </c>
      <c r="N1344" t="str">
        <f>IF(E1344="","Missing supplier",IF(B1344="","Missing site",IF(J1344="","Missing spend",IF(COUNTIFS($G$2:G1344,G1344,$E$2:E1344,E1344,$J$2:J1344,J1344)&gt;1,"Duplicate invoice",IF(COUNTIF($G$2:$G$1801,G1344)&gt;1,"Duplicate ID - review",IF(AND(P1344&lt;&gt;"Unmapped",P1344&lt;&gt;F1344),"Category mismatch","OK"))))))</f>
        <v>OK</v>
      </c>
      <c r="O1344" s="125">
        <f t="shared" si="60"/>
        <v>12589.34</v>
      </c>
      <c r="P1344" t="str">
        <f>IF(E1344="","Unmapped",IFERROR(INDEX(Supplier_Lookup!$B$2:$B$25,MATCH(E1344,Supplier_Lookup!$A$2:$A$25,0)),"Unmapped"))</f>
        <v>IT &amp; Telecoms</v>
      </c>
      <c r="Q1344" s="76">
        <f>IFERROR(INDEX(Category_Targets!$B$2:$B$9,MATCH(F1344,Category_Targets!$A$2:$A$9,0)),0)</f>
        <v>0.08</v>
      </c>
      <c r="R1344" s="125">
        <f t="shared" si="61"/>
        <v>1007.1472</v>
      </c>
      <c r="S1344" s="78">
        <f t="shared" si="62"/>
        <v>45809</v>
      </c>
      <c r="T1344" t="str">
        <f>IFERROR(VLOOKUP(B1344,Sites!$A$2:$D$21,4,FALSE()),"Unknown")</f>
        <v>Wrexham</v>
      </c>
      <c r="U1344" t="str">
        <f>IF(N1344="OK","",COUNTIF($N$2:N1344,"&lt;&gt;OK"))</f>
        <v/>
      </c>
      <c r="V1344">
        <f>IF(OR(NOT(EXACT(E1344,TRIM(Procurement_Raw!E1344))),NOT(EXACT(F1344,TRIM(Procurement_Raw!F1344)))),1,0)</f>
        <v>0</v>
      </c>
    </row>
    <row r="1345" spans="1:22" ht="15" customHeight="1" x14ac:dyDescent="0.25">
      <c r="A1345" s="123">
        <f>Procurement_Raw!A1345</f>
        <v>45864</v>
      </c>
      <c r="B1345" t="str">
        <f>TRIM(Procurement_Raw!B1345)</f>
        <v>S015</v>
      </c>
      <c r="C1345" t="str">
        <f>Procurement_Raw!C1345</f>
        <v>Brighton Care &amp; Education Centre</v>
      </c>
      <c r="D1345" t="str">
        <f>Procurement_Raw!D1345</f>
        <v>South</v>
      </c>
      <c r="E1345" t="str">
        <f>IF(TRIM(Procurement_Raw!E1345)="","",IFERROR(INDEX(Supplier_Lookup!$A$2:$A$25,MATCH(TRIM(Procurement_Raw!E1345),Supplier_Lookup!$A$2:$A$25,0)),TRIM(Procurement_Raw!E1345)))</f>
        <v>BuildCare</v>
      </c>
      <c r="F1345" t="str">
        <f>IFERROR(INDEX(Category_Targets!$A$2:$A$9,MATCH(TRIM(Procurement_Raw!F1345),Category_Targets!$A$2:$A$9,0)),"Unmapped")</f>
        <v>Facilities</v>
      </c>
      <c r="G1345" t="str">
        <f>TRIM(Procurement_Raw!G1345)</f>
        <v>INV-2025-01344</v>
      </c>
      <c r="H1345" s="77">
        <f>Procurement_Raw!H1345</f>
        <v>58</v>
      </c>
      <c r="I1345" s="124">
        <f>Procurement_Raw!I1345</f>
        <v>346.48</v>
      </c>
      <c r="J1345" s="125">
        <f>IF(Procurement_Raw!J1345="","",Procurement_Raw!J1345)</f>
        <v>20095.580000000002</v>
      </c>
      <c r="K1345" s="77">
        <f>Procurement_Raw!K1345</f>
        <v>60</v>
      </c>
      <c r="L1345" t="str">
        <f>Procurement_Raw!L1345</f>
        <v>ERP</v>
      </c>
      <c r="M1345" t="str">
        <f>Procurement_Raw!O1345</f>
        <v>N</v>
      </c>
      <c r="N1345" t="str">
        <f>IF(E1345="","Missing supplier",IF(B1345="","Missing site",IF(J1345="","Missing spend",IF(COUNTIFS($G$2:G1345,G1345,$E$2:E1345,E1345,$J$2:J1345,J1345)&gt;1,"Duplicate invoice",IF(COUNTIF($G$2:$G$1801,G1345)&gt;1,"Duplicate ID - review",IF(AND(P1345&lt;&gt;"Unmapped",P1345&lt;&gt;F1345),"Category mismatch","OK"))))))</f>
        <v>OK</v>
      </c>
      <c r="O1345" s="125">
        <f t="shared" si="60"/>
        <v>20095.580000000002</v>
      </c>
      <c r="P1345" t="str">
        <f>IF(E1345="","Unmapped",IFERROR(INDEX(Supplier_Lookup!$B$2:$B$25,MATCH(E1345,Supplier_Lookup!$A$2:$A$25,0)),"Unmapped"))</f>
        <v>Facilities</v>
      </c>
      <c r="Q1345" s="76">
        <f>IFERROR(INDEX(Category_Targets!$B$2:$B$9,MATCH(F1345,Category_Targets!$A$2:$A$9,0)),0)</f>
        <v>0.05</v>
      </c>
      <c r="R1345" s="125">
        <f t="shared" si="61"/>
        <v>1004.7790000000001</v>
      </c>
      <c r="S1345" s="78">
        <f t="shared" si="62"/>
        <v>45839</v>
      </c>
      <c r="T1345" t="str">
        <f>IFERROR(VLOOKUP(B1345,Sites!$A$2:$D$21,4,FALSE()),"Unknown")</f>
        <v>Brighton</v>
      </c>
      <c r="U1345" t="str">
        <f>IF(N1345="OK","",COUNTIF($N$2:N1345,"&lt;&gt;OK"))</f>
        <v/>
      </c>
      <c r="V1345">
        <f>IF(OR(NOT(EXACT(E1345,TRIM(Procurement_Raw!E1345))),NOT(EXACT(F1345,TRIM(Procurement_Raw!F1345)))),1,0)</f>
        <v>0</v>
      </c>
    </row>
    <row r="1346" spans="1:22" ht="15" customHeight="1" x14ac:dyDescent="0.25">
      <c r="A1346" s="123">
        <f>Procurement_Raw!A1346</f>
        <v>45834</v>
      </c>
      <c r="B1346" t="str">
        <f>TRIM(Procurement_Raw!B1346)</f>
        <v>S009</v>
      </c>
      <c r="C1346" t="str">
        <f>Procurement_Raw!C1346</f>
        <v>Derby Care &amp; Education Centre</v>
      </c>
      <c r="D1346" t="str">
        <f>Procurement_Raw!D1346</f>
        <v>Midlands</v>
      </c>
      <c r="E1346" t="str">
        <f>IF(TRIM(Procurement_Raw!E1346)="","",IFERROR(INDEX(Supplier_Lookup!$A$2:$A$25,MATCH(TRIM(Procurement_Raw!E1346),Supplier_Lookup!$A$2:$A$25,0)),TRIM(Procurement_Raw!E1346)))</f>
        <v>PrintCo</v>
      </c>
      <c r="F1346" t="str">
        <f>IFERROR(INDEX(Category_Targets!$A$2:$A$9,MATCH(TRIM(Procurement_Raw!F1346),Category_Targets!$A$2:$A$9,0)),"Unmapped")</f>
        <v>Office &amp; Training</v>
      </c>
      <c r="G1346" t="str">
        <f>TRIM(Procurement_Raw!G1346)</f>
        <v>INV-2025-01345</v>
      </c>
      <c r="H1346" s="77">
        <f>Procurement_Raw!H1346</f>
        <v>52</v>
      </c>
      <c r="I1346" s="124">
        <f>Procurement_Raw!I1346</f>
        <v>126.44</v>
      </c>
      <c r="J1346" s="125">
        <f>IF(Procurement_Raw!J1346="","",Procurement_Raw!J1346)</f>
        <v>6574.72</v>
      </c>
      <c r="K1346" s="77">
        <f>Procurement_Raw!K1346</f>
        <v>30</v>
      </c>
      <c r="L1346" t="str">
        <f>Procurement_Raw!L1346</f>
        <v>Procurement Portal</v>
      </c>
      <c r="M1346" t="str">
        <f>Procurement_Raw!O1346</f>
        <v>N</v>
      </c>
      <c r="N1346" t="str">
        <f>IF(E1346="","Missing supplier",IF(B1346="","Missing site",IF(J1346="","Missing spend",IF(COUNTIFS($G$2:G1346,G1346,$E$2:E1346,E1346,$J$2:J1346,J1346)&gt;1,"Duplicate invoice",IF(COUNTIF($G$2:$G$1801,G1346)&gt;1,"Duplicate ID - review",IF(AND(P1346&lt;&gt;"Unmapped",P1346&lt;&gt;F1346),"Category mismatch","OK"))))))</f>
        <v>OK</v>
      </c>
      <c r="O1346" s="125">
        <f t="shared" ref="O1346:O1409" si="63">IF(OR(N1346="Missing spend",N1346="Duplicate invoice"),0,J1346)</f>
        <v>6574.72</v>
      </c>
      <c r="P1346" t="str">
        <f>IF(E1346="","Unmapped",IFERROR(INDEX(Supplier_Lookup!$B$2:$B$25,MATCH(E1346,Supplier_Lookup!$A$2:$A$25,0)),"Unmapped"))</f>
        <v>Office &amp; Training</v>
      </c>
      <c r="Q1346" s="76">
        <f>IFERROR(INDEX(Category_Targets!$B$2:$B$9,MATCH(F1346,Category_Targets!$A$2:$A$9,0)),0)</f>
        <v>0.04</v>
      </c>
      <c r="R1346" s="125">
        <f t="shared" ref="R1346:R1409" si="64">O1346*Q1346</f>
        <v>262.98880000000003</v>
      </c>
      <c r="S1346" s="78">
        <f t="shared" ref="S1346:S1409" si="65">DATE(YEAR(A1346),MONTH(A1346),1)</f>
        <v>45809</v>
      </c>
      <c r="T1346" t="str">
        <f>IFERROR(VLOOKUP(B1346,Sites!$A$2:$D$21,4,FALSE()),"Unknown")</f>
        <v>Derby</v>
      </c>
      <c r="U1346" t="str">
        <f>IF(N1346="OK","",COUNTIF($N$2:N1346,"&lt;&gt;OK"))</f>
        <v/>
      </c>
      <c r="V1346">
        <f>IF(OR(NOT(EXACT(E1346,TRIM(Procurement_Raw!E1346))),NOT(EXACT(F1346,TRIM(Procurement_Raw!F1346)))),1,0)</f>
        <v>0</v>
      </c>
    </row>
    <row r="1347" spans="1:22" ht="15" customHeight="1" x14ac:dyDescent="0.25">
      <c r="A1347" s="123">
        <f>Procurement_Raw!A1347</f>
        <v>45829</v>
      </c>
      <c r="B1347" t="str">
        <f>TRIM(Procurement_Raw!B1347)</f>
        <v>S003</v>
      </c>
      <c r="C1347" t="str">
        <f>Procurement_Raw!C1347</f>
        <v>Leeds Care &amp; Education Centre</v>
      </c>
      <c r="D1347" t="str">
        <f>Procurement_Raw!D1347</f>
        <v>North</v>
      </c>
      <c r="E1347" t="str">
        <f>IF(TRIM(Procurement_Raw!E1347)="","",IFERROR(INDEX(Supplier_Lookup!$A$2:$A$25,MATCH(TRIM(Procurement_Raw!E1347),Supplier_Lookup!$A$2:$A$25,0)),TRIM(Procurement_Raw!E1347)))</f>
        <v>ClinEquip</v>
      </c>
      <c r="F1347" t="str">
        <f>IFERROR(INDEX(Category_Targets!$A$2:$A$9,MATCH(TRIM(Procurement_Raw!F1347),Category_Targets!$A$2:$A$9,0)),"Unmapped")</f>
        <v>Medical Supplies</v>
      </c>
      <c r="G1347" t="str">
        <f>TRIM(Procurement_Raw!G1347)</f>
        <v>INV-2025-01346</v>
      </c>
      <c r="H1347" s="77">
        <f>Procurement_Raw!H1347</f>
        <v>50</v>
      </c>
      <c r="I1347" s="124">
        <f>Procurement_Raw!I1347</f>
        <v>53.03</v>
      </c>
      <c r="J1347" s="125">
        <f>IF(Procurement_Raw!J1347="","",Procurement_Raw!J1347)</f>
        <v>2651.34</v>
      </c>
      <c r="K1347" s="77">
        <f>Procurement_Raw!K1347</f>
        <v>60</v>
      </c>
      <c r="L1347" t="str">
        <f>Procurement_Raw!L1347</f>
        <v>Legacy Spend File</v>
      </c>
      <c r="M1347" t="str">
        <f>Procurement_Raw!O1347</f>
        <v>N</v>
      </c>
      <c r="N1347" t="str">
        <f>IF(E1347="","Missing supplier",IF(B1347="","Missing site",IF(J1347="","Missing spend",IF(COUNTIFS($G$2:G1347,G1347,$E$2:E1347,E1347,$J$2:J1347,J1347)&gt;1,"Duplicate invoice",IF(COUNTIF($G$2:$G$1801,G1347)&gt;1,"Duplicate ID - review",IF(AND(P1347&lt;&gt;"Unmapped",P1347&lt;&gt;F1347),"Category mismatch","OK"))))))</f>
        <v>OK</v>
      </c>
      <c r="O1347" s="125">
        <f t="shared" si="63"/>
        <v>2651.34</v>
      </c>
      <c r="P1347" t="str">
        <f>IF(E1347="","Unmapped",IFERROR(INDEX(Supplier_Lookup!$B$2:$B$25,MATCH(E1347,Supplier_Lookup!$A$2:$A$25,0)),"Unmapped"))</f>
        <v>Medical Supplies</v>
      </c>
      <c r="Q1347" s="76">
        <f>IFERROR(INDEX(Category_Targets!$B$2:$B$9,MATCH(F1347,Category_Targets!$A$2:$A$9,0)),0)</f>
        <v>0.06</v>
      </c>
      <c r="R1347" s="125">
        <f t="shared" si="64"/>
        <v>159.0804</v>
      </c>
      <c r="S1347" s="78">
        <f t="shared" si="65"/>
        <v>45809</v>
      </c>
      <c r="T1347" t="str">
        <f>IFERROR(VLOOKUP(B1347,Sites!$A$2:$D$21,4,FALSE()),"Unknown")</f>
        <v>Leeds</v>
      </c>
      <c r="U1347" t="str">
        <f>IF(N1347="OK","",COUNTIF($N$2:N1347,"&lt;&gt;OK"))</f>
        <v/>
      </c>
      <c r="V1347">
        <f>IF(OR(NOT(EXACT(E1347,TRIM(Procurement_Raw!E1347))),NOT(EXACT(F1347,TRIM(Procurement_Raw!F1347)))),1,0)</f>
        <v>0</v>
      </c>
    </row>
    <row r="1348" spans="1:22" ht="15" customHeight="1" x14ac:dyDescent="0.25">
      <c r="A1348" s="123">
        <f>Procurement_Raw!A1348</f>
        <v>45934</v>
      </c>
      <c r="B1348" t="str">
        <f>TRIM(Procurement_Raw!B1348)</f>
        <v>S020</v>
      </c>
      <c r="C1348" t="str">
        <f>Procurement_Raw!C1348</f>
        <v>Bangor Care &amp; Education Centre</v>
      </c>
      <c r="D1348" t="str">
        <f>Procurement_Raw!D1348</f>
        <v>Wales</v>
      </c>
      <c r="E1348" t="str">
        <f>IF(TRIM(Procurement_Raw!E1348)="","",IFERROR(INDEX(Supplier_Lookup!$A$2:$A$25,MATCH(TRIM(Procurement_Raw!E1348),Supplier_Lookup!$A$2:$A$25,0)),TRIM(Procurement_Raw!E1348)))</f>
        <v>BuildCare</v>
      </c>
      <c r="F1348" t="str">
        <f>IFERROR(INDEX(Category_Targets!$A$2:$A$9,MATCH(TRIM(Procurement_Raw!F1348),Category_Targets!$A$2:$A$9,0)),"Unmapped")</f>
        <v>Facilities</v>
      </c>
      <c r="G1348" t="str">
        <f>TRIM(Procurement_Raw!G1348)</f>
        <v>INV-2025-01347</v>
      </c>
      <c r="H1348" s="77">
        <f>Procurement_Raw!H1348</f>
        <v>37</v>
      </c>
      <c r="I1348" s="124">
        <f>Procurement_Raw!I1348</f>
        <v>44.18</v>
      </c>
      <c r="J1348" s="125">
        <f>IF(Procurement_Raw!J1348="","",Procurement_Raw!J1348)</f>
        <v>1634.71</v>
      </c>
      <c r="K1348" s="77">
        <f>Procurement_Raw!K1348</f>
        <v>30</v>
      </c>
      <c r="L1348" t="str">
        <f>Procurement_Raw!L1348</f>
        <v>ERP</v>
      </c>
      <c r="M1348" t="str">
        <f>Procurement_Raw!O1348</f>
        <v>N</v>
      </c>
      <c r="N1348" t="str">
        <f>IF(E1348="","Missing supplier",IF(B1348="","Missing site",IF(J1348="","Missing spend",IF(COUNTIFS($G$2:G1348,G1348,$E$2:E1348,E1348,$J$2:J1348,J1348)&gt;1,"Duplicate invoice",IF(COUNTIF($G$2:$G$1801,G1348)&gt;1,"Duplicate ID - review",IF(AND(P1348&lt;&gt;"Unmapped",P1348&lt;&gt;F1348),"Category mismatch","OK"))))))</f>
        <v>OK</v>
      </c>
      <c r="O1348" s="125">
        <f t="shared" si="63"/>
        <v>1634.71</v>
      </c>
      <c r="P1348" t="str">
        <f>IF(E1348="","Unmapped",IFERROR(INDEX(Supplier_Lookup!$B$2:$B$25,MATCH(E1348,Supplier_Lookup!$A$2:$A$25,0)),"Unmapped"))</f>
        <v>Facilities</v>
      </c>
      <c r="Q1348" s="76">
        <f>IFERROR(INDEX(Category_Targets!$B$2:$B$9,MATCH(F1348,Category_Targets!$A$2:$A$9,0)),0)</f>
        <v>0.05</v>
      </c>
      <c r="R1348" s="125">
        <f t="shared" si="64"/>
        <v>81.735500000000002</v>
      </c>
      <c r="S1348" s="78">
        <f t="shared" si="65"/>
        <v>45931</v>
      </c>
      <c r="T1348" t="str">
        <f>IFERROR(VLOOKUP(B1348,Sites!$A$2:$D$21,4,FALSE()),"Unknown")</f>
        <v>Bangor</v>
      </c>
      <c r="U1348" t="str">
        <f>IF(N1348="OK","",COUNTIF($N$2:N1348,"&lt;&gt;OK"))</f>
        <v/>
      </c>
      <c r="V1348">
        <f>IF(OR(NOT(EXACT(E1348,TRIM(Procurement_Raw!E1348))),NOT(EXACT(F1348,TRIM(Procurement_Raw!F1348)))),1,0)</f>
        <v>0</v>
      </c>
    </row>
    <row r="1349" spans="1:22" ht="15" customHeight="1" x14ac:dyDescent="0.25">
      <c r="A1349" s="123">
        <f>Procurement_Raw!A1349</f>
        <v>45832</v>
      </c>
      <c r="B1349" t="str">
        <f>TRIM(Procurement_Raw!B1349)</f>
        <v>S017</v>
      </c>
      <c r="C1349" t="str">
        <f>Procurement_Raw!C1349</f>
        <v>Swansea Care &amp; Education Centre</v>
      </c>
      <c r="D1349" t="str">
        <f>Procurement_Raw!D1349</f>
        <v>Wales</v>
      </c>
      <c r="E1349" t="str">
        <f>IF(TRIM(Procurement_Raw!E1349)="","",IFERROR(INDEX(Supplier_Lookup!$A$2:$A$25,MATCH(TRIM(Procurement_Raw!E1349),Supplier_Lookup!$A$2:$A$25,0)),TRIM(Procurement_Raw!E1349)))</f>
        <v>NetServe</v>
      </c>
      <c r="F1349" t="str">
        <f>IFERROR(INDEX(Category_Targets!$A$2:$A$9,MATCH(TRIM(Procurement_Raw!F1349),Category_Targets!$A$2:$A$9,0)),"Unmapped")</f>
        <v>IT &amp; Telecoms</v>
      </c>
      <c r="G1349" t="str">
        <f>TRIM(Procurement_Raw!G1349)</f>
        <v>INV-2025-01348</v>
      </c>
      <c r="H1349" s="77">
        <f>Procurement_Raw!H1349</f>
        <v>21</v>
      </c>
      <c r="I1349" s="124">
        <f>Procurement_Raw!I1349</f>
        <v>367.79</v>
      </c>
      <c r="J1349" s="125">
        <f>IF(Procurement_Raw!J1349="","",Procurement_Raw!J1349)</f>
        <v>7723.52</v>
      </c>
      <c r="K1349" s="77">
        <f>Procurement_Raw!K1349</f>
        <v>30</v>
      </c>
      <c r="L1349" t="str">
        <f>Procurement_Raw!L1349</f>
        <v>ERP</v>
      </c>
      <c r="M1349" t="str">
        <f>Procurement_Raw!O1349</f>
        <v>N</v>
      </c>
      <c r="N1349" t="str">
        <f>IF(E1349="","Missing supplier",IF(B1349="","Missing site",IF(J1349="","Missing spend",IF(COUNTIFS($G$2:G1349,G1349,$E$2:E1349,E1349,$J$2:J1349,J1349)&gt;1,"Duplicate invoice",IF(COUNTIF($G$2:$G$1801,G1349)&gt;1,"Duplicate ID - review",IF(AND(P1349&lt;&gt;"Unmapped",P1349&lt;&gt;F1349),"Category mismatch","OK"))))))</f>
        <v>OK</v>
      </c>
      <c r="O1349" s="125">
        <f t="shared" si="63"/>
        <v>7723.52</v>
      </c>
      <c r="P1349" t="str">
        <f>IF(E1349="","Unmapped",IFERROR(INDEX(Supplier_Lookup!$B$2:$B$25,MATCH(E1349,Supplier_Lookup!$A$2:$A$25,0)),"Unmapped"))</f>
        <v>IT &amp; Telecoms</v>
      </c>
      <c r="Q1349" s="76">
        <f>IFERROR(INDEX(Category_Targets!$B$2:$B$9,MATCH(F1349,Category_Targets!$A$2:$A$9,0)),0)</f>
        <v>0.08</v>
      </c>
      <c r="R1349" s="125">
        <f t="shared" si="64"/>
        <v>617.88160000000005</v>
      </c>
      <c r="S1349" s="78">
        <f t="shared" si="65"/>
        <v>45809</v>
      </c>
      <c r="T1349" t="str">
        <f>IFERROR(VLOOKUP(B1349,Sites!$A$2:$D$21,4,FALSE()),"Unknown")</f>
        <v>Swansea</v>
      </c>
      <c r="U1349" t="str">
        <f>IF(N1349="OK","",COUNTIF($N$2:N1349,"&lt;&gt;OK"))</f>
        <v/>
      </c>
      <c r="V1349">
        <f>IF(OR(NOT(EXACT(E1349,TRIM(Procurement_Raw!E1349))),NOT(EXACT(F1349,TRIM(Procurement_Raw!F1349)))),1,0)</f>
        <v>0</v>
      </c>
    </row>
    <row r="1350" spans="1:22" ht="15" customHeight="1" x14ac:dyDescent="0.25">
      <c r="A1350" s="123">
        <f>Procurement_Raw!A1350</f>
        <v>45813</v>
      </c>
      <c r="B1350" t="str">
        <f>TRIM(Procurement_Raw!B1350)</f>
        <v>S005</v>
      </c>
      <c r="C1350" t="str">
        <f>Procurement_Raw!C1350</f>
        <v>Sheffield Care &amp; Education Centre</v>
      </c>
      <c r="D1350" t="str">
        <f>Procurement_Raw!D1350</f>
        <v>North</v>
      </c>
      <c r="E1350" t="str">
        <f>IF(TRIM(Procurement_Raw!E1350)="","",IFERROR(INDEX(Supplier_Lookup!$A$2:$A$25,MATCH(TRIM(Procurement_Raw!E1350),Supplier_Lookup!$A$2:$A$25,0)),TRIM(Procurement_Raw!E1350)))</f>
        <v>CloudLink</v>
      </c>
      <c r="F1350" t="str">
        <f>IFERROR(INDEX(Category_Targets!$A$2:$A$9,MATCH(TRIM(Procurement_Raw!F1350),Category_Targets!$A$2:$A$9,0)),"Unmapped")</f>
        <v>IT &amp; Telecoms</v>
      </c>
      <c r="G1350" t="str">
        <f>TRIM(Procurement_Raw!G1350)</f>
        <v>INV-2025-01349</v>
      </c>
      <c r="H1350" s="77">
        <f>Procurement_Raw!H1350</f>
        <v>55</v>
      </c>
      <c r="I1350" s="124">
        <f>Procurement_Raw!I1350</f>
        <v>103.74</v>
      </c>
      <c r="J1350" s="125">
        <f>IF(Procurement_Raw!J1350="","",Procurement_Raw!J1350)</f>
        <v>5705.45</v>
      </c>
      <c r="K1350" s="77">
        <f>Procurement_Raw!K1350</f>
        <v>60</v>
      </c>
      <c r="L1350" t="str">
        <f>Procurement_Raw!L1350</f>
        <v>ERP</v>
      </c>
      <c r="M1350" t="str">
        <f>Procurement_Raw!O1350</f>
        <v>Y</v>
      </c>
      <c r="N1350" t="str">
        <f>IF(E1350="","Missing supplier",IF(B1350="","Missing site",IF(J1350="","Missing spend",IF(COUNTIFS($G$2:G1350,G1350,$E$2:E1350,E1350,$J$2:J1350,J1350)&gt;1,"Duplicate invoice",IF(COUNTIF($G$2:$G$1801,G1350)&gt;1,"Duplicate ID - review",IF(AND(P1350&lt;&gt;"Unmapped",P1350&lt;&gt;F1350),"Category mismatch","OK"))))))</f>
        <v>OK</v>
      </c>
      <c r="O1350" s="125">
        <f t="shared" si="63"/>
        <v>5705.45</v>
      </c>
      <c r="P1350" t="str">
        <f>IF(E1350="","Unmapped",IFERROR(INDEX(Supplier_Lookup!$B$2:$B$25,MATCH(E1350,Supplier_Lookup!$A$2:$A$25,0)),"Unmapped"))</f>
        <v>IT &amp; Telecoms</v>
      </c>
      <c r="Q1350" s="76">
        <f>IFERROR(INDEX(Category_Targets!$B$2:$B$9,MATCH(F1350,Category_Targets!$A$2:$A$9,0)),0)</f>
        <v>0.08</v>
      </c>
      <c r="R1350" s="125">
        <f t="shared" si="64"/>
        <v>456.43599999999998</v>
      </c>
      <c r="S1350" s="78">
        <f t="shared" si="65"/>
        <v>45809</v>
      </c>
      <c r="T1350" t="str">
        <f>IFERROR(VLOOKUP(B1350,Sites!$A$2:$D$21,4,FALSE()),"Unknown")</f>
        <v>Sheffield</v>
      </c>
      <c r="U1350" t="str">
        <f>IF(N1350="OK","",COUNTIF($N$2:N1350,"&lt;&gt;OK"))</f>
        <v/>
      </c>
      <c r="V1350">
        <f>IF(OR(NOT(EXACT(E1350,TRIM(Procurement_Raw!E1350))),NOT(EXACT(F1350,TRIM(Procurement_Raw!F1350)))),1,0)</f>
        <v>0</v>
      </c>
    </row>
    <row r="1351" spans="1:22" ht="15" customHeight="1" x14ac:dyDescent="0.25">
      <c r="A1351" s="123">
        <f>Procurement_Raw!A1351</f>
        <v>45790</v>
      </c>
      <c r="B1351" t="str">
        <f>TRIM(Procurement_Raw!B1351)</f>
        <v>S005</v>
      </c>
      <c r="C1351" t="str">
        <f>Procurement_Raw!C1351</f>
        <v>Sheffield Care &amp; Education Centre</v>
      </c>
      <c r="D1351" t="str">
        <f>Procurement_Raw!D1351</f>
        <v>North</v>
      </c>
      <c r="E1351" t="str">
        <f>IF(TRIM(Procurement_Raw!E1351)="","",IFERROR(INDEX(Supplier_Lookup!$A$2:$A$25,MATCH(TRIM(Procurement_Raw!E1351),Supplier_Lookup!$A$2:$A$25,0)),TRIM(Procurement_Raw!E1351)))</f>
        <v>CareMed</v>
      </c>
      <c r="F1351" t="str">
        <f>IFERROR(INDEX(Category_Targets!$A$2:$A$9,MATCH(TRIM(Procurement_Raw!F1351),Category_Targets!$A$2:$A$9,0)),"Unmapped")</f>
        <v>Medical Supplies</v>
      </c>
      <c r="G1351" t="str">
        <f>TRIM(Procurement_Raw!G1351)</f>
        <v>INV-2025-01350</v>
      </c>
      <c r="H1351" s="77">
        <f>Procurement_Raw!H1351</f>
        <v>65</v>
      </c>
      <c r="I1351" s="124">
        <f>Procurement_Raw!I1351</f>
        <v>106.05</v>
      </c>
      <c r="J1351" s="125">
        <f>IF(Procurement_Raw!J1351="","",Procurement_Raw!J1351)</f>
        <v>6892.97</v>
      </c>
      <c r="K1351" s="77">
        <f>Procurement_Raw!K1351</f>
        <v>45</v>
      </c>
      <c r="L1351" t="str">
        <f>Procurement_Raw!L1351</f>
        <v>ERP</v>
      </c>
      <c r="M1351" t="str">
        <f>Procurement_Raw!O1351</f>
        <v>N</v>
      </c>
      <c r="N1351" t="str">
        <f>IF(E1351="","Missing supplier",IF(B1351="","Missing site",IF(J1351="","Missing spend",IF(COUNTIFS($G$2:G1351,G1351,$E$2:E1351,E1351,$J$2:J1351,J1351)&gt;1,"Duplicate invoice",IF(COUNTIF($G$2:$G$1801,G1351)&gt;1,"Duplicate ID - review",IF(AND(P1351&lt;&gt;"Unmapped",P1351&lt;&gt;F1351),"Category mismatch","OK"))))))</f>
        <v>OK</v>
      </c>
      <c r="O1351" s="125">
        <f t="shared" si="63"/>
        <v>6892.97</v>
      </c>
      <c r="P1351" t="str">
        <f>IF(E1351="","Unmapped",IFERROR(INDEX(Supplier_Lookup!$B$2:$B$25,MATCH(E1351,Supplier_Lookup!$A$2:$A$25,0)),"Unmapped"))</f>
        <v>Medical Supplies</v>
      </c>
      <c r="Q1351" s="76">
        <f>IFERROR(INDEX(Category_Targets!$B$2:$B$9,MATCH(F1351,Category_Targets!$A$2:$A$9,0)),0)</f>
        <v>0.06</v>
      </c>
      <c r="R1351" s="125">
        <f t="shared" si="64"/>
        <v>413.57819999999998</v>
      </c>
      <c r="S1351" s="78">
        <f t="shared" si="65"/>
        <v>45778</v>
      </c>
      <c r="T1351" t="str">
        <f>IFERROR(VLOOKUP(B1351,Sites!$A$2:$D$21,4,FALSE()),"Unknown")</f>
        <v>Sheffield</v>
      </c>
      <c r="U1351" t="str">
        <f>IF(N1351="OK","",COUNTIF($N$2:N1351,"&lt;&gt;OK"))</f>
        <v/>
      </c>
      <c r="V1351">
        <f>IF(OR(NOT(EXACT(E1351,TRIM(Procurement_Raw!E1351))),NOT(EXACT(F1351,TRIM(Procurement_Raw!F1351)))),1,0)</f>
        <v>0</v>
      </c>
    </row>
    <row r="1352" spans="1:22" ht="15" customHeight="1" x14ac:dyDescent="0.25">
      <c r="A1352" s="123">
        <f>Procurement_Raw!A1352</f>
        <v>45810</v>
      </c>
      <c r="B1352" t="str">
        <f>TRIM(Procurement_Raw!B1352)</f>
        <v>S018</v>
      </c>
      <c r="C1352" t="str">
        <f>Procurement_Raw!C1352</f>
        <v>Newport Care &amp; Education Centre</v>
      </c>
      <c r="D1352" t="str">
        <f>Procurement_Raw!D1352</f>
        <v>Wales</v>
      </c>
      <c r="E1352" t="str">
        <f>IF(TRIM(Procurement_Raw!E1352)="","",IFERROR(INDEX(Supplier_Lookup!$A$2:$A$25,MATCH(TRIM(Procurement_Raw!E1352),Supplier_Lookup!$A$2:$A$25,0)),TRIM(Procurement_Raw!E1352)))</f>
        <v>NourishCo</v>
      </c>
      <c r="F1352" t="str">
        <f>IFERROR(INDEX(Category_Targets!$A$2:$A$9,MATCH(TRIM(Procurement_Raw!F1352),Category_Targets!$A$2:$A$9,0)),"Unmapped")</f>
        <v>Food &amp; Catering</v>
      </c>
      <c r="G1352" t="str">
        <f>TRIM(Procurement_Raw!G1352)</f>
        <v>INV-2025-01351</v>
      </c>
      <c r="H1352" s="77">
        <f>Procurement_Raw!H1352</f>
        <v>74</v>
      </c>
      <c r="I1352" s="124">
        <f>Procurement_Raw!I1352</f>
        <v>34.15</v>
      </c>
      <c r="J1352" s="125">
        <f>IF(Procurement_Raw!J1352="","",Procurement_Raw!J1352)</f>
        <v>2527.2600000000002</v>
      </c>
      <c r="K1352" s="77">
        <f>Procurement_Raw!K1352</f>
        <v>60</v>
      </c>
      <c r="L1352" t="str">
        <f>Procurement_Raw!L1352</f>
        <v>ERP</v>
      </c>
      <c r="M1352" t="str">
        <f>Procurement_Raw!O1352</f>
        <v>N</v>
      </c>
      <c r="N1352" t="str">
        <f>IF(E1352="","Missing supplier",IF(B1352="","Missing site",IF(J1352="","Missing spend",IF(COUNTIFS($G$2:G1352,G1352,$E$2:E1352,E1352,$J$2:J1352,J1352)&gt;1,"Duplicate invoice",IF(COUNTIF($G$2:$G$1801,G1352)&gt;1,"Duplicate ID - review",IF(AND(P1352&lt;&gt;"Unmapped",P1352&lt;&gt;F1352),"Category mismatch","OK"))))))</f>
        <v>OK</v>
      </c>
      <c r="O1352" s="125">
        <f t="shared" si="63"/>
        <v>2527.2600000000002</v>
      </c>
      <c r="P1352" t="str">
        <f>IF(E1352="","Unmapped",IFERROR(INDEX(Supplier_Lookup!$B$2:$B$25,MATCH(E1352,Supplier_Lookup!$A$2:$A$25,0)),"Unmapped"))</f>
        <v>Food &amp; Catering</v>
      </c>
      <c r="Q1352" s="76">
        <f>IFERROR(INDEX(Category_Targets!$B$2:$B$9,MATCH(F1352,Category_Targets!$A$2:$A$9,0)),0)</f>
        <v>0.04</v>
      </c>
      <c r="R1352" s="125">
        <f t="shared" si="64"/>
        <v>101.09040000000002</v>
      </c>
      <c r="S1352" s="78">
        <f t="shared" si="65"/>
        <v>45809</v>
      </c>
      <c r="T1352" t="str">
        <f>IFERROR(VLOOKUP(B1352,Sites!$A$2:$D$21,4,FALSE()),"Unknown")</f>
        <v>Newport</v>
      </c>
      <c r="U1352" t="str">
        <f>IF(N1352="OK","",COUNTIF($N$2:N1352,"&lt;&gt;OK"))</f>
        <v/>
      </c>
      <c r="V1352">
        <f>IF(OR(NOT(EXACT(E1352,TRIM(Procurement_Raw!E1352))),NOT(EXACT(F1352,TRIM(Procurement_Raw!F1352)))),1,0)</f>
        <v>0</v>
      </c>
    </row>
    <row r="1353" spans="1:22" ht="15" customHeight="1" x14ac:dyDescent="0.25">
      <c r="A1353" s="123">
        <f>Procurement_Raw!A1353</f>
        <v>45955</v>
      </c>
      <c r="B1353" t="str">
        <f>TRIM(Procurement_Raw!B1353)</f>
        <v>S007</v>
      </c>
      <c r="C1353" t="str">
        <f>Procurement_Raw!C1353</f>
        <v>Nottingham Care &amp; Education Centre</v>
      </c>
      <c r="D1353" t="str">
        <f>Procurement_Raw!D1353</f>
        <v>Midlands</v>
      </c>
      <c r="E1353" t="str">
        <f>IF(TRIM(Procurement_Raw!E1353)="","",IFERROR(INDEX(Supplier_Lookup!$A$2:$A$25,MATCH(TRIM(Procurement_Raw!E1353),Supplier_Lookup!$A$2:$A$25,0)),TRIM(Procurement_Raw!E1353)))</f>
        <v>FleetFuel</v>
      </c>
      <c r="F1353" t="str">
        <f>IFERROR(INDEX(Category_Targets!$A$2:$A$9,MATCH(TRIM(Procurement_Raw!F1353),Category_Targets!$A$2:$A$9,0)),"Unmapped")</f>
        <v>Vehicle &amp; Fuel</v>
      </c>
      <c r="G1353" t="str">
        <f>TRIM(Procurement_Raw!G1353)</f>
        <v>INV-2025-01352</v>
      </c>
      <c r="H1353" s="77">
        <f>Procurement_Raw!H1353</f>
        <v>73</v>
      </c>
      <c r="I1353" s="124">
        <f>Procurement_Raw!I1353</f>
        <v>35.26</v>
      </c>
      <c r="J1353" s="125">
        <f>IF(Procurement_Raw!J1353="","",Procurement_Raw!J1353)</f>
        <v>2574.08</v>
      </c>
      <c r="K1353" s="77">
        <f>Procurement_Raw!K1353</f>
        <v>60</v>
      </c>
      <c r="L1353" t="str">
        <f>Procurement_Raw!L1353</f>
        <v>Legacy Spend File</v>
      </c>
      <c r="M1353" t="str">
        <f>Procurement_Raw!O1353</f>
        <v>Y</v>
      </c>
      <c r="N1353" t="str">
        <f>IF(E1353="","Missing supplier",IF(B1353="","Missing site",IF(J1353="","Missing spend",IF(COUNTIFS($G$2:G1353,G1353,$E$2:E1353,E1353,$J$2:J1353,J1353)&gt;1,"Duplicate invoice",IF(COUNTIF($G$2:$G$1801,G1353)&gt;1,"Duplicate ID - review",IF(AND(P1353&lt;&gt;"Unmapped",P1353&lt;&gt;F1353),"Category mismatch","OK"))))))</f>
        <v>OK</v>
      </c>
      <c r="O1353" s="125">
        <f t="shared" si="63"/>
        <v>2574.08</v>
      </c>
      <c r="P1353" t="str">
        <f>IF(E1353="","Unmapped",IFERROR(INDEX(Supplier_Lookup!$B$2:$B$25,MATCH(E1353,Supplier_Lookup!$A$2:$A$25,0)),"Unmapped"))</f>
        <v>Vehicle &amp; Fuel</v>
      </c>
      <c r="Q1353" s="76">
        <f>IFERROR(INDEX(Category_Targets!$B$2:$B$9,MATCH(F1353,Category_Targets!$A$2:$A$9,0)),0)</f>
        <v>0.05</v>
      </c>
      <c r="R1353" s="125">
        <f t="shared" si="64"/>
        <v>128.70400000000001</v>
      </c>
      <c r="S1353" s="78">
        <f t="shared" si="65"/>
        <v>45931</v>
      </c>
      <c r="T1353" t="str">
        <f>IFERROR(VLOOKUP(B1353,Sites!$A$2:$D$21,4,FALSE()),"Unknown")</f>
        <v>Nottingham</v>
      </c>
      <c r="U1353" t="str">
        <f>IF(N1353="OK","",COUNTIF($N$2:N1353,"&lt;&gt;OK"))</f>
        <v/>
      </c>
      <c r="V1353">
        <f>IF(OR(NOT(EXACT(E1353,TRIM(Procurement_Raw!E1353))),NOT(EXACT(F1353,TRIM(Procurement_Raw!F1353)))),1,0)</f>
        <v>0</v>
      </c>
    </row>
    <row r="1354" spans="1:22" ht="15" customHeight="1" x14ac:dyDescent="0.25">
      <c r="A1354" s="123">
        <f>Procurement_Raw!A1354</f>
        <v>45811</v>
      </c>
      <c r="B1354" t="str">
        <f>TRIM(Procurement_Raw!B1354)</f>
        <v>S012</v>
      </c>
      <c r="C1354" t="str">
        <f>Procurement_Raw!C1354</f>
        <v>Bristol Care &amp; Education Centre</v>
      </c>
      <c r="D1354" t="str">
        <f>Procurement_Raw!D1354</f>
        <v>South</v>
      </c>
      <c r="E1354" t="str">
        <f>IF(TRIM(Procurement_Raw!E1354)="","",IFERROR(INDEX(Supplier_Lookup!$A$2:$A$25,MATCH(TRIM(Procurement_Raw!E1354),Supplier_Lookup!$A$2:$A$25,0)),TRIM(Procurement_Raw!E1354)))</f>
        <v>WaterGrid</v>
      </c>
      <c r="F1354" t="str">
        <f>IFERROR(INDEX(Category_Targets!$A$2:$A$9,MATCH(TRIM(Procurement_Raw!F1354),Category_Targets!$A$2:$A$9,0)),"Unmapped")</f>
        <v>Utilities</v>
      </c>
      <c r="G1354" t="str">
        <f>TRIM(Procurement_Raw!G1354)</f>
        <v>INV-2025-01353</v>
      </c>
      <c r="H1354" s="77">
        <f>Procurement_Raw!H1354</f>
        <v>37</v>
      </c>
      <c r="I1354" s="124">
        <f>Procurement_Raw!I1354</f>
        <v>336.72</v>
      </c>
      <c r="J1354" s="125">
        <f>IF(Procurement_Raw!J1354="","",Procurement_Raw!J1354)</f>
        <v>12458.81</v>
      </c>
      <c r="K1354" s="77">
        <f>Procurement_Raw!K1354</f>
        <v>60</v>
      </c>
      <c r="L1354" t="str">
        <f>Procurement_Raw!L1354</f>
        <v>Legacy Spend File</v>
      </c>
      <c r="M1354" t="str">
        <f>Procurement_Raw!O1354</f>
        <v>N</v>
      </c>
      <c r="N1354" t="str">
        <f>IF(E1354="","Missing supplier",IF(B1354="","Missing site",IF(J1354="","Missing spend",IF(COUNTIFS($G$2:G1354,G1354,$E$2:E1354,E1354,$J$2:J1354,J1354)&gt;1,"Duplicate invoice",IF(COUNTIF($G$2:$G$1801,G1354)&gt;1,"Duplicate ID - review",IF(AND(P1354&lt;&gt;"Unmapped",P1354&lt;&gt;F1354),"Category mismatch","OK"))))))</f>
        <v>OK</v>
      </c>
      <c r="O1354" s="125">
        <f t="shared" si="63"/>
        <v>12458.81</v>
      </c>
      <c r="P1354" t="str">
        <f>IF(E1354="","Unmapped",IFERROR(INDEX(Supplier_Lookup!$B$2:$B$25,MATCH(E1354,Supplier_Lookup!$A$2:$A$25,0)),"Unmapped"))</f>
        <v>Utilities</v>
      </c>
      <c r="Q1354" s="76">
        <f>IFERROR(INDEX(Category_Targets!$B$2:$B$9,MATCH(F1354,Category_Targets!$A$2:$A$9,0)),0)</f>
        <v>0.03</v>
      </c>
      <c r="R1354" s="125">
        <f t="shared" si="64"/>
        <v>373.76429999999999</v>
      </c>
      <c r="S1354" s="78">
        <f t="shared" si="65"/>
        <v>45809</v>
      </c>
      <c r="T1354" t="str">
        <f>IFERROR(VLOOKUP(B1354,Sites!$A$2:$D$21,4,FALSE()),"Unknown")</f>
        <v>Bristol</v>
      </c>
      <c r="U1354" t="str">
        <f>IF(N1354="OK","",COUNTIF($N$2:N1354,"&lt;&gt;OK"))</f>
        <v/>
      </c>
      <c r="V1354">
        <f>IF(OR(NOT(EXACT(E1354,TRIM(Procurement_Raw!E1354))),NOT(EXACT(F1354,TRIM(Procurement_Raw!F1354)))),1,0)</f>
        <v>0</v>
      </c>
    </row>
    <row r="1355" spans="1:22" ht="15" customHeight="1" x14ac:dyDescent="0.25">
      <c r="A1355" s="123">
        <f>Procurement_Raw!A1355</f>
        <v>45851</v>
      </c>
      <c r="B1355" t="str">
        <f>TRIM(Procurement_Raw!B1355)</f>
        <v>S012</v>
      </c>
      <c r="C1355" t="str">
        <f>Procurement_Raw!C1355</f>
        <v>Bristol Care &amp; Education Centre</v>
      </c>
      <c r="D1355" t="str">
        <f>Procurement_Raw!D1355</f>
        <v>South</v>
      </c>
      <c r="E1355" t="str">
        <f>IF(TRIM(Procurement_Raw!E1355)="","",IFERROR(INDEX(Supplier_Lookup!$A$2:$A$25,MATCH(TRIM(Procurement_Raw!E1355),Supplier_Lookup!$A$2:$A$25,0)),TRIM(Procurement_Raw!E1355)))</f>
        <v>BuildCare</v>
      </c>
      <c r="F1355" t="str">
        <f>IFERROR(INDEX(Category_Targets!$A$2:$A$9,MATCH(TRIM(Procurement_Raw!F1355),Category_Targets!$A$2:$A$9,0)),"Unmapped")</f>
        <v>Facilities</v>
      </c>
      <c r="G1355" t="str">
        <f>TRIM(Procurement_Raw!G1355)</f>
        <v>INV-2025-01354</v>
      </c>
      <c r="H1355" s="77">
        <f>Procurement_Raw!H1355</f>
        <v>67</v>
      </c>
      <c r="I1355" s="124">
        <f>Procurement_Raw!I1355</f>
        <v>273.27999999999997</v>
      </c>
      <c r="J1355" s="125">
        <f>IF(Procurement_Raw!J1355="","",Procurement_Raw!J1355)</f>
        <v>18309.669999999998</v>
      </c>
      <c r="K1355" s="77">
        <f>Procurement_Raw!K1355</f>
        <v>60</v>
      </c>
      <c r="L1355" t="str">
        <f>Procurement_Raw!L1355</f>
        <v>ERP</v>
      </c>
      <c r="M1355" t="str">
        <f>Procurement_Raw!O1355</f>
        <v>N</v>
      </c>
      <c r="N1355" t="str">
        <f>IF(E1355="","Missing supplier",IF(B1355="","Missing site",IF(J1355="","Missing spend",IF(COUNTIFS($G$2:G1355,G1355,$E$2:E1355,E1355,$J$2:J1355,J1355)&gt;1,"Duplicate invoice",IF(COUNTIF($G$2:$G$1801,G1355)&gt;1,"Duplicate ID - review",IF(AND(P1355&lt;&gt;"Unmapped",P1355&lt;&gt;F1355),"Category mismatch","OK"))))))</f>
        <v>OK</v>
      </c>
      <c r="O1355" s="125">
        <f t="shared" si="63"/>
        <v>18309.669999999998</v>
      </c>
      <c r="P1355" t="str">
        <f>IF(E1355="","Unmapped",IFERROR(INDEX(Supplier_Lookup!$B$2:$B$25,MATCH(E1355,Supplier_Lookup!$A$2:$A$25,0)),"Unmapped"))</f>
        <v>Facilities</v>
      </c>
      <c r="Q1355" s="76">
        <f>IFERROR(INDEX(Category_Targets!$B$2:$B$9,MATCH(F1355,Category_Targets!$A$2:$A$9,0)),0)</f>
        <v>0.05</v>
      </c>
      <c r="R1355" s="125">
        <f t="shared" si="64"/>
        <v>915.48349999999994</v>
      </c>
      <c r="S1355" s="78">
        <f t="shared" si="65"/>
        <v>45839</v>
      </c>
      <c r="T1355" t="str">
        <f>IFERROR(VLOOKUP(B1355,Sites!$A$2:$D$21,4,FALSE()),"Unknown")</f>
        <v>Bristol</v>
      </c>
      <c r="U1355" t="str">
        <f>IF(N1355="OK","",COUNTIF($N$2:N1355,"&lt;&gt;OK"))</f>
        <v/>
      </c>
      <c r="V1355">
        <f>IF(OR(NOT(EXACT(E1355,TRIM(Procurement_Raw!E1355))),NOT(EXACT(F1355,TRIM(Procurement_Raw!F1355)))),1,0)</f>
        <v>0</v>
      </c>
    </row>
    <row r="1356" spans="1:22" ht="15" customHeight="1" x14ac:dyDescent="0.25">
      <c r="A1356" s="123">
        <f>Procurement_Raw!A1356</f>
        <v>45956</v>
      </c>
      <c r="B1356" t="str">
        <f>TRIM(Procurement_Raw!B1356)</f>
        <v>S011</v>
      </c>
      <c r="C1356" t="str">
        <f>Procurement_Raw!C1356</f>
        <v>London Care &amp; Education Centre</v>
      </c>
      <c r="D1356" t="str">
        <f>Procurement_Raw!D1356</f>
        <v>South</v>
      </c>
      <c r="E1356" t="str">
        <f>IF(TRIM(Procurement_Raw!E1356)="","",IFERROR(INDEX(Supplier_Lookup!$A$2:$A$25,MATCH(TRIM(Procurement_Raw!E1356),Supplier_Lookup!$A$2:$A$25,0)),TRIM(Procurement_Raw!E1356)))</f>
        <v>AutoCare</v>
      </c>
      <c r="F1356" t="str">
        <f>IFERROR(INDEX(Category_Targets!$A$2:$A$9,MATCH(TRIM(Procurement_Raw!F1356),Category_Targets!$A$2:$A$9,0)),"Unmapped")</f>
        <v>Vehicle &amp; Fuel</v>
      </c>
      <c r="G1356" t="str">
        <f>TRIM(Procurement_Raw!G1356)</f>
        <v>INV-2025-01355</v>
      </c>
      <c r="H1356" s="77">
        <f>Procurement_Raw!H1356</f>
        <v>25</v>
      </c>
      <c r="I1356" s="124">
        <f>Procurement_Raw!I1356</f>
        <v>69.19</v>
      </c>
      <c r="J1356" s="125">
        <f>IF(Procurement_Raw!J1356="","",Procurement_Raw!J1356)</f>
        <v>1729.65</v>
      </c>
      <c r="K1356" s="77">
        <f>Procurement_Raw!K1356</f>
        <v>45</v>
      </c>
      <c r="L1356" t="str">
        <f>Procurement_Raw!L1356</f>
        <v>Procurement Portal</v>
      </c>
      <c r="M1356" t="str">
        <f>Procurement_Raw!O1356</f>
        <v>N</v>
      </c>
      <c r="N1356" t="str">
        <f>IF(E1356="","Missing supplier",IF(B1356="","Missing site",IF(J1356="","Missing spend",IF(COUNTIFS($G$2:G1356,G1356,$E$2:E1356,E1356,$J$2:J1356,J1356)&gt;1,"Duplicate invoice",IF(COUNTIF($G$2:$G$1801,G1356)&gt;1,"Duplicate ID - review",IF(AND(P1356&lt;&gt;"Unmapped",P1356&lt;&gt;F1356),"Category mismatch","OK"))))))</f>
        <v>OK</v>
      </c>
      <c r="O1356" s="125">
        <f t="shared" si="63"/>
        <v>1729.65</v>
      </c>
      <c r="P1356" t="str">
        <f>IF(E1356="","Unmapped",IFERROR(INDEX(Supplier_Lookup!$B$2:$B$25,MATCH(E1356,Supplier_Lookup!$A$2:$A$25,0)),"Unmapped"))</f>
        <v>Vehicle &amp; Fuel</v>
      </c>
      <c r="Q1356" s="76">
        <f>IFERROR(INDEX(Category_Targets!$B$2:$B$9,MATCH(F1356,Category_Targets!$A$2:$A$9,0)),0)</f>
        <v>0.05</v>
      </c>
      <c r="R1356" s="125">
        <f t="shared" si="64"/>
        <v>86.482500000000016</v>
      </c>
      <c r="S1356" s="78">
        <f t="shared" si="65"/>
        <v>45931</v>
      </c>
      <c r="T1356" t="str">
        <f>IFERROR(VLOOKUP(B1356,Sites!$A$2:$D$21,4,FALSE()),"Unknown")</f>
        <v>London</v>
      </c>
      <c r="U1356" t="str">
        <f>IF(N1356="OK","",COUNTIF($N$2:N1356,"&lt;&gt;OK"))</f>
        <v/>
      </c>
      <c r="V1356">
        <f>IF(OR(NOT(EXACT(E1356,TRIM(Procurement_Raw!E1356))),NOT(EXACT(F1356,TRIM(Procurement_Raw!F1356)))),1,0)</f>
        <v>0</v>
      </c>
    </row>
    <row r="1357" spans="1:22" ht="15" customHeight="1" x14ac:dyDescent="0.25">
      <c r="A1357" s="123">
        <f>Procurement_Raw!A1357</f>
        <v>45875</v>
      </c>
      <c r="B1357" t="str">
        <f>TRIM(Procurement_Raw!B1357)</f>
        <v>S010</v>
      </c>
      <c r="C1357" t="str">
        <f>Procurement_Raw!C1357</f>
        <v>Coventry Care &amp; Education Centre</v>
      </c>
      <c r="D1357" t="str">
        <f>Procurement_Raw!D1357</f>
        <v>Midlands</v>
      </c>
      <c r="E1357" t="str">
        <f>IF(TRIM(Procurement_Raw!E1357)="","",IFERROR(INDEX(Supplier_Lookup!$A$2:$A$25,MATCH(TRIM(Procurement_Raw!E1357),Supplier_Lookup!$A$2:$A$25,0)),TRIM(Procurement_Raw!E1357)))</f>
        <v>BuildCare</v>
      </c>
      <c r="F1357" t="str">
        <f>IFERROR(INDEX(Category_Targets!$A$2:$A$9,MATCH(TRIM(Procurement_Raw!F1357),Category_Targets!$A$2:$A$9,0)),"Unmapped")</f>
        <v>Facilities</v>
      </c>
      <c r="G1357" t="str">
        <f>TRIM(Procurement_Raw!G1357)</f>
        <v>INV-2025-01356</v>
      </c>
      <c r="H1357" s="77">
        <f>Procurement_Raw!H1357</f>
        <v>53</v>
      </c>
      <c r="I1357" s="124">
        <f>Procurement_Raw!I1357</f>
        <v>43.29</v>
      </c>
      <c r="J1357" s="125">
        <f>IF(Procurement_Raw!J1357="","",Procurement_Raw!J1357)</f>
        <v>2294.2800000000002</v>
      </c>
      <c r="K1357" s="77">
        <f>Procurement_Raw!K1357</f>
        <v>30</v>
      </c>
      <c r="L1357" t="str">
        <f>Procurement_Raw!L1357</f>
        <v>ERP</v>
      </c>
      <c r="M1357" t="str">
        <f>Procurement_Raw!O1357</f>
        <v>N</v>
      </c>
      <c r="N1357" t="str">
        <f>IF(E1357="","Missing supplier",IF(B1357="","Missing site",IF(J1357="","Missing spend",IF(COUNTIFS($G$2:G1357,G1357,$E$2:E1357,E1357,$J$2:J1357,J1357)&gt;1,"Duplicate invoice",IF(COUNTIF($G$2:$G$1801,G1357)&gt;1,"Duplicate ID - review",IF(AND(P1357&lt;&gt;"Unmapped",P1357&lt;&gt;F1357),"Category mismatch","OK"))))))</f>
        <v>OK</v>
      </c>
      <c r="O1357" s="125">
        <f t="shared" si="63"/>
        <v>2294.2800000000002</v>
      </c>
      <c r="P1357" t="str">
        <f>IF(E1357="","Unmapped",IFERROR(INDEX(Supplier_Lookup!$B$2:$B$25,MATCH(E1357,Supplier_Lookup!$A$2:$A$25,0)),"Unmapped"))</f>
        <v>Facilities</v>
      </c>
      <c r="Q1357" s="76">
        <f>IFERROR(INDEX(Category_Targets!$B$2:$B$9,MATCH(F1357,Category_Targets!$A$2:$A$9,0)),0)</f>
        <v>0.05</v>
      </c>
      <c r="R1357" s="125">
        <f t="shared" si="64"/>
        <v>114.71400000000001</v>
      </c>
      <c r="S1357" s="78">
        <f t="shared" si="65"/>
        <v>45870</v>
      </c>
      <c r="T1357" t="str">
        <f>IFERROR(VLOOKUP(B1357,Sites!$A$2:$D$21,4,FALSE()),"Unknown")</f>
        <v>Coventry</v>
      </c>
      <c r="U1357" t="str">
        <f>IF(N1357="OK","",COUNTIF($N$2:N1357,"&lt;&gt;OK"))</f>
        <v/>
      </c>
      <c r="V1357">
        <f>IF(OR(NOT(EXACT(E1357,TRIM(Procurement_Raw!E1357))),NOT(EXACT(F1357,TRIM(Procurement_Raw!F1357)))),1,0)</f>
        <v>0</v>
      </c>
    </row>
    <row r="1358" spans="1:22" ht="15" customHeight="1" x14ac:dyDescent="0.25">
      <c r="A1358" s="123">
        <f>Procurement_Raw!A1358</f>
        <v>45901</v>
      </c>
      <c r="B1358" t="str">
        <f>TRIM(Procurement_Raw!B1358)</f>
        <v>S019</v>
      </c>
      <c r="C1358" t="str">
        <f>Procurement_Raw!C1358</f>
        <v>Wrexham Care &amp; Education Centre</v>
      </c>
      <c r="D1358" t="str">
        <f>Procurement_Raw!D1358</f>
        <v>Wales</v>
      </c>
      <c r="E1358" t="str">
        <f>IF(TRIM(Procurement_Raw!E1358)="","",IFERROR(INDEX(Supplier_Lookup!$A$2:$A$25,MATCH(TRIM(Procurement_Raw!E1358),Supplier_Lookup!$A$2:$A$25,0)),TRIM(Procurement_Raw!E1358)))</f>
        <v>HealthStaffing</v>
      </c>
      <c r="F1358" t="str">
        <f>IFERROR(INDEX(Category_Targets!$A$2:$A$9,MATCH(TRIM(Procurement_Raw!F1358),Category_Targets!$A$2:$A$9,0)),"Unmapped")</f>
        <v>Agency Labour</v>
      </c>
      <c r="G1358" t="str">
        <f>TRIM(Procurement_Raw!G1358)</f>
        <v>INV-2025-01357</v>
      </c>
      <c r="H1358" s="77">
        <f>Procurement_Raw!H1358</f>
        <v>28</v>
      </c>
      <c r="I1358" s="124">
        <f>Procurement_Raw!I1358</f>
        <v>222.15</v>
      </c>
      <c r="J1358" s="125">
        <f>IF(Procurement_Raw!J1358="","",Procurement_Raw!J1358)</f>
        <v>6220.17</v>
      </c>
      <c r="K1358" s="77">
        <f>Procurement_Raw!K1358</f>
        <v>45</v>
      </c>
      <c r="L1358" t="str">
        <f>Procurement_Raw!L1358</f>
        <v>ERP</v>
      </c>
      <c r="M1358" t="str">
        <f>Procurement_Raw!O1358</f>
        <v>N</v>
      </c>
      <c r="N1358" t="str">
        <f>IF(E1358="","Missing supplier",IF(B1358="","Missing site",IF(J1358="","Missing spend",IF(COUNTIFS($G$2:G1358,G1358,$E$2:E1358,E1358,$J$2:J1358,J1358)&gt;1,"Duplicate invoice",IF(COUNTIF($G$2:$G$1801,G1358)&gt;1,"Duplicate ID - review",IF(AND(P1358&lt;&gt;"Unmapped",P1358&lt;&gt;F1358),"Category mismatch","OK"))))))</f>
        <v>OK</v>
      </c>
      <c r="O1358" s="125">
        <f t="shared" si="63"/>
        <v>6220.17</v>
      </c>
      <c r="P1358" t="str">
        <f>IF(E1358="","Unmapped",IFERROR(INDEX(Supplier_Lookup!$B$2:$B$25,MATCH(E1358,Supplier_Lookup!$A$2:$A$25,0)),"Unmapped"))</f>
        <v>Agency Labour</v>
      </c>
      <c r="Q1358" s="76">
        <f>IFERROR(INDEX(Category_Targets!$B$2:$B$9,MATCH(F1358,Category_Targets!$A$2:$A$9,0)),0)</f>
        <v>7.0000000000000007E-2</v>
      </c>
      <c r="R1358" s="125">
        <f t="shared" si="64"/>
        <v>435.41190000000006</v>
      </c>
      <c r="S1358" s="78">
        <f t="shared" si="65"/>
        <v>45901</v>
      </c>
      <c r="T1358" t="str">
        <f>IFERROR(VLOOKUP(B1358,Sites!$A$2:$D$21,4,FALSE()),"Unknown")</f>
        <v>Wrexham</v>
      </c>
      <c r="U1358" t="str">
        <f>IF(N1358="OK","",COUNTIF($N$2:N1358,"&lt;&gt;OK"))</f>
        <v/>
      </c>
      <c r="V1358">
        <f>IF(OR(NOT(EXACT(E1358,TRIM(Procurement_Raw!E1358))),NOT(EXACT(F1358,TRIM(Procurement_Raw!F1358)))),1,0)</f>
        <v>0</v>
      </c>
    </row>
    <row r="1359" spans="1:22" ht="15" customHeight="1" x14ac:dyDescent="0.25">
      <c r="A1359" s="123">
        <f>Procurement_Raw!A1359</f>
        <v>45944</v>
      </c>
      <c r="B1359" t="str">
        <f>TRIM(Procurement_Raw!B1359)</f>
        <v>S007</v>
      </c>
      <c r="C1359" t="str">
        <f>Procurement_Raw!C1359</f>
        <v>Nottingham Care &amp; Education Centre</v>
      </c>
      <c r="D1359" t="str">
        <f>Procurement_Raw!D1359</f>
        <v>Midlands</v>
      </c>
      <c r="E1359" t="str">
        <f>IF(TRIM(Procurement_Raw!E1359)="","",IFERROR(INDEX(Supplier_Lookup!$A$2:$A$25,MATCH(TRIM(Procurement_Raw!E1359),Supplier_Lookup!$A$2:$A$25,0)),TRIM(Procurement_Raw!E1359)))</f>
        <v>NurseLink</v>
      </c>
      <c r="F1359" t="str">
        <f>IFERROR(INDEX(Category_Targets!$A$2:$A$9,MATCH(TRIM(Procurement_Raw!F1359),Category_Targets!$A$2:$A$9,0)),"Unmapped")</f>
        <v>Agency Labour</v>
      </c>
      <c r="G1359" t="str">
        <f>TRIM(Procurement_Raw!G1359)</f>
        <v>INV-2025-01358</v>
      </c>
      <c r="H1359" s="77">
        <f>Procurement_Raw!H1359</f>
        <v>67</v>
      </c>
      <c r="I1359" s="124">
        <f>Procurement_Raw!I1359</f>
        <v>372.14</v>
      </c>
      <c r="J1359" s="125">
        <f>IF(Procurement_Raw!J1359="","",Procurement_Raw!J1359)</f>
        <v>24933.49</v>
      </c>
      <c r="K1359" s="77">
        <f>Procurement_Raw!K1359</f>
        <v>45</v>
      </c>
      <c r="L1359" t="str">
        <f>Procurement_Raw!L1359</f>
        <v>Procurement Portal</v>
      </c>
      <c r="M1359" t="str">
        <f>Procurement_Raw!O1359</f>
        <v>N</v>
      </c>
      <c r="N1359" t="str">
        <f>IF(E1359="","Missing supplier",IF(B1359="","Missing site",IF(J1359="","Missing spend",IF(COUNTIFS($G$2:G1359,G1359,$E$2:E1359,E1359,$J$2:J1359,J1359)&gt;1,"Duplicate invoice",IF(COUNTIF($G$2:$G$1801,G1359)&gt;1,"Duplicate ID - review",IF(AND(P1359&lt;&gt;"Unmapped",P1359&lt;&gt;F1359),"Category mismatch","OK"))))))</f>
        <v>OK</v>
      </c>
      <c r="O1359" s="125">
        <f t="shared" si="63"/>
        <v>24933.49</v>
      </c>
      <c r="P1359" t="str">
        <f>IF(E1359="","Unmapped",IFERROR(INDEX(Supplier_Lookup!$B$2:$B$25,MATCH(E1359,Supplier_Lookup!$A$2:$A$25,0)),"Unmapped"))</f>
        <v>Agency Labour</v>
      </c>
      <c r="Q1359" s="76">
        <f>IFERROR(INDEX(Category_Targets!$B$2:$B$9,MATCH(F1359,Category_Targets!$A$2:$A$9,0)),0)</f>
        <v>7.0000000000000007E-2</v>
      </c>
      <c r="R1359" s="125">
        <f t="shared" si="64"/>
        <v>1745.3443000000002</v>
      </c>
      <c r="S1359" s="78">
        <f t="shared" si="65"/>
        <v>45931</v>
      </c>
      <c r="T1359" t="str">
        <f>IFERROR(VLOOKUP(B1359,Sites!$A$2:$D$21,4,FALSE()),"Unknown")</f>
        <v>Nottingham</v>
      </c>
      <c r="U1359" t="str">
        <f>IF(N1359="OK","",COUNTIF($N$2:N1359,"&lt;&gt;OK"))</f>
        <v/>
      </c>
      <c r="V1359">
        <f>IF(OR(NOT(EXACT(E1359,TRIM(Procurement_Raw!E1359))),NOT(EXACT(F1359,TRIM(Procurement_Raw!F1359)))),1,0)</f>
        <v>0</v>
      </c>
    </row>
    <row r="1360" spans="1:22" ht="15" customHeight="1" x14ac:dyDescent="0.25">
      <c r="A1360" s="123">
        <f>Procurement_Raw!A1360</f>
        <v>45874</v>
      </c>
      <c r="B1360" t="str">
        <f>TRIM(Procurement_Raw!B1360)</f>
        <v>S006</v>
      </c>
      <c r="C1360" t="str">
        <f>Procurement_Raw!C1360</f>
        <v>Birmingham Care &amp; Education Centre</v>
      </c>
      <c r="D1360" t="str">
        <f>Procurement_Raw!D1360</f>
        <v>Midlands</v>
      </c>
      <c r="E1360" t="str">
        <f>IF(TRIM(Procurement_Raw!E1360)="","",IFERROR(INDEX(Supplier_Lookup!$A$2:$A$25,MATCH(TRIM(Procurement_Raw!E1360),Supplier_Lookup!$A$2:$A$25,0)),TRIM(Procurement_Raw!E1360)))</f>
        <v>PrintCo</v>
      </c>
      <c r="F1360" t="str">
        <f>IFERROR(INDEX(Category_Targets!$A$2:$A$9,MATCH(TRIM(Procurement_Raw!F1360),Category_Targets!$A$2:$A$9,0)),"Unmapped")</f>
        <v>Office &amp; Training</v>
      </c>
      <c r="G1360" t="str">
        <f>TRIM(Procurement_Raw!G1360)</f>
        <v>INV-2025-01359</v>
      </c>
      <c r="H1360" s="77">
        <f>Procurement_Raw!H1360</f>
        <v>57</v>
      </c>
      <c r="I1360" s="124">
        <f>Procurement_Raw!I1360</f>
        <v>33.25</v>
      </c>
      <c r="J1360" s="125">
        <f>IF(Procurement_Raw!J1360="","",Procurement_Raw!J1360)</f>
        <v>1895.31</v>
      </c>
      <c r="K1360" s="77">
        <f>Procurement_Raw!K1360</f>
        <v>60</v>
      </c>
      <c r="L1360" t="str">
        <f>Procurement_Raw!L1360</f>
        <v>Procurement Portal</v>
      </c>
      <c r="M1360" t="str">
        <f>Procurement_Raw!O1360</f>
        <v>N</v>
      </c>
      <c r="N1360" t="str">
        <f>IF(E1360="","Missing supplier",IF(B1360="","Missing site",IF(J1360="","Missing spend",IF(COUNTIFS($G$2:G1360,G1360,$E$2:E1360,E1360,$J$2:J1360,J1360)&gt;1,"Duplicate invoice",IF(COUNTIF($G$2:$G$1801,G1360)&gt;1,"Duplicate ID - review",IF(AND(P1360&lt;&gt;"Unmapped",P1360&lt;&gt;F1360),"Category mismatch","OK"))))))</f>
        <v>OK</v>
      </c>
      <c r="O1360" s="125">
        <f t="shared" si="63"/>
        <v>1895.31</v>
      </c>
      <c r="P1360" t="str">
        <f>IF(E1360="","Unmapped",IFERROR(INDEX(Supplier_Lookup!$B$2:$B$25,MATCH(E1360,Supplier_Lookup!$A$2:$A$25,0)),"Unmapped"))</f>
        <v>Office &amp; Training</v>
      </c>
      <c r="Q1360" s="76">
        <f>IFERROR(INDEX(Category_Targets!$B$2:$B$9,MATCH(F1360,Category_Targets!$A$2:$A$9,0)),0)</f>
        <v>0.04</v>
      </c>
      <c r="R1360" s="125">
        <f t="shared" si="64"/>
        <v>75.812399999999997</v>
      </c>
      <c r="S1360" s="78">
        <f t="shared" si="65"/>
        <v>45870</v>
      </c>
      <c r="T1360" t="str">
        <f>IFERROR(VLOOKUP(B1360,Sites!$A$2:$D$21,4,FALSE()),"Unknown")</f>
        <v>Birmingham</v>
      </c>
      <c r="U1360" t="str">
        <f>IF(N1360="OK","",COUNTIF($N$2:N1360,"&lt;&gt;OK"))</f>
        <v/>
      </c>
      <c r="V1360">
        <f>IF(OR(NOT(EXACT(E1360,TRIM(Procurement_Raw!E1360))),NOT(EXACT(F1360,TRIM(Procurement_Raw!F1360)))),1,0)</f>
        <v>0</v>
      </c>
    </row>
    <row r="1361" spans="1:22" ht="15" customHeight="1" x14ac:dyDescent="0.25">
      <c r="A1361" s="123">
        <f>Procurement_Raw!A1361</f>
        <v>45731</v>
      </c>
      <c r="B1361" t="str">
        <f>TRIM(Procurement_Raw!B1361)</f>
        <v>S010</v>
      </c>
      <c r="C1361" t="str">
        <f>Procurement_Raw!C1361</f>
        <v>Coventry Care &amp; Education Centre</v>
      </c>
      <c r="D1361" t="str">
        <f>Procurement_Raw!D1361</f>
        <v>Midlands</v>
      </c>
      <c r="E1361" t="str">
        <f>IF(TRIM(Procurement_Raw!E1361)="","",IFERROR(INDEX(Supplier_Lookup!$A$2:$A$25,MATCH(TRIM(Procurement_Raw!E1361),Supplier_Lookup!$A$2:$A$25,0)),TRIM(Procurement_Raw!E1361)))</f>
        <v>HealthStaffing</v>
      </c>
      <c r="F1361" t="str">
        <f>IFERROR(INDEX(Category_Targets!$A$2:$A$9,MATCH(TRIM(Procurement_Raw!F1361),Category_Targets!$A$2:$A$9,0)),"Unmapped")</f>
        <v>Agency Labour</v>
      </c>
      <c r="G1361" t="str">
        <f>TRIM(Procurement_Raw!G1361)</f>
        <v>INV-2025-01360</v>
      </c>
      <c r="H1361" s="77">
        <f>Procurement_Raw!H1361</f>
        <v>65</v>
      </c>
      <c r="I1361" s="124">
        <f>Procurement_Raw!I1361</f>
        <v>331.83</v>
      </c>
      <c r="J1361" s="125">
        <f>IF(Procurement_Raw!J1361="","",Procurement_Raw!J1361)</f>
        <v>21569.11</v>
      </c>
      <c r="K1361" s="77">
        <f>Procurement_Raw!K1361</f>
        <v>30</v>
      </c>
      <c r="L1361" t="str">
        <f>Procurement_Raw!L1361</f>
        <v>Procurement Portal</v>
      </c>
      <c r="M1361" t="str">
        <f>Procurement_Raw!O1361</f>
        <v>N</v>
      </c>
      <c r="N1361" t="str">
        <f>IF(E1361="","Missing supplier",IF(B1361="","Missing site",IF(J1361="","Missing spend",IF(COUNTIFS($G$2:G1361,G1361,$E$2:E1361,E1361,$J$2:J1361,J1361)&gt;1,"Duplicate invoice",IF(COUNTIF($G$2:$G$1801,G1361)&gt;1,"Duplicate ID - review",IF(AND(P1361&lt;&gt;"Unmapped",P1361&lt;&gt;F1361),"Category mismatch","OK"))))))</f>
        <v>OK</v>
      </c>
      <c r="O1361" s="125">
        <f t="shared" si="63"/>
        <v>21569.11</v>
      </c>
      <c r="P1361" t="str">
        <f>IF(E1361="","Unmapped",IFERROR(INDEX(Supplier_Lookup!$B$2:$B$25,MATCH(E1361,Supplier_Lookup!$A$2:$A$25,0)),"Unmapped"))</f>
        <v>Agency Labour</v>
      </c>
      <c r="Q1361" s="76">
        <f>IFERROR(INDEX(Category_Targets!$B$2:$B$9,MATCH(F1361,Category_Targets!$A$2:$A$9,0)),0)</f>
        <v>7.0000000000000007E-2</v>
      </c>
      <c r="R1361" s="125">
        <f t="shared" si="64"/>
        <v>1509.8377000000003</v>
      </c>
      <c r="S1361" s="78">
        <f t="shared" si="65"/>
        <v>45717</v>
      </c>
      <c r="T1361" t="str">
        <f>IFERROR(VLOOKUP(B1361,Sites!$A$2:$D$21,4,FALSE()),"Unknown")</f>
        <v>Coventry</v>
      </c>
      <c r="U1361" t="str">
        <f>IF(N1361="OK","",COUNTIF($N$2:N1361,"&lt;&gt;OK"))</f>
        <v/>
      </c>
      <c r="V1361">
        <f>IF(OR(NOT(EXACT(E1361,TRIM(Procurement_Raw!E1361))),NOT(EXACT(F1361,TRIM(Procurement_Raw!F1361)))),1,0)</f>
        <v>0</v>
      </c>
    </row>
    <row r="1362" spans="1:22" ht="15" customHeight="1" x14ac:dyDescent="0.25">
      <c r="A1362" s="123">
        <f>Procurement_Raw!A1362</f>
        <v>46018</v>
      </c>
      <c r="B1362" t="str">
        <f>TRIM(Procurement_Raw!B1362)</f>
        <v>S008</v>
      </c>
      <c r="C1362" t="str">
        <f>Procurement_Raw!C1362</f>
        <v>Leicester Care &amp; Education Centre</v>
      </c>
      <c r="D1362" t="str">
        <f>Procurement_Raw!D1362</f>
        <v>Midlands</v>
      </c>
      <c r="E1362" t="str">
        <f>IF(TRIM(Procurement_Raw!E1362)="","",IFERROR(INDEX(Supplier_Lookup!$A$2:$A$25,MATCH(TRIM(Procurement_Raw!E1362),Supplier_Lookup!$A$2:$A$25,0)),TRIM(Procurement_Raw!E1362)))</f>
        <v>OfficePlus</v>
      </c>
      <c r="F1362" t="str">
        <f>IFERROR(INDEX(Category_Targets!$A$2:$A$9,MATCH(TRIM(Procurement_Raw!F1362),Category_Targets!$A$2:$A$9,0)),"Unmapped")</f>
        <v>Office &amp; Training</v>
      </c>
      <c r="G1362" t="str">
        <f>TRIM(Procurement_Raw!G1362)</f>
        <v>INV-2025-01361</v>
      </c>
      <c r="H1362" s="77">
        <f>Procurement_Raw!H1362</f>
        <v>66</v>
      </c>
      <c r="I1362" s="124">
        <f>Procurement_Raw!I1362</f>
        <v>74.37</v>
      </c>
      <c r="J1362" s="125">
        <f>IF(Procurement_Raw!J1362="","",Procurement_Raw!J1362)</f>
        <v>4908.49</v>
      </c>
      <c r="K1362" s="77">
        <f>Procurement_Raw!K1362</f>
        <v>60</v>
      </c>
      <c r="L1362" t="str">
        <f>Procurement_Raw!L1362</f>
        <v>ERP</v>
      </c>
      <c r="M1362" t="str">
        <f>Procurement_Raw!O1362</f>
        <v>N</v>
      </c>
      <c r="N1362" t="str">
        <f>IF(E1362="","Missing supplier",IF(B1362="","Missing site",IF(J1362="","Missing spend",IF(COUNTIFS($G$2:G1362,G1362,$E$2:E1362,E1362,$J$2:J1362,J1362)&gt;1,"Duplicate invoice",IF(COUNTIF($G$2:$G$1801,G1362)&gt;1,"Duplicate ID - review",IF(AND(P1362&lt;&gt;"Unmapped",P1362&lt;&gt;F1362),"Category mismatch","OK"))))))</f>
        <v>OK</v>
      </c>
      <c r="O1362" s="125">
        <f t="shared" si="63"/>
        <v>4908.49</v>
      </c>
      <c r="P1362" t="str">
        <f>IF(E1362="","Unmapped",IFERROR(INDEX(Supplier_Lookup!$B$2:$B$25,MATCH(E1362,Supplier_Lookup!$A$2:$A$25,0)),"Unmapped"))</f>
        <v>Office &amp; Training</v>
      </c>
      <c r="Q1362" s="76">
        <f>IFERROR(INDEX(Category_Targets!$B$2:$B$9,MATCH(F1362,Category_Targets!$A$2:$A$9,0)),0)</f>
        <v>0.04</v>
      </c>
      <c r="R1362" s="125">
        <f t="shared" si="64"/>
        <v>196.33959999999999</v>
      </c>
      <c r="S1362" s="78">
        <f t="shared" si="65"/>
        <v>45992</v>
      </c>
      <c r="T1362" t="str">
        <f>IFERROR(VLOOKUP(B1362,Sites!$A$2:$D$21,4,FALSE()),"Unknown")</f>
        <v>Leicester</v>
      </c>
      <c r="U1362" t="str">
        <f>IF(N1362="OK","",COUNTIF($N$2:N1362,"&lt;&gt;OK"))</f>
        <v/>
      </c>
      <c r="V1362">
        <f>IF(OR(NOT(EXACT(E1362,TRIM(Procurement_Raw!E1362))),NOT(EXACT(F1362,TRIM(Procurement_Raw!F1362)))),1,0)</f>
        <v>0</v>
      </c>
    </row>
    <row r="1363" spans="1:22" ht="15" customHeight="1" x14ac:dyDescent="0.25">
      <c r="A1363" s="123">
        <f>Procurement_Raw!A1363</f>
        <v>45900</v>
      </c>
      <c r="B1363" t="str">
        <f>TRIM(Procurement_Raw!B1363)</f>
        <v>S012</v>
      </c>
      <c r="C1363" t="str">
        <f>Procurement_Raw!C1363</f>
        <v>Bristol Care &amp; Education Centre</v>
      </c>
      <c r="D1363" t="str">
        <f>Procurement_Raw!D1363</f>
        <v>South</v>
      </c>
      <c r="E1363" t="str">
        <f>IF(TRIM(Procurement_Raw!E1363)="","",IFERROR(INDEX(Supplier_Lookup!$A$2:$A$25,MATCH(TRIM(Procurement_Raw!E1363),Supplier_Lookup!$A$2:$A$25,0)),TRIM(Procurement_Raw!E1363)))</f>
        <v>WaterGrid</v>
      </c>
      <c r="F1363" t="str">
        <f>IFERROR(INDEX(Category_Targets!$A$2:$A$9,MATCH(TRIM(Procurement_Raw!F1363),Category_Targets!$A$2:$A$9,0)),"Unmapped")</f>
        <v>Utilities</v>
      </c>
      <c r="G1363" t="str">
        <f>TRIM(Procurement_Raw!G1363)</f>
        <v>INV-2025-01362</v>
      </c>
      <c r="H1363" s="77">
        <f>Procurement_Raw!H1363</f>
        <v>5</v>
      </c>
      <c r="I1363" s="124">
        <f>Procurement_Raw!I1363</f>
        <v>343.8</v>
      </c>
      <c r="J1363" s="125">
        <f>IF(Procurement_Raw!J1363="","",Procurement_Raw!J1363)</f>
        <v>1719.02</v>
      </c>
      <c r="K1363" s="77">
        <f>Procurement_Raw!K1363</f>
        <v>60</v>
      </c>
      <c r="L1363" t="str">
        <f>Procurement_Raw!L1363</f>
        <v>ERP</v>
      </c>
      <c r="M1363" t="str">
        <f>Procurement_Raw!O1363</f>
        <v>N</v>
      </c>
      <c r="N1363" t="str">
        <f>IF(E1363="","Missing supplier",IF(B1363="","Missing site",IF(J1363="","Missing spend",IF(COUNTIFS($G$2:G1363,G1363,$E$2:E1363,E1363,$J$2:J1363,J1363)&gt;1,"Duplicate invoice",IF(COUNTIF($G$2:$G$1801,G1363)&gt;1,"Duplicate ID - review",IF(AND(P1363&lt;&gt;"Unmapped",P1363&lt;&gt;F1363),"Category mismatch","OK"))))))</f>
        <v>OK</v>
      </c>
      <c r="O1363" s="125">
        <f t="shared" si="63"/>
        <v>1719.02</v>
      </c>
      <c r="P1363" t="str">
        <f>IF(E1363="","Unmapped",IFERROR(INDEX(Supplier_Lookup!$B$2:$B$25,MATCH(E1363,Supplier_Lookup!$A$2:$A$25,0)),"Unmapped"))</f>
        <v>Utilities</v>
      </c>
      <c r="Q1363" s="76">
        <f>IFERROR(INDEX(Category_Targets!$B$2:$B$9,MATCH(F1363,Category_Targets!$A$2:$A$9,0)),0)</f>
        <v>0.03</v>
      </c>
      <c r="R1363" s="125">
        <f t="shared" si="64"/>
        <v>51.570599999999999</v>
      </c>
      <c r="S1363" s="78">
        <f t="shared" si="65"/>
        <v>45870</v>
      </c>
      <c r="T1363" t="str">
        <f>IFERROR(VLOOKUP(B1363,Sites!$A$2:$D$21,4,FALSE()),"Unknown")</f>
        <v>Bristol</v>
      </c>
      <c r="U1363" t="str">
        <f>IF(N1363="OK","",COUNTIF($N$2:N1363,"&lt;&gt;OK"))</f>
        <v/>
      </c>
      <c r="V1363">
        <f>IF(OR(NOT(EXACT(E1363,TRIM(Procurement_Raw!E1363))),NOT(EXACT(F1363,TRIM(Procurement_Raw!F1363)))),1,0)</f>
        <v>0</v>
      </c>
    </row>
    <row r="1364" spans="1:22" ht="15" customHeight="1" x14ac:dyDescent="0.25">
      <c r="A1364" s="123">
        <f>Procurement_Raw!A1364</f>
        <v>45966</v>
      </c>
      <c r="B1364" t="str">
        <f>TRIM(Procurement_Raw!B1364)</f>
        <v>S018</v>
      </c>
      <c r="C1364" t="str">
        <f>Procurement_Raw!C1364</f>
        <v>Newport Care &amp; Education Centre</v>
      </c>
      <c r="D1364" t="str">
        <f>Procurement_Raw!D1364</f>
        <v>Wales</v>
      </c>
      <c r="E1364" t="str">
        <f>IF(TRIM(Procurement_Raw!E1364)="","",IFERROR(INDEX(Supplier_Lookup!$A$2:$A$25,MATCH(TRIM(Procurement_Raw!E1364),Supplier_Lookup!$A$2:$A$25,0)),TRIM(Procurement_Raw!E1364)))</f>
        <v>FleetFuel</v>
      </c>
      <c r="F1364" t="str">
        <f>IFERROR(INDEX(Category_Targets!$A$2:$A$9,MATCH(TRIM(Procurement_Raw!F1364),Category_Targets!$A$2:$A$9,0)),"Unmapped")</f>
        <v>Vehicle &amp; Fuel</v>
      </c>
      <c r="G1364" t="str">
        <f>TRIM(Procurement_Raw!G1364)</f>
        <v>INV-2025-01363</v>
      </c>
      <c r="H1364" s="77">
        <f>Procurement_Raw!H1364</f>
        <v>53</v>
      </c>
      <c r="I1364" s="124">
        <f>Procurement_Raw!I1364</f>
        <v>101.46</v>
      </c>
      <c r="J1364" s="125">
        <f>IF(Procurement_Raw!J1364="","",Procurement_Raw!J1364)</f>
        <v>5377.28</v>
      </c>
      <c r="K1364" s="77">
        <f>Procurement_Raw!K1364</f>
        <v>30</v>
      </c>
      <c r="L1364" t="str">
        <f>Procurement_Raw!L1364</f>
        <v>ERP</v>
      </c>
      <c r="M1364" t="str">
        <f>Procurement_Raw!O1364</f>
        <v>Y</v>
      </c>
      <c r="N1364" t="str">
        <f>IF(E1364="","Missing supplier",IF(B1364="","Missing site",IF(J1364="","Missing spend",IF(COUNTIFS($G$2:G1364,G1364,$E$2:E1364,E1364,$J$2:J1364,J1364)&gt;1,"Duplicate invoice",IF(COUNTIF($G$2:$G$1801,G1364)&gt;1,"Duplicate ID - review",IF(AND(P1364&lt;&gt;"Unmapped",P1364&lt;&gt;F1364),"Category mismatch","OK"))))))</f>
        <v>OK</v>
      </c>
      <c r="O1364" s="125">
        <f t="shared" si="63"/>
        <v>5377.28</v>
      </c>
      <c r="P1364" t="str">
        <f>IF(E1364="","Unmapped",IFERROR(INDEX(Supplier_Lookup!$B$2:$B$25,MATCH(E1364,Supplier_Lookup!$A$2:$A$25,0)),"Unmapped"))</f>
        <v>Vehicle &amp; Fuel</v>
      </c>
      <c r="Q1364" s="76">
        <f>IFERROR(INDEX(Category_Targets!$B$2:$B$9,MATCH(F1364,Category_Targets!$A$2:$A$9,0)),0)</f>
        <v>0.05</v>
      </c>
      <c r="R1364" s="125">
        <f t="shared" si="64"/>
        <v>268.86399999999998</v>
      </c>
      <c r="S1364" s="78">
        <f t="shared" si="65"/>
        <v>45962</v>
      </c>
      <c r="T1364" t="str">
        <f>IFERROR(VLOOKUP(B1364,Sites!$A$2:$D$21,4,FALSE()),"Unknown")</f>
        <v>Newport</v>
      </c>
      <c r="U1364" t="str">
        <f>IF(N1364="OK","",COUNTIF($N$2:N1364,"&lt;&gt;OK"))</f>
        <v/>
      </c>
      <c r="V1364">
        <f>IF(OR(NOT(EXACT(E1364,TRIM(Procurement_Raw!E1364))),NOT(EXACT(F1364,TRIM(Procurement_Raw!F1364)))),1,0)</f>
        <v>0</v>
      </c>
    </row>
    <row r="1365" spans="1:22" ht="15" customHeight="1" x14ac:dyDescent="0.25">
      <c r="A1365" s="123">
        <f>Procurement_Raw!A1365</f>
        <v>45925</v>
      </c>
      <c r="B1365" t="str">
        <f>TRIM(Procurement_Raw!B1365)</f>
        <v>S020</v>
      </c>
      <c r="C1365" t="str">
        <f>Procurement_Raw!C1365</f>
        <v>Bangor Care &amp; Education Centre</v>
      </c>
      <c r="D1365" t="str">
        <f>Procurement_Raw!D1365</f>
        <v>Wales</v>
      </c>
      <c r="E1365" t="str">
        <f>IF(TRIM(Procurement_Raw!E1365)="","",IFERROR(INDEX(Supplier_Lookup!$A$2:$A$25,MATCH(TRIM(Procurement_Raw!E1365),Supplier_Lookup!$A$2:$A$25,0)),TRIM(Procurement_Raw!E1365)))</f>
        <v>CloudLink</v>
      </c>
      <c r="F1365" t="str">
        <f>IFERROR(INDEX(Category_Targets!$A$2:$A$9,MATCH(TRIM(Procurement_Raw!F1365),Category_Targets!$A$2:$A$9,0)),"Unmapped")</f>
        <v>IT &amp; Telecoms</v>
      </c>
      <c r="G1365" t="str">
        <f>TRIM(Procurement_Raw!G1365)</f>
        <v>INV-2025-01364</v>
      </c>
      <c r="H1365" s="77">
        <f>Procurement_Raw!H1365</f>
        <v>20</v>
      </c>
      <c r="I1365" s="124">
        <f>Procurement_Raw!I1365</f>
        <v>128.82</v>
      </c>
      <c r="J1365" s="125">
        <f>IF(Procurement_Raw!J1365="","",Procurement_Raw!J1365)</f>
        <v>2576.46</v>
      </c>
      <c r="K1365" s="77">
        <f>Procurement_Raw!K1365</f>
        <v>30</v>
      </c>
      <c r="L1365" t="str">
        <f>Procurement_Raw!L1365</f>
        <v>Procurement Portal</v>
      </c>
      <c r="M1365" t="str">
        <f>Procurement_Raw!O1365</f>
        <v>Y</v>
      </c>
      <c r="N1365" t="str">
        <f>IF(E1365="","Missing supplier",IF(B1365="","Missing site",IF(J1365="","Missing spend",IF(COUNTIFS($G$2:G1365,G1365,$E$2:E1365,E1365,$J$2:J1365,J1365)&gt;1,"Duplicate invoice",IF(COUNTIF($G$2:$G$1801,G1365)&gt;1,"Duplicate ID - review",IF(AND(P1365&lt;&gt;"Unmapped",P1365&lt;&gt;F1365),"Category mismatch","OK"))))))</f>
        <v>OK</v>
      </c>
      <c r="O1365" s="125">
        <f t="shared" si="63"/>
        <v>2576.46</v>
      </c>
      <c r="P1365" t="str">
        <f>IF(E1365="","Unmapped",IFERROR(INDEX(Supplier_Lookup!$B$2:$B$25,MATCH(E1365,Supplier_Lookup!$A$2:$A$25,0)),"Unmapped"))</f>
        <v>IT &amp; Telecoms</v>
      </c>
      <c r="Q1365" s="76">
        <f>IFERROR(INDEX(Category_Targets!$B$2:$B$9,MATCH(F1365,Category_Targets!$A$2:$A$9,0)),0)</f>
        <v>0.08</v>
      </c>
      <c r="R1365" s="125">
        <f t="shared" si="64"/>
        <v>206.11680000000001</v>
      </c>
      <c r="S1365" s="78">
        <f t="shared" si="65"/>
        <v>45901</v>
      </c>
      <c r="T1365" t="str">
        <f>IFERROR(VLOOKUP(B1365,Sites!$A$2:$D$21,4,FALSE()),"Unknown")</f>
        <v>Bangor</v>
      </c>
      <c r="U1365" t="str">
        <f>IF(N1365="OK","",COUNTIF($N$2:N1365,"&lt;&gt;OK"))</f>
        <v/>
      </c>
      <c r="V1365">
        <f>IF(OR(NOT(EXACT(E1365,TRIM(Procurement_Raw!E1365))),NOT(EXACT(F1365,TRIM(Procurement_Raw!F1365)))),1,0)</f>
        <v>0</v>
      </c>
    </row>
    <row r="1366" spans="1:22" ht="15" customHeight="1" x14ac:dyDescent="0.25">
      <c r="A1366" s="123">
        <f>Procurement_Raw!A1366</f>
        <v>45808</v>
      </c>
      <c r="B1366" t="str">
        <f>TRIM(Procurement_Raw!B1366)</f>
        <v>S003</v>
      </c>
      <c r="C1366" t="str">
        <f>Procurement_Raw!C1366</f>
        <v>Leeds Care &amp; Education Centre</v>
      </c>
      <c r="D1366" t="str">
        <f>Procurement_Raw!D1366</f>
        <v>North</v>
      </c>
      <c r="E1366" t="str">
        <f>IF(TRIM(Procurement_Raw!E1366)="","",IFERROR(INDEX(Supplier_Lookup!$A$2:$A$25,MATCH(TRIM(Procurement_Raw!E1366),Supplier_Lookup!$A$2:$A$25,0)),TRIM(Procurement_Raw!E1366)))</f>
        <v>RoadReady</v>
      </c>
      <c r="F1366" t="str">
        <f>IFERROR(INDEX(Category_Targets!$A$2:$A$9,MATCH(TRIM(Procurement_Raw!F1366),Category_Targets!$A$2:$A$9,0)),"Unmapped")</f>
        <v>Vehicle &amp; Fuel</v>
      </c>
      <c r="G1366" t="str">
        <f>TRIM(Procurement_Raw!G1366)</f>
        <v>INV-2025-01365</v>
      </c>
      <c r="H1366" s="77">
        <f>Procurement_Raw!H1366</f>
        <v>63</v>
      </c>
      <c r="I1366" s="124">
        <f>Procurement_Raw!I1366</f>
        <v>183.46</v>
      </c>
      <c r="J1366" s="125">
        <f>IF(Procurement_Raw!J1366="","",Procurement_Raw!J1366)</f>
        <v>11557.92</v>
      </c>
      <c r="K1366" s="77">
        <f>Procurement_Raw!K1366</f>
        <v>30</v>
      </c>
      <c r="L1366" t="str">
        <f>Procurement_Raw!L1366</f>
        <v>ERP</v>
      </c>
      <c r="M1366" t="str">
        <f>Procurement_Raw!O1366</f>
        <v>N</v>
      </c>
      <c r="N1366" t="str">
        <f>IF(E1366="","Missing supplier",IF(B1366="","Missing site",IF(J1366="","Missing spend",IF(COUNTIFS($G$2:G1366,G1366,$E$2:E1366,E1366,$J$2:J1366,J1366)&gt;1,"Duplicate invoice",IF(COUNTIF($G$2:$G$1801,G1366)&gt;1,"Duplicate ID - review",IF(AND(P1366&lt;&gt;"Unmapped",P1366&lt;&gt;F1366),"Category mismatch","OK"))))))</f>
        <v>OK</v>
      </c>
      <c r="O1366" s="125">
        <f t="shared" si="63"/>
        <v>11557.92</v>
      </c>
      <c r="P1366" t="str">
        <f>IF(E1366="","Unmapped",IFERROR(INDEX(Supplier_Lookup!$B$2:$B$25,MATCH(E1366,Supplier_Lookup!$A$2:$A$25,0)),"Unmapped"))</f>
        <v>Vehicle &amp; Fuel</v>
      </c>
      <c r="Q1366" s="76">
        <f>IFERROR(INDEX(Category_Targets!$B$2:$B$9,MATCH(F1366,Category_Targets!$A$2:$A$9,0)),0)</f>
        <v>0.05</v>
      </c>
      <c r="R1366" s="125">
        <f t="shared" si="64"/>
        <v>577.89600000000007</v>
      </c>
      <c r="S1366" s="78">
        <f t="shared" si="65"/>
        <v>45778</v>
      </c>
      <c r="T1366" t="str">
        <f>IFERROR(VLOOKUP(B1366,Sites!$A$2:$D$21,4,FALSE()),"Unknown")</f>
        <v>Leeds</v>
      </c>
      <c r="U1366" t="str">
        <f>IF(N1366="OK","",COUNTIF($N$2:N1366,"&lt;&gt;OK"))</f>
        <v/>
      </c>
      <c r="V1366">
        <f>IF(OR(NOT(EXACT(E1366,TRIM(Procurement_Raw!E1366))),NOT(EXACT(F1366,TRIM(Procurement_Raw!F1366)))),1,0)</f>
        <v>0</v>
      </c>
    </row>
    <row r="1367" spans="1:22" ht="15" customHeight="1" x14ac:dyDescent="0.25">
      <c r="A1367" s="123">
        <f>Procurement_Raw!A1367</f>
        <v>45814</v>
      </c>
      <c r="B1367" t="str">
        <f>TRIM(Procurement_Raw!B1367)</f>
        <v>S017</v>
      </c>
      <c r="C1367" t="str">
        <f>Procurement_Raw!C1367</f>
        <v>Swansea Care &amp; Education Centre</v>
      </c>
      <c r="D1367" t="str">
        <f>Procurement_Raw!D1367</f>
        <v>Wales</v>
      </c>
      <c r="E1367" t="str">
        <f>IF(TRIM(Procurement_Raw!E1367)="","",IFERROR(INDEX(Supplier_Lookup!$A$2:$A$25,MATCH(TRIM(Procurement_Raw!E1367),Supplier_Lookup!$A$2:$A$25,0)),TRIM(Procurement_Raw!E1367)))</f>
        <v>HealthStaffing</v>
      </c>
      <c r="F1367" t="str">
        <f>IFERROR(INDEX(Category_Targets!$A$2:$A$9,MATCH(TRIM(Procurement_Raw!F1367),Category_Targets!$A$2:$A$9,0)),"Unmapped")</f>
        <v>Agency Labour</v>
      </c>
      <c r="G1367" t="str">
        <f>TRIM(Procurement_Raw!G1367)</f>
        <v>INV-2025-01366</v>
      </c>
      <c r="H1367" s="77">
        <f>Procurement_Raw!H1367</f>
        <v>37</v>
      </c>
      <c r="I1367" s="124">
        <f>Procurement_Raw!I1367</f>
        <v>274.95</v>
      </c>
      <c r="J1367" s="125">
        <f>IF(Procurement_Raw!J1367="","",Procurement_Raw!J1367)</f>
        <v>10173.17</v>
      </c>
      <c r="K1367" s="77">
        <f>Procurement_Raw!K1367</f>
        <v>30</v>
      </c>
      <c r="L1367" t="str">
        <f>Procurement_Raw!L1367</f>
        <v>ERP</v>
      </c>
      <c r="M1367" t="str">
        <f>Procurement_Raw!O1367</f>
        <v>N</v>
      </c>
      <c r="N1367" t="str">
        <f>IF(E1367="","Missing supplier",IF(B1367="","Missing site",IF(J1367="","Missing spend",IF(COUNTIFS($G$2:G1367,G1367,$E$2:E1367,E1367,$J$2:J1367,J1367)&gt;1,"Duplicate invoice",IF(COUNTIF($G$2:$G$1801,G1367)&gt;1,"Duplicate ID - review",IF(AND(P1367&lt;&gt;"Unmapped",P1367&lt;&gt;F1367),"Category mismatch","OK"))))))</f>
        <v>OK</v>
      </c>
      <c r="O1367" s="125">
        <f t="shared" si="63"/>
        <v>10173.17</v>
      </c>
      <c r="P1367" t="str">
        <f>IF(E1367="","Unmapped",IFERROR(INDEX(Supplier_Lookup!$B$2:$B$25,MATCH(E1367,Supplier_Lookup!$A$2:$A$25,0)),"Unmapped"))</f>
        <v>Agency Labour</v>
      </c>
      <c r="Q1367" s="76">
        <f>IFERROR(INDEX(Category_Targets!$B$2:$B$9,MATCH(F1367,Category_Targets!$A$2:$A$9,0)),0)</f>
        <v>7.0000000000000007E-2</v>
      </c>
      <c r="R1367" s="125">
        <f t="shared" si="64"/>
        <v>712.1219000000001</v>
      </c>
      <c r="S1367" s="78">
        <f t="shared" si="65"/>
        <v>45809</v>
      </c>
      <c r="T1367" t="str">
        <f>IFERROR(VLOOKUP(B1367,Sites!$A$2:$D$21,4,FALSE()),"Unknown")</f>
        <v>Swansea</v>
      </c>
      <c r="U1367" t="str">
        <f>IF(N1367="OK","",COUNTIF($N$2:N1367,"&lt;&gt;OK"))</f>
        <v/>
      </c>
      <c r="V1367">
        <f>IF(OR(NOT(EXACT(E1367,TRIM(Procurement_Raw!E1367))),NOT(EXACT(F1367,TRIM(Procurement_Raw!F1367)))),1,0)</f>
        <v>0</v>
      </c>
    </row>
    <row r="1368" spans="1:22" ht="15" customHeight="1" x14ac:dyDescent="0.25">
      <c r="A1368" s="123">
        <f>Procurement_Raw!A1368</f>
        <v>45720</v>
      </c>
      <c r="B1368" t="str">
        <f>TRIM(Procurement_Raw!B1368)</f>
        <v>S008</v>
      </c>
      <c r="C1368" t="str">
        <f>Procurement_Raw!C1368</f>
        <v>Leicester Care &amp; Education Centre</v>
      </c>
      <c r="D1368" t="str">
        <f>Procurement_Raw!D1368</f>
        <v>Midlands</v>
      </c>
      <c r="E1368" t="str">
        <f>IF(TRIM(Procurement_Raw!E1368)="","",IFERROR(INDEX(Supplier_Lookup!$A$2:$A$25,MATCH(TRIM(Procurement_Raw!E1368),Supplier_Lookup!$A$2:$A$25,0)),TRIM(Procurement_Raw!E1368)))</f>
        <v>OfficePlus</v>
      </c>
      <c r="F1368" t="str">
        <f>IFERROR(INDEX(Category_Targets!$A$2:$A$9,MATCH(TRIM(Procurement_Raw!F1368),Category_Targets!$A$2:$A$9,0)),"Unmapped")</f>
        <v>Office &amp; Training</v>
      </c>
      <c r="G1368" t="str">
        <f>TRIM(Procurement_Raw!G1368)</f>
        <v>INV-2025-01367</v>
      </c>
      <c r="H1368" s="77">
        <f>Procurement_Raw!H1368</f>
        <v>71</v>
      </c>
      <c r="I1368" s="124">
        <f>Procurement_Raw!I1368</f>
        <v>73.88</v>
      </c>
      <c r="J1368" s="125">
        <f>IF(Procurement_Raw!J1368="","",Procurement_Raw!J1368)</f>
        <v>5245.63</v>
      </c>
      <c r="K1368" s="77">
        <f>Procurement_Raw!K1368</f>
        <v>45</v>
      </c>
      <c r="L1368" t="str">
        <f>Procurement_Raw!L1368</f>
        <v>ERP</v>
      </c>
      <c r="M1368" t="str">
        <f>Procurement_Raw!O1368</f>
        <v>N</v>
      </c>
      <c r="N1368" t="str">
        <f>IF(E1368="","Missing supplier",IF(B1368="","Missing site",IF(J1368="","Missing spend",IF(COUNTIFS($G$2:G1368,G1368,$E$2:E1368,E1368,$J$2:J1368,J1368)&gt;1,"Duplicate invoice",IF(COUNTIF($G$2:$G$1801,G1368)&gt;1,"Duplicate ID - review",IF(AND(P1368&lt;&gt;"Unmapped",P1368&lt;&gt;F1368),"Category mismatch","OK"))))))</f>
        <v>OK</v>
      </c>
      <c r="O1368" s="125">
        <f t="shared" si="63"/>
        <v>5245.63</v>
      </c>
      <c r="P1368" t="str">
        <f>IF(E1368="","Unmapped",IFERROR(INDEX(Supplier_Lookup!$B$2:$B$25,MATCH(E1368,Supplier_Lookup!$A$2:$A$25,0)),"Unmapped"))</f>
        <v>Office &amp; Training</v>
      </c>
      <c r="Q1368" s="76">
        <f>IFERROR(INDEX(Category_Targets!$B$2:$B$9,MATCH(F1368,Category_Targets!$A$2:$A$9,0)),0)</f>
        <v>0.04</v>
      </c>
      <c r="R1368" s="125">
        <f t="shared" si="64"/>
        <v>209.8252</v>
      </c>
      <c r="S1368" s="78">
        <f t="shared" si="65"/>
        <v>45717</v>
      </c>
      <c r="T1368" t="str">
        <f>IFERROR(VLOOKUP(B1368,Sites!$A$2:$D$21,4,FALSE()),"Unknown")</f>
        <v>Leicester</v>
      </c>
      <c r="U1368" t="str">
        <f>IF(N1368="OK","",COUNTIF($N$2:N1368,"&lt;&gt;OK"))</f>
        <v/>
      </c>
      <c r="V1368">
        <f>IF(OR(NOT(EXACT(E1368,TRIM(Procurement_Raw!E1368))),NOT(EXACT(F1368,TRIM(Procurement_Raw!F1368)))),1,0)</f>
        <v>0</v>
      </c>
    </row>
    <row r="1369" spans="1:22" ht="15" customHeight="1" x14ac:dyDescent="0.25">
      <c r="A1369" s="123">
        <f>Procurement_Raw!A1369</f>
        <v>45951</v>
      </c>
      <c r="B1369" t="str">
        <f>TRIM(Procurement_Raw!B1369)</f>
        <v>S013</v>
      </c>
      <c r="C1369" t="str">
        <f>Procurement_Raw!C1369</f>
        <v>Reading Care &amp; Education Centre</v>
      </c>
      <c r="D1369" t="str">
        <f>Procurement_Raw!D1369</f>
        <v>South</v>
      </c>
      <c r="E1369" t="str">
        <f>IF(TRIM(Procurement_Raw!E1369)="","",IFERROR(INDEX(Supplier_Lookup!$A$2:$A$25,MATCH(TRIM(Procurement_Raw!E1369),Supplier_Lookup!$A$2:$A$25,0)),TRIM(Procurement_Raw!E1369)))</f>
        <v>CareTemps</v>
      </c>
      <c r="F1369" t="str">
        <f>IFERROR(INDEX(Category_Targets!$A$2:$A$9,MATCH(TRIM(Procurement_Raw!F1369),Category_Targets!$A$2:$A$9,0)),"Unmapped")</f>
        <v>Agency Labour</v>
      </c>
      <c r="G1369" t="str">
        <f>TRIM(Procurement_Raw!G1369)</f>
        <v>INV-2025-01368</v>
      </c>
      <c r="H1369" s="77">
        <f>Procurement_Raw!H1369</f>
        <v>40</v>
      </c>
      <c r="I1369" s="124">
        <f>Procurement_Raw!I1369</f>
        <v>179.56</v>
      </c>
      <c r="J1369" s="125">
        <f>IF(Procurement_Raw!J1369="","",Procurement_Raw!J1369)</f>
        <v>7182.23</v>
      </c>
      <c r="K1369" s="77">
        <f>Procurement_Raw!K1369</f>
        <v>60</v>
      </c>
      <c r="L1369" t="str">
        <f>Procurement_Raw!L1369</f>
        <v>Procurement Portal</v>
      </c>
      <c r="M1369" t="str">
        <f>Procurement_Raw!O1369</f>
        <v>N</v>
      </c>
      <c r="N1369" t="str">
        <f>IF(E1369="","Missing supplier",IF(B1369="","Missing site",IF(J1369="","Missing spend",IF(COUNTIFS($G$2:G1369,G1369,$E$2:E1369,E1369,$J$2:J1369,J1369)&gt;1,"Duplicate invoice",IF(COUNTIF($G$2:$G$1801,G1369)&gt;1,"Duplicate ID - review",IF(AND(P1369&lt;&gt;"Unmapped",P1369&lt;&gt;F1369),"Category mismatch","OK"))))))</f>
        <v>OK</v>
      </c>
      <c r="O1369" s="125">
        <f t="shared" si="63"/>
        <v>7182.23</v>
      </c>
      <c r="P1369" t="str">
        <f>IF(E1369="","Unmapped",IFERROR(INDEX(Supplier_Lookup!$B$2:$B$25,MATCH(E1369,Supplier_Lookup!$A$2:$A$25,0)),"Unmapped"))</f>
        <v>Agency Labour</v>
      </c>
      <c r="Q1369" s="76">
        <f>IFERROR(INDEX(Category_Targets!$B$2:$B$9,MATCH(F1369,Category_Targets!$A$2:$A$9,0)),0)</f>
        <v>7.0000000000000007E-2</v>
      </c>
      <c r="R1369" s="125">
        <f t="shared" si="64"/>
        <v>502.7561</v>
      </c>
      <c r="S1369" s="78">
        <f t="shared" si="65"/>
        <v>45931</v>
      </c>
      <c r="T1369" t="str">
        <f>IFERROR(VLOOKUP(B1369,Sites!$A$2:$D$21,4,FALSE()),"Unknown")</f>
        <v>Reading</v>
      </c>
      <c r="U1369" t="str">
        <f>IF(N1369="OK","",COUNTIF($N$2:N1369,"&lt;&gt;OK"))</f>
        <v/>
      </c>
      <c r="V1369">
        <f>IF(OR(NOT(EXACT(E1369,TRIM(Procurement_Raw!E1369))),NOT(EXACT(F1369,TRIM(Procurement_Raw!F1369)))),1,0)</f>
        <v>0</v>
      </c>
    </row>
    <row r="1370" spans="1:22" ht="15" customHeight="1" x14ac:dyDescent="0.25">
      <c r="A1370" s="123">
        <f>Procurement_Raw!A1370</f>
        <v>45968</v>
      </c>
      <c r="B1370" t="str">
        <f>TRIM(Procurement_Raw!B1370)</f>
        <v>S013</v>
      </c>
      <c r="C1370" t="str">
        <f>Procurement_Raw!C1370</f>
        <v>Reading Care &amp; Education Centre</v>
      </c>
      <c r="D1370" t="str">
        <f>Procurement_Raw!D1370</f>
        <v>South</v>
      </c>
      <c r="E1370" t="str">
        <f>IF(TRIM(Procurement_Raw!E1370)="","",IFERROR(INDEX(Supplier_Lookup!$A$2:$A$25,MATCH(TRIM(Procurement_Raw!E1370),Supplier_Lookup!$A$2:$A$25,0)),TRIM(Procurement_Raw!E1370)))</f>
        <v>CareTemps</v>
      </c>
      <c r="F1370" t="str">
        <f>IFERROR(INDEX(Category_Targets!$A$2:$A$9,MATCH(TRIM(Procurement_Raw!F1370),Category_Targets!$A$2:$A$9,0)),"Unmapped")</f>
        <v>Agency Labour</v>
      </c>
      <c r="G1370" t="str">
        <f>TRIM(Procurement_Raw!G1370)</f>
        <v>INV-2025-01369</v>
      </c>
      <c r="H1370" s="77">
        <f>Procurement_Raw!H1370</f>
        <v>17</v>
      </c>
      <c r="I1370" s="124">
        <f>Procurement_Raw!I1370</f>
        <v>235.09</v>
      </c>
      <c r="J1370" s="125">
        <f>IF(Procurement_Raw!J1370="","",Procurement_Raw!J1370)</f>
        <v>3996.57</v>
      </c>
      <c r="K1370" s="77">
        <f>Procurement_Raw!K1370</f>
        <v>30</v>
      </c>
      <c r="L1370" t="str">
        <f>Procurement_Raw!L1370</f>
        <v>Legacy Spend File</v>
      </c>
      <c r="M1370" t="str">
        <f>Procurement_Raw!O1370</f>
        <v>N</v>
      </c>
      <c r="N1370" t="str">
        <f>IF(E1370="","Missing supplier",IF(B1370="","Missing site",IF(J1370="","Missing spend",IF(COUNTIFS($G$2:G1370,G1370,$E$2:E1370,E1370,$J$2:J1370,J1370)&gt;1,"Duplicate invoice",IF(COUNTIF($G$2:$G$1801,G1370)&gt;1,"Duplicate ID - review",IF(AND(P1370&lt;&gt;"Unmapped",P1370&lt;&gt;F1370),"Category mismatch","OK"))))))</f>
        <v>OK</v>
      </c>
      <c r="O1370" s="125">
        <f t="shared" si="63"/>
        <v>3996.57</v>
      </c>
      <c r="P1370" t="str">
        <f>IF(E1370="","Unmapped",IFERROR(INDEX(Supplier_Lookup!$B$2:$B$25,MATCH(E1370,Supplier_Lookup!$A$2:$A$25,0)),"Unmapped"))</f>
        <v>Agency Labour</v>
      </c>
      <c r="Q1370" s="76">
        <f>IFERROR(INDEX(Category_Targets!$B$2:$B$9,MATCH(F1370,Category_Targets!$A$2:$A$9,0)),0)</f>
        <v>7.0000000000000007E-2</v>
      </c>
      <c r="R1370" s="125">
        <f t="shared" si="64"/>
        <v>279.75990000000002</v>
      </c>
      <c r="S1370" s="78">
        <f t="shared" si="65"/>
        <v>45962</v>
      </c>
      <c r="T1370" t="str">
        <f>IFERROR(VLOOKUP(B1370,Sites!$A$2:$D$21,4,FALSE()),"Unknown")</f>
        <v>Reading</v>
      </c>
      <c r="U1370" t="str">
        <f>IF(N1370="OK","",COUNTIF($N$2:N1370,"&lt;&gt;OK"))</f>
        <v/>
      </c>
      <c r="V1370">
        <f>IF(OR(NOT(EXACT(E1370,TRIM(Procurement_Raw!E1370))),NOT(EXACT(F1370,TRIM(Procurement_Raw!F1370)))),1,0)</f>
        <v>0</v>
      </c>
    </row>
    <row r="1371" spans="1:22" ht="15" customHeight="1" x14ac:dyDescent="0.25">
      <c r="A1371" s="123">
        <f>Procurement_Raw!A1371</f>
        <v>45999</v>
      </c>
      <c r="B1371" t="str">
        <f>TRIM(Procurement_Raw!B1371)</f>
        <v>S005</v>
      </c>
      <c r="C1371" t="str">
        <f>Procurement_Raw!C1371</f>
        <v>Sheffield Care &amp; Education Centre</v>
      </c>
      <c r="D1371" t="str">
        <f>Procurement_Raw!D1371</f>
        <v>North</v>
      </c>
      <c r="E1371" t="str">
        <f>IF(TRIM(Procurement_Raw!E1371)="","",IFERROR(INDEX(Supplier_Lookup!$A$2:$A$25,MATCH(TRIM(Procurement_Raw!E1371),Supplier_Lookup!$A$2:$A$25,0)),TRIM(Procurement_Raw!E1371)))</f>
        <v>LearnWell</v>
      </c>
      <c r="F1371" t="str">
        <f>IFERROR(INDEX(Category_Targets!$A$2:$A$9,MATCH(TRIM(Procurement_Raw!F1371),Category_Targets!$A$2:$A$9,0)),"Unmapped")</f>
        <v>Office &amp; Training</v>
      </c>
      <c r="G1371" t="str">
        <f>TRIM(Procurement_Raw!G1371)</f>
        <v>INV-2025-01370</v>
      </c>
      <c r="H1371" s="77">
        <f>Procurement_Raw!H1371</f>
        <v>58</v>
      </c>
      <c r="I1371" s="124">
        <f>Procurement_Raw!I1371</f>
        <v>46.1</v>
      </c>
      <c r="J1371" s="125">
        <f>IF(Procurement_Raw!J1371="","",Procurement_Raw!J1371)</f>
        <v>2673.89</v>
      </c>
      <c r="K1371" s="77">
        <f>Procurement_Raw!K1371</f>
        <v>30</v>
      </c>
      <c r="L1371" t="str">
        <f>Procurement_Raw!L1371</f>
        <v>Legacy Spend File</v>
      </c>
      <c r="M1371" t="str">
        <f>Procurement_Raw!O1371</f>
        <v>N</v>
      </c>
      <c r="N1371" t="str">
        <f>IF(E1371="","Missing supplier",IF(B1371="","Missing site",IF(J1371="","Missing spend",IF(COUNTIFS($G$2:G1371,G1371,$E$2:E1371,E1371,$J$2:J1371,J1371)&gt;1,"Duplicate invoice",IF(COUNTIF($G$2:$G$1801,G1371)&gt;1,"Duplicate ID - review",IF(AND(P1371&lt;&gt;"Unmapped",P1371&lt;&gt;F1371),"Category mismatch","OK"))))))</f>
        <v>OK</v>
      </c>
      <c r="O1371" s="125">
        <f t="shared" si="63"/>
        <v>2673.89</v>
      </c>
      <c r="P1371" t="str">
        <f>IF(E1371="","Unmapped",IFERROR(INDEX(Supplier_Lookup!$B$2:$B$25,MATCH(E1371,Supplier_Lookup!$A$2:$A$25,0)),"Unmapped"))</f>
        <v>Office &amp; Training</v>
      </c>
      <c r="Q1371" s="76">
        <f>IFERROR(INDEX(Category_Targets!$B$2:$B$9,MATCH(F1371,Category_Targets!$A$2:$A$9,0)),0)</f>
        <v>0.04</v>
      </c>
      <c r="R1371" s="125">
        <f t="shared" si="64"/>
        <v>106.9556</v>
      </c>
      <c r="S1371" s="78">
        <f t="shared" si="65"/>
        <v>45992</v>
      </c>
      <c r="T1371" t="str">
        <f>IFERROR(VLOOKUP(B1371,Sites!$A$2:$D$21,4,FALSE()),"Unknown")</f>
        <v>Sheffield</v>
      </c>
      <c r="U1371" t="str">
        <f>IF(N1371="OK","",COUNTIF($N$2:N1371,"&lt;&gt;OK"))</f>
        <v/>
      </c>
      <c r="V1371">
        <f>IF(OR(NOT(EXACT(E1371,TRIM(Procurement_Raw!E1371))),NOT(EXACT(F1371,TRIM(Procurement_Raw!F1371)))),1,0)</f>
        <v>0</v>
      </c>
    </row>
    <row r="1372" spans="1:22" ht="15" customHeight="1" x14ac:dyDescent="0.25">
      <c r="A1372" s="123">
        <f>Procurement_Raw!A1372</f>
        <v>45998</v>
      </c>
      <c r="B1372" t="str">
        <f>TRIM(Procurement_Raw!B1372)</f>
        <v>S011</v>
      </c>
      <c r="C1372" t="str">
        <f>Procurement_Raw!C1372</f>
        <v>London Care &amp; Education Centre</v>
      </c>
      <c r="D1372" t="str">
        <f>Procurement_Raw!D1372</f>
        <v>South</v>
      </c>
      <c r="E1372" t="str">
        <f>IF(TRIM(Procurement_Raw!E1372)="","",IFERROR(INDEX(Supplier_Lookup!$A$2:$A$25,MATCH(TRIM(Procurement_Raw!E1372),Supplier_Lookup!$A$2:$A$25,0)),TRIM(Procurement_Raw!E1372)))</f>
        <v>KitchenPro</v>
      </c>
      <c r="F1372" t="str">
        <f>IFERROR(INDEX(Category_Targets!$A$2:$A$9,MATCH(TRIM(Procurement_Raw!F1372),Category_Targets!$A$2:$A$9,0)),"Unmapped")</f>
        <v>Food &amp; Catering</v>
      </c>
      <c r="G1372" t="str">
        <f>TRIM(Procurement_Raw!G1372)</f>
        <v>INV-2025-01371</v>
      </c>
      <c r="H1372" s="77">
        <f>Procurement_Raw!H1372</f>
        <v>80</v>
      </c>
      <c r="I1372" s="124">
        <f>Procurement_Raw!I1372</f>
        <v>59.1</v>
      </c>
      <c r="J1372" s="125">
        <f>IF(Procurement_Raw!J1372="","",Procurement_Raw!J1372)</f>
        <v>4728.17</v>
      </c>
      <c r="K1372" s="77">
        <f>Procurement_Raw!K1372</f>
        <v>45</v>
      </c>
      <c r="L1372" t="str">
        <f>Procurement_Raw!L1372</f>
        <v>Procurement Portal</v>
      </c>
      <c r="M1372" t="str">
        <f>Procurement_Raw!O1372</f>
        <v>N</v>
      </c>
      <c r="N1372" t="str">
        <f>IF(E1372="","Missing supplier",IF(B1372="","Missing site",IF(J1372="","Missing spend",IF(COUNTIFS($G$2:G1372,G1372,$E$2:E1372,E1372,$J$2:J1372,J1372)&gt;1,"Duplicate invoice",IF(COUNTIF($G$2:$G$1801,G1372)&gt;1,"Duplicate ID - review",IF(AND(P1372&lt;&gt;"Unmapped",P1372&lt;&gt;F1372),"Category mismatch","OK"))))))</f>
        <v>OK</v>
      </c>
      <c r="O1372" s="125">
        <f t="shared" si="63"/>
        <v>4728.17</v>
      </c>
      <c r="P1372" t="str">
        <f>IF(E1372="","Unmapped",IFERROR(INDEX(Supplier_Lookup!$B$2:$B$25,MATCH(E1372,Supplier_Lookup!$A$2:$A$25,0)),"Unmapped"))</f>
        <v>Food &amp; Catering</v>
      </c>
      <c r="Q1372" s="76">
        <f>IFERROR(INDEX(Category_Targets!$B$2:$B$9,MATCH(F1372,Category_Targets!$A$2:$A$9,0)),0)</f>
        <v>0.04</v>
      </c>
      <c r="R1372" s="125">
        <f t="shared" si="64"/>
        <v>189.1268</v>
      </c>
      <c r="S1372" s="78">
        <f t="shared" si="65"/>
        <v>45992</v>
      </c>
      <c r="T1372" t="str">
        <f>IFERROR(VLOOKUP(B1372,Sites!$A$2:$D$21,4,FALSE()),"Unknown")</f>
        <v>London</v>
      </c>
      <c r="U1372" t="str">
        <f>IF(N1372="OK","",COUNTIF($N$2:N1372,"&lt;&gt;OK"))</f>
        <v/>
      </c>
      <c r="V1372">
        <f>IF(OR(NOT(EXACT(E1372,TRIM(Procurement_Raw!E1372))),NOT(EXACT(F1372,TRIM(Procurement_Raw!F1372)))),1,0)</f>
        <v>1</v>
      </c>
    </row>
    <row r="1373" spans="1:22" ht="15" customHeight="1" x14ac:dyDescent="0.25">
      <c r="A1373" s="123">
        <f>Procurement_Raw!A1373</f>
        <v>45934</v>
      </c>
      <c r="B1373" t="str">
        <f>TRIM(Procurement_Raw!B1373)</f>
        <v>S005</v>
      </c>
      <c r="C1373" t="str">
        <f>Procurement_Raw!C1373</f>
        <v>Sheffield Care &amp; Education Centre</v>
      </c>
      <c r="D1373" t="str">
        <f>Procurement_Raw!D1373</f>
        <v>North</v>
      </c>
      <c r="E1373" t="str">
        <f>IF(TRIM(Procurement_Raw!E1373)="","",IFERROR(INDEX(Supplier_Lookup!$A$2:$A$25,MATCH(TRIM(Procurement_Raw!E1373),Supplier_Lookup!$A$2:$A$25,0)),TRIM(Procurement_Raw!E1373)))</f>
        <v>CareTemps</v>
      </c>
      <c r="F1373" t="str">
        <f>IFERROR(INDEX(Category_Targets!$A$2:$A$9,MATCH(TRIM(Procurement_Raw!F1373),Category_Targets!$A$2:$A$9,0)),"Unmapped")</f>
        <v>Agency Labour</v>
      </c>
      <c r="G1373" t="str">
        <f>TRIM(Procurement_Raw!G1373)</f>
        <v>INV-2025-01372</v>
      </c>
      <c r="H1373" s="77">
        <f>Procurement_Raw!H1373</f>
        <v>6</v>
      </c>
      <c r="I1373" s="124">
        <f>Procurement_Raw!I1373</f>
        <v>769.1</v>
      </c>
      <c r="J1373" s="125">
        <f>IF(Procurement_Raw!J1373="","",Procurement_Raw!J1373)</f>
        <v>4614.6099999999997</v>
      </c>
      <c r="K1373" s="77">
        <f>Procurement_Raw!K1373</f>
        <v>60</v>
      </c>
      <c r="L1373" t="str">
        <f>Procurement_Raw!L1373</f>
        <v>Procurement Portal</v>
      </c>
      <c r="M1373" t="str">
        <f>Procurement_Raw!O1373</f>
        <v>N</v>
      </c>
      <c r="N1373" t="str">
        <f>IF(E1373="","Missing supplier",IF(B1373="","Missing site",IF(J1373="","Missing spend",IF(COUNTIFS($G$2:G1373,G1373,$E$2:E1373,E1373,$J$2:J1373,J1373)&gt;1,"Duplicate invoice",IF(COUNTIF($G$2:$G$1801,G1373)&gt;1,"Duplicate ID - review",IF(AND(P1373&lt;&gt;"Unmapped",P1373&lt;&gt;F1373),"Category mismatch","OK"))))))</f>
        <v>OK</v>
      </c>
      <c r="O1373" s="125">
        <f t="shared" si="63"/>
        <v>4614.6099999999997</v>
      </c>
      <c r="P1373" t="str">
        <f>IF(E1373="","Unmapped",IFERROR(INDEX(Supplier_Lookup!$B$2:$B$25,MATCH(E1373,Supplier_Lookup!$A$2:$A$25,0)),"Unmapped"))</f>
        <v>Agency Labour</v>
      </c>
      <c r="Q1373" s="76">
        <f>IFERROR(INDEX(Category_Targets!$B$2:$B$9,MATCH(F1373,Category_Targets!$A$2:$A$9,0)),0)</f>
        <v>7.0000000000000007E-2</v>
      </c>
      <c r="R1373" s="125">
        <f t="shared" si="64"/>
        <v>323.02269999999999</v>
      </c>
      <c r="S1373" s="78">
        <f t="shared" si="65"/>
        <v>45931</v>
      </c>
      <c r="T1373" t="str">
        <f>IFERROR(VLOOKUP(B1373,Sites!$A$2:$D$21,4,FALSE()),"Unknown")</f>
        <v>Sheffield</v>
      </c>
      <c r="U1373" t="str">
        <f>IF(N1373="OK","",COUNTIF($N$2:N1373,"&lt;&gt;OK"))</f>
        <v/>
      </c>
      <c r="V1373">
        <f>IF(OR(NOT(EXACT(E1373,TRIM(Procurement_Raw!E1373))),NOT(EXACT(F1373,TRIM(Procurement_Raw!F1373)))),1,0)</f>
        <v>0</v>
      </c>
    </row>
    <row r="1374" spans="1:22" ht="15" customHeight="1" x14ac:dyDescent="0.25">
      <c r="A1374" s="123">
        <f>Procurement_Raw!A1374</f>
        <v>45703</v>
      </c>
      <c r="B1374" t="str">
        <f>TRIM(Procurement_Raw!B1374)</f>
        <v>S010</v>
      </c>
      <c r="C1374" t="str">
        <f>Procurement_Raw!C1374</f>
        <v>Coventry Care &amp; Education Centre</v>
      </c>
      <c r="D1374" t="str">
        <f>Procurement_Raw!D1374</f>
        <v>Midlands</v>
      </c>
      <c r="E1374" t="str">
        <f>IF(TRIM(Procurement_Raw!E1374)="","",IFERROR(INDEX(Supplier_Lookup!$A$2:$A$25,MATCH(TRIM(Procurement_Raw!E1374),Supplier_Lookup!$A$2:$A$25,0)),TRIM(Procurement_Raw!E1374)))</f>
        <v>NetServe</v>
      </c>
      <c r="F1374" t="str">
        <f>IFERROR(INDEX(Category_Targets!$A$2:$A$9,MATCH(TRIM(Procurement_Raw!F1374),Category_Targets!$A$2:$A$9,0)),"Unmapped")</f>
        <v>IT &amp; Telecoms</v>
      </c>
      <c r="G1374" t="str">
        <f>TRIM(Procurement_Raw!G1374)</f>
        <v>INV-2025-01373</v>
      </c>
      <c r="H1374" s="77">
        <f>Procurement_Raw!H1374</f>
        <v>22</v>
      </c>
      <c r="I1374" s="124">
        <f>Procurement_Raw!I1374</f>
        <v>103.45</v>
      </c>
      <c r="J1374" s="125">
        <f>IF(Procurement_Raw!J1374="","",Procurement_Raw!J1374)</f>
        <v>2275.89</v>
      </c>
      <c r="K1374" s="77">
        <f>Procurement_Raw!K1374</f>
        <v>60</v>
      </c>
      <c r="L1374" t="str">
        <f>Procurement_Raw!L1374</f>
        <v>ERP</v>
      </c>
      <c r="M1374" t="str">
        <f>Procurement_Raw!O1374</f>
        <v>N</v>
      </c>
      <c r="N1374" t="str">
        <f>IF(E1374="","Missing supplier",IF(B1374="","Missing site",IF(J1374="","Missing spend",IF(COUNTIFS($G$2:G1374,G1374,$E$2:E1374,E1374,$J$2:J1374,J1374)&gt;1,"Duplicate invoice",IF(COUNTIF($G$2:$G$1801,G1374)&gt;1,"Duplicate ID - review",IF(AND(P1374&lt;&gt;"Unmapped",P1374&lt;&gt;F1374),"Category mismatch","OK"))))))</f>
        <v>OK</v>
      </c>
      <c r="O1374" s="125">
        <f t="shared" si="63"/>
        <v>2275.89</v>
      </c>
      <c r="P1374" t="str">
        <f>IF(E1374="","Unmapped",IFERROR(INDEX(Supplier_Lookup!$B$2:$B$25,MATCH(E1374,Supplier_Lookup!$A$2:$A$25,0)),"Unmapped"))</f>
        <v>IT &amp; Telecoms</v>
      </c>
      <c r="Q1374" s="76">
        <f>IFERROR(INDEX(Category_Targets!$B$2:$B$9,MATCH(F1374,Category_Targets!$A$2:$A$9,0)),0)</f>
        <v>0.08</v>
      </c>
      <c r="R1374" s="125">
        <f t="shared" si="64"/>
        <v>182.0712</v>
      </c>
      <c r="S1374" s="78">
        <f t="shared" si="65"/>
        <v>45689</v>
      </c>
      <c r="T1374" t="str">
        <f>IFERROR(VLOOKUP(B1374,Sites!$A$2:$D$21,4,FALSE()),"Unknown")</f>
        <v>Coventry</v>
      </c>
      <c r="U1374" t="str">
        <f>IF(N1374="OK","",COUNTIF($N$2:N1374,"&lt;&gt;OK"))</f>
        <v/>
      </c>
      <c r="V1374">
        <f>IF(OR(NOT(EXACT(E1374,TRIM(Procurement_Raw!E1374))),NOT(EXACT(F1374,TRIM(Procurement_Raw!F1374)))),1,0)</f>
        <v>0</v>
      </c>
    </row>
    <row r="1375" spans="1:22" ht="15" customHeight="1" x14ac:dyDescent="0.25">
      <c r="A1375" s="123">
        <f>Procurement_Raw!A1375</f>
        <v>45988</v>
      </c>
      <c r="B1375" t="str">
        <f>TRIM(Procurement_Raw!B1375)</f>
        <v>S013</v>
      </c>
      <c r="C1375" t="str">
        <f>Procurement_Raw!C1375</f>
        <v>Reading Care &amp; Education Centre</v>
      </c>
      <c r="D1375" t="str">
        <f>Procurement_Raw!D1375</f>
        <v>South</v>
      </c>
      <c r="E1375" t="str">
        <f>IF(TRIM(Procurement_Raw!E1375)="","",IFERROR(INDEX(Supplier_Lookup!$A$2:$A$25,MATCH(TRIM(Procurement_Raw!E1375),Supplier_Lookup!$A$2:$A$25,0)),TRIM(Procurement_Raw!E1375)))</f>
        <v>NetServe</v>
      </c>
      <c r="F1375" t="str">
        <f>IFERROR(INDEX(Category_Targets!$A$2:$A$9,MATCH(TRIM(Procurement_Raw!F1375),Category_Targets!$A$2:$A$9,0)),"Unmapped")</f>
        <v>IT &amp; Telecoms</v>
      </c>
      <c r="G1375" t="str">
        <f>TRIM(Procurement_Raw!G1375)</f>
        <v>INV-2025-01374</v>
      </c>
      <c r="H1375" s="77">
        <f>Procurement_Raw!H1375</f>
        <v>16</v>
      </c>
      <c r="I1375" s="124">
        <f>Procurement_Raw!I1375</f>
        <v>90.57</v>
      </c>
      <c r="J1375" s="125">
        <f>IF(Procurement_Raw!J1375="","",Procurement_Raw!J1375)</f>
        <v>1449.19</v>
      </c>
      <c r="K1375" s="77">
        <f>Procurement_Raw!K1375</f>
        <v>60</v>
      </c>
      <c r="L1375" t="str">
        <f>Procurement_Raw!L1375</f>
        <v>Legacy Spend File</v>
      </c>
      <c r="M1375" t="str">
        <f>Procurement_Raw!O1375</f>
        <v>N</v>
      </c>
      <c r="N1375" t="str">
        <f>IF(E1375="","Missing supplier",IF(B1375="","Missing site",IF(J1375="","Missing spend",IF(COUNTIFS($G$2:G1375,G1375,$E$2:E1375,E1375,$J$2:J1375,J1375)&gt;1,"Duplicate invoice",IF(COUNTIF($G$2:$G$1801,G1375)&gt;1,"Duplicate ID - review",IF(AND(P1375&lt;&gt;"Unmapped",P1375&lt;&gt;F1375),"Category mismatch","OK"))))))</f>
        <v>OK</v>
      </c>
      <c r="O1375" s="125">
        <f t="shared" si="63"/>
        <v>1449.19</v>
      </c>
      <c r="P1375" t="str">
        <f>IF(E1375="","Unmapped",IFERROR(INDEX(Supplier_Lookup!$B$2:$B$25,MATCH(E1375,Supplier_Lookup!$A$2:$A$25,0)),"Unmapped"))</f>
        <v>IT &amp; Telecoms</v>
      </c>
      <c r="Q1375" s="76">
        <f>IFERROR(INDEX(Category_Targets!$B$2:$B$9,MATCH(F1375,Category_Targets!$A$2:$A$9,0)),0)</f>
        <v>0.08</v>
      </c>
      <c r="R1375" s="125">
        <f t="shared" si="64"/>
        <v>115.93520000000001</v>
      </c>
      <c r="S1375" s="78">
        <f t="shared" si="65"/>
        <v>45962</v>
      </c>
      <c r="T1375" t="str">
        <f>IFERROR(VLOOKUP(B1375,Sites!$A$2:$D$21,4,FALSE()),"Unknown")</f>
        <v>Reading</v>
      </c>
      <c r="U1375" t="str">
        <f>IF(N1375="OK","",COUNTIF($N$2:N1375,"&lt;&gt;OK"))</f>
        <v/>
      </c>
      <c r="V1375">
        <f>IF(OR(NOT(EXACT(E1375,TRIM(Procurement_Raw!E1375))),NOT(EXACT(F1375,TRIM(Procurement_Raw!F1375)))),1,0)</f>
        <v>0</v>
      </c>
    </row>
    <row r="1376" spans="1:22" ht="15" customHeight="1" x14ac:dyDescent="0.25">
      <c r="A1376" s="123">
        <f>Procurement_Raw!A1376</f>
        <v>45935</v>
      </c>
      <c r="B1376" t="str">
        <f>TRIM(Procurement_Raw!B1376)</f>
        <v>S001</v>
      </c>
      <c r="C1376" t="str">
        <f>Procurement_Raw!C1376</f>
        <v>Preston Care &amp; Education Centre</v>
      </c>
      <c r="D1376" t="str">
        <f>Procurement_Raw!D1376</f>
        <v>North</v>
      </c>
      <c r="E1376" t="str">
        <f>IF(TRIM(Procurement_Raw!E1376)="","",IFERROR(INDEX(Supplier_Lookup!$A$2:$A$25,MATCH(TRIM(Procurement_Raw!E1376),Supplier_Lookup!$A$2:$A$25,0)),TRIM(Procurement_Raw!E1376)))</f>
        <v>PowerDirect</v>
      </c>
      <c r="F1376" t="str">
        <f>IFERROR(INDEX(Category_Targets!$A$2:$A$9,MATCH(TRIM(Procurement_Raw!F1376),Category_Targets!$A$2:$A$9,0)),"Unmapped")</f>
        <v>Utilities</v>
      </c>
      <c r="G1376" t="str">
        <f>TRIM(Procurement_Raw!G1376)</f>
        <v>INV-2025-01375</v>
      </c>
      <c r="H1376" s="77">
        <f>Procurement_Raw!H1376</f>
        <v>74</v>
      </c>
      <c r="I1376" s="124">
        <f>Procurement_Raw!I1376</f>
        <v>561.5</v>
      </c>
      <c r="J1376" s="125">
        <f>IF(Procurement_Raw!J1376="","",Procurement_Raw!J1376)</f>
        <v>41550.699999999997</v>
      </c>
      <c r="K1376" s="77">
        <f>Procurement_Raw!K1376</f>
        <v>30</v>
      </c>
      <c r="L1376" t="str">
        <f>Procurement_Raw!L1376</f>
        <v>Legacy Spend File</v>
      </c>
      <c r="M1376" t="str">
        <f>Procurement_Raw!O1376</f>
        <v>N</v>
      </c>
      <c r="N1376" t="str">
        <f>IF(E1376="","Missing supplier",IF(B1376="","Missing site",IF(J1376="","Missing spend",IF(COUNTIFS($G$2:G1376,G1376,$E$2:E1376,E1376,$J$2:J1376,J1376)&gt;1,"Duplicate invoice",IF(COUNTIF($G$2:$G$1801,G1376)&gt;1,"Duplicate ID - review",IF(AND(P1376&lt;&gt;"Unmapped",P1376&lt;&gt;F1376),"Category mismatch","OK"))))))</f>
        <v>OK</v>
      </c>
      <c r="O1376" s="125">
        <f t="shared" si="63"/>
        <v>41550.699999999997</v>
      </c>
      <c r="P1376" t="str">
        <f>IF(E1376="","Unmapped",IFERROR(INDEX(Supplier_Lookup!$B$2:$B$25,MATCH(E1376,Supplier_Lookup!$A$2:$A$25,0)),"Unmapped"))</f>
        <v>Utilities</v>
      </c>
      <c r="Q1376" s="76">
        <f>IFERROR(INDEX(Category_Targets!$B$2:$B$9,MATCH(F1376,Category_Targets!$A$2:$A$9,0)),0)</f>
        <v>0.03</v>
      </c>
      <c r="R1376" s="125">
        <f t="shared" si="64"/>
        <v>1246.521</v>
      </c>
      <c r="S1376" s="78">
        <f t="shared" si="65"/>
        <v>45931</v>
      </c>
      <c r="T1376" t="str">
        <f>IFERROR(VLOOKUP(B1376,Sites!$A$2:$D$21,4,FALSE()),"Unknown")</f>
        <v>Preston</v>
      </c>
      <c r="U1376" t="str">
        <f>IF(N1376="OK","",COUNTIF($N$2:N1376,"&lt;&gt;OK"))</f>
        <v/>
      </c>
      <c r="V1376">
        <f>IF(OR(NOT(EXACT(E1376,TRIM(Procurement_Raw!E1376))),NOT(EXACT(F1376,TRIM(Procurement_Raw!F1376)))),1,0)</f>
        <v>0</v>
      </c>
    </row>
    <row r="1377" spans="1:22" ht="15" customHeight="1" x14ac:dyDescent="0.25">
      <c r="A1377" s="123">
        <f>Procurement_Raw!A1377</f>
        <v>45915</v>
      </c>
      <c r="B1377" t="str">
        <f>TRIM(Procurement_Raw!B1377)</f>
        <v>S015</v>
      </c>
      <c r="C1377" t="str">
        <f>Procurement_Raw!C1377</f>
        <v>Brighton Care &amp; Education Centre</v>
      </c>
      <c r="D1377" t="str">
        <f>Procurement_Raw!D1377</f>
        <v>South</v>
      </c>
      <c r="E1377" t="str">
        <f>IF(TRIM(Procurement_Raw!E1377)="","",IFERROR(INDEX(Supplier_Lookup!$A$2:$A$25,MATCH(TRIM(Procurement_Raw!E1377),Supplier_Lookup!$A$2:$A$25,0)),TRIM(Procurement_Raw!E1377)))</f>
        <v>WaterGrid</v>
      </c>
      <c r="F1377" t="str">
        <f>IFERROR(INDEX(Category_Targets!$A$2:$A$9,MATCH(TRIM(Procurement_Raw!F1377),Category_Targets!$A$2:$A$9,0)),"Unmapped")</f>
        <v>Utilities</v>
      </c>
      <c r="G1377" t="str">
        <f>TRIM(Procurement_Raw!G1377)</f>
        <v>INV-2025-01376</v>
      </c>
      <c r="H1377" s="77">
        <f>Procurement_Raw!H1377</f>
        <v>3</v>
      </c>
      <c r="I1377" s="124">
        <f>Procurement_Raw!I1377</f>
        <v>222.81</v>
      </c>
      <c r="J1377" s="125">
        <f>IF(Procurement_Raw!J1377="","",Procurement_Raw!J1377)</f>
        <v>668.44</v>
      </c>
      <c r="K1377" s="77">
        <f>Procurement_Raw!K1377</f>
        <v>30</v>
      </c>
      <c r="L1377" t="str">
        <f>Procurement_Raw!L1377</f>
        <v>Legacy Spend File</v>
      </c>
      <c r="M1377" t="str">
        <f>Procurement_Raw!O1377</f>
        <v>N</v>
      </c>
      <c r="N1377" t="str">
        <f>IF(E1377="","Missing supplier",IF(B1377="","Missing site",IF(J1377="","Missing spend",IF(COUNTIFS($G$2:G1377,G1377,$E$2:E1377,E1377,$J$2:J1377,J1377)&gt;1,"Duplicate invoice",IF(COUNTIF($G$2:$G$1801,G1377)&gt;1,"Duplicate ID - review",IF(AND(P1377&lt;&gt;"Unmapped",P1377&lt;&gt;F1377),"Category mismatch","OK"))))))</f>
        <v>OK</v>
      </c>
      <c r="O1377" s="125">
        <f t="shared" si="63"/>
        <v>668.44</v>
      </c>
      <c r="P1377" t="str">
        <f>IF(E1377="","Unmapped",IFERROR(INDEX(Supplier_Lookup!$B$2:$B$25,MATCH(E1377,Supplier_Lookup!$A$2:$A$25,0)),"Unmapped"))</f>
        <v>Utilities</v>
      </c>
      <c r="Q1377" s="76">
        <f>IFERROR(INDEX(Category_Targets!$B$2:$B$9,MATCH(F1377,Category_Targets!$A$2:$A$9,0)),0)</f>
        <v>0.03</v>
      </c>
      <c r="R1377" s="125">
        <f t="shared" si="64"/>
        <v>20.0532</v>
      </c>
      <c r="S1377" s="78">
        <f t="shared" si="65"/>
        <v>45901</v>
      </c>
      <c r="T1377" t="str">
        <f>IFERROR(VLOOKUP(B1377,Sites!$A$2:$D$21,4,FALSE()),"Unknown")</f>
        <v>Brighton</v>
      </c>
      <c r="U1377" t="str">
        <f>IF(N1377="OK","",COUNTIF($N$2:N1377,"&lt;&gt;OK"))</f>
        <v/>
      </c>
      <c r="V1377">
        <f>IF(OR(NOT(EXACT(E1377,TRIM(Procurement_Raw!E1377))),NOT(EXACT(F1377,TRIM(Procurement_Raw!F1377)))),1,0)</f>
        <v>0</v>
      </c>
    </row>
    <row r="1378" spans="1:22" ht="15" customHeight="1" x14ac:dyDescent="0.25">
      <c r="A1378" s="123">
        <f>Procurement_Raw!A1378</f>
        <v>45798</v>
      </c>
      <c r="B1378" t="str">
        <f>TRIM(Procurement_Raw!B1378)</f>
        <v>S001</v>
      </c>
      <c r="C1378" t="str">
        <f>Procurement_Raw!C1378</f>
        <v>Preston Care &amp; Education Centre</v>
      </c>
      <c r="D1378" t="str">
        <f>Procurement_Raw!D1378</f>
        <v>North</v>
      </c>
      <c r="E1378" t="str">
        <f>IF(TRIM(Procurement_Raw!E1378)="","",IFERROR(INDEX(Supplier_Lookup!$A$2:$A$25,MATCH(TRIM(Procurement_Raw!E1378),Supplier_Lookup!$A$2:$A$25,0)),TRIM(Procurement_Raw!E1378)))</f>
        <v>CleanWorks</v>
      </c>
      <c r="F1378" t="str">
        <f>IFERROR(INDEX(Category_Targets!$A$2:$A$9,MATCH(TRIM(Procurement_Raw!F1378),Category_Targets!$A$2:$A$9,0)),"Unmapped")</f>
        <v>Facilities</v>
      </c>
      <c r="G1378" t="str">
        <f>TRIM(Procurement_Raw!G1378)</f>
        <v>INV-2025-01377</v>
      </c>
      <c r="H1378" s="77">
        <f>Procurement_Raw!H1378</f>
        <v>27</v>
      </c>
      <c r="I1378" s="124">
        <f>Procurement_Raw!I1378</f>
        <v>124.58</v>
      </c>
      <c r="J1378" s="125">
        <f>IF(Procurement_Raw!J1378="","",Procurement_Raw!J1378)</f>
        <v>3363.72</v>
      </c>
      <c r="K1378" s="77">
        <f>Procurement_Raw!K1378</f>
        <v>30</v>
      </c>
      <c r="L1378" t="str">
        <f>Procurement_Raw!L1378</f>
        <v>Legacy Spend File</v>
      </c>
      <c r="M1378" t="str">
        <f>Procurement_Raw!O1378</f>
        <v>Y</v>
      </c>
      <c r="N1378" t="str">
        <f>IF(E1378="","Missing supplier",IF(B1378="","Missing site",IF(J1378="","Missing spend",IF(COUNTIFS($G$2:G1378,G1378,$E$2:E1378,E1378,$J$2:J1378,J1378)&gt;1,"Duplicate invoice",IF(COUNTIF($G$2:$G$1801,G1378)&gt;1,"Duplicate ID - review",IF(AND(P1378&lt;&gt;"Unmapped",P1378&lt;&gt;F1378),"Category mismatch","OK"))))))</f>
        <v>OK</v>
      </c>
      <c r="O1378" s="125">
        <f t="shared" si="63"/>
        <v>3363.72</v>
      </c>
      <c r="P1378" t="str">
        <f>IF(E1378="","Unmapped",IFERROR(INDEX(Supplier_Lookup!$B$2:$B$25,MATCH(E1378,Supplier_Lookup!$A$2:$A$25,0)),"Unmapped"))</f>
        <v>Facilities</v>
      </c>
      <c r="Q1378" s="76">
        <f>IFERROR(INDEX(Category_Targets!$B$2:$B$9,MATCH(F1378,Category_Targets!$A$2:$A$9,0)),0)</f>
        <v>0.05</v>
      </c>
      <c r="R1378" s="125">
        <f t="shared" si="64"/>
        <v>168.18600000000001</v>
      </c>
      <c r="S1378" s="78">
        <f t="shared" si="65"/>
        <v>45778</v>
      </c>
      <c r="T1378" t="str">
        <f>IFERROR(VLOOKUP(B1378,Sites!$A$2:$D$21,4,FALSE()),"Unknown")</f>
        <v>Preston</v>
      </c>
      <c r="U1378" t="str">
        <f>IF(N1378="OK","",COUNTIF($N$2:N1378,"&lt;&gt;OK"))</f>
        <v/>
      </c>
      <c r="V1378">
        <f>IF(OR(NOT(EXACT(E1378,TRIM(Procurement_Raw!E1378))),NOT(EXACT(F1378,TRIM(Procurement_Raw!F1378)))),1,0)</f>
        <v>0</v>
      </c>
    </row>
    <row r="1379" spans="1:22" ht="15" customHeight="1" x14ac:dyDescent="0.25">
      <c r="A1379" s="123">
        <f>Procurement_Raw!A1379</f>
        <v>45931</v>
      </c>
      <c r="B1379" t="str">
        <f>TRIM(Procurement_Raw!B1379)</f>
        <v>S008</v>
      </c>
      <c r="C1379" t="str">
        <f>Procurement_Raw!C1379</f>
        <v>Leicester Care &amp; Education Centre</v>
      </c>
      <c r="D1379" t="str">
        <f>Procurement_Raw!D1379</f>
        <v>Midlands</v>
      </c>
      <c r="E1379" t="str">
        <f>IF(TRIM(Procurement_Raw!E1379)="","",IFERROR(INDEX(Supplier_Lookup!$A$2:$A$25,MATCH(TRIM(Procurement_Raw!E1379),Supplier_Lookup!$A$2:$A$25,0)),TRIM(Procurement_Raw!E1379)))</f>
        <v>OfficePlus</v>
      </c>
      <c r="F1379" t="str">
        <f>IFERROR(INDEX(Category_Targets!$A$2:$A$9,MATCH(TRIM(Procurement_Raw!F1379),Category_Targets!$A$2:$A$9,0)),"Unmapped")</f>
        <v>Office &amp; Training</v>
      </c>
      <c r="G1379" t="str">
        <f>TRIM(Procurement_Raw!G1379)</f>
        <v>INV-2025-01378</v>
      </c>
      <c r="H1379" s="77">
        <f>Procurement_Raw!H1379</f>
        <v>78</v>
      </c>
      <c r="I1379" s="124">
        <f>Procurement_Raw!I1379</f>
        <v>132.88</v>
      </c>
      <c r="J1379" s="125">
        <f>IF(Procurement_Raw!J1379="","",Procurement_Raw!J1379)</f>
        <v>10364.530000000001</v>
      </c>
      <c r="K1379" s="77">
        <f>Procurement_Raw!K1379</f>
        <v>45</v>
      </c>
      <c r="L1379" t="str">
        <f>Procurement_Raw!L1379</f>
        <v>Procurement Portal</v>
      </c>
      <c r="M1379" t="str">
        <f>Procurement_Raw!O1379</f>
        <v>N</v>
      </c>
      <c r="N1379" t="str">
        <f>IF(E1379="","Missing supplier",IF(B1379="","Missing site",IF(J1379="","Missing spend",IF(COUNTIFS($G$2:G1379,G1379,$E$2:E1379,E1379,$J$2:J1379,J1379)&gt;1,"Duplicate invoice",IF(COUNTIF($G$2:$G$1801,G1379)&gt;1,"Duplicate ID - review",IF(AND(P1379&lt;&gt;"Unmapped",P1379&lt;&gt;F1379),"Category mismatch","OK"))))))</f>
        <v>OK</v>
      </c>
      <c r="O1379" s="125">
        <f t="shared" si="63"/>
        <v>10364.530000000001</v>
      </c>
      <c r="P1379" t="str">
        <f>IF(E1379="","Unmapped",IFERROR(INDEX(Supplier_Lookup!$B$2:$B$25,MATCH(E1379,Supplier_Lookup!$A$2:$A$25,0)),"Unmapped"))</f>
        <v>Office &amp; Training</v>
      </c>
      <c r="Q1379" s="76">
        <f>IFERROR(INDEX(Category_Targets!$B$2:$B$9,MATCH(F1379,Category_Targets!$A$2:$A$9,0)),0)</f>
        <v>0.04</v>
      </c>
      <c r="R1379" s="125">
        <f t="shared" si="64"/>
        <v>414.58120000000002</v>
      </c>
      <c r="S1379" s="78">
        <f t="shared" si="65"/>
        <v>45931</v>
      </c>
      <c r="T1379" t="str">
        <f>IFERROR(VLOOKUP(B1379,Sites!$A$2:$D$21,4,FALSE()),"Unknown")</f>
        <v>Leicester</v>
      </c>
      <c r="U1379" t="str">
        <f>IF(N1379="OK","",COUNTIF($N$2:N1379,"&lt;&gt;OK"))</f>
        <v/>
      </c>
      <c r="V1379">
        <f>IF(OR(NOT(EXACT(E1379,TRIM(Procurement_Raw!E1379))),NOT(EXACT(F1379,TRIM(Procurement_Raw!F1379)))),1,0)</f>
        <v>0</v>
      </c>
    </row>
    <row r="1380" spans="1:22" ht="15" customHeight="1" x14ac:dyDescent="0.25">
      <c r="A1380" s="123">
        <f>Procurement_Raw!A1380</f>
        <v>45669</v>
      </c>
      <c r="B1380" t="str">
        <f>TRIM(Procurement_Raw!B1380)</f>
        <v>S017</v>
      </c>
      <c r="C1380" t="str">
        <f>Procurement_Raw!C1380</f>
        <v>Swansea Care &amp; Education Centre</v>
      </c>
      <c r="D1380" t="str">
        <f>Procurement_Raw!D1380</f>
        <v>Wales</v>
      </c>
      <c r="E1380" t="str">
        <f>IF(TRIM(Procurement_Raw!E1380)="","",IFERROR(INDEX(Supplier_Lookup!$A$2:$A$25,MATCH(TRIM(Procurement_Raw!E1380),Supplier_Lookup!$A$2:$A$25,0)),TRIM(Procurement_Raw!E1380)))</f>
        <v>CareMed</v>
      </c>
      <c r="F1380" t="str">
        <f>IFERROR(INDEX(Category_Targets!$A$2:$A$9,MATCH(TRIM(Procurement_Raw!F1380),Category_Targets!$A$2:$A$9,0)),"Unmapped")</f>
        <v>Medical Supplies</v>
      </c>
      <c r="G1380" t="str">
        <f>TRIM(Procurement_Raw!G1380)</f>
        <v>INV-2025-01379</v>
      </c>
      <c r="H1380" s="77">
        <f>Procurement_Raw!H1380</f>
        <v>44</v>
      </c>
      <c r="I1380" s="124">
        <f>Procurement_Raw!I1380</f>
        <v>86</v>
      </c>
      <c r="J1380" s="125">
        <f>IF(Procurement_Raw!J1380="","",Procurement_Raw!J1380)</f>
        <v>3784.21</v>
      </c>
      <c r="K1380" s="77">
        <f>Procurement_Raw!K1380</f>
        <v>45</v>
      </c>
      <c r="L1380" t="str">
        <f>Procurement_Raw!L1380</f>
        <v>ERP</v>
      </c>
      <c r="M1380" t="str">
        <f>Procurement_Raw!O1380</f>
        <v>N</v>
      </c>
      <c r="N1380" t="str">
        <f>IF(E1380="","Missing supplier",IF(B1380="","Missing site",IF(J1380="","Missing spend",IF(COUNTIFS($G$2:G1380,G1380,$E$2:E1380,E1380,$J$2:J1380,J1380)&gt;1,"Duplicate invoice",IF(COUNTIF($G$2:$G$1801,G1380)&gt;1,"Duplicate ID - review",IF(AND(P1380&lt;&gt;"Unmapped",P1380&lt;&gt;F1380),"Category mismatch","OK"))))))</f>
        <v>OK</v>
      </c>
      <c r="O1380" s="125">
        <f t="shared" si="63"/>
        <v>3784.21</v>
      </c>
      <c r="P1380" t="str">
        <f>IF(E1380="","Unmapped",IFERROR(INDEX(Supplier_Lookup!$B$2:$B$25,MATCH(E1380,Supplier_Lookup!$A$2:$A$25,0)),"Unmapped"))</f>
        <v>Medical Supplies</v>
      </c>
      <c r="Q1380" s="76">
        <f>IFERROR(INDEX(Category_Targets!$B$2:$B$9,MATCH(F1380,Category_Targets!$A$2:$A$9,0)),0)</f>
        <v>0.06</v>
      </c>
      <c r="R1380" s="125">
        <f t="shared" si="64"/>
        <v>227.05259999999998</v>
      </c>
      <c r="S1380" s="78">
        <f t="shared" si="65"/>
        <v>45658</v>
      </c>
      <c r="T1380" t="str">
        <f>IFERROR(VLOOKUP(B1380,Sites!$A$2:$D$21,4,FALSE()),"Unknown")</f>
        <v>Swansea</v>
      </c>
      <c r="U1380" t="str">
        <f>IF(N1380="OK","",COUNTIF($N$2:N1380,"&lt;&gt;OK"))</f>
        <v/>
      </c>
      <c r="V1380">
        <f>IF(OR(NOT(EXACT(E1380,TRIM(Procurement_Raw!E1380))),NOT(EXACT(F1380,TRIM(Procurement_Raw!F1380)))),1,0)</f>
        <v>0</v>
      </c>
    </row>
    <row r="1381" spans="1:22" ht="15" customHeight="1" x14ac:dyDescent="0.25">
      <c r="A1381" s="123">
        <f>Procurement_Raw!A1381</f>
        <v>45820</v>
      </c>
      <c r="B1381" t="str">
        <f>TRIM(Procurement_Raw!B1381)</f>
        <v>S002</v>
      </c>
      <c r="C1381" t="str">
        <f>Procurement_Raw!C1381</f>
        <v>Manchester Care &amp; Education Centre</v>
      </c>
      <c r="D1381" t="str">
        <f>Procurement_Raw!D1381</f>
        <v>North</v>
      </c>
      <c r="E1381" t="str">
        <f>IF(TRIM(Procurement_Raw!E1381)="","",IFERROR(INDEX(Supplier_Lookup!$A$2:$A$25,MATCH(TRIM(Procurement_Raw!E1381),Supplier_Lookup!$A$2:$A$25,0)),TRIM(Procurement_Raw!E1381)))</f>
        <v>ClinEquip</v>
      </c>
      <c r="F1381" t="str">
        <f>IFERROR(INDEX(Category_Targets!$A$2:$A$9,MATCH(TRIM(Procurement_Raw!F1381),Category_Targets!$A$2:$A$9,0)),"Unmapped")</f>
        <v>Medical Supplies</v>
      </c>
      <c r="G1381" t="str">
        <f>TRIM(Procurement_Raw!G1381)</f>
        <v>INV-2025-01380</v>
      </c>
      <c r="H1381" s="77">
        <f>Procurement_Raw!H1381</f>
        <v>49</v>
      </c>
      <c r="I1381" s="124">
        <f>Procurement_Raw!I1381</f>
        <v>327.60000000000002</v>
      </c>
      <c r="J1381" s="125">
        <f>IF(Procurement_Raw!J1381="","",Procurement_Raw!J1381)</f>
        <v>16052.46</v>
      </c>
      <c r="K1381" s="77">
        <f>Procurement_Raw!K1381</f>
        <v>45</v>
      </c>
      <c r="L1381" t="str">
        <f>Procurement_Raw!L1381</f>
        <v>ERP</v>
      </c>
      <c r="M1381" t="str">
        <f>Procurement_Raw!O1381</f>
        <v>N</v>
      </c>
      <c r="N1381" t="str">
        <f>IF(E1381="","Missing supplier",IF(B1381="","Missing site",IF(J1381="","Missing spend",IF(COUNTIFS($G$2:G1381,G1381,$E$2:E1381,E1381,$J$2:J1381,J1381)&gt;1,"Duplicate invoice",IF(COUNTIF($G$2:$G$1801,G1381)&gt;1,"Duplicate ID - review",IF(AND(P1381&lt;&gt;"Unmapped",P1381&lt;&gt;F1381),"Category mismatch","OK"))))))</f>
        <v>OK</v>
      </c>
      <c r="O1381" s="125">
        <f t="shared" si="63"/>
        <v>16052.46</v>
      </c>
      <c r="P1381" t="str">
        <f>IF(E1381="","Unmapped",IFERROR(INDEX(Supplier_Lookup!$B$2:$B$25,MATCH(E1381,Supplier_Lookup!$A$2:$A$25,0)),"Unmapped"))</f>
        <v>Medical Supplies</v>
      </c>
      <c r="Q1381" s="76">
        <f>IFERROR(INDEX(Category_Targets!$B$2:$B$9,MATCH(F1381,Category_Targets!$A$2:$A$9,0)),0)</f>
        <v>0.06</v>
      </c>
      <c r="R1381" s="125">
        <f t="shared" si="64"/>
        <v>963.1475999999999</v>
      </c>
      <c r="S1381" s="78">
        <f t="shared" si="65"/>
        <v>45809</v>
      </c>
      <c r="T1381" t="str">
        <f>IFERROR(VLOOKUP(B1381,Sites!$A$2:$D$21,4,FALSE()),"Unknown")</f>
        <v>Manchester</v>
      </c>
      <c r="U1381" t="str">
        <f>IF(N1381="OK","",COUNTIF($N$2:N1381,"&lt;&gt;OK"))</f>
        <v/>
      </c>
      <c r="V1381">
        <f>IF(OR(NOT(EXACT(E1381,TRIM(Procurement_Raw!E1381))),NOT(EXACT(F1381,TRIM(Procurement_Raw!F1381)))),1,0)</f>
        <v>0</v>
      </c>
    </row>
    <row r="1382" spans="1:22" ht="15" customHeight="1" x14ac:dyDescent="0.25">
      <c r="A1382" s="123">
        <f>Procurement_Raw!A1382</f>
        <v>45744</v>
      </c>
      <c r="B1382" t="str">
        <f>TRIM(Procurement_Raw!B1382)</f>
        <v>S006</v>
      </c>
      <c r="C1382" t="str">
        <f>Procurement_Raw!C1382</f>
        <v>Birmingham Care &amp; Education Centre</v>
      </c>
      <c r="D1382" t="str">
        <f>Procurement_Raw!D1382</f>
        <v>Midlands</v>
      </c>
      <c r="E1382" t="str">
        <f>IF(TRIM(Procurement_Raw!E1382)="","",IFERROR(INDEX(Supplier_Lookup!$A$2:$A$25,MATCH(TRIM(Procurement_Raw!E1382),Supplier_Lookup!$A$2:$A$25,0)),TRIM(Procurement_Raw!E1382)))</f>
        <v>KitchenPro</v>
      </c>
      <c r="F1382" t="str">
        <f>IFERROR(INDEX(Category_Targets!$A$2:$A$9,MATCH(TRIM(Procurement_Raw!F1382),Category_Targets!$A$2:$A$9,0)),"Unmapped")</f>
        <v>Food &amp; Catering</v>
      </c>
      <c r="G1382" t="str">
        <f>TRIM(Procurement_Raw!G1382)</f>
        <v>INV-2025-01381</v>
      </c>
      <c r="H1382" s="77">
        <f>Procurement_Raw!H1382</f>
        <v>37</v>
      </c>
      <c r="I1382" s="124">
        <f>Procurement_Raw!I1382</f>
        <v>94.37</v>
      </c>
      <c r="J1382" s="125">
        <f>IF(Procurement_Raw!J1382="","",Procurement_Raw!J1382)</f>
        <v>3491.77</v>
      </c>
      <c r="K1382" s="77">
        <f>Procurement_Raw!K1382</f>
        <v>30</v>
      </c>
      <c r="L1382" t="str">
        <f>Procurement_Raw!L1382</f>
        <v>ERP</v>
      </c>
      <c r="M1382" t="str">
        <f>Procurement_Raw!O1382</f>
        <v>N</v>
      </c>
      <c r="N1382" t="str">
        <f>IF(E1382="","Missing supplier",IF(B1382="","Missing site",IF(J1382="","Missing spend",IF(COUNTIFS($G$2:G1382,G1382,$E$2:E1382,E1382,$J$2:J1382,J1382)&gt;1,"Duplicate invoice",IF(COUNTIF($G$2:$G$1801,G1382)&gt;1,"Duplicate ID - review",IF(AND(P1382&lt;&gt;"Unmapped",P1382&lt;&gt;F1382),"Category mismatch","OK"))))))</f>
        <v>OK</v>
      </c>
      <c r="O1382" s="125">
        <f t="shared" si="63"/>
        <v>3491.77</v>
      </c>
      <c r="P1382" t="str">
        <f>IF(E1382="","Unmapped",IFERROR(INDEX(Supplier_Lookup!$B$2:$B$25,MATCH(E1382,Supplier_Lookup!$A$2:$A$25,0)),"Unmapped"))</f>
        <v>Food &amp; Catering</v>
      </c>
      <c r="Q1382" s="76">
        <f>IFERROR(INDEX(Category_Targets!$B$2:$B$9,MATCH(F1382,Category_Targets!$A$2:$A$9,0)),0)</f>
        <v>0.04</v>
      </c>
      <c r="R1382" s="125">
        <f t="shared" si="64"/>
        <v>139.67080000000001</v>
      </c>
      <c r="S1382" s="78">
        <f t="shared" si="65"/>
        <v>45717</v>
      </c>
      <c r="T1382" t="str">
        <f>IFERROR(VLOOKUP(B1382,Sites!$A$2:$D$21,4,FALSE()),"Unknown")</f>
        <v>Birmingham</v>
      </c>
      <c r="U1382" t="str">
        <f>IF(N1382="OK","",COUNTIF($N$2:N1382,"&lt;&gt;OK"))</f>
        <v/>
      </c>
      <c r="V1382">
        <f>IF(OR(NOT(EXACT(E1382,TRIM(Procurement_Raw!E1382))),NOT(EXACT(F1382,TRIM(Procurement_Raw!F1382)))),1,0)</f>
        <v>0</v>
      </c>
    </row>
    <row r="1383" spans="1:22" ht="15" customHeight="1" x14ac:dyDescent="0.25">
      <c r="A1383" s="123">
        <f>Procurement_Raw!A1383</f>
        <v>45815</v>
      </c>
      <c r="B1383" t="str">
        <f>TRIM(Procurement_Raw!B1383)</f>
        <v>S004</v>
      </c>
      <c r="C1383" t="str">
        <f>Procurement_Raw!C1383</f>
        <v>Newcastle Care &amp; Education Centre</v>
      </c>
      <c r="D1383" t="str">
        <f>Procurement_Raw!D1383</f>
        <v>North</v>
      </c>
      <c r="E1383" t="str">
        <f>IF(TRIM(Procurement_Raw!E1383)="","",IFERROR(INDEX(Supplier_Lookup!$A$2:$A$25,MATCH(TRIM(Procurement_Raw!E1383),Supplier_Lookup!$A$2:$A$25,0)),TRIM(Procurement_Raw!E1383)))</f>
        <v>FreshServe</v>
      </c>
      <c r="F1383" t="str">
        <f>IFERROR(INDEX(Category_Targets!$A$2:$A$9,MATCH(TRIM(Procurement_Raw!F1383),Category_Targets!$A$2:$A$9,0)),"Unmapped")</f>
        <v>Food &amp; Catering</v>
      </c>
      <c r="G1383" t="str">
        <f>TRIM(Procurement_Raw!G1383)</f>
        <v>INV-2025-01382</v>
      </c>
      <c r="H1383" s="77">
        <f>Procurement_Raw!H1383</f>
        <v>53</v>
      </c>
      <c r="I1383" s="124">
        <f>Procurement_Raw!I1383</f>
        <v>49.7</v>
      </c>
      <c r="J1383" s="125">
        <f>IF(Procurement_Raw!J1383="","",Procurement_Raw!J1383)</f>
        <v>2634.18</v>
      </c>
      <c r="K1383" s="77">
        <f>Procurement_Raw!K1383</f>
        <v>60</v>
      </c>
      <c r="L1383" t="str">
        <f>Procurement_Raw!L1383</f>
        <v>ERP</v>
      </c>
      <c r="M1383" t="str">
        <f>Procurement_Raw!O1383</f>
        <v>Y</v>
      </c>
      <c r="N1383" t="str">
        <f>IF(E1383="","Missing supplier",IF(B1383="","Missing site",IF(J1383="","Missing spend",IF(COUNTIFS($G$2:G1383,G1383,$E$2:E1383,E1383,$J$2:J1383,J1383)&gt;1,"Duplicate invoice",IF(COUNTIF($G$2:$G$1801,G1383)&gt;1,"Duplicate ID - review",IF(AND(P1383&lt;&gt;"Unmapped",P1383&lt;&gt;F1383),"Category mismatch","OK"))))))</f>
        <v>OK</v>
      </c>
      <c r="O1383" s="125">
        <f t="shared" si="63"/>
        <v>2634.18</v>
      </c>
      <c r="P1383" t="str">
        <f>IF(E1383="","Unmapped",IFERROR(INDEX(Supplier_Lookup!$B$2:$B$25,MATCH(E1383,Supplier_Lookup!$A$2:$A$25,0)),"Unmapped"))</f>
        <v>Food &amp; Catering</v>
      </c>
      <c r="Q1383" s="76">
        <f>IFERROR(INDEX(Category_Targets!$B$2:$B$9,MATCH(F1383,Category_Targets!$A$2:$A$9,0)),0)</f>
        <v>0.04</v>
      </c>
      <c r="R1383" s="125">
        <f t="shared" si="64"/>
        <v>105.3672</v>
      </c>
      <c r="S1383" s="78">
        <f t="shared" si="65"/>
        <v>45809</v>
      </c>
      <c r="T1383" t="str">
        <f>IFERROR(VLOOKUP(B1383,Sites!$A$2:$D$21,4,FALSE()),"Unknown")</f>
        <v>Newcastle</v>
      </c>
      <c r="U1383" t="str">
        <f>IF(N1383="OK","",COUNTIF($N$2:N1383,"&lt;&gt;OK"))</f>
        <v/>
      </c>
      <c r="V1383">
        <f>IF(OR(NOT(EXACT(E1383,TRIM(Procurement_Raw!E1383))),NOT(EXACT(F1383,TRIM(Procurement_Raw!F1383)))),1,0)</f>
        <v>0</v>
      </c>
    </row>
    <row r="1384" spans="1:22" ht="15" customHeight="1" x14ac:dyDescent="0.25">
      <c r="A1384" s="123">
        <f>Procurement_Raw!A1384</f>
        <v>45671</v>
      </c>
      <c r="B1384" t="str">
        <f>TRIM(Procurement_Raw!B1384)</f>
        <v>S006</v>
      </c>
      <c r="C1384" t="str">
        <f>Procurement_Raw!C1384</f>
        <v>Birmingham Care &amp; Education Centre</v>
      </c>
      <c r="D1384" t="str">
        <f>Procurement_Raw!D1384</f>
        <v>Midlands</v>
      </c>
      <c r="E1384" t="str">
        <f>IF(TRIM(Procurement_Raw!E1384)="","",IFERROR(INDEX(Supplier_Lookup!$A$2:$A$25,MATCH(TRIM(Procurement_Raw!E1384),Supplier_Lookup!$A$2:$A$25,0)),TRIM(Procurement_Raw!E1384)))</f>
        <v>FleetFuel</v>
      </c>
      <c r="F1384" t="str">
        <f>IFERROR(INDEX(Category_Targets!$A$2:$A$9,MATCH(TRIM(Procurement_Raw!F1384),Category_Targets!$A$2:$A$9,0)),"Unmapped")</f>
        <v>Vehicle &amp; Fuel</v>
      </c>
      <c r="G1384" t="str">
        <f>TRIM(Procurement_Raw!G1384)</f>
        <v>INV-2025-01383</v>
      </c>
      <c r="H1384" s="77">
        <f>Procurement_Raw!H1384</f>
        <v>8</v>
      </c>
      <c r="I1384" s="124">
        <f>Procurement_Raw!I1384</f>
        <v>311.19</v>
      </c>
      <c r="J1384" s="125">
        <f>IF(Procurement_Raw!J1384="","",Procurement_Raw!J1384)</f>
        <v>2489.5</v>
      </c>
      <c r="K1384" s="77">
        <f>Procurement_Raw!K1384</f>
        <v>45</v>
      </c>
      <c r="L1384" t="str">
        <f>Procurement_Raw!L1384</f>
        <v>Procurement Portal</v>
      </c>
      <c r="M1384" t="str">
        <f>Procurement_Raw!O1384</f>
        <v>Y</v>
      </c>
      <c r="N1384" t="str">
        <f>IF(E1384="","Missing supplier",IF(B1384="","Missing site",IF(J1384="","Missing spend",IF(COUNTIFS($G$2:G1384,G1384,$E$2:E1384,E1384,$J$2:J1384,J1384)&gt;1,"Duplicate invoice",IF(COUNTIF($G$2:$G$1801,G1384)&gt;1,"Duplicate ID - review",IF(AND(P1384&lt;&gt;"Unmapped",P1384&lt;&gt;F1384),"Category mismatch","OK"))))))</f>
        <v>OK</v>
      </c>
      <c r="O1384" s="125">
        <f t="shared" si="63"/>
        <v>2489.5</v>
      </c>
      <c r="P1384" t="str">
        <f>IF(E1384="","Unmapped",IFERROR(INDEX(Supplier_Lookup!$B$2:$B$25,MATCH(E1384,Supplier_Lookup!$A$2:$A$25,0)),"Unmapped"))</f>
        <v>Vehicle &amp; Fuel</v>
      </c>
      <c r="Q1384" s="76">
        <f>IFERROR(INDEX(Category_Targets!$B$2:$B$9,MATCH(F1384,Category_Targets!$A$2:$A$9,0)),0)</f>
        <v>0.05</v>
      </c>
      <c r="R1384" s="125">
        <f t="shared" si="64"/>
        <v>124.47500000000001</v>
      </c>
      <c r="S1384" s="78">
        <f t="shared" si="65"/>
        <v>45658</v>
      </c>
      <c r="T1384" t="str">
        <f>IFERROR(VLOOKUP(B1384,Sites!$A$2:$D$21,4,FALSE()),"Unknown")</f>
        <v>Birmingham</v>
      </c>
      <c r="U1384" t="str">
        <f>IF(N1384="OK","",COUNTIF($N$2:N1384,"&lt;&gt;OK"))</f>
        <v/>
      </c>
      <c r="V1384">
        <f>IF(OR(NOT(EXACT(E1384,TRIM(Procurement_Raw!E1384))),NOT(EXACT(F1384,TRIM(Procurement_Raw!F1384)))),1,0)</f>
        <v>0</v>
      </c>
    </row>
    <row r="1385" spans="1:22" ht="15" customHeight="1" x14ac:dyDescent="0.25">
      <c r="A1385" s="123">
        <f>Procurement_Raw!A1385</f>
        <v>45869</v>
      </c>
      <c r="B1385" t="str">
        <f>TRIM(Procurement_Raw!B1385)</f>
        <v>S008</v>
      </c>
      <c r="C1385" t="str">
        <f>Procurement_Raw!C1385</f>
        <v>Leicester Care &amp; Education Centre</v>
      </c>
      <c r="D1385" t="str">
        <f>Procurement_Raw!D1385</f>
        <v>Midlands</v>
      </c>
      <c r="E1385" t="str">
        <f>IF(TRIM(Procurement_Raw!E1385)="","",IFERROR(INDEX(Supplier_Lookup!$A$2:$A$25,MATCH(TRIM(Procurement_Raw!E1385),Supplier_Lookup!$A$2:$A$25,0)),TRIM(Procurement_Raw!E1385)))</f>
        <v>FleetFuel</v>
      </c>
      <c r="F1385" t="str">
        <f>IFERROR(INDEX(Category_Targets!$A$2:$A$9,MATCH(TRIM(Procurement_Raw!F1385),Category_Targets!$A$2:$A$9,0)),"Unmapped")</f>
        <v>Vehicle &amp; Fuel</v>
      </c>
      <c r="G1385" t="str">
        <f>TRIM(Procurement_Raw!G1385)</f>
        <v>INV-2025-01384</v>
      </c>
      <c r="H1385" s="77">
        <f>Procurement_Raw!H1385</f>
        <v>42</v>
      </c>
      <c r="I1385" s="124">
        <f>Procurement_Raw!I1385</f>
        <v>68.08</v>
      </c>
      <c r="J1385" s="125">
        <f>IF(Procurement_Raw!J1385="","",Procurement_Raw!J1385)</f>
        <v>2859.5</v>
      </c>
      <c r="K1385" s="77">
        <f>Procurement_Raw!K1385</f>
        <v>45</v>
      </c>
      <c r="L1385" t="str">
        <f>Procurement_Raw!L1385</f>
        <v>Procurement Portal</v>
      </c>
      <c r="M1385" t="str">
        <f>Procurement_Raw!O1385</f>
        <v>Y</v>
      </c>
      <c r="N1385" t="str">
        <f>IF(E1385="","Missing supplier",IF(B1385="","Missing site",IF(J1385="","Missing spend",IF(COUNTIFS($G$2:G1385,G1385,$E$2:E1385,E1385,$J$2:J1385,J1385)&gt;1,"Duplicate invoice",IF(COUNTIF($G$2:$G$1801,G1385)&gt;1,"Duplicate ID - review",IF(AND(P1385&lt;&gt;"Unmapped",P1385&lt;&gt;F1385),"Category mismatch","OK"))))))</f>
        <v>OK</v>
      </c>
      <c r="O1385" s="125">
        <f t="shared" si="63"/>
        <v>2859.5</v>
      </c>
      <c r="P1385" t="str">
        <f>IF(E1385="","Unmapped",IFERROR(INDEX(Supplier_Lookup!$B$2:$B$25,MATCH(E1385,Supplier_Lookup!$A$2:$A$25,0)),"Unmapped"))</f>
        <v>Vehicle &amp; Fuel</v>
      </c>
      <c r="Q1385" s="76">
        <f>IFERROR(INDEX(Category_Targets!$B$2:$B$9,MATCH(F1385,Category_Targets!$A$2:$A$9,0)),0)</f>
        <v>0.05</v>
      </c>
      <c r="R1385" s="125">
        <f t="shared" si="64"/>
        <v>142.97499999999999</v>
      </c>
      <c r="S1385" s="78">
        <f t="shared" si="65"/>
        <v>45839</v>
      </c>
      <c r="T1385" t="str">
        <f>IFERROR(VLOOKUP(B1385,Sites!$A$2:$D$21,4,FALSE()),"Unknown")</f>
        <v>Leicester</v>
      </c>
      <c r="U1385" t="str">
        <f>IF(N1385="OK","",COUNTIF($N$2:N1385,"&lt;&gt;OK"))</f>
        <v/>
      </c>
      <c r="V1385">
        <f>IF(OR(NOT(EXACT(E1385,TRIM(Procurement_Raw!E1385))),NOT(EXACT(F1385,TRIM(Procurement_Raw!F1385)))),1,0)</f>
        <v>0</v>
      </c>
    </row>
    <row r="1386" spans="1:22" ht="15" customHeight="1" x14ac:dyDescent="0.25">
      <c r="A1386" s="123">
        <f>Procurement_Raw!A1386</f>
        <v>45780</v>
      </c>
      <c r="B1386" t="str">
        <f>TRIM(Procurement_Raw!B1386)</f>
        <v>S001</v>
      </c>
      <c r="C1386" t="str">
        <f>Procurement_Raw!C1386</f>
        <v>Preston Care &amp; Education Centre</v>
      </c>
      <c r="D1386" t="str">
        <f>Procurement_Raw!D1386</f>
        <v>North</v>
      </c>
      <c r="E1386" t="str">
        <f>IF(TRIM(Procurement_Raw!E1386)="","",IFERROR(INDEX(Supplier_Lookup!$A$2:$A$25,MATCH(TRIM(Procurement_Raw!E1386),Supplier_Lookup!$A$2:$A$25,0)),TRIM(Procurement_Raw!E1386)))</f>
        <v>MediSure</v>
      </c>
      <c r="F1386" t="str">
        <f>IFERROR(INDEX(Category_Targets!$A$2:$A$9,MATCH(TRIM(Procurement_Raw!F1386),Category_Targets!$A$2:$A$9,0)),"Unmapped")</f>
        <v>Medical Supplies</v>
      </c>
      <c r="G1386" t="str">
        <f>TRIM(Procurement_Raw!G1386)</f>
        <v>INV-2025-01385</v>
      </c>
      <c r="H1386" s="77">
        <f>Procurement_Raw!H1386</f>
        <v>77</v>
      </c>
      <c r="I1386" s="124">
        <f>Procurement_Raw!I1386</f>
        <v>180.48</v>
      </c>
      <c r="J1386" s="125">
        <f>IF(Procurement_Raw!J1386="","",Procurement_Raw!J1386)</f>
        <v>13897.3</v>
      </c>
      <c r="K1386" s="77">
        <f>Procurement_Raw!K1386</f>
        <v>60</v>
      </c>
      <c r="L1386" t="str">
        <f>Procurement_Raw!L1386</f>
        <v>ERP</v>
      </c>
      <c r="M1386" t="str">
        <f>Procurement_Raw!O1386</f>
        <v>Y</v>
      </c>
      <c r="N1386" t="str">
        <f>IF(E1386="","Missing supplier",IF(B1386="","Missing site",IF(J1386="","Missing spend",IF(COUNTIFS($G$2:G1386,G1386,$E$2:E1386,E1386,$J$2:J1386,J1386)&gt;1,"Duplicate invoice",IF(COUNTIF($G$2:$G$1801,G1386)&gt;1,"Duplicate ID - review",IF(AND(P1386&lt;&gt;"Unmapped",P1386&lt;&gt;F1386),"Category mismatch","OK"))))))</f>
        <v>OK</v>
      </c>
      <c r="O1386" s="125">
        <f t="shared" si="63"/>
        <v>13897.3</v>
      </c>
      <c r="P1386" t="str">
        <f>IF(E1386="","Unmapped",IFERROR(INDEX(Supplier_Lookup!$B$2:$B$25,MATCH(E1386,Supplier_Lookup!$A$2:$A$25,0)),"Unmapped"))</f>
        <v>Medical Supplies</v>
      </c>
      <c r="Q1386" s="76">
        <f>IFERROR(INDEX(Category_Targets!$B$2:$B$9,MATCH(F1386,Category_Targets!$A$2:$A$9,0)),0)</f>
        <v>0.06</v>
      </c>
      <c r="R1386" s="125">
        <f t="shared" si="64"/>
        <v>833.83799999999997</v>
      </c>
      <c r="S1386" s="78">
        <f t="shared" si="65"/>
        <v>45778</v>
      </c>
      <c r="T1386" t="str">
        <f>IFERROR(VLOOKUP(B1386,Sites!$A$2:$D$21,4,FALSE()),"Unknown")</f>
        <v>Preston</v>
      </c>
      <c r="U1386" t="str">
        <f>IF(N1386="OK","",COUNTIF($N$2:N1386,"&lt;&gt;OK"))</f>
        <v/>
      </c>
      <c r="V1386">
        <f>IF(OR(NOT(EXACT(E1386,TRIM(Procurement_Raw!E1386))),NOT(EXACT(F1386,TRIM(Procurement_Raw!F1386)))),1,0)</f>
        <v>0</v>
      </c>
    </row>
    <row r="1387" spans="1:22" ht="15" customHeight="1" x14ac:dyDescent="0.25">
      <c r="A1387" s="123">
        <f>Procurement_Raw!A1387</f>
        <v>45795</v>
      </c>
      <c r="B1387" t="str">
        <f>TRIM(Procurement_Raw!B1387)</f>
        <v>S002</v>
      </c>
      <c r="C1387" t="str">
        <f>Procurement_Raw!C1387</f>
        <v>Manchester Care &amp; Education Centre</v>
      </c>
      <c r="D1387" t="str">
        <f>Procurement_Raw!D1387</f>
        <v>North</v>
      </c>
      <c r="E1387" t="str">
        <f>IF(TRIM(Procurement_Raw!E1387)="","",IFERROR(INDEX(Supplier_Lookup!$A$2:$A$25,MATCH(TRIM(Procurement_Raw!E1387),Supplier_Lookup!$A$2:$A$25,0)),TRIM(Procurement_Raw!E1387)))</f>
        <v>HealthStaffing</v>
      </c>
      <c r="F1387" t="str">
        <f>IFERROR(INDEX(Category_Targets!$A$2:$A$9,MATCH(TRIM(Procurement_Raw!F1387),Category_Targets!$A$2:$A$9,0)),"Unmapped")</f>
        <v>Agency Labour</v>
      </c>
      <c r="G1387" t="str">
        <f>TRIM(Procurement_Raw!G1387)</f>
        <v>INV-2025-01386</v>
      </c>
      <c r="H1387" s="77">
        <f>Procurement_Raw!H1387</f>
        <v>8</v>
      </c>
      <c r="I1387" s="124">
        <f>Procurement_Raw!I1387</f>
        <v>353.68</v>
      </c>
      <c r="J1387" s="125">
        <f>IF(Procurement_Raw!J1387="","",Procurement_Raw!J1387)</f>
        <v>2829.44</v>
      </c>
      <c r="K1387" s="77">
        <f>Procurement_Raw!K1387</f>
        <v>45</v>
      </c>
      <c r="L1387" t="str">
        <f>Procurement_Raw!L1387</f>
        <v>Procurement Portal</v>
      </c>
      <c r="M1387" t="str">
        <f>Procurement_Raw!O1387</f>
        <v>N</v>
      </c>
      <c r="N1387" t="str">
        <f>IF(E1387="","Missing supplier",IF(B1387="","Missing site",IF(J1387="","Missing spend",IF(COUNTIFS($G$2:G1387,G1387,$E$2:E1387,E1387,$J$2:J1387,J1387)&gt;1,"Duplicate invoice",IF(COUNTIF($G$2:$G$1801,G1387)&gt;1,"Duplicate ID - review",IF(AND(P1387&lt;&gt;"Unmapped",P1387&lt;&gt;F1387),"Category mismatch","OK"))))))</f>
        <v>OK</v>
      </c>
      <c r="O1387" s="125">
        <f t="shared" si="63"/>
        <v>2829.44</v>
      </c>
      <c r="P1387" t="str">
        <f>IF(E1387="","Unmapped",IFERROR(INDEX(Supplier_Lookup!$B$2:$B$25,MATCH(E1387,Supplier_Lookup!$A$2:$A$25,0)),"Unmapped"))</f>
        <v>Agency Labour</v>
      </c>
      <c r="Q1387" s="76">
        <f>IFERROR(INDEX(Category_Targets!$B$2:$B$9,MATCH(F1387,Category_Targets!$A$2:$A$9,0)),0)</f>
        <v>7.0000000000000007E-2</v>
      </c>
      <c r="R1387" s="125">
        <f t="shared" si="64"/>
        <v>198.06080000000003</v>
      </c>
      <c r="S1387" s="78">
        <f t="shared" si="65"/>
        <v>45778</v>
      </c>
      <c r="T1387" t="str">
        <f>IFERROR(VLOOKUP(B1387,Sites!$A$2:$D$21,4,FALSE()),"Unknown")</f>
        <v>Manchester</v>
      </c>
      <c r="U1387" t="str">
        <f>IF(N1387="OK","",COUNTIF($N$2:N1387,"&lt;&gt;OK"))</f>
        <v/>
      </c>
      <c r="V1387">
        <f>IF(OR(NOT(EXACT(E1387,TRIM(Procurement_Raw!E1387))),NOT(EXACT(F1387,TRIM(Procurement_Raw!F1387)))),1,0)</f>
        <v>0</v>
      </c>
    </row>
    <row r="1388" spans="1:22" ht="15" customHeight="1" x14ac:dyDescent="0.25">
      <c r="A1388" s="123">
        <f>Procurement_Raw!A1388</f>
        <v>45905</v>
      </c>
      <c r="B1388" t="str">
        <f>TRIM(Procurement_Raw!B1388)</f>
        <v>S009</v>
      </c>
      <c r="C1388" t="str">
        <f>Procurement_Raw!C1388</f>
        <v>Derby Care &amp; Education Centre</v>
      </c>
      <c r="D1388" t="str">
        <f>Procurement_Raw!D1388</f>
        <v>Midlands</v>
      </c>
      <c r="E1388" t="str">
        <f>IF(TRIM(Procurement_Raw!E1388)="","",IFERROR(INDEX(Supplier_Lookup!$A$2:$A$25,MATCH(TRIM(Procurement_Raw!E1388),Supplier_Lookup!$A$2:$A$25,0)),TRIM(Procurement_Raw!E1388)))</f>
        <v>HealthStaffing</v>
      </c>
      <c r="F1388" t="str">
        <f>IFERROR(INDEX(Category_Targets!$A$2:$A$9,MATCH(TRIM(Procurement_Raw!F1388),Category_Targets!$A$2:$A$9,0)),"Unmapped")</f>
        <v>Agency Labour</v>
      </c>
      <c r="G1388" t="str">
        <f>TRIM(Procurement_Raw!G1388)</f>
        <v>INV-2025-01387</v>
      </c>
      <c r="H1388" s="77">
        <f>Procurement_Raw!H1388</f>
        <v>4</v>
      </c>
      <c r="I1388" s="124">
        <f>Procurement_Raw!I1388</f>
        <v>613.84</v>
      </c>
      <c r="J1388" s="125">
        <f>IF(Procurement_Raw!J1388="","",Procurement_Raw!J1388)</f>
        <v>2455.37</v>
      </c>
      <c r="K1388" s="77">
        <f>Procurement_Raw!K1388</f>
        <v>45</v>
      </c>
      <c r="L1388" t="str">
        <f>Procurement_Raw!L1388</f>
        <v>Legacy Spend File</v>
      </c>
      <c r="M1388" t="str">
        <f>Procurement_Raw!O1388</f>
        <v>N</v>
      </c>
      <c r="N1388" t="str">
        <f>IF(E1388="","Missing supplier",IF(B1388="","Missing site",IF(J1388="","Missing spend",IF(COUNTIFS($G$2:G1388,G1388,$E$2:E1388,E1388,$J$2:J1388,J1388)&gt;1,"Duplicate invoice",IF(COUNTIF($G$2:$G$1801,G1388)&gt;1,"Duplicate ID - review",IF(AND(P1388&lt;&gt;"Unmapped",P1388&lt;&gt;F1388),"Category mismatch","OK"))))))</f>
        <v>OK</v>
      </c>
      <c r="O1388" s="125">
        <f t="shared" si="63"/>
        <v>2455.37</v>
      </c>
      <c r="P1388" t="str">
        <f>IF(E1388="","Unmapped",IFERROR(INDEX(Supplier_Lookup!$B$2:$B$25,MATCH(E1388,Supplier_Lookup!$A$2:$A$25,0)),"Unmapped"))</f>
        <v>Agency Labour</v>
      </c>
      <c r="Q1388" s="76">
        <f>IFERROR(INDEX(Category_Targets!$B$2:$B$9,MATCH(F1388,Category_Targets!$A$2:$A$9,0)),0)</f>
        <v>7.0000000000000007E-2</v>
      </c>
      <c r="R1388" s="125">
        <f t="shared" si="64"/>
        <v>171.8759</v>
      </c>
      <c r="S1388" s="78">
        <f t="shared" si="65"/>
        <v>45901</v>
      </c>
      <c r="T1388" t="str">
        <f>IFERROR(VLOOKUP(B1388,Sites!$A$2:$D$21,4,FALSE()),"Unknown")</f>
        <v>Derby</v>
      </c>
      <c r="U1388" t="str">
        <f>IF(N1388="OK","",COUNTIF($N$2:N1388,"&lt;&gt;OK"))</f>
        <v/>
      </c>
      <c r="V1388">
        <f>IF(OR(NOT(EXACT(E1388,TRIM(Procurement_Raw!E1388))),NOT(EXACT(F1388,TRIM(Procurement_Raw!F1388)))),1,0)</f>
        <v>0</v>
      </c>
    </row>
    <row r="1389" spans="1:22" ht="15" customHeight="1" x14ac:dyDescent="0.25">
      <c r="A1389" s="123">
        <f>Procurement_Raw!A1389</f>
        <v>45941</v>
      </c>
      <c r="B1389" t="str">
        <f>TRIM(Procurement_Raw!B1389)</f>
        <v>S003</v>
      </c>
      <c r="C1389" t="str">
        <f>Procurement_Raw!C1389</f>
        <v>Leeds Care &amp; Education Centre</v>
      </c>
      <c r="D1389" t="str">
        <f>Procurement_Raw!D1389</f>
        <v>North</v>
      </c>
      <c r="E1389" t="str">
        <f>IF(TRIM(Procurement_Raw!E1389)="","",IFERROR(INDEX(Supplier_Lookup!$A$2:$A$25,MATCH(TRIM(Procurement_Raw!E1389),Supplier_Lookup!$A$2:$A$25,0)),TRIM(Procurement_Raw!E1389)))</f>
        <v>CareMed</v>
      </c>
      <c r="F1389" t="str">
        <f>IFERROR(INDEX(Category_Targets!$A$2:$A$9,MATCH(TRIM(Procurement_Raw!F1389),Category_Targets!$A$2:$A$9,0)),"Unmapped")</f>
        <v>Medical Supplies</v>
      </c>
      <c r="G1389" t="str">
        <f>TRIM(Procurement_Raw!G1389)</f>
        <v>INV-2025-01388</v>
      </c>
      <c r="H1389" s="77">
        <f>Procurement_Raw!H1389</f>
        <v>76</v>
      </c>
      <c r="I1389" s="124">
        <f>Procurement_Raw!I1389</f>
        <v>283.25</v>
      </c>
      <c r="J1389" s="125">
        <f>IF(Procurement_Raw!J1389="","",Procurement_Raw!J1389)</f>
        <v>21526.85</v>
      </c>
      <c r="K1389" s="77">
        <f>Procurement_Raw!K1389</f>
        <v>60</v>
      </c>
      <c r="L1389" t="str">
        <f>Procurement_Raw!L1389</f>
        <v>ERP</v>
      </c>
      <c r="M1389" t="str">
        <f>Procurement_Raw!O1389</f>
        <v>N</v>
      </c>
      <c r="N1389" t="str">
        <f>IF(E1389="","Missing supplier",IF(B1389="","Missing site",IF(J1389="","Missing spend",IF(COUNTIFS($G$2:G1389,G1389,$E$2:E1389,E1389,$J$2:J1389,J1389)&gt;1,"Duplicate invoice",IF(COUNTIF($G$2:$G$1801,G1389)&gt;1,"Duplicate ID - review",IF(AND(P1389&lt;&gt;"Unmapped",P1389&lt;&gt;F1389),"Category mismatch","OK"))))))</f>
        <v>OK</v>
      </c>
      <c r="O1389" s="125">
        <f t="shared" si="63"/>
        <v>21526.85</v>
      </c>
      <c r="P1389" t="str">
        <f>IF(E1389="","Unmapped",IFERROR(INDEX(Supplier_Lookup!$B$2:$B$25,MATCH(E1389,Supplier_Lookup!$A$2:$A$25,0)),"Unmapped"))</f>
        <v>Medical Supplies</v>
      </c>
      <c r="Q1389" s="76">
        <f>IFERROR(INDEX(Category_Targets!$B$2:$B$9,MATCH(F1389,Category_Targets!$A$2:$A$9,0)),0)</f>
        <v>0.06</v>
      </c>
      <c r="R1389" s="125">
        <f t="shared" si="64"/>
        <v>1291.6109999999999</v>
      </c>
      <c r="S1389" s="78">
        <f t="shared" si="65"/>
        <v>45931</v>
      </c>
      <c r="T1389" t="str">
        <f>IFERROR(VLOOKUP(B1389,Sites!$A$2:$D$21,4,FALSE()),"Unknown")</f>
        <v>Leeds</v>
      </c>
      <c r="U1389" t="str">
        <f>IF(N1389="OK","",COUNTIF($N$2:N1389,"&lt;&gt;OK"))</f>
        <v/>
      </c>
      <c r="V1389">
        <f>IF(OR(NOT(EXACT(E1389,TRIM(Procurement_Raw!E1389))),NOT(EXACT(F1389,TRIM(Procurement_Raw!F1389)))),1,0)</f>
        <v>0</v>
      </c>
    </row>
    <row r="1390" spans="1:22" ht="15" customHeight="1" x14ac:dyDescent="0.25">
      <c r="A1390" s="123">
        <f>Procurement_Raw!A1390</f>
        <v>45948</v>
      </c>
      <c r="B1390" t="str">
        <f>TRIM(Procurement_Raw!B1390)</f>
        <v>S017</v>
      </c>
      <c r="C1390" t="str">
        <f>Procurement_Raw!C1390</f>
        <v>Swansea Care &amp; Education Centre</v>
      </c>
      <c r="D1390" t="str">
        <f>Procurement_Raw!D1390</f>
        <v>Wales</v>
      </c>
      <c r="E1390" t="str">
        <f>IF(TRIM(Procurement_Raw!E1390)="","",IFERROR(INDEX(Supplier_Lookup!$A$2:$A$25,MATCH(TRIM(Procurement_Raw!E1390),Supplier_Lookup!$A$2:$A$25,0)),TRIM(Procurement_Raw!E1390)))</f>
        <v>SafeGuard FM</v>
      </c>
      <c r="F1390" t="str">
        <f>IFERROR(INDEX(Category_Targets!$A$2:$A$9,MATCH(TRIM(Procurement_Raw!F1390),Category_Targets!$A$2:$A$9,0)),"Unmapped")</f>
        <v>Facilities</v>
      </c>
      <c r="G1390" t="str">
        <f>TRIM(Procurement_Raw!G1390)</f>
        <v>INV-2025-01389</v>
      </c>
      <c r="H1390" s="77">
        <f>Procurement_Raw!H1390</f>
        <v>53</v>
      </c>
      <c r="I1390" s="124">
        <f>Procurement_Raw!I1390</f>
        <v>183.2</v>
      </c>
      <c r="J1390" s="125">
        <f>IF(Procurement_Raw!J1390="","",Procurement_Raw!J1390)</f>
        <v>9709.41</v>
      </c>
      <c r="K1390" s="77">
        <f>Procurement_Raw!K1390</f>
        <v>45</v>
      </c>
      <c r="L1390" t="str">
        <f>Procurement_Raw!L1390</f>
        <v>ERP</v>
      </c>
      <c r="M1390" t="str">
        <f>Procurement_Raw!O1390</f>
        <v>N</v>
      </c>
      <c r="N1390" t="str">
        <f>IF(E1390="","Missing supplier",IF(B1390="","Missing site",IF(J1390="","Missing spend",IF(COUNTIFS($G$2:G1390,G1390,$E$2:E1390,E1390,$J$2:J1390,J1390)&gt;1,"Duplicate invoice",IF(COUNTIF($G$2:$G$1801,G1390)&gt;1,"Duplicate ID - review",IF(AND(P1390&lt;&gt;"Unmapped",P1390&lt;&gt;F1390),"Category mismatch","OK"))))))</f>
        <v>OK</v>
      </c>
      <c r="O1390" s="125">
        <f t="shared" si="63"/>
        <v>9709.41</v>
      </c>
      <c r="P1390" t="str">
        <f>IF(E1390="","Unmapped",IFERROR(INDEX(Supplier_Lookup!$B$2:$B$25,MATCH(E1390,Supplier_Lookup!$A$2:$A$25,0)),"Unmapped"))</f>
        <v>Facilities</v>
      </c>
      <c r="Q1390" s="76">
        <f>IFERROR(INDEX(Category_Targets!$B$2:$B$9,MATCH(F1390,Category_Targets!$A$2:$A$9,0)),0)</f>
        <v>0.05</v>
      </c>
      <c r="R1390" s="125">
        <f t="shared" si="64"/>
        <v>485.47050000000002</v>
      </c>
      <c r="S1390" s="78">
        <f t="shared" si="65"/>
        <v>45931</v>
      </c>
      <c r="T1390" t="str">
        <f>IFERROR(VLOOKUP(B1390,Sites!$A$2:$D$21,4,FALSE()),"Unknown")</f>
        <v>Swansea</v>
      </c>
      <c r="U1390" t="str">
        <f>IF(N1390="OK","",COUNTIF($N$2:N1390,"&lt;&gt;OK"))</f>
        <v/>
      </c>
      <c r="V1390">
        <f>IF(OR(NOT(EXACT(E1390,TRIM(Procurement_Raw!E1390))),NOT(EXACT(F1390,TRIM(Procurement_Raw!F1390)))),1,0)</f>
        <v>0</v>
      </c>
    </row>
    <row r="1391" spans="1:22" ht="15" customHeight="1" x14ac:dyDescent="0.25">
      <c r="A1391" s="123">
        <f>Procurement_Raw!A1391</f>
        <v>45849</v>
      </c>
      <c r="B1391" t="str">
        <f>TRIM(Procurement_Raw!B1391)</f>
        <v>S015</v>
      </c>
      <c r="C1391" t="str">
        <f>Procurement_Raw!C1391</f>
        <v>Brighton Care &amp; Education Centre</v>
      </c>
      <c r="D1391" t="str">
        <f>Procurement_Raw!D1391</f>
        <v>South</v>
      </c>
      <c r="E1391" t="str">
        <f>IF(TRIM(Procurement_Raw!E1391)="","",IFERROR(INDEX(Supplier_Lookup!$A$2:$A$25,MATCH(TRIM(Procurement_Raw!E1391),Supplier_Lookup!$A$2:$A$25,0)),TRIM(Procurement_Raw!E1391)))</f>
        <v>UK Energy Partners</v>
      </c>
      <c r="F1391" t="str">
        <f>IFERROR(INDEX(Category_Targets!$A$2:$A$9,MATCH(TRIM(Procurement_Raw!F1391),Category_Targets!$A$2:$A$9,0)),"Unmapped")</f>
        <v>Utilities</v>
      </c>
      <c r="G1391" t="str">
        <f>TRIM(Procurement_Raw!G1391)</f>
        <v>INV-2025-01390</v>
      </c>
      <c r="H1391" s="77">
        <f>Procurement_Raw!H1391</f>
        <v>70</v>
      </c>
      <c r="I1391" s="124">
        <f>Procurement_Raw!I1391</f>
        <v>165.19</v>
      </c>
      <c r="J1391" s="125">
        <f>IF(Procurement_Raw!J1391="","",Procurement_Raw!J1391)</f>
        <v>11563.12</v>
      </c>
      <c r="K1391" s="77">
        <f>Procurement_Raw!K1391</f>
        <v>30</v>
      </c>
      <c r="L1391" t="str">
        <f>Procurement_Raw!L1391</f>
        <v>ERP</v>
      </c>
      <c r="M1391" t="str">
        <f>Procurement_Raw!O1391</f>
        <v>N</v>
      </c>
      <c r="N1391" t="str">
        <f>IF(E1391="","Missing supplier",IF(B1391="","Missing site",IF(J1391="","Missing spend",IF(COUNTIFS($G$2:G1391,G1391,$E$2:E1391,E1391,$J$2:J1391,J1391)&gt;1,"Duplicate invoice",IF(COUNTIF($G$2:$G$1801,G1391)&gt;1,"Duplicate ID - review",IF(AND(P1391&lt;&gt;"Unmapped",P1391&lt;&gt;F1391),"Category mismatch","OK"))))))</f>
        <v>OK</v>
      </c>
      <c r="O1391" s="125">
        <f t="shared" si="63"/>
        <v>11563.12</v>
      </c>
      <c r="P1391" t="str">
        <f>IF(E1391="","Unmapped",IFERROR(INDEX(Supplier_Lookup!$B$2:$B$25,MATCH(E1391,Supplier_Lookup!$A$2:$A$25,0)),"Unmapped"))</f>
        <v>Utilities</v>
      </c>
      <c r="Q1391" s="76">
        <f>IFERROR(INDEX(Category_Targets!$B$2:$B$9,MATCH(F1391,Category_Targets!$A$2:$A$9,0)),0)</f>
        <v>0.03</v>
      </c>
      <c r="R1391" s="125">
        <f t="shared" si="64"/>
        <v>346.89359999999999</v>
      </c>
      <c r="S1391" s="78">
        <f t="shared" si="65"/>
        <v>45839</v>
      </c>
      <c r="T1391" t="str">
        <f>IFERROR(VLOOKUP(B1391,Sites!$A$2:$D$21,4,FALSE()),"Unknown")</f>
        <v>Brighton</v>
      </c>
      <c r="U1391" t="str">
        <f>IF(N1391="OK","",COUNTIF($N$2:N1391,"&lt;&gt;OK"))</f>
        <v/>
      </c>
      <c r="V1391">
        <f>IF(OR(NOT(EXACT(E1391,TRIM(Procurement_Raw!E1391))),NOT(EXACT(F1391,TRIM(Procurement_Raw!F1391)))),1,0)</f>
        <v>0</v>
      </c>
    </row>
    <row r="1392" spans="1:22" ht="15" customHeight="1" x14ac:dyDescent="0.25">
      <c r="A1392" s="123">
        <f>Procurement_Raw!A1392</f>
        <v>45889</v>
      </c>
      <c r="B1392" t="str">
        <f>TRIM(Procurement_Raw!B1392)</f>
        <v>S011</v>
      </c>
      <c r="C1392" t="str">
        <f>Procurement_Raw!C1392</f>
        <v>London Care &amp; Education Centre</v>
      </c>
      <c r="D1392" t="str">
        <f>Procurement_Raw!D1392</f>
        <v>South</v>
      </c>
      <c r="E1392" t="str">
        <f>IF(TRIM(Procurement_Raw!E1392)="","",IFERROR(INDEX(Supplier_Lookup!$A$2:$A$25,MATCH(TRIM(Procurement_Raw!E1392),Supplier_Lookup!$A$2:$A$25,0)),TRIM(Procurement_Raw!E1392)))</f>
        <v>NurseLink</v>
      </c>
      <c r="F1392" t="str">
        <f>IFERROR(INDEX(Category_Targets!$A$2:$A$9,MATCH(TRIM(Procurement_Raw!F1392),Category_Targets!$A$2:$A$9,0)),"Unmapped")</f>
        <v>Agency Labour</v>
      </c>
      <c r="G1392" t="str">
        <f>TRIM(Procurement_Raw!G1392)</f>
        <v>INV-2025-01391</v>
      </c>
      <c r="H1392" s="77">
        <f>Procurement_Raw!H1392</f>
        <v>6</v>
      </c>
      <c r="I1392" s="124">
        <f>Procurement_Raw!I1392</f>
        <v>386.36</v>
      </c>
      <c r="J1392" s="125">
        <f>IF(Procurement_Raw!J1392="","",Procurement_Raw!J1392)</f>
        <v>2318.15</v>
      </c>
      <c r="K1392" s="77">
        <f>Procurement_Raw!K1392</f>
        <v>30</v>
      </c>
      <c r="L1392" t="str">
        <f>Procurement_Raw!L1392</f>
        <v>Procurement Portal</v>
      </c>
      <c r="M1392" t="str">
        <f>Procurement_Raw!O1392</f>
        <v>N</v>
      </c>
      <c r="N1392" t="str">
        <f>IF(E1392="","Missing supplier",IF(B1392="","Missing site",IF(J1392="","Missing spend",IF(COUNTIFS($G$2:G1392,G1392,$E$2:E1392,E1392,$J$2:J1392,J1392)&gt;1,"Duplicate invoice",IF(COUNTIF($G$2:$G$1801,G1392)&gt;1,"Duplicate ID - review",IF(AND(P1392&lt;&gt;"Unmapped",P1392&lt;&gt;F1392),"Category mismatch","OK"))))))</f>
        <v>OK</v>
      </c>
      <c r="O1392" s="125">
        <f t="shared" si="63"/>
        <v>2318.15</v>
      </c>
      <c r="P1392" t="str">
        <f>IF(E1392="","Unmapped",IFERROR(INDEX(Supplier_Lookup!$B$2:$B$25,MATCH(E1392,Supplier_Lookup!$A$2:$A$25,0)),"Unmapped"))</f>
        <v>Agency Labour</v>
      </c>
      <c r="Q1392" s="76">
        <f>IFERROR(INDEX(Category_Targets!$B$2:$B$9,MATCH(F1392,Category_Targets!$A$2:$A$9,0)),0)</f>
        <v>7.0000000000000007E-2</v>
      </c>
      <c r="R1392" s="125">
        <f t="shared" si="64"/>
        <v>162.27050000000003</v>
      </c>
      <c r="S1392" s="78">
        <f t="shared" si="65"/>
        <v>45870</v>
      </c>
      <c r="T1392" t="str">
        <f>IFERROR(VLOOKUP(B1392,Sites!$A$2:$D$21,4,FALSE()),"Unknown")</f>
        <v>London</v>
      </c>
      <c r="U1392" t="str">
        <f>IF(N1392="OK","",COUNTIF($N$2:N1392,"&lt;&gt;OK"))</f>
        <v/>
      </c>
      <c r="V1392">
        <f>IF(OR(NOT(EXACT(E1392,TRIM(Procurement_Raw!E1392))),NOT(EXACT(F1392,TRIM(Procurement_Raw!F1392)))),1,0)</f>
        <v>0</v>
      </c>
    </row>
    <row r="1393" spans="1:22" ht="15" customHeight="1" x14ac:dyDescent="0.25">
      <c r="A1393" s="123">
        <f>Procurement_Raw!A1393</f>
        <v>45743</v>
      </c>
      <c r="B1393" t="str">
        <f>TRIM(Procurement_Raw!B1393)</f>
        <v>S007</v>
      </c>
      <c r="C1393" t="str">
        <f>Procurement_Raw!C1393</f>
        <v>Nottingham Care &amp; Education Centre</v>
      </c>
      <c r="D1393" t="str">
        <f>Procurement_Raw!D1393</f>
        <v>Midlands</v>
      </c>
      <c r="E1393" t="str">
        <f>IF(TRIM(Procurement_Raw!E1393)="","",IFERROR(INDEX(Supplier_Lookup!$A$2:$A$25,MATCH(TRIM(Procurement_Raw!E1393),Supplier_Lookup!$A$2:$A$25,0)),TRIM(Procurement_Raw!E1393)))</f>
        <v>NetServe</v>
      </c>
      <c r="F1393" t="str">
        <f>IFERROR(INDEX(Category_Targets!$A$2:$A$9,MATCH(TRIM(Procurement_Raw!F1393),Category_Targets!$A$2:$A$9,0)),"Unmapped")</f>
        <v>IT &amp; Telecoms</v>
      </c>
      <c r="G1393" t="str">
        <f>TRIM(Procurement_Raw!G1393)</f>
        <v>INV-2025-01392</v>
      </c>
      <c r="H1393" s="77">
        <f>Procurement_Raw!H1393</f>
        <v>1</v>
      </c>
      <c r="I1393" s="124">
        <f>Procurement_Raw!I1393</f>
        <v>151.55000000000001</v>
      </c>
      <c r="J1393" s="125">
        <f>IF(Procurement_Raw!J1393="","",Procurement_Raw!J1393)</f>
        <v>151.55000000000001</v>
      </c>
      <c r="K1393" s="77">
        <f>Procurement_Raw!K1393</f>
        <v>30</v>
      </c>
      <c r="L1393" t="str">
        <f>Procurement_Raw!L1393</f>
        <v>Procurement Portal</v>
      </c>
      <c r="M1393" t="str">
        <f>Procurement_Raw!O1393</f>
        <v>N</v>
      </c>
      <c r="N1393" t="str">
        <f>IF(E1393="","Missing supplier",IF(B1393="","Missing site",IF(J1393="","Missing spend",IF(COUNTIFS($G$2:G1393,G1393,$E$2:E1393,E1393,$J$2:J1393,J1393)&gt;1,"Duplicate invoice",IF(COUNTIF($G$2:$G$1801,G1393)&gt;1,"Duplicate ID - review",IF(AND(P1393&lt;&gt;"Unmapped",P1393&lt;&gt;F1393),"Category mismatch","OK"))))))</f>
        <v>OK</v>
      </c>
      <c r="O1393" s="125">
        <f t="shared" si="63"/>
        <v>151.55000000000001</v>
      </c>
      <c r="P1393" t="str">
        <f>IF(E1393="","Unmapped",IFERROR(INDEX(Supplier_Lookup!$B$2:$B$25,MATCH(E1393,Supplier_Lookup!$A$2:$A$25,0)),"Unmapped"))</f>
        <v>IT &amp; Telecoms</v>
      </c>
      <c r="Q1393" s="76">
        <f>IFERROR(INDEX(Category_Targets!$B$2:$B$9,MATCH(F1393,Category_Targets!$A$2:$A$9,0)),0)</f>
        <v>0.08</v>
      </c>
      <c r="R1393" s="125">
        <f t="shared" si="64"/>
        <v>12.124000000000001</v>
      </c>
      <c r="S1393" s="78">
        <f t="shared" si="65"/>
        <v>45717</v>
      </c>
      <c r="T1393" t="str">
        <f>IFERROR(VLOOKUP(B1393,Sites!$A$2:$D$21,4,FALSE()),"Unknown")</f>
        <v>Nottingham</v>
      </c>
      <c r="U1393" t="str">
        <f>IF(N1393="OK","",COUNTIF($N$2:N1393,"&lt;&gt;OK"))</f>
        <v/>
      </c>
      <c r="V1393">
        <f>IF(OR(NOT(EXACT(E1393,TRIM(Procurement_Raw!E1393))),NOT(EXACT(F1393,TRIM(Procurement_Raw!F1393)))),1,0)</f>
        <v>0</v>
      </c>
    </row>
    <row r="1394" spans="1:22" ht="15" customHeight="1" x14ac:dyDescent="0.25">
      <c r="A1394" s="123">
        <f>Procurement_Raw!A1394</f>
        <v>45852</v>
      </c>
      <c r="B1394" t="str">
        <f>TRIM(Procurement_Raw!B1394)</f>
        <v>S018</v>
      </c>
      <c r="C1394" t="str">
        <f>Procurement_Raw!C1394</f>
        <v>Newport Care &amp; Education Centre</v>
      </c>
      <c r="D1394" t="str">
        <f>Procurement_Raw!D1394</f>
        <v>Wales</v>
      </c>
      <c r="E1394" t="str">
        <f>IF(TRIM(Procurement_Raw!E1394)="","",IFERROR(INDEX(Supplier_Lookup!$A$2:$A$25,MATCH(TRIM(Procurement_Raw!E1394),Supplier_Lookup!$A$2:$A$25,0)),TRIM(Procurement_Raw!E1394)))</f>
        <v>NetServe</v>
      </c>
      <c r="F1394" t="str">
        <f>IFERROR(INDEX(Category_Targets!$A$2:$A$9,MATCH(TRIM(Procurement_Raw!F1394),Category_Targets!$A$2:$A$9,0)),"Unmapped")</f>
        <v>IT &amp; Telecoms</v>
      </c>
      <c r="G1394" t="str">
        <f>TRIM(Procurement_Raw!G1394)</f>
        <v>INV-2025-01393</v>
      </c>
      <c r="H1394" s="77">
        <f>Procurement_Raw!H1394</f>
        <v>45</v>
      </c>
      <c r="I1394" s="124">
        <f>Procurement_Raw!I1394</f>
        <v>665.8</v>
      </c>
      <c r="J1394" s="125">
        <f>IF(Procurement_Raw!J1394="","",Procurement_Raw!J1394)</f>
        <v>29961.040000000001</v>
      </c>
      <c r="K1394" s="77">
        <f>Procurement_Raw!K1394</f>
        <v>60</v>
      </c>
      <c r="L1394" t="str">
        <f>Procurement_Raw!L1394</f>
        <v>ERP</v>
      </c>
      <c r="M1394" t="str">
        <f>Procurement_Raw!O1394</f>
        <v>N</v>
      </c>
      <c r="N1394" t="str">
        <f>IF(E1394="","Missing supplier",IF(B1394="","Missing site",IF(J1394="","Missing spend",IF(COUNTIFS($G$2:G1394,G1394,$E$2:E1394,E1394,$J$2:J1394,J1394)&gt;1,"Duplicate invoice",IF(COUNTIF($G$2:$G$1801,G1394)&gt;1,"Duplicate ID - review",IF(AND(P1394&lt;&gt;"Unmapped",P1394&lt;&gt;F1394),"Category mismatch","OK"))))))</f>
        <v>OK</v>
      </c>
      <c r="O1394" s="125">
        <f t="shared" si="63"/>
        <v>29961.040000000001</v>
      </c>
      <c r="P1394" t="str">
        <f>IF(E1394="","Unmapped",IFERROR(INDEX(Supplier_Lookup!$B$2:$B$25,MATCH(E1394,Supplier_Lookup!$A$2:$A$25,0)),"Unmapped"))</f>
        <v>IT &amp; Telecoms</v>
      </c>
      <c r="Q1394" s="76">
        <f>IFERROR(INDEX(Category_Targets!$B$2:$B$9,MATCH(F1394,Category_Targets!$A$2:$A$9,0)),0)</f>
        <v>0.08</v>
      </c>
      <c r="R1394" s="125">
        <f t="shared" si="64"/>
        <v>2396.8832000000002</v>
      </c>
      <c r="S1394" s="78">
        <f t="shared" si="65"/>
        <v>45839</v>
      </c>
      <c r="T1394" t="str">
        <f>IFERROR(VLOOKUP(B1394,Sites!$A$2:$D$21,4,FALSE()),"Unknown")</f>
        <v>Newport</v>
      </c>
      <c r="U1394" t="str">
        <f>IF(N1394="OK","",COUNTIF($N$2:N1394,"&lt;&gt;OK"))</f>
        <v/>
      </c>
      <c r="V1394">
        <f>IF(OR(NOT(EXACT(E1394,TRIM(Procurement_Raw!E1394))),NOT(EXACT(F1394,TRIM(Procurement_Raw!F1394)))),1,0)</f>
        <v>0</v>
      </c>
    </row>
    <row r="1395" spans="1:22" ht="15" customHeight="1" x14ac:dyDescent="0.25">
      <c r="A1395" s="123">
        <f>Procurement_Raw!A1395</f>
        <v>45740</v>
      </c>
      <c r="B1395" t="str">
        <f>TRIM(Procurement_Raw!B1395)</f>
        <v>S010</v>
      </c>
      <c r="C1395" t="str">
        <f>Procurement_Raw!C1395</f>
        <v>Coventry Care &amp; Education Centre</v>
      </c>
      <c r="D1395" t="str">
        <f>Procurement_Raw!D1395</f>
        <v>Midlands</v>
      </c>
      <c r="E1395" t="str">
        <f>IF(TRIM(Procurement_Raw!E1395)="","",IFERROR(INDEX(Supplier_Lookup!$A$2:$A$25,MATCH(TRIM(Procurement_Raw!E1395),Supplier_Lookup!$A$2:$A$25,0)),TRIM(Procurement_Raw!E1395)))</f>
        <v>CloudLink</v>
      </c>
      <c r="F1395" t="str">
        <f>IFERROR(INDEX(Category_Targets!$A$2:$A$9,MATCH(TRIM(Procurement_Raw!F1395),Category_Targets!$A$2:$A$9,0)),"Unmapped")</f>
        <v>IT &amp; Telecoms</v>
      </c>
      <c r="G1395" t="str">
        <f>TRIM(Procurement_Raw!G1395)</f>
        <v>INV-2025-01394</v>
      </c>
      <c r="H1395" s="77">
        <f>Procurement_Raw!H1395</f>
        <v>69</v>
      </c>
      <c r="I1395" s="124">
        <f>Procurement_Raw!I1395</f>
        <v>237.16</v>
      </c>
      <c r="J1395" s="125">
        <f>IF(Procurement_Raw!J1395="","",Procurement_Raw!J1395)</f>
        <v>16363.83</v>
      </c>
      <c r="K1395" s="77">
        <f>Procurement_Raw!K1395</f>
        <v>60</v>
      </c>
      <c r="L1395" t="str">
        <f>Procurement_Raw!L1395</f>
        <v>ERP</v>
      </c>
      <c r="M1395" t="str">
        <f>Procurement_Raw!O1395</f>
        <v>Y</v>
      </c>
      <c r="N1395" t="str">
        <f>IF(E1395="","Missing supplier",IF(B1395="","Missing site",IF(J1395="","Missing spend",IF(COUNTIFS($G$2:G1395,G1395,$E$2:E1395,E1395,$J$2:J1395,J1395)&gt;1,"Duplicate invoice",IF(COUNTIF($G$2:$G$1801,G1395)&gt;1,"Duplicate ID - review",IF(AND(P1395&lt;&gt;"Unmapped",P1395&lt;&gt;F1395),"Category mismatch","OK"))))))</f>
        <v>OK</v>
      </c>
      <c r="O1395" s="125">
        <f t="shared" si="63"/>
        <v>16363.83</v>
      </c>
      <c r="P1395" t="str">
        <f>IF(E1395="","Unmapped",IFERROR(INDEX(Supplier_Lookup!$B$2:$B$25,MATCH(E1395,Supplier_Lookup!$A$2:$A$25,0)),"Unmapped"))</f>
        <v>IT &amp; Telecoms</v>
      </c>
      <c r="Q1395" s="76">
        <f>IFERROR(INDEX(Category_Targets!$B$2:$B$9,MATCH(F1395,Category_Targets!$A$2:$A$9,0)),0)</f>
        <v>0.08</v>
      </c>
      <c r="R1395" s="125">
        <f t="shared" si="64"/>
        <v>1309.1064000000001</v>
      </c>
      <c r="S1395" s="78">
        <f t="shared" si="65"/>
        <v>45717</v>
      </c>
      <c r="T1395" t="str">
        <f>IFERROR(VLOOKUP(B1395,Sites!$A$2:$D$21,4,FALSE()),"Unknown")</f>
        <v>Coventry</v>
      </c>
      <c r="U1395" t="str">
        <f>IF(N1395="OK","",COUNTIF($N$2:N1395,"&lt;&gt;OK"))</f>
        <v/>
      </c>
      <c r="V1395">
        <f>IF(OR(NOT(EXACT(E1395,TRIM(Procurement_Raw!E1395))),NOT(EXACT(F1395,TRIM(Procurement_Raw!F1395)))),1,0)</f>
        <v>0</v>
      </c>
    </row>
    <row r="1396" spans="1:22" ht="15" customHeight="1" x14ac:dyDescent="0.25">
      <c r="A1396" s="123">
        <f>Procurement_Raw!A1396</f>
        <v>46015</v>
      </c>
      <c r="B1396" t="str">
        <f>TRIM(Procurement_Raw!B1396)</f>
        <v>S001</v>
      </c>
      <c r="C1396" t="str">
        <f>Procurement_Raw!C1396</f>
        <v>Preston Care &amp; Education Centre</v>
      </c>
      <c r="D1396" t="str">
        <f>Procurement_Raw!D1396</f>
        <v>North</v>
      </c>
      <c r="E1396" t="str">
        <f>IF(TRIM(Procurement_Raw!E1396)="","",IFERROR(INDEX(Supplier_Lookup!$A$2:$A$25,MATCH(TRIM(Procurement_Raw!E1396),Supplier_Lookup!$A$2:$A$25,0)),TRIM(Procurement_Raw!E1396)))</f>
        <v>NourishCo</v>
      </c>
      <c r="F1396" t="str">
        <f>IFERROR(INDEX(Category_Targets!$A$2:$A$9,MATCH(TRIM(Procurement_Raw!F1396),Category_Targets!$A$2:$A$9,0)),"Unmapped")</f>
        <v>Food &amp; Catering</v>
      </c>
      <c r="G1396" t="str">
        <f>TRIM(Procurement_Raw!G1396)</f>
        <v>INV-2025-01395</v>
      </c>
      <c r="H1396" s="77">
        <f>Procurement_Raw!H1396</f>
        <v>16</v>
      </c>
      <c r="I1396" s="124">
        <f>Procurement_Raw!I1396</f>
        <v>53.17</v>
      </c>
      <c r="J1396" s="125">
        <f>IF(Procurement_Raw!J1396="","",Procurement_Raw!J1396)</f>
        <v>850.69</v>
      </c>
      <c r="K1396" s="77">
        <f>Procurement_Raw!K1396</f>
        <v>30</v>
      </c>
      <c r="L1396" t="str">
        <f>Procurement_Raw!L1396</f>
        <v>Legacy Spend File</v>
      </c>
      <c r="M1396" t="str">
        <f>Procurement_Raw!O1396</f>
        <v>N</v>
      </c>
      <c r="N1396" t="str">
        <f>IF(E1396="","Missing supplier",IF(B1396="","Missing site",IF(J1396="","Missing spend",IF(COUNTIFS($G$2:G1396,G1396,$E$2:E1396,E1396,$J$2:J1396,J1396)&gt;1,"Duplicate invoice",IF(COUNTIF($G$2:$G$1801,G1396)&gt;1,"Duplicate ID - review",IF(AND(P1396&lt;&gt;"Unmapped",P1396&lt;&gt;F1396),"Category mismatch","OK"))))))</f>
        <v>OK</v>
      </c>
      <c r="O1396" s="125">
        <f t="shared" si="63"/>
        <v>850.69</v>
      </c>
      <c r="P1396" t="str">
        <f>IF(E1396="","Unmapped",IFERROR(INDEX(Supplier_Lookup!$B$2:$B$25,MATCH(E1396,Supplier_Lookup!$A$2:$A$25,0)),"Unmapped"))</f>
        <v>Food &amp; Catering</v>
      </c>
      <c r="Q1396" s="76">
        <f>IFERROR(INDEX(Category_Targets!$B$2:$B$9,MATCH(F1396,Category_Targets!$A$2:$A$9,0)),0)</f>
        <v>0.04</v>
      </c>
      <c r="R1396" s="125">
        <f t="shared" si="64"/>
        <v>34.0276</v>
      </c>
      <c r="S1396" s="78">
        <f t="shared" si="65"/>
        <v>45992</v>
      </c>
      <c r="T1396" t="str">
        <f>IFERROR(VLOOKUP(B1396,Sites!$A$2:$D$21,4,FALSE()),"Unknown")</f>
        <v>Preston</v>
      </c>
      <c r="U1396" t="str">
        <f>IF(N1396="OK","",COUNTIF($N$2:N1396,"&lt;&gt;OK"))</f>
        <v/>
      </c>
      <c r="V1396">
        <f>IF(OR(NOT(EXACT(E1396,TRIM(Procurement_Raw!E1396))),NOT(EXACT(F1396,TRIM(Procurement_Raw!F1396)))),1,0)</f>
        <v>0</v>
      </c>
    </row>
    <row r="1397" spans="1:22" ht="15" customHeight="1" x14ac:dyDescent="0.25">
      <c r="A1397" s="123">
        <f>Procurement_Raw!A1397</f>
        <v>45765</v>
      </c>
      <c r="B1397" t="str">
        <f>TRIM(Procurement_Raw!B1397)</f>
        <v>S017</v>
      </c>
      <c r="C1397" t="str">
        <f>Procurement_Raw!C1397</f>
        <v>Swansea Care &amp; Education Centre</v>
      </c>
      <c r="D1397" t="str">
        <f>Procurement_Raw!D1397</f>
        <v>Wales</v>
      </c>
      <c r="E1397" t="str">
        <f>IF(TRIM(Procurement_Raw!E1397)="","",IFERROR(INDEX(Supplier_Lookup!$A$2:$A$25,MATCH(TRIM(Procurement_Raw!E1397),Supplier_Lookup!$A$2:$A$25,0)),TRIM(Procurement_Raw!E1397)))</f>
        <v>TeleCare IT</v>
      </c>
      <c r="F1397" t="str">
        <f>IFERROR(INDEX(Category_Targets!$A$2:$A$9,MATCH(TRIM(Procurement_Raw!F1397),Category_Targets!$A$2:$A$9,0)),"Unmapped")</f>
        <v>IT &amp; Telecoms</v>
      </c>
      <c r="G1397" t="str">
        <f>TRIM(Procurement_Raw!G1397)</f>
        <v>INV-2025-01396</v>
      </c>
      <c r="H1397" s="77">
        <f>Procurement_Raw!H1397</f>
        <v>79</v>
      </c>
      <c r="I1397" s="124">
        <f>Procurement_Raw!I1397</f>
        <v>243.52</v>
      </c>
      <c r="J1397" s="125">
        <f>IF(Procurement_Raw!J1397="","",Procurement_Raw!J1397)</f>
        <v>19238.13</v>
      </c>
      <c r="K1397" s="77">
        <f>Procurement_Raw!K1397</f>
        <v>60</v>
      </c>
      <c r="L1397" t="str">
        <f>Procurement_Raw!L1397</f>
        <v>Procurement Portal</v>
      </c>
      <c r="M1397" t="str">
        <f>Procurement_Raw!O1397</f>
        <v>N</v>
      </c>
      <c r="N1397" t="str">
        <f>IF(E1397="","Missing supplier",IF(B1397="","Missing site",IF(J1397="","Missing spend",IF(COUNTIFS($G$2:G1397,G1397,$E$2:E1397,E1397,$J$2:J1397,J1397)&gt;1,"Duplicate invoice",IF(COUNTIF($G$2:$G$1801,G1397)&gt;1,"Duplicate ID - review",IF(AND(P1397&lt;&gt;"Unmapped",P1397&lt;&gt;F1397),"Category mismatch","OK"))))))</f>
        <v>OK</v>
      </c>
      <c r="O1397" s="125">
        <f t="shared" si="63"/>
        <v>19238.13</v>
      </c>
      <c r="P1397" t="str">
        <f>IF(E1397="","Unmapped",IFERROR(INDEX(Supplier_Lookup!$B$2:$B$25,MATCH(E1397,Supplier_Lookup!$A$2:$A$25,0)),"Unmapped"))</f>
        <v>IT &amp; Telecoms</v>
      </c>
      <c r="Q1397" s="76">
        <f>IFERROR(INDEX(Category_Targets!$B$2:$B$9,MATCH(F1397,Category_Targets!$A$2:$A$9,0)),0)</f>
        <v>0.08</v>
      </c>
      <c r="R1397" s="125">
        <f t="shared" si="64"/>
        <v>1539.0504000000001</v>
      </c>
      <c r="S1397" s="78">
        <f t="shared" si="65"/>
        <v>45748</v>
      </c>
      <c r="T1397" t="str">
        <f>IFERROR(VLOOKUP(B1397,Sites!$A$2:$D$21,4,FALSE()),"Unknown")</f>
        <v>Swansea</v>
      </c>
      <c r="U1397" t="str">
        <f>IF(N1397="OK","",COUNTIF($N$2:N1397,"&lt;&gt;OK"))</f>
        <v/>
      </c>
      <c r="V1397">
        <f>IF(OR(NOT(EXACT(E1397,TRIM(Procurement_Raw!E1397))),NOT(EXACT(F1397,TRIM(Procurement_Raw!F1397)))),1,0)</f>
        <v>0</v>
      </c>
    </row>
    <row r="1398" spans="1:22" ht="15" customHeight="1" x14ac:dyDescent="0.25">
      <c r="A1398" s="123">
        <f>Procurement_Raw!A1398</f>
        <v>45791</v>
      </c>
      <c r="B1398" t="str">
        <f>TRIM(Procurement_Raw!B1398)</f>
        <v>S016</v>
      </c>
      <c r="C1398" t="str">
        <f>Procurement_Raw!C1398</f>
        <v>Cardiff Care &amp; Education Centre</v>
      </c>
      <c r="D1398" t="str">
        <f>Procurement_Raw!D1398</f>
        <v>Wales</v>
      </c>
      <c r="E1398" t="str">
        <f>IF(TRIM(Procurement_Raw!E1398)="","",IFERROR(INDEX(Supplier_Lookup!$A$2:$A$25,MATCH(TRIM(Procurement_Raw!E1398),Supplier_Lookup!$A$2:$A$25,0)),TRIM(Procurement_Raw!E1398)))</f>
        <v>AutoCare</v>
      </c>
      <c r="F1398" t="str">
        <f>IFERROR(INDEX(Category_Targets!$A$2:$A$9,MATCH(TRIM(Procurement_Raw!F1398),Category_Targets!$A$2:$A$9,0)),"Unmapped")</f>
        <v>Vehicle &amp; Fuel</v>
      </c>
      <c r="G1398" t="str">
        <f>TRIM(Procurement_Raw!G1398)</f>
        <v>INV-2025-01397</v>
      </c>
      <c r="H1398" s="77">
        <f>Procurement_Raw!H1398</f>
        <v>58</v>
      </c>
      <c r="I1398" s="124">
        <f>Procurement_Raw!I1398</f>
        <v>45.28</v>
      </c>
      <c r="J1398" s="125">
        <f>IF(Procurement_Raw!J1398="","",Procurement_Raw!J1398)</f>
        <v>2626.48</v>
      </c>
      <c r="K1398" s="77">
        <f>Procurement_Raw!K1398</f>
        <v>45</v>
      </c>
      <c r="L1398" t="str">
        <f>Procurement_Raw!L1398</f>
        <v>ERP</v>
      </c>
      <c r="M1398" t="str">
        <f>Procurement_Raw!O1398</f>
        <v>N</v>
      </c>
      <c r="N1398" t="str">
        <f>IF(E1398="","Missing supplier",IF(B1398="","Missing site",IF(J1398="","Missing spend",IF(COUNTIFS($G$2:G1398,G1398,$E$2:E1398,E1398,$J$2:J1398,J1398)&gt;1,"Duplicate invoice",IF(COUNTIF($G$2:$G$1801,G1398)&gt;1,"Duplicate ID - review",IF(AND(P1398&lt;&gt;"Unmapped",P1398&lt;&gt;F1398),"Category mismatch","OK"))))))</f>
        <v>OK</v>
      </c>
      <c r="O1398" s="125">
        <f t="shared" si="63"/>
        <v>2626.48</v>
      </c>
      <c r="P1398" t="str">
        <f>IF(E1398="","Unmapped",IFERROR(INDEX(Supplier_Lookup!$B$2:$B$25,MATCH(E1398,Supplier_Lookup!$A$2:$A$25,0)),"Unmapped"))</f>
        <v>Vehicle &amp; Fuel</v>
      </c>
      <c r="Q1398" s="76">
        <f>IFERROR(INDEX(Category_Targets!$B$2:$B$9,MATCH(F1398,Category_Targets!$A$2:$A$9,0)),0)</f>
        <v>0.05</v>
      </c>
      <c r="R1398" s="125">
        <f t="shared" si="64"/>
        <v>131.32400000000001</v>
      </c>
      <c r="S1398" s="78">
        <f t="shared" si="65"/>
        <v>45778</v>
      </c>
      <c r="T1398" t="str">
        <f>IFERROR(VLOOKUP(B1398,Sites!$A$2:$D$21,4,FALSE()),"Unknown")</f>
        <v>Cardiff</v>
      </c>
      <c r="U1398" t="str">
        <f>IF(N1398="OK","",COUNTIF($N$2:N1398,"&lt;&gt;OK"))</f>
        <v/>
      </c>
      <c r="V1398">
        <f>IF(OR(NOT(EXACT(E1398,TRIM(Procurement_Raw!E1398))),NOT(EXACT(F1398,TRIM(Procurement_Raw!F1398)))),1,0)</f>
        <v>0</v>
      </c>
    </row>
    <row r="1399" spans="1:22" ht="15" customHeight="1" x14ac:dyDescent="0.25">
      <c r="A1399" s="123">
        <f>Procurement_Raw!A1399</f>
        <v>45765</v>
      </c>
      <c r="B1399" t="str">
        <f>TRIM(Procurement_Raw!B1399)</f>
        <v>S019</v>
      </c>
      <c r="C1399" t="str">
        <f>Procurement_Raw!C1399</f>
        <v>Wrexham Care &amp; Education Centre</v>
      </c>
      <c r="D1399" t="str">
        <f>Procurement_Raw!D1399</f>
        <v>Wales</v>
      </c>
      <c r="E1399" t="str">
        <f>IF(TRIM(Procurement_Raw!E1399)="","",IFERROR(INDEX(Supplier_Lookup!$A$2:$A$25,MATCH(TRIM(Procurement_Raw!E1399),Supplier_Lookup!$A$2:$A$25,0)),TRIM(Procurement_Raw!E1399)))</f>
        <v>RoadReady</v>
      </c>
      <c r="F1399" t="str">
        <f>IFERROR(INDEX(Category_Targets!$A$2:$A$9,MATCH(TRIM(Procurement_Raw!F1399),Category_Targets!$A$2:$A$9,0)),"Unmapped")</f>
        <v>Vehicle &amp; Fuel</v>
      </c>
      <c r="G1399" t="str">
        <f>TRIM(Procurement_Raw!G1399)</f>
        <v>INV-2025-01398</v>
      </c>
      <c r="H1399" s="77">
        <f>Procurement_Raw!H1399</f>
        <v>59</v>
      </c>
      <c r="I1399" s="124">
        <f>Procurement_Raw!I1399</f>
        <v>55.67</v>
      </c>
      <c r="J1399" s="125">
        <f>IF(Procurement_Raw!J1399="","",Procurement_Raw!J1399)</f>
        <v>3284.69</v>
      </c>
      <c r="K1399" s="77">
        <f>Procurement_Raw!K1399</f>
        <v>60</v>
      </c>
      <c r="L1399" t="str">
        <f>Procurement_Raw!L1399</f>
        <v>Procurement Portal</v>
      </c>
      <c r="M1399" t="str">
        <f>Procurement_Raw!O1399</f>
        <v>N</v>
      </c>
      <c r="N1399" t="str">
        <f>IF(E1399="","Missing supplier",IF(B1399="","Missing site",IF(J1399="","Missing spend",IF(COUNTIFS($G$2:G1399,G1399,$E$2:E1399,E1399,$J$2:J1399,J1399)&gt;1,"Duplicate invoice",IF(COUNTIF($G$2:$G$1801,G1399)&gt;1,"Duplicate ID - review",IF(AND(P1399&lt;&gt;"Unmapped",P1399&lt;&gt;F1399),"Category mismatch","OK"))))))</f>
        <v>OK</v>
      </c>
      <c r="O1399" s="125">
        <f t="shared" si="63"/>
        <v>3284.69</v>
      </c>
      <c r="P1399" t="str">
        <f>IF(E1399="","Unmapped",IFERROR(INDEX(Supplier_Lookup!$B$2:$B$25,MATCH(E1399,Supplier_Lookup!$A$2:$A$25,0)),"Unmapped"))</f>
        <v>Vehicle &amp; Fuel</v>
      </c>
      <c r="Q1399" s="76">
        <f>IFERROR(INDEX(Category_Targets!$B$2:$B$9,MATCH(F1399,Category_Targets!$A$2:$A$9,0)),0)</f>
        <v>0.05</v>
      </c>
      <c r="R1399" s="125">
        <f t="shared" si="64"/>
        <v>164.23450000000003</v>
      </c>
      <c r="S1399" s="78">
        <f t="shared" si="65"/>
        <v>45748</v>
      </c>
      <c r="T1399" t="str">
        <f>IFERROR(VLOOKUP(B1399,Sites!$A$2:$D$21,4,FALSE()),"Unknown")</f>
        <v>Wrexham</v>
      </c>
      <c r="U1399" t="str">
        <f>IF(N1399="OK","",COUNTIF($N$2:N1399,"&lt;&gt;OK"))</f>
        <v/>
      </c>
      <c r="V1399">
        <f>IF(OR(NOT(EXACT(E1399,TRIM(Procurement_Raw!E1399))),NOT(EXACT(F1399,TRIM(Procurement_Raw!F1399)))),1,0)</f>
        <v>0</v>
      </c>
    </row>
    <row r="1400" spans="1:22" ht="15" customHeight="1" x14ac:dyDescent="0.25">
      <c r="A1400" s="123">
        <f>Procurement_Raw!A1400</f>
        <v>45659</v>
      </c>
      <c r="B1400" t="str">
        <f>TRIM(Procurement_Raw!B1400)</f>
        <v>S008</v>
      </c>
      <c r="C1400" t="str">
        <f>Procurement_Raw!C1400</f>
        <v>Leicester Care &amp; Education Centre</v>
      </c>
      <c r="D1400" t="str">
        <f>Procurement_Raw!D1400</f>
        <v>Midlands</v>
      </c>
      <c r="E1400" t="str">
        <f>IF(TRIM(Procurement_Raw!E1400)="","",IFERROR(INDEX(Supplier_Lookup!$A$2:$A$25,MATCH(TRIM(Procurement_Raw!E1400),Supplier_Lookup!$A$2:$A$25,0)),TRIM(Procurement_Raw!E1400)))</f>
        <v>BuildCare</v>
      </c>
      <c r="F1400" t="str">
        <f>IFERROR(INDEX(Category_Targets!$A$2:$A$9,MATCH(TRIM(Procurement_Raw!F1400),Category_Targets!$A$2:$A$9,0)),"Unmapped")</f>
        <v>Facilities</v>
      </c>
      <c r="G1400" t="str">
        <f>TRIM(Procurement_Raw!G1400)</f>
        <v>INV-2025-01399</v>
      </c>
      <c r="H1400" s="77">
        <f>Procurement_Raw!H1400</f>
        <v>78</v>
      </c>
      <c r="I1400" s="124">
        <f>Procurement_Raw!I1400</f>
        <v>348.34</v>
      </c>
      <c r="J1400" s="125">
        <f>IF(Procurement_Raw!J1400="","",Procurement_Raw!J1400)</f>
        <v>27170.67</v>
      </c>
      <c r="K1400" s="77">
        <f>Procurement_Raw!K1400</f>
        <v>45</v>
      </c>
      <c r="L1400" t="str">
        <f>Procurement_Raw!L1400</f>
        <v>ERP</v>
      </c>
      <c r="M1400" t="str">
        <f>Procurement_Raw!O1400</f>
        <v>N</v>
      </c>
      <c r="N1400" t="str">
        <f>IF(E1400="","Missing supplier",IF(B1400="","Missing site",IF(J1400="","Missing spend",IF(COUNTIFS($G$2:G1400,G1400,$E$2:E1400,E1400,$J$2:J1400,J1400)&gt;1,"Duplicate invoice",IF(COUNTIF($G$2:$G$1801,G1400)&gt;1,"Duplicate ID - review",IF(AND(P1400&lt;&gt;"Unmapped",P1400&lt;&gt;F1400),"Category mismatch","OK"))))))</f>
        <v>OK</v>
      </c>
      <c r="O1400" s="125">
        <f t="shared" si="63"/>
        <v>27170.67</v>
      </c>
      <c r="P1400" t="str">
        <f>IF(E1400="","Unmapped",IFERROR(INDEX(Supplier_Lookup!$B$2:$B$25,MATCH(E1400,Supplier_Lookup!$A$2:$A$25,0)),"Unmapped"))</f>
        <v>Facilities</v>
      </c>
      <c r="Q1400" s="76">
        <f>IFERROR(INDEX(Category_Targets!$B$2:$B$9,MATCH(F1400,Category_Targets!$A$2:$A$9,0)),0)</f>
        <v>0.05</v>
      </c>
      <c r="R1400" s="125">
        <f t="shared" si="64"/>
        <v>1358.5335</v>
      </c>
      <c r="S1400" s="78">
        <f t="shared" si="65"/>
        <v>45658</v>
      </c>
      <c r="T1400" t="str">
        <f>IFERROR(VLOOKUP(B1400,Sites!$A$2:$D$21,4,FALSE()),"Unknown")</f>
        <v>Leicester</v>
      </c>
      <c r="U1400" t="str">
        <f>IF(N1400="OK","",COUNTIF($N$2:N1400,"&lt;&gt;OK"))</f>
        <v/>
      </c>
      <c r="V1400">
        <f>IF(OR(NOT(EXACT(E1400,TRIM(Procurement_Raw!E1400))),NOT(EXACT(F1400,TRIM(Procurement_Raw!F1400)))),1,0)</f>
        <v>0</v>
      </c>
    </row>
    <row r="1401" spans="1:22" ht="15" customHeight="1" x14ac:dyDescent="0.25">
      <c r="A1401" s="123">
        <f>Procurement_Raw!A1401</f>
        <v>45942</v>
      </c>
      <c r="B1401" t="str">
        <f>TRIM(Procurement_Raw!B1401)</f>
        <v>S005</v>
      </c>
      <c r="C1401" t="str">
        <f>Procurement_Raw!C1401</f>
        <v>Sheffield Care &amp; Education Centre</v>
      </c>
      <c r="D1401" t="str">
        <f>Procurement_Raw!D1401</f>
        <v>North</v>
      </c>
      <c r="E1401" t="str">
        <f>IF(TRIM(Procurement_Raw!E1401)="","",IFERROR(INDEX(Supplier_Lookup!$A$2:$A$25,MATCH(TRIM(Procurement_Raw!E1401),Supplier_Lookup!$A$2:$A$25,0)),TRIM(Procurement_Raw!E1401)))</f>
        <v>SafeGuard FM</v>
      </c>
      <c r="F1401" t="str">
        <f>IFERROR(INDEX(Category_Targets!$A$2:$A$9,MATCH(TRIM(Procurement_Raw!F1401),Category_Targets!$A$2:$A$9,0)),"Unmapped")</f>
        <v>Facilities</v>
      </c>
      <c r="G1401" t="str">
        <f>TRIM(Procurement_Raw!G1401)</f>
        <v>INV-2025-01400</v>
      </c>
      <c r="H1401" s="77">
        <f>Procurement_Raw!H1401</f>
        <v>63</v>
      </c>
      <c r="I1401" s="124">
        <f>Procurement_Raw!I1401</f>
        <v>125.42</v>
      </c>
      <c r="J1401" s="125">
        <f>IF(Procurement_Raw!J1401="","",Procurement_Raw!J1401)</f>
        <v>7901.44</v>
      </c>
      <c r="K1401" s="77">
        <f>Procurement_Raw!K1401</f>
        <v>45</v>
      </c>
      <c r="L1401" t="str">
        <f>Procurement_Raw!L1401</f>
        <v>Legacy Spend File</v>
      </c>
      <c r="M1401" t="str">
        <f>Procurement_Raw!O1401</f>
        <v>N</v>
      </c>
      <c r="N1401" t="str">
        <f>IF(E1401="","Missing supplier",IF(B1401="","Missing site",IF(J1401="","Missing spend",IF(COUNTIFS($G$2:G1401,G1401,$E$2:E1401,E1401,$J$2:J1401,J1401)&gt;1,"Duplicate invoice",IF(COUNTIF($G$2:$G$1801,G1401)&gt;1,"Duplicate ID - review",IF(AND(P1401&lt;&gt;"Unmapped",P1401&lt;&gt;F1401),"Category mismatch","OK"))))))</f>
        <v>OK</v>
      </c>
      <c r="O1401" s="125">
        <f t="shared" si="63"/>
        <v>7901.44</v>
      </c>
      <c r="P1401" t="str">
        <f>IF(E1401="","Unmapped",IFERROR(INDEX(Supplier_Lookup!$B$2:$B$25,MATCH(E1401,Supplier_Lookup!$A$2:$A$25,0)),"Unmapped"))</f>
        <v>Facilities</v>
      </c>
      <c r="Q1401" s="76">
        <f>IFERROR(INDEX(Category_Targets!$B$2:$B$9,MATCH(F1401,Category_Targets!$A$2:$A$9,0)),0)</f>
        <v>0.05</v>
      </c>
      <c r="R1401" s="125">
        <f t="shared" si="64"/>
        <v>395.072</v>
      </c>
      <c r="S1401" s="78">
        <f t="shared" si="65"/>
        <v>45931</v>
      </c>
      <c r="T1401" t="str">
        <f>IFERROR(VLOOKUP(B1401,Sites!$A$2:$D$21,4,FALSE()),"Unknown")</f>
        <v>Sheffield</v>
      </c>
      <c r="U1401" t="str">
        <f>IF(N1401="OK","",COUNTIF($N$2:N1401,"&lt;&gt;OK"))</f>
        <v/>
      </c>
      <c r="V1401">
        <f>IF(OR(NOT(EXACT(E1401,TRIM(Procurement_Raw!E1401))),NOT(EXACT(F1401,TRIM(Procurement_Raw!F1401)))),1,0)</f>
        <v>0</v>
      </c>
    </row>
    <row r="1402" spans="1:22" ht="15" customHeight="1" x14ac:dyDescent="0.25">
      <c r="A1402" s="123">
        <f>Procurement_Raw!A1402</f>
        <v>45673</v>
      </c>
      <c r="B1402" t="str">
        <f>TRIM(Procurement_Raw!B1402)</f>
        <v>S001</v>
      </c>
      <c r="C1402" t="str">
        <f>Procurement_Raw!C1402</f>
        <v>Preston Care &amp; Education Centre</v>
      </c>
      <c r="D1402" t="str">
        <f>Procurement_Raw!D1402</f>
        <v>North</v>
      </c>
      <c r="E1402" t="str">
        <f>IF(TRIM(Procurement_Raw!E1402)="","",IFERROR(INDEX(Supplier_Lookup!$A$2:$A$25,MATCH(TRIM(Procurement_Raw!E1402),Supplier_Lookup!$A$2:$A$25,0)),TRIM(Procurement_Raw!E1402)))</f>
        <v>KitchenPro</v>
      </c>
      <c r="F1402" t="str">
        <f>IFERROR(INDEX(Category_Targets!$A$2:$A$9,MATCH(TRIM(Procurement_Raw!F1402),Category_Targets!$A$2:$A$9,0)),"Unmapped")</f>
        <v>Food &amp; Catering</v>
      </c>
      <c r="G1402" t="str">
        <f>TRIM(Procurement_Raw!G1402)</f>
        <v>INV-2025-01401</v>
      </c>
      <c r="H1402" s="77">
        <f>Procurement_Raw!H1402</f>
        <v>57</v>
      </c>
      <c r="I1402" s="124">
        <f>Procurement_Raw!I1402</f>
        <v>36.549999999999997</v>
      </c>
      <c r="J1402" s="125">
        <f>IF(Procurement_Raw!J1402="","",Procurement_Raw!J1402)</f>
        <v>2083.15</v>
      </c>
      <c r="K1402" s="77">
        <f>Procurement_Raw!K1402</f>
        <v>60</v>
      </c>
      <c r="L1402" t="str">
        <f>Procurement_Raw!L1402</f>
        <v>ERP</v>
      </c>
      <c r="M1402" t="str">
        <f>Procurement_Raw!O1402</f>
        <v>N</v>
      </c>
      <c r="N1402" t="str">
        <f>IF(E1402="","Missing supplier",IF(B1402="","Missing site",IF(J1402="","Missing spend",IF(COUNTIFS($G$2:G1402,G1402,$E$2:E1402,E1402,$J$2:J1402,J1402)&gt;1,"Duplicate invoice",IF(COUNTIF($G$2:$G$1801,G1402)&gt;1,"Duplicate ID - review",IF(AND(P1402&lt;&gt;"Unmapped",P1402&lt;&gt;F1402),"Category mismatch","OK"))))))</f>
        <v>OK</v>
      </c>
      <c r="O1402" s="125">
        <f t="shared" si="63"/>
        <v>2083.15</v>
      </c>
      <c r="P1402" t="str">
        <f>IF(E1402="","Unmapped",IFERROR(INDEX(Supplier_Lookup!$B$2:$B$25,MATCH(E1402,Supplier_Lookup!$A$2:$A$25,0)),"Unmapped"))</f>
        <v>Food &amp; Catering</v>
      </c>
      <c r="Q1402" s="76">
        <f>IFERROR(INDEX(Category_Targets!$B$2:$B$9,MATCH(F1402,Category_Targets!$A$2:$A$9,0)),0)</f>
        <v>0.04</v>
      </c>
      <c r="R1402" s="125">
        <f t="shared" si="64"/>
        <v>83.326000000000008</v>
      </c>
      <c r="S1402" s="78">
        <f t="shared" si="65"/>
        <v>45658</v>
      </c>
      <c r="T1402" t="str">
        <f>IFERROR(VLOOKUP(B1402,Sites!$A$2:$D$21,4,FALSE()),"Unknown")</f>
        <v>Preston</v>
      </c>
      <c r="U1402" t="str">
        <f>IF(N1402="OK","",COUNTIF($N$2:N1402,"&lt;&gt;OK"))</f>
        <v/>
      </c>
      <c r="V1402">
        <f>IF(OR(NOT(EXACT(E1402,TRIM(Procurement_Raw!E1402))),NOT(EXACT(F1402,TRIM(Procurement_Raw!F1402)))),1,0)</f>
        <v>0</v>
      </c>
    </row>
    <row r="1403" spans="1:22" ht="15" customHeight="1" x14ac:dyDescent="0.25">
      <c r="A1403" s="123">
        <f>Procurement_Raw!A1403</f>
        <v>45841</v>
      </c>
      <c r="B1403" t="str">
        <f>TRIM(Procurement_Raw!B1403)</f>
        <v>S004</v>
      </c>
      <c r="C1403" t="str">
        <f>Procurement_Raw!C1403</f>
        <v>Newcastle Care &amp; Education Centre</v>
      </c>
      <c r="D1403" t="str">
        <f>Procurement_Raw!D1403</f>
        <v>North</v>
      </c>
      <c r="E1403" t="str">
        <f>IF(TRIM(Procurement_Raw!E1403)="","",IFERROR(INDEX(Supplier_Lookup!$A$2:$A$25,MATCH(TRIM(Procurement_Raw!E1403),Supplier_Lookup!$A$2:$A$25,0)),TRIM(Procurement_Raw!E1403)))</f>
        <v>NurseLink</v>
      </c>
      <c r="F1403" t="str">
        <f>IFERROR(INDEX(Category_Targets!$A$2:$A$9,MATCH(TRIM(Procurement_Raw!F1403),Category_Targets!$A$2:$A$9,0)),"Unmapped")</f>
        <v>Agency Labour</v>
      </c>
      <c r="G1403" t="str">
        <f>TRIM(Procurement_Raw!G1403)</f>
        <v>INV-2025-01402</v>
      </c>
      <c r="H1403" s="77">
        <f>Procurement_Raw!H1403</f>
        <v>50</v>
      </c>
      <c r="I1403" s="124">
        <f>Procurement_Raw!I1403</f>
        <v>403</v>
      </c>
      <c r="J1403" s="125">
        <f>IF(Procurement_Raw!J1403="","",Procurement_Raw!J1403)</f>
        <v>20150.099999999999</v>
      </c>
      <c r="K1403" s="77">
        <f>Procurement_Raw!K1403</f>
        <v>30</v>
      </c>
      <c r="L1403" t="str">
        <f>Procurement_Raw!L1403</f>
        <v>Legacy Spend File</v>
      </c>
      <c r="M1403" t="str">
        <f>Procurement_Raw!O1403</f>
        <v>N</v>
      </c>
      <c r="N1403" t="str">
        <f>IF(E1403="","Missing supplier",IF(B1403="","Missing site",IF(J1403="","Missing spend",IF(COUNTIFS($G$2:G1403,G1403,$E$2:E1403,E1403,$J$2:J1403,J1403)&gt;1,"Duplicate invoice",IF(COUNTIF($G$2:$G$1801,G1403)&gt;1,"Duplicate ID - review",IF(AND(P1403&lt;&gt;"Unmapped",P1403&lt;&gt;F1403),"Category mismatch","OK"))))))</f>
        <v>OK</v>
      </c>
      <c r="O1403" s="125">
        <f t="shared" si="63"/>
        <v>20150.099999999999</v>
      </c>
      <c r="P1403" t="str">
        <f>IF(E1403="","Unmapped",IFERROR(INDEX(Supplier_Lookup!$B$2:$B$25,MATCH(E1403,Supplier_Lookup!$A$2:$A$25,0)),"Unmapped"))</f>
        <v>Agency Labour</v>
      </c>
      <c r="Q1403" s="76">
        <f>IFERROR(INDEX(Category_Targets!$B$2:$B$9,MATCH(F1403,Category_Targets!$A$2:$A$9,0)),0)</f>
        <v>7.0000000000000007E-2</v>
      </c>
      <c r="R1403" s="125">
        <f t="shared" si="64"/>
        <v>1410.5070000000001</v>
      </c>
      <c r="S1403" s="78">
        <f t="shared" si="65"/>
        <v>45839</v>
      </c>
      <c r="T1403" t="str">
        <f>IFERROR(VLOOKUP(B1403,Sites!$A$2:$D$21,4,FALSE()),"Unknown")</f>
        <v>Newcastle</v>
      </c>
      <c r="U1403" t="str">
        <f>IF(N1403="OK","",COUNTIF($N$2:N1403,"&lt;&gt;OK"))</f>
        <v/>
      </c>
      <c r="V1403">
        <f>IF(OR(NOT(EXACT(E1403,TRIM(Procurement_Raw!E1403))),NOT(EXACT(F1403,TRIM(Procurement_Raw!F1403)))),1,0)</f>
        <v>0</v>
      </c>
    </row>
    <row r="1404" spans="1:22" ht="15" customHeight="1" x14ac:dyDescent="0.25">
      <c r="A1404" s="123">
        <f>Procurement_Raw!A1404</f>
        <v>45847</v>
      </c>
      <c r="B1404" t="str">
        <f>TRIM(Procurement_Raw!B1404)</f>
        <v>S001</v>
      </c>
      <c r="C1404" t="str">
        <f>Procurement_Raw!C1404</f>
        <v>Preston Care &amp; Education Centre</v>
      </c>
      <c r="D1404" t="str">
        <f>Procurement_Raw!D1404</f>
        <v>North</v>
      </c>
      <c r="E1404" t="str">
        <f>IF(TRIM(Procurement_Raw!E1404)="","",IFERROR(INDEX(Supplier_Lookup!$A$2:$A$25,MATCH(TRIM(Procurement_Raw!E1404),Supplier_Lookup!$A$2:$A$25,0)),TRIM(Procurement_Raw!E1404)))</f>
        <v>NourishCo</v>
      </c>
      <c r="F1404" t="str">
        <f>IFERROR(INDEX(Category_Targets!$A$2:$A$9,MATCH(TRIM(Procurement_Raw!F1404),Category_Targets!$A$2:$A$9,0)),"Unmapped")</f>
        <v>Food &amp; Catering</v>
      </c>
      <c r="G1404" t="str">
        <f>TRIM(Procurement_Raw!G1404)</f>
        <v>INV-2025-01403</v>
      </c>
      <c r="H1404" s="77">
        <f>Procurement_Raw!H1404</f>
        <v>25</v>
      </c>
      <c r="I1404" s="124">
        <f>Procurement_Raw!I1404</f>
        <v>124.78</v>
      </c>
      <c r="J1404" s="125">
        <f>IF(Procurement_Raw!J1404="","",Procurement_Raw!J1404)</f>
        <v>3119.41</v>
      </c>
      <c r="K1404" s="77">
        <f>Procurement_Raw!K1404</f>
        <v>45</v>
      </c>
      <c r="L1404" t="str">
        <f>Procurement_Raw!L1404</f>
        <v>ERP</v>
      </c>
      <c r="M1404" t="str">
        <f>Procurement_Raw!O1404</f>
        <v>N</v>
      </c>
      <c r="N1404" t="str">
        <f>IF(E1404="","Missing supplier",IF(B1404="","Missing site",IF(J1404="","Missing spend",IF(COUNTIFS($G$2:G1404,G1404,$E$2:E1404,E1404,$J$2:J1404,J1404)&gt;1,"Duplicate invoice",IF(COUNTIF($G$2:$G$1801,G1404)&gt;1,"Duplicate ID - review",IF(AND(P1404&lt;&gt;"Unmapped",P1404&lt;&gt;F1404),"Category mismatch","OK"))))))</f>
        <v>OK</v>
      </c>
      <c r="O1404" s="125">
        <f t="shared" si="63"/>
        <v>3119.41</v>
      </c>
      <c r="P1404" t="str">
        <f>IF(E1404="","Unmapped",IFERROR(INDEX(Supplier_Lookup!$B$2:$B$25,MATCH(E1404,Supplier_Lookup!$A$2:$A$25,0)),"Unmapped"))</f>
        <v>Food &amp; Catering</v>
      </c>
      <c r="Q1404" s="76">
        <f>IFERROR(INDEX(Category_Targets!$B$2:$B$9,MATCH(F1404,Category_Targets!$A$2:$A$9,0)),0)</f>
        <v>0.04</v>
      </c>
      <c r="R1404" s="125">
        <f t="shared" si="64"/>
        <v>124.7764</v>
      </c>
      <c r="S1404" s="78">
        <f t="shared" si="65"/>
        <v>45839</v>
      </c>
      <c r="T1404" t="str">
        <f>IFERROR(VLOOKUP(B1404,Sites!$A$2:$D$21,4,FALSE()),"Unknown")</f>
        <v>Preston</v>
      </c>
      <c r="U1404" t="str">
        <f>IF(N1404="OK","",COUNTIF($N$2:N1404,"&lt;&gt;OK"))</f>
        <v/>
      </c>
      <c r="V1404">
        <f>IF(OR(NOT(EXACT(E1404,TRIM(Procurement_Raw!E1404))),NOT(EXACT(F1404,TRIM(Procurement_Raw!F1404)))),1,0)</f>
        <v>0</v>
      </c>
    </row>
    <row r="1405" spans="1:22" ht="15" customHeight="1" x14ac:dyDescent="0.25">
      <c r="A1405" s="123">
        <f>Procurement_Raw!A1405</f>
        <v>46006</v>
      </c>
      <c r="B1405" t="str">
        <f>TRIM(Procurement_Raw!B1405)</f>
        <v>S001</v>
      </c>
      <c r="C1405" t="str">
        <f>Procurement_Raw!C1405</f>
        <v>Preston Care &amp; Education Centre</v>
      </c>
      <c r="D1405" t="str">
        <f>Procurement_Raw!D1405</f>
        <v>North</v>
      </c>
      <c r="E1405" t="str">
        <f>IF(TRIM(Procurement_Raw!E1405)="","",IFERROR(INDEX(Supplier_Lookup!$A$2:$A$25,MATCH(TRIM(Procurement_Raw!E1405),Supplier_Lookup!$A$2:$A$25,0)),TRIM(Procurement_Raw!E1405)))</f>
        <v>CareMed</v>
      </c>
      <c r="F1405" t="str">
        <f>IFERROR(INDEX(Category_Targets!$A$2:$A$9,MATCH(TRIM(Procurement_Raw!F1405),Category_Targets!$A$2:$A$9,0)),"Unmapped")</f>
        <v>Medical Supplies</v>
      </c>
      <c r="G1405" t="str">
        <f>TRIM(Procurement_Raw!G1405)</f>
        <v>INV-2025-01404</v>
      </c>
      <c r="H1405" s="77">
        <f>Procurement_Raw!H1405</f>
        <v>46</v>
      </c>
      <c r="I1405" s="124">
        <f>Procurement_Raw!I1405</f>
        <v>178.2</v>
      </c>
      <c r="J1405" s="125">
        <f>IF(Procurement_Raw!J1405="","",Procurement_Raw!J1405)</f>
        <v>8197.2800000000007</v>
      </c>
      <c r="K1405" s="77">
        <f>Procurement_Raw!K1405</f>
        <v>30</v>
      </c>
      <c r="L1405" t="str">
        <f>Procurement_Raw!L1405</f>
        <v>ERP</v>
      </c>
      <c r="M1405" t="str">
        <f>Procurement_Raw!O1405</f>
        <v>N</v>
      </c>
      <c r="N1405" t="str">
        <f>IF(E1405="","Missing supplier",IF(B1405="","Missing site",IF(J1405="","Missing spend",IF(COUNTIFS($G$2:G1405,G1405,$E$2:E1405,E1405,$J$2:J1405,J1405)&gt;1,"Duplicate invoice",IF(COUNTIF($G$2:$G$1801,G1405)&gt;1,"Duplicate ID - review",IF(AND(P1405&lt;&gt;"Unmapped",P1405&lt;&gt;F1405),"Category mismatch","OK"))))))</f>
        <v>OK</v>
      </c>
      <c r="O1405" s="125">
        <f t="shared" si="63"/>
        <v>8197.2800000000007</v>
      </c>
      <c r="P1405" t="str">
        <f>IF(E1405="","Unmapped",IFERROR(INDEX(Supplier_Lookup!$B$2:$B$25,MATCH(E1405,Supplier_Lookup!$A$2:$A$25,0)),"Unmapped"))</f>
        <v>Medical Supplies</v>
      </c>
      <c r="Q1405" s="76">
        <f>IFERROR(INDEX(Category_Targets!$B$2:$B$9,MATCH(F1405,Category_Targets!$A$2:$A$9,0)),0)</f>
        <v>0.06</v>
      </c>
      <c r="R1405" s="125">
        <f t="shared" si="64"/>
        <v>491.83680000000004</v>
      </c>
      <c r="S1405" s="78">
        <f t="shared" si="65"/>
        <v>45992</v>
      </c>
      <c r="T1405" t="str">
        <f>IFERROR(VLOOKUP(B1405,Sites!$A$2:$D$21,4,FALSE()),"Unknown")</f>
        <v>Preston</v>
      </c>
      <c r="U1405" t="str">
        <f>IF(N1405="OK","",COUNTIF($N$2:N1405,"&lt;&gt;OK"))</f>
        <v/>
      </c>
      <c r="V1405">
        <f>IF(OR(NOT(EXACT(E1405,TRIM(Procurement_Raw!E1405))),NOT(EXACT(F1405,TRIM(Procurement_Raw!F1405)))),1,0)</f>
        <v>0</v>
      </c>
    </row>
    <row r="1406" spans="1:22" ht="15" customHeight="1" x14ac:dyDescent="0.25">
      <c r="A1406" s="123">
        <f>Procurement_Raw!A1406</f>
        <v>45771</v>
      </c>
      <c r="B1406" t="str">
        <f>TRIM(Procurement_Raw!B1406)</f>
        <v>S015</v>
      </c>
      <c r="C1406" t="str">
        <f>Procurement_Raw!C1406</f>
        <v>Brighton Care &amp; Education Centre</v>
      </c>
      <c r="D1406" t="str">
        <f>Procurement_Raw!D1406</f>
        <v>South</v>
      </c>
      <c r="E1406" t="str">
        <f>IF(TRIM(Procurement_Raw!E1406)="","",IFERROR(INDEX(Supplier_Lookup!$A$2:$A$25,MATCH(TRIM(Procurement_Raw!E1406),Supplier_Lookup!$A$2:$A$25,0)),TRIM(Procurement_Raw!E1406)))</f>
        <v>NetServe</v>
      </c>
      <c r="F1406" t="str">
        <f>IFERROR(INDEX(Category_Targets!$A$2:$A$9,MATCH(TRIM(Procurement_Raw!F1406),Category_Targets!$A$2:$A$9,0)),"Unmapped")</f>
        <v>IT &amp; Telecoms</v>
      </c>
      <c r="G1406" t="str">
        <f>TRIM(Procurement_Raw!G1406)</f>
        <v>INV-2025-01405</v>
      </c>
      <c r="H1406" s="77">
        <f>Procurement_Raw!H1406</f>
        <v>30</v>
      </c>
      <c r="I1406" s="124">
        <f>Procurement_Raw!I1406</f>
        <v>380.49</v>
      </c>
      <c r="J1406" s="125">
        <f>IF(Procurement_Raw!J1406="","",Procurement_Raw!J1406)</f>
        <v>11414.63</v>
      </c>
      <c r="K1406" s="77">
        <f>Procurement_Raw!K1406</f>
        <v>45</v>
      </c>
      <c r="L1406" t="str">
        <f>Procurement_Raw!L1406</f>
        <v>Procurement Portal</v>
      </c>
      <c r="M1406" t="str">
        <f>Procurement_Raw!O1406</f>
        <v>N</v>
      </c>
      <c r="N1406" t="str">
        <f>IF(E1406="","Missing supplier",IF(B1406="","Missing site",IF(J1406="","Missing spend",IF(COUNTIFS($G$2:G1406,G1406,$E$2:E1406,E1406,$J$2:J1406,J1406)&gt;1,"Duplicate invoice",IF(COUNTIF($G$2:$G$1801,G1406)&gt;1,"Duplicate ID - review",IF(AND(P1406&lt;&gt;"Unmapped",P1406&lt;&gt;F1406),"Category mismatch","OK"))))))</f>
        <v>OK</v>
      </c>
      <c r="O1406" s="125">
        <f t="shared" si="63"/>
        <v>11414.63</v>
      </c>
      <c r="P1406" t="str">
        <f>IF(E1406="","Unmapped",IFERROR(INDEX(Supplier_Lookup!$B$2:$B$25,MATCH(E1406,Supplier_Lookup!$A$2:$A$25,0)),"Unmapped"))</f>
        <v>IT &amp; Telecoms</v>
      </c>
      <c r="Q1406" s="76">
        <f>IFERROR(INDEX(Category_Targets!$B$2:$B$9,MATCH(F1406,Category_Targets!$A$2:$A$9,0)),0)</f>
        <v>0.08</v>
      </c>
      <c r="R1406" s="125">
        <f t="shared" si="64"/>
        <v>913.17039999999997</v>
      </c>
      <c r="S1406" s="78">
        <f t="shared" si="65"/>
        <v>45748</v>
      </c>
      <c r="T1406" t="str">
        <f>IFERROR(VLOOKUP(B1406,Sites!$A$2:$D$21,4,FALSE()),"Unknown")</f>
        <v>Brighton</v>
      </c>
      <c r="U1406" t="str">
        <f>IF(N1406="OK","",COUNTIF($N$2:N1406,"&lt;&gt;OK"))</f>
        <v/>
      </c>
      <c r="V1406">
        <f>IF(OR(NOT(EXACT(E1406,TRIM(Procurement_Raw!E1406))),NOT(EXACT(F1406,TRIM(Procurement_Raw!F1406)))),1,0)</f>
        <v>0</v>
      </c>
    </row>
    <row r="1407" spans="1:22" ht="15" customHeight="1" x14ac:dyDescent="0.25">
      <c r="A1407" s="123">
        <f>Procurement_Raw!A1407</f>
        <v>46018</v>
      </c>
      <c r="B1407" t="str">
        <f>TRIM(Procurement_Raw!B1407)</f>
        <v>S017</v>
      </c>
      <c r="C1407" t="str">
        <f>Procurement_Raw!C1407</f>
        <v>Swansea Care &amp; Education Centre</v>
      </c>
      <c r="D1407" t="str">
        <f>Procurement_Raw!D1407</f>
        <v>Wales</v>
      </c>
      <c r="E1407" t="str">
        <f>IF(TRIM(Procurement_Raw!E1407)="","",IFERROR(INDEX(Supplier_Lookup!$A$2:$A$25,MATCH(TRIM(Procurement_Raw!E1407),Supplier_Lookup!$A$2:$A$25,0)),TRIM(Procurement_Raw!E1407)))</f>
        <v>TeleCare IT</v>
      </c>
      <c r="F1407" t="str">
        <f>IFERROR(INDEX(Category_Targets!$A$2:$A$9,MATCH(TRIM(Procurement_Raw!F1407),Category_Targets!$A$2:$A$9,0)),"Unmapped")</f>
        <v>IT &amp; Telecoms</v>
      </c>
      <c r="G1407" t="str">
        <f>TRIM(Procurement_Raw!G1407)</f>
        <v>INV-2025-01406</v>
      </c>
      <c r="H1407" s="77">
        <f>Procurement_Raw!H1407</f>
        <v>78</v>
      </c>
      <c r="I1407" s="124">
        <f>Procurement_Raw!I1407</f>
        <v>145.1</v>
      </c>
      <c r="J1407" s="125">
        <f>IF(Procurement_Raw!J1407="","",Procurement_Raw!J1407)</f>
        <v>11317.43</v>
      </c>
      <c r="K1407" s="77">
        <f>Procurement_Raw!K1407</f>
        <v>30</v>
      </c>
      <c r="L1407" t="str">
        <f>Procurement_Raw!L1407</f>
        <v>ERP</v>
      </c>
      <c r="M1407" t="str">
        <f>Procurement_Raw!O1407</f>
        <v>N</v>
      </c>
      <c r="N1407" t="str">
        <f>IF(E1407="","Missing supplier",IF(B1407="","Missing site",IF(J1407="","Missing spend",IF(COUNTIFS($G$2:G1407,G1407,$E$2:E1407,E1407,$J$2:J1407,J1407)&gt;1,"Duplicate invoice",IF(COUNTIF($G$2:$G$1801,G1407)&gt;1,"Duplicate ID - review",IF(AND(P1407&lt;&gt;"Unmapped",P1407&lt;&gt;F1407),"Category mismatch","OK"))))))</f>
        <v>OK</v>
      </c>
      <c r="O1407" s="125">
        <f t="shared" si="63"/>
        <v>11317.43</v>
      </c>
      <c r="P1407" t="str">
        <f>IF(E1407="","Unmapped",IFERROR(INDEX(Supplier_Lookup!$B$2:$B$25,MATCH(E1407,Supplier_Lookup!$A$2:$A$25,0)),"Unmapped"))</f>
        <v>IT &amp; Telecoms</v>
      </c>
      <c r="Q1407" s="76">
        <f>IFERROR(INDEX(Category_Targets!$B$2:$B$9,MATCH(F1407,Category_Targets!$A$2:$A$9,0)),0)</f>
        <v>0.08</v>
      </c>
      <c r="R1407" s="125">
        <f t="shared" si="64"/>
        <v>905.39440000000002</v>
      </c>
      <c r="S1407" s="78">
        <f t="shared" si="65"/>
        <v>45992</v>
      </c>
      <c r="T1407" t="str">
        <f>IFERROR(VLOOKUP(B1407,Sites!$A$2:$D$21,4,FALSE()),"Unknown")</f>
        <v>Swansea</v>
      </c>
      <c r="U1407" t="str">
        <f>IF(N1407="OK","",COUNTIF($N$2:N1407,"&lt;&gt;OK"))</f>
        <v/>
      </c>
      <c r="V1407">
        <f>IF(OR(NOT(EXACT(E1407,TRIM(Procurement_Raw!E1407))),NOT(EXACT(F1407,TRIM(Procurement_Raw!F1407)))),1,0)</f>
        <v>0</v>
      </c>
    </row>
    <row r="1408" spans="1:22" ht="15" customHeight="1" x14ac:dyDescent="0.25">
      <c r="A1408" s="123">
        <f>Procurement_Raw!A1408</f>
        <v>45800</v>
      </c>
      <c r="B1408" t="str">
        <f>TRIM(Procurement_Raw!B1408)</f>
        <v>S005</v>
      </c>
      <c r="C1408" t="str">
        <f>Procurement_Raw!C1408</f>
        <v>Sheffield Care &amp; Education Centre</v>
      </c>
      <c r="D1408" t="str">
        <f>Procurement_Raw!D1408</f>
        <v>North</v>
      </c>
      <c r="E1408" t="str">
        <f>IF(TRIM(Procurement_Raw!E1408)="","",IFERROR(INDEX(Supplier_Lookup!$A$2:$A$25,MATCH(TRIM(Procurement_Raw!E1408),Supplier_Lookup!$A$2:$A$25,0)),TRIM(Procurement_Raw!E1408)))</f>
        <v>HealthStaffing</v>
      </c>
      <c r="F1408" t="str">
        <f>IFERROR(INDEX(Category_Targets!$A$2:$A$9,MATCH(TRIM(Procurement_Raw!F1408),Category_Targets!$A$2:$A$9,0)),"Unmapped")</f>
        <v>Agency Labour</v>
      </c>
      <c r="G1408" t="str">
        <f>TRIM(Procurement_Raw!G1408)</f>
        <v>INV-2025-01407</v>
      </c>
      <c r="H1408" s="77">
        <f>Procurement_Raw!H1408</f>
        <v>73</v>
      </c>
      <c r="I1408" s="124">
        <f>Procurement_Raw!I1408</f>
        <v>137.25</v>
      </c>
      <c r="J1408" s="125">
        <f>IF(Procurement_Raw!J1408="","",Procurement_Raw!J1408)</f>
        <v>10019.07</v>
      </c>
      <c r="K1408" s="77">
        <f>Procurement_Raw!K1408</f>
        <v>60</v>
      </c>
      <c r="L1408" t="str">
        <f>Procurement_Raw!L1408</f>
        <v>Procurement Portal</v>
      </c>
      <c r="M1408" t="str">
        <f>Procurement_Raw!O1408</f>
        <v>N</v>
      </c>
      <c r="N1408" t="str">
        <f>IF(E1408="","Missing supplier",IF(B1408="","Missing site",IF(J1408="","Missing spend",IF(COUNTIFS($G$2:G1408,G1408,$E$2:E1408,E1408,$J$2:J1408,J1408)&gt;1,"Duplicate invoice",IF(COUNTIF($G$2:$G$1801,G1408)&gt;1,"Duplicate ID - review",IF(AND(P1408&lt;&gt;"Unmapped",P1408&lt;&gt;F1408),"Category mismatch","OK"))))))</f>
        <v>OK</v>
      </c>
      <c r="O1408" s="125">
        <f t="shared" si="63"/>
        <v>10019.07</v>
      </c>
      <c r="P1408" t="str">
        <f>IF(E1408="","Unmapped",IFERROR(INDEX(Supplier_Lookup!$B$2:$B$25,MATCH(E1408,Supplier_Lookup!$A$2:$A$25,0)),"Unmapped"))</f>
        <v>Agency Labour</v>
      </c>
      <c r="Q1408" s="76">
        <f>IFERROR(INDEX(Category_Targets!$B$2:$B$9,MATCH(F1408,Category_Targets!$A$2:$A$9,0)),0)</f>
        <v>7.0000000000000007E-2</v>
      </c>
      <c r="R1408" s="125">
        <f t="shared" si="64"/>
        <v>701.33490000000006</v>
      </c>
      <c r="S1408" s="78">
        <f t="shared" si="65"/>
        <v>45778</v>
      </c>
      <c r="T1408" t="str">
        <f>IFERROR(VLOOKUP(B1408,Sites!$A$2:$D$21,4,FALSE()),"Unknown")</f>
        <v>Sheffield</v>
      </c>
      <c r="U1408" t="str">
        <f>IF(N1408="OK","",COUNTIF($N$2:N1408,"&lt;&gt;OK"))</f>
        <v/>
      </c>
      <c r="V1408">
        <f>IF(OR(NOT(EXACT(E1408,TRIM(Procurement_Raw!E1408))),NOT(EXACT(F1408,TRIM(Procurement_Raw!F1408)))),1,0)</f>
        <v>0</v>
      </c>
    </row>
    <row r="1409" spans="1:22" ht="15" customHeight="1" x14ac:dyDescent="0.25">
      <c r="A1409" s="123">
        <f>Procurement_Raw!A1409</f>
        <v>45947</v>
      </c>
      <c r="B1409" t="str">
        <f>TRIM(Procurement_Raw!B1409)</f>
        <v>S004</v>
      </c>
      <c r="C1409" t="str">
        <f>Procurement_Raw!C1409</f>
        <v>Newcastle Care &amp; Education Centre</v>
      </c>
      <c r="D1409" t="str">
        <f>Procurement_Raw!D1409</f>
        <v>North</v>
      </c>
      <c r="E1409" t="str">
        <f>IF(TRIM(Procurement_Raw!E1409)="","",IFERROR(INDEX(Supplier_Lookup!$A$2:$A$25,MATCH(TRIM(Procurement_Raw!E1409),Supplier_Lookup!$A$2:$A$25,0)),TRIM(Procurement_Raw!E1409)))</f>
        <v>PowerDirect</v>
      </c>
      <c r="F1409" t="str">
        <f>IFERROR(INDEX(Category_Targets!$A$2:$A$9,MATCH(TRIM(Procurement_Raw!F1409),Category_Targets!$A$2:$A$9,0)),"Unmapped")</f>
        <v>Utilities</v>
      </c>
      <c r="G1409" t="str">
        <f>TRIM(Procurement_Raw!G1409)</f>
        <v>INV-2025-01408</v>
      </c>
      <c r="H1409" s="77">
        <f>Procurement_Raw!H1409</f>
        <v>78</v>
      </c>
      <c r="I1409" s="124">
        <f>Procurement_Raw!I1409</f>
        <v>570.89</v>
      </c>
      <c r="J1409" s="125">
        <f>IF(Procurement_Raw!J1409="","",Procurement_Raw!J1409)</f>
        <v>44529.33</v>
      </c>
      <c r="K1409" s="77">
        <f>Procurement_Raw!K1409</f>
        <v>60</v>
      </c>
      <c r="L1409" t="str">
        <f>Procurement_Raw!L1409</f>
        <v>ERP</v>
      </c>
      <c r="M1409" t="str">
        <f>Procurement_Raw!O1409</f>
        <v>N</v>
      </c>
      <c r="N1409" t="str">
        <f>IF(E1409="","Missing supplier",IF(B1409="","Missing site",IF(J1409="","Missing spend",IF(COUNTIFS($G$2:G1409,G1409,$E$2:E1409,E1409,$J$2:J1409,J1409)&gt;1,"Duplicate invoice",IF(COUNTIF($G$2:$G$1801,G1409)&gt;1,"Duplicate ID - review",IF(AND(P1409&lt;&gt;"Unmapped",P1409&lt;&gt;F1409),"Category mismatch","OK"))))))</f>
        <v>OK</v>
      </c>
      <c r="O1409" s="125">
        <f t="shared" si="63"/>
        <v>44529.33</v>
      </c>
      <c r="P1409" t="str">
        <f>IF(E1409="","Unmapped",IFERROR(INDEX(Supplier_Lookup!$B$2:$B$25,MATCH(E1409,Supplier_Lookup!$A$2:$A$25,0)),"Unmapped"))</f>
        <v>Utilities</v>
      </c>
      <c r="Q1409" s="76">
        <f>IFERROR(INDEX(Category_Targets!$B$2:$B$9,MATCH(F1409,Category_Targets!$A$2:$A$9,0)),0)</f>
        <v>0.03</v>
      </c>
      <c r="R1409" s="125">
        <f t="shared" si="64"/>
        <v>1335.8798999999999</v>
      </c>
      <c r="S1409" s="78">
        <f t="shared" si="65"/>
        <v>45931</v>
      </c>
      <c r="T1409" t="str">
        <f>IFERROR(VLOOKUP(B1409,Sites!$A$2:$D$21,4,FALSE()),"Unknown")</f>
        <v>Newcastle</v>
      </c>
      <c r="U1409" t="str">
        <f>IF(N1409="OK","",COUNTIF($N$2:N1409,"&lt;&gt;OK"))</f>
        <v/>
      </c>
      <c r="V1409">
        <f>IF(OR(NOT(EXACT(E1409,TRIM(Procurement_Raw!E1409))),NOT(EXACT(F1409,TRIM(Procurement_Raw!F1409)))),1,0)</f>
        <v>0</v>
      </c>
    </row>
    <row r="1410" spans="1:22" ht="15" customHeight="1" x14ac:dyDescent="0.25">
      <c r="A1410" s="123">
        <f>Procurement_Raw!A1410</f>
        <v>45691</v>
      </c>
      <c r="B1410" t="str">
        <f>TRIM(Procurement_Raw!B1410)</f>
        <v>S005</v>
      </c>
      <c r="C1410" t="str">
        <f>Procurement_Raw!C1410</f>
        <v>Sheffield Care &amp; Education Centre</v>
      </c>
      <c r="D1410" t="str">
        <f>Procurement_Raw!D1410</f>
        <v>North</v>
      </c>
      <c r="E1410" t="str">
        <f>IF(TRIM(Procurement_Raw!E1410)="","",IFERROR(INDEX(Supplier_Lookup!$A$2:$A$25,MATCH(TRIM(Procurement_Raw!E1410),Supplier_Lookup!$A$2:$A$25,0)),TRIM(Procurement_Raw!E1410)))</f>
        <v>BuildCare</v>
      </c>
      <c r="F1410" t="str">
        <f>IFERROR(INDEX(Category_Targets!$A$2:$A$9,MATCH(TRIM(Procurement_Raw!F1410),Category_Targets!$A$2:$A$9,0)),"Unmapped")</f>
        <v>Facilities</v>
      </c>
      <c r="G1410" t="str">
        <f>TRIM(Procurement_Raw!G1410)</f>
        <v>INV-2025-01409</v>
      </c>
      <c r="H1410" s="77">
        <f>Procurement_Raw!H1410</f>
        <v>17</v>
      </c>
      <c r="I1410" s="124">
        <f>Procurement_Raw!I1410</f>
        <v>150.72999999999999</v>
      </c>
      <c r="J1410" s="125">
        <f>IF(Procurement_Raw!J1410="","",Procurement_Raw!J1410)</f>
        <v>2562.39</v>
      </c>
      <c r="K1410" s="77">
        <f>Procurement_Raw!K1410</f>
        <v>45</v>
      </c>
      <c r="L1410" t="str">
        <f>Procurement_Raw!L1410</f>
        <v>Legacy Spend File</v>
      </c>
      <c r="M1410" t="str">
        <f>Procurement_Raw!O1410</f>
        <v>N</v>
      </c>
      <c r="N1410" t="str">
        <f>IF(E1410="","Missing supplier",IF(B1410="","Missing site",IF(J1410="","Missing spend",IF(COUNTIFS($G$2:G1410,G1410,$E$2:E1410,E1410,$J$2:J1410,J1410)&gt;1,"Duplicate invoice",IF(COUNTIF($G$2:$G$1801,G1410)&gt;1,"Duplicate ID - review",IF(AND(P1410&lt;&gt;"Unmapped",P1410&lt;&gt;F1410),"Category mismatch","OK"))))))</f>
        <v>OK</v>
      </c>
      <c r="O1410" s="125">
        <f t="shared" ref="O1410:O1473" si="66">IF(OR(N1410="Missing spend",N1410="Duplicate invoice"),0,J1410)</f>
        <v>2562.39</v>
      </c>
      <c r="P1410" t="str">
        <f>IF(E1410="","Unmapped",IFERROR(INDEX(Supplier_Lookup!$B$2:$B$25,MATCH(E1410,Supplier_Lookup!$A$2:$A$25,0)),"Unmapped"))</f>
        <v>Facilities</v>
      </c>
      <c r="Q1410" s="76">
        <f>IFERROR(INDEX(Category_Targets!$B$2:$B$9,MATCH(F1410,Category_Targets!$A$2:$A$9,0)),0)</f>
        <v>0.05</v>
      </c>
      <c r="R1410" s="125">
        <f t="shared" ref="R1410:R1473" si="67">O1410*Q1410</f>
        <v>128.11949999999999</v>
      </c>
      <c r="S1410" s="78">
        <f t="shared" ref="S1410:S1473" si="68">DATE(YEAR(A1410),MONTH(A1410),1)</f>
        <v>45689</v>
      </c>
      <c r="T1410" t="str">
        <f>IFERROR(VLOOKUP(B1410,Sites!$A$2:$D$21,4,FALSE()),"Unknown")</f>
        <v>Sheffield</v>
      </c>
      <c r="U1410" t="str">
        <f>IF(N1410="OK","",COUNTIF($N$2:N1410,"&lt;&gt;OK"))</f>
        <v/>
      </c>
      <c r="V1410">
        <f>IF(OR(NOT(EXACT(E1410,TRIM(Procurement_Raw!E1410))),NOT(EXACT(F1410,TRIM(Procurement_Raw!F1410)))),1,0)</f>
        <v>0</v>
      </c>
    </row>
    <row r="1411" spans="1:22" ht="15" customHeight="1" x14ac:dyDescent="0.25">
      <c r="A1411" s="123">
        <f>Procurement_Raw!A1411</f>
        <v>46005</v>
      </c>
      <c r="B1411" t="str">
        <f>TRIM(Procurement_Raw!B1411)</f>
        <v>S017</v>
      </c>
      <c r="C1411" t="str">
        <f>Procurement_Raw!C1411</f>
        <v>Swansea Care &amp; Education Centre</v>
      </c>
      <c r="D1411" t="str">
        <f>Procurement_Raw!D1411</f>
        <v>Wales</v>
      </c>
      <c r="E1411" t="str">
        <f>IF(TRIM(Procurement_Raw!E1411)="","",IFERROR(INDEX(Supplier_Lookup!$A$2:$A$25,MATCH(TRIM(Procurement_Raw!E1411),Supplier_Lookup!$A$2:$A$25,0)),TRIM(Procurement_Raw!E1411)))</f>
        <v>CloudLink</v>
      </c>
      <c r="F1411" t="str">
        <f>IFERROR(INDEX(Category_Targets!$A$2:$A$9,MATCH(TRIM(Procurement_Raw!F1411),Category_Targets!$A$2:$A$9,0)),"Unmapped")</f>
        <v>IT &amp; Telecoms</v>
      </c>
      <c r="G1411" t="str">
        <f>TRIM(Procurement_Raw!G1411)</f>
        <v>INV-2025-01410</v>
      </c>
      <c r="H1411" s="77">
        <f>Procurement_Raw!H1411</f>
        <v>3</v>
      </c>
      <c r="I1411" s="124">
        <f>Procurement_Raw!I1411</f>
        <v>191.65</v>
      </c>
      <c r="J1411" s="125">
        <f>IF(Procurement_Raw!J1411="","",Procurement_Raw!J1411)</f>
        <v>574.95000000000005</v>
      </c>
      <c r="K1411" s="77">
        <f>Procurement_Raw!K1411</f>
        <v>60</v>
      </c>
      <c r="L1411" t="str">
        <f>Procurement_Raw!L1411</f>
        <v>Legacy Spend File</v>
      </c>
      <c r="M1411" t="str">
        <f>Procurement_Raw!O1411</f>
        <v>Y</v>
      </c>
      <c r="N1411" t="str">
        <f>IF(E1411="","Missing supplier",IF(B1411="","Missing site",IF(J1411="","Missing spend",IF(COUNTIFS($G$2:G1411,G1411,$E$2:E1411,E1411,$J$2:J1411,J1411)&gt;1,"Duplicate invoice",IF(COUNTIF($G$2:$G$1801,G1411)&gt;1,"Duplicate ID - review",IF(AND(P1411&lt;&gt;"Unmapped",P1411&lt;&gt;F1411),"Category mismatch","OK"))))))</f>
        <v>OK</v>
      </c>
      <c r="O1411" s="125">
        <f t="shared" si="66"/>
        <v>574.95000000000005</v>
      </c>
      <c r="P1411" t="str">
        <f>IF(E1411="","Unmapped",IFERROR(INDEX(Supplier_Lookup!$B$2:$B$25,MATCH(E1411,Supplier_Lookup!$A$2:$A$25,0)),"Unmapped"))</f>
        <v>IT &amp; Telecoms</v>
      </c>
      <c r="Q1411" s="76">
        <f>IFERROR(INDEX(Category_Targets!$B$2:$B$9,MATCH(F1411,Category_Targets!$A$2:$A$9,0)),0)</f>
        <v>0.08</v>
      </c>
      <c r="R1411" s="125">
        <f t="shared" si="67"/>
        <v>45.996000000000002</v>
      </c>
      <c r="S1411" s="78">
        <f t="shared" si="68"/>
        <v>45992</v>
      </c>
      <c r="T1411" t="str">
        <f>IFERROR(VLOOKUP(B1411,Sites!$A$2:$D$21,4,FALSE()),"Unknown")</f>
        <v>Swansea</v>
      </c>
      <c r="U1411" t="str">
        <f>IF(N1411="OK","",COUNTIF($N$2:N1411,"&lt;&gt;OK"))</f>
        <v/>
      </c>
      <c r="V1411">
        <f>IF(OR(NOT(EXACT(E1411,TRIM(Procurement_Raw!E1411))),NOT(EXACT(F1411,TRIM(Procurement_Raw!F1411)))),1,0)</f>
        <v>0</v>
      </c>
    </row>
    <row r="1412" spans="1:22" ht="15" customHeight="1" x14ac:dyDescent="0.25">
      <c r="A1412" s="123">
        <f>Procurement_Raw!A1412</f>
        <v>45944</v>
      </c>
      <c r="B1412" t="str">
        <f>TRIM(Procurement_Raw!B1412)</f>
        <v>S020</v>
      </c>
      <c r="C1412" t="str">
        <f>Procurement_Raw!C1412</f>
        <v>Bangor Care &amp; Education Centre</v>
      </c>
      <c r="D1412" t="str">
        <f>Procurement_Raw!D1412</f>
        <v>Wales</v>
      </c>
      <c r="E1412" t="str">
        <f>IF(TRIM(Procurement_Raw!E1412)="","",IFERROR(INDEX(Supplier_Lookup!$A$2:$A$25,MATCH(TRIM(Procurement_Raw!E1412),Supplier_Lookup!$A$2:$A$25,0)),TRIM(Procurement_Raw!E1412)))</f>
        <v>NetServe</v>
      </c>
      <c r="F1412" t="str">
        <f>IFERROR(INDEX(Category_Targets!$A$2:$A$9,MATCH(TRIM(Procurement_Raw!F1412),Category_Targets!$A$2:$A$9,0)),"Unmapped")</f>
        <v>IT &amp; Telecoms</v>
      </c>
      <c r="G1412" t="str">
        <f>TRIM(Procurement_Raw!G1412)</f>
        <v>INV-2025-01411</v>
      </c>
      <c r="H1412" s="77">
        <f>Procurement_Raw!H1412</f>
        <v>59</v>
      </c>
      <c r="I1412" s="124">
        <f>Procurement_Raw!I1412</f>
        <v>456.75</v>
      </c>
      <c r="J1412" s="125">
        <f>IF(Procurement_Raw!J1412="","",Procurement_Raw!J1412)</f>
        <v>26948.2</v>
      </c>
      <c r="K1412" s="77">
        <f>Procurement_Raw!K1412</f>
        <v>30</v>
      </c>
      <c r="L1412" t="str">
        <f>Procurement_Raw!L1412</f>
        <v>Procurement Portal</v>
      </c>
      <c r="M1412" t="str">
        <f>Procurement_Raw!O1412</f>
        <v>N</v>
      </c>
      <c r="N1412" t="str">
        <f>IF(E1412="","Missing supplier",IF(B1412="","Missing site",IF(J1412="","Missing spend",IF(COUNTIFS($G$2:G1412,G1412,$E$2:E1412,E1412,$J$2:J1412,J1412)&gt;1,"Duplicate invoice",IF(COUNTIF($G$2:$G$1801,G1412)&gt;1,"Duplicate ID - review",IF(AND(P1412&lt;&gt;"Unmapped",P1412&lt;&gt;F1412),"Category mismatch","OK"))))))</f>
        <v>OK</v>
      </c>
      <c r="O1412" s="125">
        <f t="shared" si="66"/>
        <v>26948.2</v>
      </c>
      <c r="P1412" t="str">
        <f>IF(E1412="","Unmapped",IFERROR(INDEX(Supplier_Lookup!$B$2:$B$25,MATCH(E1412,Supplier_Lookup!$A$2:$A$25,0)),"Unmapped"))</f>
        <v>IT &amp; Telecoms</v>
      </c>
      <c r="Q1412" s="76">
        <f>IFERROR(INDEX(Category_Targets!$B$2:$B$9,MATCH(F1412,Category_Targets!$A$2:$A$9,0)),0)</f>
        <v>0.08</v>
      </c>
      <c r="R1412" s="125">
        <f t="shared" si="67"/>
        <v>2155.8560000000002</v>
      </c>
      <c r="S1412" s="78">
        <f t="shared" si="68"/>
        <v>45931</v>
      </c>
      <c r="T1412" t="str">
        <f>IFERROR(VLOOKUP(B1412,Sites!$A$2:$D$21,4,FALSE()),"Unknown")</f>
        <v>Bangor</v>
      </c>
      <c r="U1412" t="str">
        <f>IF(N1412="OK","",COUNTIF($N$2:N1412,"&lt;&gt;OK"))</f>
        <v/>
      </c>
      <c r="V1412">
        <f>IF(OR(NOT(EXACT(E1412,TRIM(Procurement_Raw!E1412))),NOT(EXACT(F1412,TRIM(Procurement_Raw!F1412)))),1,0)</f>
        <v>0</v>
      </c>
    </row>
    <row r="1413" spans="1:22" ht="15" customHeight="1" x14ac:dyDescent="0.25">
      <c r="A1413" s="123">
        <f>Procurement_Raw!A1413</f>
        <v>45879</v>
      </c>
      <c r="B1413" t="str">
        <f>TRIM(Procurement_Raw!B1413)</f>
        <v>S009</v>
      </c>
      <c r="C1413" t="str">
        <f>Procurement_Raw!C1413</f>
        <v>Derby Care &amp; Education Centre</v>
      </c>
      <c r="D1413" t="str">
        <f>Procurement_Raw!D1413</f>
        <v>Midlands</v>
      </c>
      <c r="E1413" t="str">
        <f>IF(TRIM(Procurement_Raw!E1413)="","",IFERROR(INDEX(Supplier_Lookup!$A$2:$A$25,MATCH(TRIM(Procurement_Raw!E1413),Supplier_Lookup!$A$2:$A$25,0)),TRIM(Procurement_Raw!E1413)))</f>
        <v>CareMed</v>
      </c>
      <c r="F1413" t="str">
        <f>IFERROR(INDEX(Category_Targets!$A$2:$A$9,MATCH(TRIM(Procurement_Raw!F1413),Category_Targets!$A$2:$A$9,0)),"Unmapped")</f>
        <v>Medical Supplies</v>
      </c>
      <c r="G1413" t="str">
        <f>TRIM(Procurement_Raw!G1413)</f>
        <v>INV-2025-01412</v>
      </c>
      <c r="H1413" s="77">
        <f>Procurement_Raw!H1413</f>
        <v>53</v>
      </c>
      <c r="I1413" s="124">
        <f>Procurement_Raw!I1413</f>
        <v>162.94999999999999</v>
      </c>
      <c r="J1413" s="125">
        <f>IF(Procurement_Raw!J1413="","",Procurement_Raw!J1413)</f>
        <v>8636.1299999999992</v>
      </c>
      <c r="K1413" s="77">
        <f>Procurement_Raw!K1413</f>
        <v>45</v>
      </c>
      <c r="L1413" t="str">
        <f>Procurement_Raw!L1413</f>
        <v>ERP</v>
      </c>
      <c r="M1413" t="str">
        <f>Procurement_Raw!O1413</f>
        <v>N</v>
      </c>
      <c r="N1413" t="str">
        <f>IF(E1413="","Missing supplier",IF(B1413="","Missing site",IF(J1413="","Missing spend",IF(COUNTIFS($G$2:G1413,G1413,$E$2:E1413,E1413,$J$2:J1413,J1413)&gt;1,"Duplicate invoice",IF(COUNTIF($G$2:$G$1801,G1413)&gt;1,"Duplicate ID - review",IF(AND(P1413&lt;&gt;"Unmapped",P1413&lt;&gt;F1413),"Category mismatch","OK"))))))</f>
        <v>OK</v>
      </c>
      <c r="O1413" s="125">
        <f t="shared" si="66"/>
        <v>8636.1299999999992</v>
      </c>
      <c r="P1413" t="str">
        <f>IF(E1413="","Unmapped",IFERROR(INDEX(Supplier_Lookup!$B$2:$B$25,MATCH(E1413,Supplier_Lookup!$A$2:$A$25,0)),"Unmapped"))</f>
        <v>Medical Supplies</v>
      </c>
      <c r="Q1413" s="76">
        <f>IFERROR(INDEX(Category_Targets!$B$2:$B$9,MATCH(F1413,Category_Targets!$A$2:$A$9,0)),0)</f>
        <v>0.06</v>
      </c>
      <c r="R1413" s="125">
        <f t="shared" si="67"/>
        <v>518.16779999999994</v>
      </c>
      <c r="S1413" s="78">
        <f t="shared" si="68"/>
        <v>45870</v>
      </c>
      <c r="T1413" t="str">
        <f>IFERROR(VLOOKUP(B1413,Sites!$A$2:$D$21,4,FALSE()),"Unknown")</f>
        <v>Derby</v>
      </c>
      <c r="U1413" t="str">
        <f>IF(N1413="OK","",COUNTIF($N$2:N1413,"&lt;&gt;OK"))</f>
        <v/>
      </c>
      <c r="V1413">
        <f>IF(OR(NOT(EXACT(E1413,TRIM(Procurement_Raw!E1413))),NOT(EXACT(F1413,TRIM(Procurement_Raw!F1413)))),1,0)</f>
        <v>0</v>
      </c>
    </row>
    <row r="1414" spans="1:22" ht="15" customHeight="1" x14ac:dyDescent="0.25">
      <c r="A1414" s="123">
        <f>Procurement_Raw!A1414</f>
        <v>45843</v>
      </c>
      <c r="B1414" t="str">
        <f>TRIM(Procurement_Raw!B1414)</f>
        <v>S019</v>
      </c>
      <c r="C1414" t="str">
        <f>Procurement_Raw!C1414</f>
        <v>Wrexham Care &amp; Education Centre</v>
      </c>
      <c r="D1414" t="str">
        <f>Procurement_Raw!D1414</f>
        <v>Wales</v>
      </c>
      <c r="E1414" t="str">
        <f>IF(TRIM(Procurement_Raw!E1414)="","",IFERROR(INDEX(Supplier_Lookup!$A$2:$A$25,MATCH(TRIM(Procurement_Raw!E1414),Supplier_Lookup!$A$2:$A$25,0)),TRIM(Procurement_Raw!E1414)))</f>
        <v>LearnWell</v>
      </c>
      <c r="F1414" t="str">
        <f>IFERROR(INDEX(Category_Targets!$A$2:$A$9,MATCH(TRIM(Procurement_Raw!F1414),Category_Targets!$A$2:$A$9,0)),"Unmapped")</f>
        <v>Office &amp; Training</v>
      </c>
      <c r="G1414" t="str">
        <f>TRIM(Procurement_Raw!G1414)</f>
        <v>INV-2025-01413</v>
      </c>
      <c r="H1414" s="77">
        <f>Procurement_Raw!H1414</f>
        <v>67</v>
      </c>
      <c r="I1414" s="124">
        <f>Procurement_Raw!I1414</f>
        <v>96.37</v>
      </c>
      <c r="J1414" s="125">
        <f>IF(Procurement_Raw!J1414="","",Procurement_Raw!J1414)</f>
        <v>6456.99</v>
      </c>
      <c r="K1414" s="77">
        <f>Procurement_Raw!K1414</f>
        <v>30</v>
      </c>
      <c r="L1414" t="str">
        <f>Procurement_Raw!L1414</f>
        <v>Legacy Spend File</v>
      </c>
      <c r="M1414" t="str">
        <f>Procurement_Raw!O1414</f>
        <v>N</v>
      </c>
      <c r="N1414" t="str">
        <f>IF(E1414="","Missing supplier",IF(B1414="","Missing site",IF(J1414="","Missing spend",IF(COUNTIFS($G$2:G1414,G1414,$E$2:E1414,E1414,$J$2:J1414,J1414)&gt;1,"Duplicate invoice",IF(COUNTIF($G$2:$G$1801,G1414)&gt;1,"Duplicate ID - review",IF(AND(P1414&lt;&gt;"Unmapped",P1414&lt;&gt;F1414),"Category mismatch","OK"))))))</f>
        <v>OK</v>
      </c>
      <c r="O1414" s="125">
        <f t="shared" si="66"/>
        <v>6456.99</v>
      </c>
      <c r="P1414" t="str">
        <f>IF(E1414="","Unmapped",IFERROR(INDEX(Supplier_Lookup!$B$2:$B$25,MATCH(E1414,Supplier_Lookup!$A$2:$A$25,0)),"Unmapped"))</f>
        <v>Office &amp; Training</v>
      </c>
      <c r="Q1414" s="76">
        <f>IFERROR(INDEX(Category_Targets!$B$2:$B$9,MATCH(F1414,Category_Targets!$A$2:$A$9,0)),0)</f>
        <v>0.04</v>
      </c>
      <c r="R1414" s="125">
        <f t="shared" si="67"/>
        <v>258.27960000000002</v>
      </c>
      <c r="S1414" s="78">
        <f t="shared" si="68"/>
        <v>45839</v>
      </c>
      <c r="T1414" t="str">
        <f>IFERROR(VLOOKUP(B1414,Sites!$A$2:$D$21,4,FALSE()),"Unknown")</f>
        <v>Wrexham</v>
      </c>
      <c r="U1414" t="str">
        <f>IF(N1414="OK","",COUNTIF($N$2:N1414,"&lt;&gt;OK"))</f>
        <v/>
      </c>
      <c r="V1414">
        <f>IF(OR(NOT(EXACT(E1414,TRIM(Procurement_Raw!E1414))),NOT(EXACT(F1414,TRIM(Procurement_Raw!F1414)))),1,0)</f>
        <v>0</v>
      </c>
    </row>
    <row r="1415" spans="1:22" ht="15" customHeight="1" x14ac:dyDescent="0.25">
      <c r="A1415" s="123">
        <f>Procurement_Raw!A1415</f>
        <v>45873</v>
      </c>
      <c r="B1415" t="str">
        <f>TRIM(Procurement_Raw!B1415)</f>
        <v>S020</v>
      </c>
      <c r="C1415" t="str">
        <f>Procurement_Raw!C1415</f>
        <v>Bangor Care &amp; Education Centre</v>
      </c>
      <c r="D1415" t="str">
        <f>Procurement_Raw!D1415</f>
        <v>Wales</v>
      </c>
      <c r="E1415" t="str">
        <f>IF(TRIM(Procurement_Raw!E1415)="","",IFERROR(INDEX(Supplier_Lookup!$A$2:$A$25,MATCH(TRIM(Procurement_Raw!E1415),Supplier_Lookup!$A$2:$A$25,0)),TRIM(Procurement_Raw!E1415)))</f>
        <v>CareMed</v>
      </c>
      <c r="F1415" t="str">
        <f>IFERROR(INDEX(Category_Targets!$A$2:$A$9,MATCH(TRIM(Procurement_Raw!F1415),Category_Targets!$A$2:$A$9,0)),"Unmapped")</f>
        <v>Medical Supplies</v>
      </c>
      <c r="G1415" t="str">
        <f>TRIM(Procurement_Raw!G1415)</f>
        <v>INV-2025-01414</v>
      </c>
      <c r="H1415" s="77">
        <f>Procurement_Raw!H1415</f>
        <v>69</v>
      </c>
      <c r="I1415" s="124">
        <f>Procurement_Raw!I1415</f>
        <v>394.75</v>
      </c>
      <c r="J1415" s="125">
        <f>IF(Procurement_Raw!J1415="","",Procurement_Raw!J1415)</f>
        <v>27237.49</v>
      </c>
      <c r="K1415" s="77">
        <f>Procurement_Raw!K1415</f>
        <v>45</v>
      </c>
      <c r="L1415" t="str">
        <f>Procurement_Raw!L1415</f>
        <v>Procurement Portal</v>
      </c>
      <c r="M1415" t="str">
        <f>Procurement_Raw!O1415</f>
        <v>N</v>
      </c>
      <c r="N1415" t="str">
        <f>IF(E1415="","Missing supplier",IF(B1415="","Missing site",IF(J1415="","Missing spend",IF(COUNTIFS($G$2:G1415,G1415,$E$2:E1415,E1415,$J$2:J1415,J1415)&gt;1,"Duplicate invoice",IF(COUNTIF($G$2:$G$1801,G1415)&gt;1,"Duplicate ID - review",IF(AND(P1415&lt;&gt;"Unmapped",P1415&lt;&gt;F1415),"Category mismatch","OK"))))))</f>
        <v>OK</v>
      </c>
      <c r="O1415" s="125">
        <f t="shared" si="66"/>
        <v>27237.49</v>
      </c>
      <c r="P1415" t="str">
        <f>IF(E1415="","Unmapped",IFERROR(INDEX(Supplier_Lookup!$B$2:$B$25,MATCH(E1415,Supplier_Lookup!$A$2:$A$25,0)),"Unmapped"))</f>
        <v>Medical Supplies</v>
      </c>
      <c r="Q1415" s="76">
        <f>IFERROR(INDEX(Category_Targets!$B$2:$B$9,MATCH(F1415,Category_Targets!$A$2:$A$9,0)),0)</f>
        <v>0.06</v>
      </c>
      <c r="R1415" s="125">
        <f t="shared" si="67"/>
        <v>1634.2493999999999</v>
      </c>
      <c r="S1415" s="78">
        <f t="shared" si="68"/>
        <v>45870</v>
      </c>
      <c r="T1415" t="str">
        <f>IFERROR(VLOOKUP(B1415,Sites!$A$2:$D$21,4,FALSE()),"Unknown")</f>
        <v>Bangor</v>
      </c>
      <c r="U1415" t="str">
        <f>IF(N1415="OK","",COUNTIF($N$2:N1415,"&lt;&gt;OK"))</f>
        <v/>
      </c>
      <c r="V1415">
        <f>IF(OR(NOT(EXACT(E1415,TRIM(Procurement_Raw!E1415))),NOT(EXACT(F1415,TRIM(Procurement_Raw!F1415)))),1,0)</f>
        <v>0</v>
      </c>
    </row>
    <row r="1416" spans="1:22" ht="15" customHeight="1" x14ac:dyDescent="0.25">
      <c r="A1416" s="123">
        <f>Procurement_Raw!A1416</f>
        <v>45829</v>
      </c>
      <c r="B1416" t="str">
        <f>TRIM(Procurement_Raw!B1416)</f>
        <v>S020</v>
      </c>
      <c r="C1416" t="str">
        <f>Procurement_Raw!C1416</f>
        <v>Bangor Care &amp; Education Centre</v>
      </c>
      <c r="D1416" t="str">
        <f>Procurement_Raw!D1416</f>
        <v>Wales</v>
      </c>
      <c r="E1416" t="str">
        <f>IF(TRIM(Procurement_Raw!E1416)="","",IFERROR(INDEX(Supplier_Lookup!$A$2:$A$25,MATCH(TRIM(Procurement_Raw!E1416),Supplier_Lookup!$A$2:$A$25,0)),TRIM(Procurement_Raw!E1416)))</f>
        <v>HealthStaffing</v>
      </c>
      <c r="F1416" t="str">
        <f>IFERROR(INDEX(Category_Targets!$A$2:$A$9,MATCH(TRIM(Procurement_Raw!F1416),Category_Targets!$A$2:$A$9,0)),"Unmapped")</f>
        <v>Agency Labour</v>
      </c>
      <c r="G1416" t="str">
        <f>TRIM(Procurement_Raw!G1416)</f>
        <v>INV-2025-01415</v>
      </c>
      <c r="H1416" s="77">
        <f>Procurement_Raw!H1416</f>
        <v>11</v>
      </c>
      <c r="I1416" s="124">
        <f>Procurement_Raw!I1416</f>
        <v>210.58</v>
      </c>
      <c r="J1416" s="125">
        <f>IF(Procurement_Raw!J1416="","",Procurement_Raw!J1416)</f>
        <v>2316.34</v>
      </c>
      <c r="K1416" s="77">
        <f>Procurement_Raw!K1416</f>
        <v>60</v>
      </c>
      <c r="L1416" t="str">
        <f>Procurement_Raw!L1416</f>
        <v>ERP</v>
      </c>
      <c r="M1416" t="str">
        <f>Procurement_Raw!O1416</f>
        <v>N</v>
      </c>
      <c r="N1416" t="str">
        <f>IF(E1416="","Missing supplier",IF(B1416="","Missing site",IF(J1416="","Missing spend",IF(COUNTIFS($G$2:G1416,G1416,$E$2:E1416,E1416,$J$2:J1416,J1416)&gt;1,"Duplicate invoice",IF(COUNTIF($G$2:$G$1801,G1416)&gt;1,"Duplicate ID - review",IF(AND(P1416&lt;&gt;"Unmapped",P1416&lt;&gt;F1416),"Category mismatch","OK"))))))</f>
        <v>OK</v>
      </c>
      <c r="O1416" s="125">
        <f t="shared" si="66"/>
        <v>2316.34</v>
      </c>
      <c r="P1416" t="str">
        <f>IF(E1416="","Unmapped",IFERROR(INDEX(Supplier_Lookup!$B$2:$B$25,MATCH(E1416,Supplier_Lookup!$A$2:$A$25,0)),"Unmapped"))</f>
        <v>Agency Labour</v>
      </c>
      <c r="Q1416" s="76">
        <f>IFERROR(INDEX(Category_Targets!$B$2:$B$9,MATCH(F1416,Category_Targets!$A$2:$A$9,0)),0)</f>
        <v>7.0000000000000007E-2</v>
      </c>
      <c r="R1416" s="125">
        <f t="shared" si="67"/>
        <v>162.14380000000003</v>
      </c>
      <c r="S1416" s="78">
        <f t="shared" si="68"/>
        <v>45809</v>
      </c>
      <c r="T1416" t="str">
        <f>IFERROR(VLOOKUP(B1416,Sites!$A$2:$D$21,4,FALSE()),"Unknown")</f>
        <v>Bangor</v>
      </c>
      <c r="U1416" t="str">
        <f>IF(N1416="OK","",COUNTIF($N$2:N1416,"&lt;&gt;OK"))</f>
        <v/>
      </c>
      <c r="V1416">
        <f>IF(OR(NOT(EXACT(E1416,TRIM(Procurement_Raw!E1416))),NOT(EXACT(F1416,TRIM(Procurement_Raw!F1416)))),1,0)</f>
        <v>0</v>
      </c>
    </row>
    <row r="1417" spans="1:22" ht="15" customHeight="1" x14ac:dyDescent="0.25">
      <c r="A1417" s="123">
        <f>Procurement_Raw!A1417</f>
        <v>45874</v>
      </c>
      <c r="B1417" t="str">
        <f>TRIM(Procurement_Raw!B1417)</f>
        <v>S005</v>
      </c>
      <c r="C1417" t="str">
        <f>Procurement_Raw!C1417</f>
        <v>Sheffield Care &amp; Education Centre</v>
      </c>
      <c r="D1417" t="str">
        <f>Procurement_Raw!D1417</f>
        <v>North</v>
      </c>
      <c r="E1417" t="str">
        <f>IF(TRIM(Procurement_Raw!E1417)="","",IFERROR(INDEX(Supplier_Lookup!$A$2:$A$25,MATCH(TRIM(Procurement_Raw!E1417),Supplier_Lookup!$A$2:$A$25,0)),TRIM(Procurement_Raw!E1417)))</f>
        <v>PowerDirect</v>
      </c>
      <c r="F1417" t="str">
        <f>IFERROR(INDEX(Category_Targets!$A$2:$A$9,MATCH(TRIM(Procurement_Raw!F1417),Category_Targets!$A$2:$A$9,0)),"Unmapped")</f>
        <v>Utilities</v>
      </c>
      <c r="G1417" t="str">
        <f>TRIM(Procurement_Raw!G1417)</f>
        <v>INV-2025-01416</v>
      </c>
      <c r="H1417" s="77">
        <f>Procurement_Raw!H1417</f>
        <v>10</v>
      </c>
      <c r="I1417" s="124">
        <f>Procurement_Raw!I1417</f>
        <v>416.45</v>
      </c>
      <c r="J1417" s="125">
        <f>IF(Procurement_Raw!J1417="","",Procurement_Raw!J1417)</f>
        <v>4164.53</v>
      </c>
      <c r="K1417" s="77">
        <f>Procurement_Raw!K1417</f>
        <v>30</v>
      </c>
      <c r="L1417" t="str">
        <f>Procurement_Raw!L1417</f>
        <v>ERP</v>
      </c>
      <c r="M1417" t="str">
        <f>Procurement_Raw!O1417</f>
        <v>N</v>
      </c>
      <c r="N1417" t="str">
        <f>IF(E1417="","Missing supplier",IF(B1417="","Missing site",IF(J1417="","Missing spend",IF(COUNTIFS($G$2:G1417,G1417,$E$2:E1417,E1417,$J$2:J1417,J1417)&gt;1,"Duplicate invoice",IF(COUNTIF($G$2:$G$1801,G1417)&gt;1,"Duplicate ID - review",IF(AND(P1417&lt;&gt;"Unmapped",P1417&lt;&gt;F1417),"Category mismatch","OK"))))))</f>
        <v>OK</v>
      </c>
      <c r="O1417" s="125">
        <f t="shared" si="66"/>
        <v>4164.53</v>
      </c>
      <c r="P1417" t="str">
        <f>IF(E1417="","Unmapped",IFERROR(INDEX(Supplier_Lookup!$B$2:$B$25,MATCH(E1417,Supplier_Lookup!$A$2:$A$25,0)),"Unmapped"))</f>
        <v>Utilities</v>
      </c>
      <c r="Q1417" s="76">
        <f>IFERROR(INDEX(Category_Targets!$B$2:$B$9,MATCH(F1417,Category_Targets!$A$2:$A$9,0)),0)</f>
        <v>0.03</v>
      </c>
      <c r="R1417" s="125">
        <f t="shared" si="67"/>
        <v>124.93589999999999</v>
      </c>
      <c r="S1417" s="78">
        <f t="shared" si="68"/>
        <v>45870</v>
      </c>
      <c r="T1417" t="str">
        <f>IFERROR(VLOOKUP(B1417,Sites!$A$2:$D$21,4,FALSE()),"Unknown")</f>
        <v>Sheffield</v>
      </c>
      <c r="U1417" t="str">
        <f>IF(N1417="OK","",COUNTIF($N$2:N1417,"&lt;&gt;OK"))</f>
        <v/>
      </c>
      <c r="V1417">
        <f>IF(OR(NOT(EXACT(E1417,TRIM(Procurement_Raw!E1417))),NOT(EXACT(F1417,TRIM(Procurement_Raw!F1417)))),1,0)</f>
        <v>0</v>
      </c>
    </row>
    <row r="1418" spans="1:22" ht="15" customHeight="1" x14ac:dyDescent="0.25">
      <c r="A1418" s="123">
        <f>Procurement_Raw!A1418</f>
        <v>45690</v>
      </c>
      <c r="B1418" t="str">
        <f>TRIM(Procurement_Raw!B1418)</f>
        <v>S002</v>
      </c>
      <c r="C1418" t="str">
        <f>Procurement_Raw!C1418</f>
        <v>Manchester Care &amp; Education Centre</v>
      </c>
      <c r="D1418" t="str">
        <f>Procurement_Raw!D1418</f>
        <v>North</v>
      </c>
      <c r="E1418" t="str">
        <f>IF(TRIM(Procurement_Raw!E1418)="","",IFERROR(INDEX(Supplier_Lookup!$A$2:$A$25,MATCH(TRIM(Procurement_Raw!E1418),Supplier_Lookup!$A$2:$A$25,0)),TRIM(Procurement_Raw!E1418)))</f>
        <v>RoadReady</v>
      </c>
      <c r="F1418" t="str">
        <f>IFERROR(INDEX(Category_Targets!$A$2:$A$9,MATCH(TRIM(Procurement_Raw!F1418),Category_Targets!$A$2:$A$9,0)),"Unmapped")</f>
        <v>Vehicle &amp; Fuel</v>
      </c>
      <c r="G1418" t="str">
        <f>TRIM(Procurement_Raw!G1418)</f>
        <v>INV-2025-01417</v>
      </c>
      <c r="H1418" s="77">
        <f>Procurement_Raw!H1418</f>
        <v>13</v>
      </c>
      <c r="I1418" s="124">
        <f>Procurement_Raw!I1418</f>
        <v>98.03</v>
      </c>
      <c r="J1418" s="125">
        <f>IF(Procurement_Raw!J1418="","",Procurement_Raw!J1418)</f>
        <v>1274.3399999999999</v>
      </c>
      <c r="K1418" s="77">
        <f>Procurement_Raw!K1418</f>
        <v>30</v>
      </c>
      <c r="L1418" t="str">
        <f>Procurement_Raw!L1418</f>
        <v>Procurement Portal</v>
      </c>
      <c r="M1418" t="str">
        <f>Procurement_Raw!O1418</f>
        <v>N</v>
      </c>
      <c r="N1418" t="str">
        <f>IF(E1418="","Missing supplier",IF(B1418="","Missing site",IF(J1418="","Missing spend",IF(COUNTIFS($G$2:G1418,G1418,$E$2:E1418,E1418,$J$2:J1418,J1418)&gt;1,"Duplicate invoice",IF(COUNTIF($G$2:$G$1801,G1418)&gt;1,"Duplicate ID - review",IF(AND(P1418&lt;&gt;"Unmapped",P1418&lt;&gt;F1418),"Category mismatch","OK"))))))</f>
        <v>OK</v>
      </c>
      <c r="O1418" s="125">
        <f t="shared" si="66"/>
        <v>1274.3399999999999</v>
      </c>
      <c r="P1418" t="str">
        <f>IF(E1418="","Unmapped",IFERROR(INDEX(Supplier_Lookup!$B$2:$B$25,MATCH(E1418,Supplier_Lookup!$A$2:$A$25,0)),"Unmapped"))</f>
        <v>Vehicle &amp; Fuel</v>
      </c>
      <c r="Q1418" s="76">
        <f>IFERROR(INDEX(Category_Targets!$B$2:$B$9,MATCH(F1418,Category_Targets!$A$2:$A$9,0)),0)</f>
        <v>0.05</v>
      </c>
      <c r="R1418" s="125">
        <f t="shared" si="67"/>
        <v>63.716999999999999</v>
      </c>
      <c r="S1418" s="78">
        <f t="shared" si="68"/>
        <v>45689</v>
      </c>
      <c r="T1418" t="str">
        <f>IFERROR(VLOOKUP(B1418,Sites!$A$2:$D$21,4,FALSE()),"Unknown")</f>
        <v>Manchester</v>
      </c>
      <c r="U1418" t="str">
        <f>IF(N1418="OK","",COUNTIF($N$2:N1418,"&lt;&gt;OK"))</f>
        <v/>
      </c>
      <c r="V1418">
        <f>IF(OR(NOT(EXACT(E1418,TRIM(Procurement_Raw!E1418))),NOT(EXACT(F1418,TRIM(Procurement_Raw!F1418)))),1,0)</f>
        <v>0</v>
      </c>
    </row>
    <row r="1419" spans="1:22" ht="15" customHeight="1" x14ac:dyDescent="0.25">
      <c r="A1419" s="123">
        <f>Procurement_Raw!A1419</f>
        <v>45978</v>
      </c>
      <c r="B1419" t="str">
        <f>TRIM(Procurement_Raw!B1419)</f>
        <v>S015</v>
      </c>
      <c r="C1419" t="str">
        <f>Procurement_Raw!C1419</f>
        <v>Brighton Care &amp; Education Centre</v>
      </c>
      <c r="D1419" t="str">
        <f>Procurement_Raw!D1419</f>
        <v>South</v>
      </c>
      <c r="E1419" t="str">
        <f>IF(TRIM(Procurement_Raw!E1419)="","",IFERROR(INDEX(Supplier_Lookup!$A$2:$A$25,MATCH(TRIM(Procurement_Raw!E1419),Supplier_Lookup!$A$2:$A$25,0)),TRIM(Procurement_Raw!E1419)))</f>
        <v>ClinEquip</v>
      </c>
      <c r="F1419" t="str">
        <f>IFERROR(INDEX(Category_Targets!$A$2:$A$9,MATCH(TRIM(Procurement_Raw!F1419),Category_Targets!$A$2:$A$9,0)),"Unmapped")</f>
        <v>Medical Supplies</v>
      </c>
      <c r="G1419" t="str">
        <f>TRIM(Procurement_Raw!G1419)</f>
        <v>INV-2025-01418</v>
      </c>
      <c r="H1419" s="77">
        <f>Procurement_Raw!H1419</f>
        <v>43</v>
      </c>
      <c r="I1419" s="124">
        <f>Procurement_Raw!I1419</f>
        <v>139.1</v>
      </c>
      <c r="J1419" s="125">
        <f>IF(Procurement_Raw!J1419="","",Procurement_Raw!J1419)</f>
        <v>5981.45</v>
      </c>
      <c r="K1419" s="77">
        <f>Procurement_Raw!K1419</f>
        <v>45</v>
      </c>
      <c r="L1419" t="str">
        <f>Procurement_Raw!L1419</f>
        <v>ERP</v>
      </c>
      <c r="M1419" t="str">
        <f>Procurement_Raw!O1419</f>
        <v>N</v>
      </c>
      <c r="N1419" t="str">
        <f>IF(E1419="","Missing supplier",IF(B1419="","Missing site",IF(J1419="","Missing spend",IF(COUNTIFS($G$2:G1419,G1419,$E$2:E1419,E1419,$J$2:J1419,J1419)&gt;1,"Duplicate invoice",IF(COUNTIF($G$2:$G$1801,G1419)&gt;1,"Duplicate ID - review",IF(AND(P1419&lt;&gt;"Unmapped",P1419&lt;&gt;F1419),"Category mismatch","OK"))))))</f>
        <v>OK</v>
      </c>
      <c r="O1419" s="125">
        <f t="shared" si="66"/>
        <v>5981.45</v>
      </c>
      <c r="P1419" t="str">
        <f>IF(E1419="","Unmapped",IFERROR(INDEX(Supplier_Lookup!$B$2:$B$25,MATCH(E1419,Supplier_Lookup!$A$2:$A$25,0)),"Unmapped"))</f>
        <v>Medical Supplies</v>
      </c>
      <c r="Q1419" s="76">
        <f>IFERROR(INDEX(Category_Targets!$B$2:$B$9,MATCH(F1419,Category_Targets!$A$2:$A$9,0)),0)</f>
        <v>0.06</v>
      </c>
      <c r="R1419" s="125">
        <f t="shared" si="67"/>
        <v>358.887</v>
      </c>
      <c r="S1419" s="78">
        <f t="shared" si="68"/>
        <v>45962</v>
      </c>
      <c r="T1419" t="str">
        <f>IFERROR(VLOOKUP(B1419,Sites!$A$2:$D$21,4,FALSE()),"Unknown")</f>
        <v>Brighton</v>
      </c>
      <c r="U1419" t="str">
        <f>IF(N1419="OK","",COUNTIF($N$2:N1419,"&lt;&gt;OK"))</f>
        <v/>
      </c>
      <c r="V1419">
        <f>IF(OR(NOT(EXACT(E1419,TRIM(Procurement_Raw!E1419))),NOT(EXACT(F1419,TRIM(Procurement_Raw!F1419)))),1,0)</f>
        <v>0</v>
      </c>
    </row>
    <row r="1420" spans="1:22" ht="15" customHeight="1" x14ac:dyDescent="0.25">
      <c r="A1420" s="123">
        <f>Procurement_Raw!A1420</f>
        <v>45832</v>
      </c>
      <c r="B1420" t="str">
        <f>TRIM(Procurement_Raw!B1420)</f>
        <v>S003</v>
      </c>
      <c r="C1420" t="str">
        <f>Procurement_Raw!C1420</f>
        <v>Leeds Care &amp; Education Centre</v>
      </c>
      <c r="D1420" t="str">
        <f>Procurement_Raw!D1420</f>
        <v>North</v>
      </c>
      <c r="E1420" t="str">
        <f>IF(TRIM(Procurement_Raw!E1420)="","",IFERROR(INDEX(Supplier_Lookup!$A$2:$A$25,MATCH(TRIM(Procurement_Raw!E1420),Supplier_Lookup!$A$2:$A$25,0)),TRIM(Procurement_Raw!E1420)))</f>
        <v>OfficePlus</v>
      </c>
      <c r="F1420" t="str">
        <f>IFERROR(INDEX(Category_Targets!$A$2:$A$9,MATCH(TRIM(Procurement_Raw!F1420),Category_Targets!$A$2:$A$9,0)),"Unmapped")</f>
        <v>Office &amp; Training</v>
      </c>
      <c r="G1420" t="str">
        <f>TRIM(Procurement_Raw!G1420)</f>
        <v>INV-2025-01419</v>
      </c>
      <c r="H1420" s="77">
        <f>Procurement_Raw!H1420</f>
        <v>7</v>
      </c>
      <c r="I1420" s="124">
        <f>Procurement_Raw!I1420</f>
        <v>173.84</v>
      </c>
      <c r="J1420" s="125">
        <f>IF(Procurement_Raw!J1420="","",Procurement_Raw!J1420)</f>
        <v>1216.8900000000001</v>
      </c>
      <c r="K1420" s="77">
        <f>Procurement_Raw!K1420</f>
        <v>45</v>
      </c>
      <c r="L1420" t="str">
        <f>Procurement_Raw!L1420</f>
        <v>Legacy Spend File</v>
      </c>
      <c r="M1420" t="str">
        <f>Procurement_Raw!O1420</f>
        <v>N</v>
      </c>
      <c r="N1420" t="str">
        <f>IF(E1420="","Missing supplier",IF(B1420="","Missing site",IF(J1420="","Missing spend",IF(COUNTIFS($G$2:G1420,G1420,$E$2:E1420,E1420,$J$2:J1420,J1420)&gt;1,"Duplicate invoice",IF(COUNTIF($G$2:$G$1801,G1420)&gt;1,"Duplicate ID - review",IF(AND(P1420&lt;&gt;"Unmapped",P1420&lt;&gt;F1420),"Category mismatch","OK"))))))</f>
        <v>OK</v>
      </c>
      <c r="O1420" s="125">
        <f t="shared" si="66"/>
        <v>1216.8900000000001</v>
      </c>
      <c r="P1420" t="str">
        <f>IF(E1420="","Unmapped",IFERROR(INDEX(Supplier_Lookup!$B$2:$B$25,MATCH(E1420,Supplier_Lookup!$A$2:$A$25,0)),"Unmapped"))</f>
        <v>Office &amp; Training</v>
      </c>
      <c r="Q1420" s="76">
        <f>IFERROR(INDEX(Category_Targets!$B$2:$B$9,MATCH(F1420,Category_Targets!$A$2:$A$9,0)),0)</f>
        <v>0.04</v>
      </c>
      <c r="R1420" s="125">
        <f t="shared" si="67"/>
        <v>48.675600000000003</v>
      </c>
      <c r="S1420" s="78">
        <f t="shared" si="68"/>
        <v>45809</v>
      </c>
      <c r="T1420" t="str">
        <f>IFERROR(VLOOKUP(B1420,Sites!$A$2:$D$21,4,FALSE()),"Unknown")</f>
        <v>Leeds</v>
      </c>
      <c r="U1420" t="str">
        <f>IF(N1420="OK","",COUNTIF($N$2:N1420,"&lt;&gt;OK"))</f>
        <v/>
      </c>
      <c r="V1420">
        <f>IF(OR(NOT(EXACT(E1420,TRIM(Procurement_Raw!E1420))),NOT(EXACT(F1420,TRIM(Procurement_Raw!F1420)))),1,0)</f>
        <v>0</v>
      </c>
    </row>
    <row r="1421" spans="1:22" ht="15" customHeight="1" x14ac:dyDescent="0.25">
      <c r="A1421" s="123">
        <f>Procurement_Raw!A1421</f>
        <v>45975</v>
      </c>
      <c r="B1421" t="str">
        <f>TRIM(Procurement_Raw!B1421)</f>
        <v>S019</v>
      </c>
      <c r="C1421" t="str">
        <f>Procurement_Raw!C1421</f>
        <v>Wrexham Care &amp; Education Centre</v>
      </c>
      <c r="D1421" t="str">
        <f>Procurement_Raw!D1421</f>
        <v>Wales</v>
      </c>
      <c r="E1421" t="str">
        <f>IF(TRIM(Procurement_Raw!E1421)="","",IFERROR(INDEX(Supplier_Lookup!$A$2:$A$25,MATCH(TRIM(Procurement_Raw!E1421),Supplier_Lookup!$A$2:$A$25,0)),TRIM(Procurement_Raw!E1421)))</f>
        <v>KitchenPro</v>
      </c>
      <c r="F1421" t="str">
        <f>IFERROR(INDEX(Category_Targets!$A$2:$A$9,MATCH(TRIM(Procurement_Raw!F1421),Category_Targets!$A$2:$A$9,0)),"Unmapped")</f>
        <v>Food &amp; Catering</v>
      </c>
      <c r="G1421" t="str">
        <f>TRIM(Procurement_Raw!G1421)</f>
        <v>INV-2025-01420</v>
      </c>
      <c r="H1421" s="77">
        <f>Procurement_Raw!H1421</f>
        <v>57</v>
      </c>
      <c r="I1421" s="124">
        <f>Procurement_Raw!I1421</f>
        <v>85.94</v>
      </c>
      <c r="J1421" s="125">
        <f>IF(Procurement_Raw!J1421="","",Procurement_Raw!J1421)</f>
        <v>4898.8100000000004</v>
      </c>
      <c r="K1421" s="77">
        <f>Procurement_Raw!K1421</f>
        <v>30</v>
      </c>
      <c r="L1421" t="str">
        <f>Procurement_Raw!L1421</f>
        <v>Legacy Spend File</v>
      </c>
      <c r="M1421" t="str">
        <f>Procurement_Raw!O1421</f>
        <v>N</v>
      </c>
      <c r="N1421" t="str">
        <f>IF(E1421="","Missing supplier",IF(B1421="","Missing site",IF(J1421="","Missing spend",IF(COUNTIFS($G$2:G1421,G1421,$E$2:E1421,E1421,$J$2:J1421,J1421)&gt;1,"Duplicate invoice",IF(COUNTIF($G$2:$G$1801,G1421)&gt;1,"Duplicate ID - review",IF(AND(P1421&lt;&gt;"Unmapped",P1421&lt;&gt;F1421),"Category mismatch","OK"))))))</f>
        <v>OK</v>
      </c>
      <c r="O1421" s="125">
        <f t="shared" si="66"/>
        <v>4898.8100000000004</v>
      </c>
      <c r="P1421" t="str">
        <f>IF(E1421="","Unmapped",IFERROR(INDEX(Supplier_Lookup!$B$2:$B$25,MATCH(E1421,Supplier_Lookup!$A$2:$A$25,0)),"Unmapped"))</f>
        <v>Food &amp; Catering</v>
      </c>
      <c r="Q1421" s="76">
        <f>IFERROR(INDEX(Category_Targets!$B$2:$B$9,MATCH(F1421,Category_Targets!$A$2:$A$9,0)),0)</f>
        <v>0.04</v>
      </c>
      <c r="R1421" s="125">
        <f t="shared" si="67"/>
        <v>195.95240000000001</v>
      </c>
      <c r="S1421" s="78">
        <f t="shared" si="68"/>
        <v>45962</v>
      </c>
      <c r="T1421" t="str">
        <f>IFERROR(VLOOKUP(B1421,Sites!$A$2:$D$21,4,FALSE()),"Unknown")</f>
        <v>Wrexham</v>
      </c>
      <c r="U1421" t="str">
        <f>IF(N1421="OK","",COUNTIF($N$2:N1421,"&lt;&gt;OK"))</f>
        <v/>
      </c>
      <c r="V1421">
        <f>IF(OR(NOT(EXACT(E1421,TRIM(Procurement_Raw!E1421))),NOT(EXACT(F1421,TRIM(Procurement_Raw!F1421)))),1,0)</f>
        <v>0</v>
      </c>
    </row>
    <row r="1422" spans="1:22" ht="15" customHeight="1" x14ac:dyDescent="0.25">
      <c r="A1422" s="123">
        <f>Procurement_Raw!A1422</f>
        <v>45689</v>
      </c>
      <c r="B1422" t="str">
        <f>TRIM(Procurement_Raw!B1422)</f>
        <v>S010</v>
      </c>
      <c r="C1422" t="str">
        <f>Procurement_Raw!C1422</f>
        <v>Coventry Care &amp; Education Centre</v>
      </c>
      <c r="D1422" t="str">
        <f>Procurement_Raw!D1422</f>
        <v>Midlands</v>
      </c>
      <c r="E1422" t="str">
        <f>IF(TRIM(Procurement_Raw!E1422)="","",IFERROR(INDEX(Supplier_Lookup!$A$2:$A$25,MATCH(TRIM(Procurement_Raw!E1422),Supplier_Lookup!$A$2:$A$25,0)),TRIM(Procurement_Raw!E1422)))</f>
        <v>FreshServe</v>
      </c>
      <c r="F1422" t="str">
        <f>IFERROR(INDEX(Category_Targets!$A$2:$A$9,MATCH(TRIM(Procurement_Raw!F1422),Category_Targets!$A$2:$A$9,0)),"Unmapped")</f>
        <v>Food &amp; Catering</v>
      </c>
      <c r="G1422" t="str">
        <f>TRIM(Procurement_Raw!G1422)</f>
        <v>INV-2025-01421</v>
      </c>
      <c r="H1422" s="77">
        <f>Procurement_Raw!H1422</f>
        <v>5</v>
      </c>
      <c r="I1422" s="124">
        <f>Procurement_Raw!I1422</f>
        <v>87.4</v>
      </c>
      <c r="J1422" s="125">
        <f>IF(Procurement_Raw!J1422="","",Procurement_Raw!J1422)</f>
        <v>436.98</v>
      </c>
      <c r="K1422" s="77">
        <f>Procurement_Raw!K1422</f>
        <v>45</v>
      </c>
      <c r="L1422" t="str">
        <f>Procurement_Raw!L1422</f>
        <v>Procurement Portal</v>
      </c>
      <c r="M1422" t="str">
        <f>Procurement_Raw!O1422</f>
        <v>Y</v>
      </c>
      <c r="N1422" t="str">
        <f>IF(E1422="","Missing supplier",IF(B1422="","Missing site",IF(J1422="","Missing spend",IF(COUNTIFS($G$2:G1422,G1422,$E$2:E1422,E1422,$J$2:J1422,J1422)&gt;1,"Duplicate invoice",IF(COUNTIF($G$2:$G$1801,G1422)&gt;1,"Duplicate ID - review",IF(AND(P1422&lt;&gt;"Unmapped",P1422&lt;&gt;F1422),"Category mismatch","OK"))))))</f>
        <v>OK</v>
      </c>
      <c r="O1422" s="125">
        <f t="shared" si="66"/>
        <v>436.98</v>
      </c>
      <c r="P1422" t="str">
        <f>IF(E1422="","Unmapped",IFERROR(INDEX(Supplier_Lookup!$B$2:$B$25,MATCH(E1422,Supplier_Lookup!$A$2:$A$25,0)),"Unmapped"))</f>
        <v>Food &amp; Catering</v>
      </c>
      <c r="Q1422" s="76">
        <f>IFERROR(INDEX(Category_Targets!$B$2:$B$9,MATCH(F1422,Category_Targets!$A$2:$A$9,0)),0)</f>
        <v>0.04</v>
      </c>
      <c r="R1422" s="125">
        <f t="shared" si="67"/>
        <v>17.479200000000002</v>
      </c>
      <c r="S1422" s="78">
        <f t="shared" si="68"/>
        <v>45689</v>
      </c>
      <c r="T1422" t="str">
        <f>IFERROR(VLOOKUP(B1422,Sites!$A$2:$D$21,4,FALSE()),"Unknown")</f>
        <v>Coventry</v>
      </c>
      <c r="U1422" t="str">
        <f>IF(N1422="OK","",COUNTIF($N$2:N1422,"&lt;&gt;OK"))</f>
        <v/>
      </c>
      <c r="V1422">
        <f>IF(OR(NOT(EXACT(E1422,TRIM(Procurement_Raw!E1422))),NOT(EXACT(F1422,TRIM(Procurement_Raw!F1422)))),1,0)</f>
        <v>0</v>
      </c>
    </row>
    <row r="1423" spans="1:22" ht="15" customHeight="1" x14ac:dyDescent="0.25">
      <c r="A1423" s="123">
        <f>Procurement_Raw!A1423</f>
        <v>45689</v>
      </c>
      <c r="B1423" t="str">
        <f>TRIM(Procurement_Raw!B1423)</f>
        <v>S016</v>
      </c>
      <c r="C1423" t="str">
        <f>Procurement_Raw!C1423</f>
        <v>Cardiff Care &amp; Education Centre</v>
      </c>
      <c r="D1423" t="str">
        <f>Procurement_Raw!D1423</f>
        <v>Wales</v>
      </c>
      <c r="E1423" t="str">
        <f>IF(TRIM(Procurement_Raw!E1423)="","",IFERROR(INDEX(Supplier_Lookup!$A$2:$A$25,MATCH(TRIM(Procurement_Raw!E1423),Supplier_Lookup!$A$2:$A$25,0)),TRIM(Procurement_Raw!E1423)))</f>
        <v>FreshServe</v>
      </c>
      <c r="F1423" t="str">
        <f>IFERROR(INDEX(Category_Targets!$A$2:$A$9,MATCH(TRIM(Procurement_Raw!F1423),Category_Targets!$A$2:$A$9,0)),"Unmapped")</f>
        <v>Food &amp; Catering</v>
      </c>
      <c r="G1423" t="str">
        <f>TRIM(Procurement_Raw!G1423)</f>
        <v>INV-2025-01422</v>
      </c>
      <c r="H1423" s="77">
        <f>Procurement_Raw!H1423</f>
        <v>57</v>
      </c>
      <c r="I1423" s="124">
        <f>Procurement_Raw!I1423</f>
        <v>117.25</v>
      </c>
      <c r="J1423" s="125">
        <f>IF(Procurement_Raw!J1423="","",Procurement_Raw!J1423)</f>
        <v>6682.97</v>
      </c>
      <c r="K1423" s="77">
        <f>Procurement_Raw!K1423</f>
        <v>30</v>
      </c>
      <c r="L1423" t="str">
        <f>Procurement_Raw!L1423</f>
        <v>Procurement Portal</v>
      </c>
      <c r="M1423" t="str">
        <f>Procurement_Raw!O1423</f>
        <v>Y</v>
      </c>
      <c r="N1423" t="str">
        <f>IF(E1423="","Missing supplier",IF(B1423="","Missing site",IF(J1423="","Missing spend",IF(COUNTIFS($G$2:G1423,G1423,$E$2:E1423,E1423,$J$2:J1423,J1423)&gt;1,"Duplicate invoice",IF(COUNTIF($G$2:$G$1801,G1423)&gt;1,"Duplicate ID - review",IF(AND(P1423&lt;&gt;"Unmapped",P1423&lt;&gt;F1423),"Category mismatch","OK"))))))</f>
        <v>OK</v>
      </c>
      <c r="O1423" s="125">
        <f t="shared" si="66"/>
        <v>6682.97</v>
      </c>
      <c r="P1423" t="str">
        <f>IF(E1423="","Unmapped",IFERROR(INDEX(Supplier_Lookup!$B$2:$B$25,MATCH(E1423,Supplier_Lookup!$A$2:$A$25,0)),"Unmapped"))</f>
        <v>Food &amp; Catering</v>
      </c>
      <c r="Q1423" s="76">
        <f>IFERROR(INDEX(Category_Targets!$B$2:$B$9,MATCH(F1423,Category_Targets!$A$2:$A$9,0)),0)</f>
        <v>0.04</v>
      </c>
      <c r="R1423" s="125">
        <f t="shared" si="67"/>
        <v>267.31880000000001</v>
      </c>
      <c r="S1423" s="78">
        <f t="shared" si="68"/>
        <v>45689</v>
      </c>
      <c r="T1423" t="str">
        <f>IFERROR(VLOOKUP(B1423,Sites!$A$2:$D$21,4,FALSE()),"Unknown")</f>
        <v>Cardiff</v>
      </c>
      <c r="U1423" t="str">
        <f>IF(N1423="OK","",COUNTIF($N$2:N1423,"&lt;&gt;OK"))</f>
        <v/>
      </c>
      <c r="V1423">
        <f>IF(OR(NOT(EXACT(E1423,TRIM(Procurement_Raw!E1423))),NOT(EXACT(F1423,TRIM(Procurement_Raw!F1423)))),1,0)</f>
        <v>0</v>
      </c>
    </row>
    <row r="1424" spans="1:22" ht="15" customHeight="1" x14ac:dyDescent="0.25">
      <c r="A1424" s="123">
        <f>Procurement_Raw!A1424</f>
        <v>45710</v>
      </c>
      <c r="B1424" t="str">
        <f>TRIM(Procurement_Raw!B1424)</f>
        <v>S005</v>
      </c>
      <c r="C1424" t="str">
        <f>Procurement_Raw!C1424</f>
        <v>Sheffield Care &amp; Education Centre</v>
      </c>
      <c r="D1424" t="str">
        <f>Procurement_Raw!D1424</f>
        <v>North</v>
      </c>
      <c r="E1424" t="str">
        <f>IF(TRIM(Procurement_Raw!E1424)="","",IFERROR(INDEX(Supplier_Lookup!$A$2:$A$25,MATCH(TRIM(Procurement_Raw!E1424),Supplier_Lookup!$A$2:$A$25,0)),TRIM(Procurement_Raw!E1424)))</f>
        <v>HealthStaffing</v>
      </c>
      <c r="F1424" t="str">
        <f>IFERROR(INDEX(Category_Targets!$A$2:$A$9,MATCH(TRIM(Procurement_Raw!F1424),Category_Targets!$A$2:$A$9,0)),"Unmapped")</f>
        <v>Agency Labour</v>
      </c>
      <c r="G1424" t="str">
        <f>TRIM(Procurement_Raw!G1424)</f>
        <v>INV-2025-01423</v>
      </c>
      <c r="H1424" s="77">
        <f>Procurement_Raw!H1424</f>
        <v>8</v>
      </c>
      <c r="I1424" s="124">
        <f>Procurement_Raw!I1424</f>
        <v>245.44</v>
      </c>
      <c r="J1424" s="125">
        <f>IF(Procurement_Raw!J1424="","",Procurement_Raw!J1424)</f>
        <v>1963.53</v>
      </c>
      <c r="K1424" s="77">
        <f>Procurement_Raw!K1424</f>
        <v>60</v>
      </c>
      <c r="L1424" t="str">
        <f>Procurement_Raw!L1424</f>
        <v>ERP</v>
      </c>
      <c r="M1424" t="str">
        <f>Procurement_Raw!O1424</f>
        <v>N</v>
      </c>
      <c r="N1424" t="str">
        <f>IF(E1424="","Missing supplier",IF(B1424="","Missing site",IF(J1424="","Missing spend",IF(COUNTIFS($G$2:G1424,G1424,$E$2:E1424,E1424,$J$2:J1424,J1424)&gt;1,"Duplicate invoice",IF(COUNTIF($G$2:$G$1801,G1424)&gt;1,"Duplicate ID - review",IF(AND(P1424&lt;&gt;"Unmapped",P1424&lt;&gt;F1424),"Category mismatch","OK"))))))</f>
        <v>OK</v>
      </c>
      <c r="O1424" s="125">
        <f t="shared" si="66"/>
        <v>1963.53</v>
      </c>
      <c r="P1424" t="str">
        <f>IF(E1424="","Unmapped",IFERROR(INDEX(Supplier_Lookup!$B$2:$B$25,MATCH(E1424,Supplier_Lookup!$A$2:$A$25,0)),"Unmapped"))</f>
        <v>Agency Labour</v>
      </c>
      <c r="Q1424" s="76">
        <f>IFERROR(INDEX(Category_Targets!$B$2:$B$9,MATCH(F1424,Category_Targets!$A$2:$A$9,0)),0)</f>
        <v>7.0000000000000007E-2</v>
      </c>
      <c r="R1424" s="125">
        <f t="shared" si="67"/>
        <v>137.44710000000001</v>
      </c>
      <c r="S1424" s="78">
        <f t="shared" si="68"/>
        <v>45689</v>
      </c>
      <c r="T1424" t="str">
        <f>IFERROR(VLOOKUP(B1424,Sites!$A$2:$D$21,4,FALSE()),"Unknown")</f>
        <v>Sheffield</v>
      </c>
      <c r="U1424" t="str">
        <f>IF(N1424="OK","",COUNTIF($N$2:N1424,"&lt;&gt;OK"))</f>
        <v/>
      </c>
      <c r="V1424">
        <f>IF(OR(NOT(EXACT(E1424,TRIM(Procurement_Raw!E1424))),NOT(EXACT(F1424,TRIM(Procurement_Raw!F1424)))),1,0)</f>
        <v>0</v>
      </c>
    </row>
    <row r="1425" spans="1:22" ht="15" customHeight="1" x14ac:dyDescent="0.25">
      <c r="A1425" s="123">
        <f>Procurement_Raw!A1425</f>
        <v>45707</v>
      </c>
      <c r="B1425" t="str">
        <f>TRIM(Procurement_Raw!B1425)</f>
        <v>S016</v>
      </c>
      <c r="C1425" t="str">
        <f>Procurement_Raw!C1425</f>
        <v>Cardiff Care &amp; Education Centre</v>
      </c>
      <c r="D1425" t="str">
        <f>Procurement_Raw!D1425</f>
        <v>Wales</v>
      </c>
      <c r="E1425" t="str">
        <f>IF(TRIM(Procurement_Raw!E1425)="","",IFERROR(INDEX(Supplier_Lookup!$A$2:$A$25,MATCH(TRIM(Procurement_Raw!E1425),Supplier_Lookup!$A$2:$A$25,0)),TRIM(Procurement_Raw!E1425)))</f>
        <v>CareTemps</v>
      </c>
      <c r="F1425" t="str">
        <f>IFERROR(INDEX(Category_Targets!$A$2:$A$9,MATCH(TRIM(Procurement_Raw!F1425),Category_Targets!$A$2:$A$9,0)),"Unmapped")</f>
        <v>Agency Labour</v>
      </c>
      <c r="G1425" t="str">
        <f>TRIM(Procurement_Raw!G1425)</f>
        <v>INV-2025-01424</v>
      </c>
      <c r="H1425" s="77">
        <f>Procurement_Raw!H1425</f>
        <v>80</v>
      </c>
      <c r="I1425" s="124">
        <f>Procurement_Raw!I1425</f>
        <v>189.09</v>
      </c>
      <c r="J1425" s="125">
        <f>IF(Procurement_Raw!J1425="","",Procurement_Raw!J1425)</f>
        <v>15127.11</v>
      </c>
      <c r="K1425" s="77">
        <f>Procurement_Raw!K1425</f>
        <v>45</v>
      </c>
      <c r="L1425" t="str">
        <f>Procurement_Raw!L1425</f>
        <v>ERP</v>
      </c>
      <c r="M1425" t="str">
        <f>Procurement_Raw!O1425</f>
        <v>N</v>
      </c>
      <c r="N1425" t="str">
        <f>IF(E1425="","Missing supplier",IF(B1425="","Missing site",IF(J1425="","Missing spend",IF(COUNTIFS($G$2:G1425,G1425,$E$2:E1425,E1425,$J$2:J1425,J1425)&gt;1,"Duplicate invoice",IF(COUNTIF($G$2:$G$1801,G1425)&gt;1,"Duplicate ID - review",IF(AND(P1425&lt;&gt;"Unmapped",P1425&lt;&gt;F1425),"Category mismatch","OK"))))))</f>
        <v>OK</v>
      </c>
      <c r="O1425" s="125">
        <f t="shared" si="66"/>
        <v>15127.11</v>
      </c>
      <c r="P1425" t="str">
        <f>IF(E1425="","Unmapped",IFERROR(INDEX(Supplier_Lookup!$B$2:$B$25,MATCH(E1425,Supplier_Lookup!$A$2:$A$25,0)),"Unmapped"))</f>
        <v>Agency Labour</v>
      </c>
      <c r="Q1425" s="76">
        <f>IFERROR(INDEX(Category_Targets!$B$2:$B$9,MATCH(F1425,Category_Targets!$A$2:$A$9,0)),0)</f>
        <v>7.0000000000000007E-2</v>
      </c>
      <c r="R1425" s="125">
        <f t="shared" si="67"/>
        <v>1058.8977000000002</v>
      </c>
      <c r="S1425" s="78">
        <f t="shared" si="68"/>
        <v>45689</v>
      </c>
      <c r="T1425" t="str">
        <f>IFERROR(VLOOKUP(B1425,Sites!$A$2:$D$21,4,FALSE()),"Unknown")</f>
        <v>Cardiff</v>
      </c>
      <c r="U1425" t="str">
        <f>IF(N1425="OK","",COUNTIF($N$2:N1425,"&lt;&gt;OK"))</f>
        <v/>
      </c>
      <c r="V1425">
        <f>IF(OR(NOT(EXACT(E1425,TRIM(Procurement_Raw!E1425))),NOT(EXACT(F1425,TRIM(Procurement_Raw!F1425)))),1,0)</f>
        <v>0</v>
      </c>
    </row>
    <row r="1426" spans="1:22" ht="15" customHeight="1" x14ac:dyDescent="0.25">
      <c r="A1426" s="123">
        <f>Procurement_Raw!A1426</f>
        <v>45854</v>
      </c>
      <c r="B1426" t="str">
        <f>TRIM(Procurement_Raw!B1426)</f>
        <v>S008</v>
      </c>
      <c r="C1426" t="str">
        <f>Procurement_Raw!C1426</f>
        <v>Leicester Care &amp; Education Centre</v>
      </c>
      <c r="D1426" t="str">
        <f>Procurement_Raw!D1426</f>
        <v>Midlands</v>
      </c>
      <c r="E1426" t="str">
        <f>IF(TRIM(Procurement_Raw!E1426)="","",IFERROR(INDEX(Supplier_Lookup!$A$2:$A$25,MATCH(TRIM(Procurement_Raw!E1426),Supplier_Lookup!$A$2:$A$25,0)),TRIM(Procurement_Raw!E1426)))</f>
        <v>CareMed</v>
      </c>
      <c r="F1426" t="str">
        <f>IFERROR(INDEX(Category_Targets!$A$2:$A$9,MATCH(TRIM(Procurement_Raw!F1426),Category_Targets!$A$2:$A$9,0)),"Unmapped")</f>
        <v>Medical Supplies</v>
      </c>
      <c r="G1426" t="str">
        <f>TRIM(Procurement_Raw!G1426)</f>
        <v>INV-2025-01425</v>
      </c>
      <c r="H1426" s="77">
        <f>Procurement_Raw!H1426</f>
        <v>60</v>
      </c>
      <c r="I1426" s="124">
        <f>Procurement_Raw!I1426</f>
        <v>67.55</v>
      </c>
      <c r="J1426" s="125">
        <f>IF(Procurement_Raw!J1426="","",Procurement_Raw!J1426)</f>
        <v>4052.91</v>
      </c>
      <c r="K1426" s="77">
        <f>Procurement_Raw!K1426</f>
        <v>45</v>
      </c>
      <c r="L1426" t="str">
        <f>Procurement_Raw!L1426</f>
        <v>Legacy Spend File</v>
      </c>
      <c r="M1426" t="str">
        <f>Procurement_Raw!O1426</f>
        <v>N</v>
      </c>
      <c r="N1426" t="str">
        <f>IF(E1426="","Missing supplier",IF(B1426="","Missing site",IF(J1426="","Missing spend",IF(COUNTIFS($G$2:G1426,G1426,$E$2:E1426,E1426,$J$2:J1426,J1426)&gt;1,"Duplicate invoice",IF(COUNTIF($G$2:$G$1801,G1426)&gt;1,"Duplicate ID - review",IF(AND(P1426&lt;&gt;"Unmapped",P1426&lt;&gt;F1426),"Category mismatch","OK"))))))</f>
        <v>OK</v>
      </c>
      <c r="O1426" s="125">
        <f t="shared" si="66"/>
        <v>4052.91</v>
      </c>
      <c r="P1426" t="str">
        <f>IF(E1426="","Unmapped",IFERROR(INDEX(Supplier_Lookup!$B$2:$B$25,MATCH(E1426,Supplier_Lookup!$A$2:$A$25,0)),"Unmapped"))</f>
        <v>Medical Supplies</v>
      </c>
      <c r="Q1426" s="76">
        <f>IFERROR(INDEX(Category_Targets!$B$2:$B$9,MATCH(F1426,Category_Targets!$A$2:$A$9,0)),0)</f>
        <v>0.06</v>
      </c>
      <c r="R1426" s="125">
        <f t="shared" si="67"/>
        <v>243.17459999999997</v>
      </c>
      <c r="S1426" s="78">
        <f t="shared" si="68"/>
        <v>45839</v>
      </c>
      <c r="T1426" t="str">
        <f>IFERROR(VLOOKUP(B1426,Sites!$A$2:$D$21,4,FALSE()),"Unknown")</f>
        <v>Leicester</v>
      </c>
      <c r="U1426" t="str">
        <f>IF(N1426="OK","",COUNTIF($N$2:N1426,"&lt;&gt;OK"))</f>
        <v/>
      </c>
      <c r="V1426">
        <f>IF(OR(NOT(EXACT(E1426,TRIM(Procurement_Raw!E1426))),NOT(EXACT(F1426,TRIM(Procurement_Raw!F1426)))),1,0)</f>
        <v>0</v>
      </c>
    </row>
    <row r="1427" spans="1:22" ht="15" customHeight="1" x14ac:dyDescent="0.25">
      <c r="A1427" s="123">
        <f>Procurement_Raw!A1427</f>
        <v>45991</v>
      </c>
      <c r="B1427" t="str">
        <f>TRIM(Procurement_Raw!B1427)</f>
        <v>S020</v>
      </c>
      <c r="C1427" t="str">
        <f>Procurement_Raw!C1427</f>
        <v>Bangor Care &amp; Education Centre</v>
      </c>
      <c r="D1427" t="str">
        <f>Procurement_Raw!D1427</f>
        <v>Wales</v>
      </c>
      <c r="E1427" t="str">
        <f>IF(TRIM(Procurement_Raw!E1427)="","",IFERROR(INDEX(Supplier_Lookup!$A$2:$A$25,MATCH(TRIM(Procurement_Raw!E1427),Supplier_Lookup!$A$2:$A$25,0)),TRIM(Procurement_Raw!E1427)))</f>
        <v>NourishCo</v>
      </c>
      <c r="F1427" t="str">
        <f>IFERROR(INDEX(Category_Targets!$A$2:$A$9,MATCH(TRIM(Procurement_Raw!F1427),Category_Targets!$A$2:$A$9,0)),"Unmapped")</f>
        <v>Food &amp; Catering</v>
      </c>
      <c r="G1427" t="str">
        <f>TRIM(Procurement_Raw!G1427)</f>
        <v>INV-2025-01426</v>
      </c>
      <c r="H1427" s="77">
        <f>Procurement_Raw!H1427</f>
        <v>4</v>
      </c>
      <c r="I1427" s="124">
        <f>Procurement_Raw!I1427</f>
        <v>22.04</v>
      </c>
      <c r="J1427" s="125">
        <f>IF(Procurement_Raw!J1427="","",Procurement_Raw!J1427)</f>
        <v>88.16</v>
      </c>
      <c r="K1427" s="77">
        <f>Procurement_Raw!K1427</f>
        <v>45</v>
      </c>
      <c r="L1427" t="str">
        <f>Procurement_Raw!L1427</f>
        <v>Legacy Spend File</v>
      </c>
      <c r="M1427" t="str">
        <f>Procurement_Raw!O1427</f>
        <v>N</v>
      </c>
      <c r="N1427" t="str">
        <f>IF(E1427="","Missing supplier",IF(B1427="","Missing site",IF(J1427="","Missing spend",IF(COUNTIFS($G$2:G1427,G1427,$E$2:E1427,E1427,$J$2:J1427,J1427)&gt;1,"Duplicate invoice",IF(COUNTIF($G$2:$G$1801,G1427)&gt;1,"Duplicate ID - review",IF(AND(P1427&lt;&gt;"Unmapped",P1427&lt;&gt;F1427),"Category mismatch","OK"))))))</f>
        <v>OK</v>
      </c>
      <c r="O1427" s="125">
        <f t="shared" si="66"/>
        <v>88.16</v>
      </c>
      <c r="P1427" t="str">
        <f>IF(E1427="","Unmapped",IFERROR(INDEX(Supplier_Lookup!$B$2:$B$25,MATCH(E1427,Supplier_Lookup!$A$2:$A$25,0)),"Unmapped"))</f>
        <v>Food &amp; Catering</v>
      </c>
      <c r="Q1427" s="76">
        <f>IFERROR(INDEX(Category_Targets!$B$2:$B$9,MATCH(F1427,Category_Targets!$A$2:$A$9,0)),0)</f>
        <v>0.04</v>
      </c>
      <c r="R1427" s="125">
        <f t="shared" si="67"/>
        <v>3.5263999999999998</v>
      </c>
      <c r="S1427" s="78">
        <f t="shared" si="68"/>
        <v>45962</v>
      </c>
      <c r="T1427" t="str">
        <f>IFERROR(VLOOKUP(B1427,Sites!$A$2:$D$21,4,FALSE()),"Unknown")</f>
        <v>Bangor</v>
      </c>
      <c r="U1427" t="str">
        <f>IF(N1427="OK","",COUNTIF($N$2:N1427,"&lt;&gt;OK"))</f>
        <v/>
      </c>
      <c r="V1427">
        <f>IF(OR(NOT(EXACT(E1427,TRIM(Procurement_Raw!E1427))),NOT(EXACT(F1427,TRIM(Procurement_Raw!F1427)))),1,0)</f>
        <v>0</v>
      </c>
    </row>
    <row r="1428" spans="1:22" ht="15" customHeight="1" x14ac:dyDescent="0.25">
      <c r="A1428" s="123">
        <f>Procurement_Raw!A1428</f>
        <v>45710</v>
      </c>
      <c r="B1428" t="str">
        <f>TRIM(Procurement_Raw!B1428)</f>
        <v>S002</v>
      </c>
      <c r="C1428" t="str">
        <f>Procurement_Raw!C1428</f>
        <v>Manchester Care &amp; Education Centre</v>
      </c>
      <c r="D1428" t="str">
        <f>Procurement_Raw!D1428</f>
        <v>North</v>
      </c>
      <c r="E1428" t="str">
        <f>IF(TRIM(Procurement_Raw!E1428)="","",IFERROR(INDEX(Supplier_Lookup!$A$2:$A$25,MATCH(TRIM(Procurement_Raw!E1428),Supplier_Lookup!$A$2:$A$25,0)),TRIM(Procurement_Raw!E1428)))</f>
        <v>UK Energy Partners</v>
      </c>
      <c r="F1428" t="str">
        <f>IFERROR(INDEX(Category_Targets!$A$2:$A$9,MATCH(TRIM(Procurement_Raw!F1428),Category_Targets!$A$2:$A$9,0)),"Unmapped")</f>
        <v>Utilities</v>
      </c>
      <c r="G1428" t="str">
        <f>TRIM(Procurement_Raw!G1428)</f>
        <v>INV-2025-01427</v>
      </c>
      <c r="H1428" s="77">
        <f>Procurement_Raw!H1428</f>
        <v>2</v>
      </c>
      <c r="I1428" s="124">
        <f>Procurement_Raw!I1428</f>
        <v>774.62</v>
      </c>
      <c r="J1428" s="125">
        <f>IF(Procurement_Raw!J1428="","",Procurement_Raw!J1428)</f>
        <v>1549.24</v>
      </c>
      <c r="K1428" s="77">
        <f>Procurement_Raw!K1428</f>
        <v>60</v>
      </c>
      <c r="L1428" t="str">
        <f>Procurement_Raw!L1428</f>
        <v>Legacy Spend File</v>
      </c>
      <c r="M1428" t="str">
        <f>Procurement_Raw!O1428</f>
        <v>N</v>
      </c>
      <c r="N1428" t="str">
        <f>IF(E1428="","Missing supplier",IF(B1428="","Missing site",IF(J1428="","Missing spend",IF(COUNTIFS($G$2:G1428,G1428,$E$2:E1428,E1428,$J$2:J1428,J1428)&gt;1,"Duplicate invoice",IF(COUNTIF($G$2:$G$1801,G1428)&gt;1,"Duplicate ID - review",IF(AND(P1428&lt;&gt;"Unmapped",P1428&lt;&gt;F1428),"Category mismatch","OK"))))))</f>
        <v>OK</v>
      </c>
      <c r="O1428" s="125">
        <f t="shared" si="66"/>
        <v>1549.24</v>
      </c>
      <c r="P1428" t="str">
        <f>IF(E1428="","Unmapped",IFERROR(INDEX(Supplier_Lookup!$B$2:$B$25,MATCH(E1428,Supplier_Lookup!$A$2:$A$25,0)),"Unmapped"))</f>
        <v>Utilities</v>
      </c>
      <c r="Q1428" s="76">
        <f>IFERROR(INDEX(Category_Targets!$B$2:$B$9,MATCH(F1428,Category_Targets!$A$2:$A$9,0)),0)</f>
        <v>0.03</v>
      </c>
      <c r="R1428" s="125">
        <f t="shared" si="67"/>
        <v>46.477199999999996</v>
      </c>
      <c r="S1428" s="78">
        <f t="shared" si="68"/>
        <v>45689</v>
      </c>
      <c r="T1428" t="str">
        <f>IFERROR(VLOOKUP(B1428,Sites!$A$2:$D$21,4,FALSE()),"Unknown")</f>
        <v>Manchester</v>
      </c>
      <c r="U1428" t="str">
        <f>IF(N1428="OK","",COUNTIF($N$2:N1428,"&lt;&gt;OK"))</f>
        <v/>
      </c>
      <c r="V1428">
        <f>IF(OR(NOT(EXACT(E1428,TRIM(Procurement_Raw!E1428))),NOT(EXACT(F1428,TRIM(Procurement_Raw!F1428)))),1,0)</f>
        <v>0</v>
      </c>
    </row>
    <row r="1429" spans="1:22" ht="15" customHeight="1" x14ac:dyDescent="0.25">
      <c r="A1429" s="123">
        <f>Procurement_Raw!A1429</f>
        <v>45722</v>
      </c>
      <c r="B1429" t="str">
        <f>TRIM(Procurement_Raw!B1429)</f>
        <v>S012</v>
      </c>
      <c r="C1429" t="str">
        <f>Procurement_Raw!C1429</f>
        <v>Bristol Care &amp; Education Centre</v>
      </c>
      <c r="D1429" t="str">
        <f>Procurement_Raw!D1429</f>
        <v>South</v>
      </c>
      <c r="E1429" t="str">
        <f>IF(TRIM(Procurement_Raw!E1429)="","",IFERROR(INDEX(Supplier_Lookup!$A$2:$A$25,MATCH(TRIM(Procurement_Raw!E1429),Supplier_Lookup!$A$2:$A$25,0)),TRIM(Procurement_Raw!E1429)))</f>
        <v>PowerDirect</v>
      </c>
      <c r="F1429" t="str">
        <f>IFERROR(INDEX(Category_Targets!$A$2:$A$9,MATCH(TRIM(Procurement_Raw!F1429),Category_Targets!$A$2:$A$9,0)),"Unmapped")</f>
        <v>Utilities</v>
      </c>
      <c r="G1429" t="str">
        <f>TRIM(Procurement_Raw!G1429)</f>
        <v>INV-2025-01428</v>
      </c>
      <c r="H1429" s="77">
        <f>Procurement_Raw!H1429</f>
        <v>66</v>
      </c>
      <c r="I1429" s="124">
        <f>Procurement_Raw!I1429</f>
        <v>136.28</v>
      </c>
      <c r="J1429" s="125">
        <f>IF(Procurement_Raw!J1429="","",Procurement_Raw!J1429)</f>
        <v>8994.34</v>
      </c>
      <c r="K1429" s="77">
        <f>Procurement_Raw!K1429</f>
        <v>45</v>
      </c>
      <c r="L1429" t="str">
        <f>Procurement_Raw!L1429</f>
        <v>Procurement Portal</v>
      </c>
      <c r="M1429" t="str">
        <f>Procurement_Raw!O1429</f>
        <v>N</v>
      </c>
      <c r="N1429" t="str">
        <f>IF(E1429="","Missing supplier",IF(B1429="","Missing site",IF(J1429="","Missing spend",IF(COUNTIFS($G$2:G1429,G1429,$E$2:E1429,E1429,$J$2:J1429,J1429)&gt;1,"Duplicate invoice",IF(COUNTIF($G$2:$G$1801,G1429)&gt;1,"Duplicate ID - review",IF(AND(P1429&lt;&gt;"Unmapped",P1429&lt;&gt;F1429),"Category mismatch","OK"))))))</f>
        <v>OK</v>
      </c>
      <c r="O1429" s="125">
        <f t="shared" si="66"/>
        <v>8994.34</v>
      </c>
      <c r="P1429" t="str">
        <f>IF(E1429="","Unmapped",IFERROR(INDEX(Supplier_Lookup!$B$2:$B$25,MATCH(E1429,Supplier_Lookup!$A$2:$A$25,0)),"Unmapped"))</f>
        <v>Utilities</v>
      </c>
      <c r="Q1429" s="76">
        <f>IFERROR(INDEX(Category_Targets!$B$2:$B$9,MATCH(F1429,Category_Targets!$A$2:$A$9,0)),0)</f>
        <v>0.03</v>
      </c>
      <c r="R1429" s="125">
        <f t="shared" si="67"/>
        <v>269.83019999999999</v>
      </c>
      <c r="S1429" s="78">
        <f t="shared" si="68"/>
        <v>45717</v>
      </c>
      <c r="T1429" t="str">
        <f>IFERROR(VLOOKUP(B1429,Sites!$A$2:$D$21,4,FALSE()),"Unknown")</f>
        <v>Bristol</v>
      </c>
      <c r="U1429" t="str">
        <f>IF(N1429="OK","",COUNTIF($N$2:N1429,"&lt;&gt;OK"))</f>
        <v/>
      </c>
      <c r="V1429">
        <f>IF(OR(NOT(EXACT(E1429,TRIM(Procurement_Raw!E1429))),NOT(EXACT(F1429,TRIM(Procurement_Raw!F1429)))),1,0)</f>
        <v>0</v>
      </c>
    </row>
    <row r="1430" spans="1:22" ht="15" customHeight="1" x14ac:dyDescent="0.25">
      <c r="A1430" s="123">
        <f>Procurement_Raw!A1430</f>
        <v>45975</v>
      </c>
      <c r="B1430" t="str">
        <f>TRIM(Procurement_Raw!B1430)</f>
        <v>S010</v>
      </c>
      <c r="C1430" t="str">
        <f>Procurement_Raw!C1430</f>
        <v>Coventry Care &amp; Education Centre</v>
      </c>
      <c r="D1430" t="str">
        <f>Procurement_Raw!D1430</f>
        <v>Midlands</v>
      </c>
      <c r="E1430" t="str">
        <f>IF(TRIM(Procurement_Raw!E1430)="","",IFERROR(INDEX(Supplier_Lookup!$A$2:$A$25,MATCH(TRIM(Procurement_Raw!E1430),Supplier_Lookup!$A$2:$A$25,0)),TRIM(Procurement_Raw!E1430)))</f>
        <v>PrintCo</v>
      </c>
      <c r="F1430" t="str">
        <f>IFERROR(INDEX(Category_Targets!$A$2:$A$9,MATCH(TRIM(Procurement_Raw!F1430),Category_Targets!$A$2:$A$9,0)),"Unmapped")</f>
        <v>Office &amp; Training</v>
      </c>
      <c r="G1430" t="str">
        <f>TRIM(Procurement_Raw!G1430)</f>
        <v>INV-2025-01429</v>
      </c>
      <c r="H1430" s="77">
        <f>Procurement_Raw!H1430</f>
        <v>57</v>
      </c>
      <c r="I1430" s="124">
        <f>Procurement_Raw!I1430</f>
        <v>66.41</v>
      </c>
      <c r="J1430" s="125">
        <f>IF(Procurement_Raw!J1430="","",Procurement_Raw!J1430)</f>
        <v>3785.18</v>
      </c>
      <c r="K1430" s="77">
        <f>Procurement_Raw!K1430</f>
        <v>30</v>
      </c>
      <c r="L1430" t="str">
        <f>Procurement_Raw!L1430</f>
        <v>ERP</v>
      </c>
      <c r="M1430" t="str">
        <f>Procurement_Raw!O1430</f>
        <v>N</v>
      </c>
      <c r="N1430" t="str">
        <f>IF(E1430="","Missing supplier",IF(B1430="","Missing site",IF(J1430="","Missing spend",IF(COUNTIFS($G$2:G1430,G1430,$E$2:E1430,E1430,$J$2:J1430,J1430)&gt;1,"Duplicate invoice",IF(COUNTIF($G$2:$G$1801,G1430)&gt;1,"Duplicate ID - review",IF(AND(P1430&lt;&gt;"Unmapped",P1430&lt;&gt;F1430),"Category mismatch","OK"))))))</f>
        <v>OK</v>
      </c>
      <c r="O1430" s="125">
        <f t="shared" si="66"/>
        <v>3785.18</v>
      </c>
      <c r="P1430" t="str">
        <f>IF(E1430="","Unmapped",IFERROR(INDEX(Supplier_Lookup!$B$2:$B$25,MATCH(E1430,Supplier_Lookup!$A$2:$A$25,0)),"Unmapped"))</f>
        <v>Office &amp; Training</v>
      </c>
      <c r="Q1430" s="76">
        <f>IFERROR(INDEX(Category_Targets!$B$2:$B$9,MATCH(F1430,Category_Targets!$A$2:$A$9,0)),0)</f>
        <v>0.04</v>
      </c>
      <c r="R1430" s="125">
        <f t="shared" si="67"/>
        <v>151.40719999999999</v>
      </c>
      <c r="S1430" s="78">
        <f t="shared" si="68"/>
        <v>45962</v>
      </c>
      <c r="T1430" t="str">
        <f>IFERROR(VLOOKUP(B1430,Sites!$A$2:$D$21,4,FALSE()),"Unknown")</f>
        <v>Coventry</v>
      </c>
      <c r="U1430" t="str">
        <f>IF(N1430="OK","",COUNTIF($N$2:N1430,"&lt;&gt;OK"))</f>
        <v/>
      </c>
      <c r="V1430">
        <f>IF(OR(NOT(EXACT(E1430,TRIM(Procurement_Raw!E1430))),NOT(EXACT(F1430,TRIM(Procurement_Raw!F1430)))),1,0)</f>
        <v>0</v>
      </c>
    </row>
    <row r="1431" spans="1:22" ht="15" customHeight="1" x14ac:dyDescent="0.25">
      <c r="A1431" s="123">
        <f>Procurement_Raw!A1431</f>
        <v>45723</v>
      </c>
      <c r="B1431" t="str">
        <f>TRIM(Procurement_Raw!B1431)</f>
        <v>S018</v>
      </c>
      <c r="C1431" t="str">
        <f>Procurement_Raw!C1431</f>
        <v>Newport Care &amp; Education Centre</v>
      </c>
      <c r="D1431" t="str">
        <f>Procurement_Raw!D1431</f>
        <v>Wales</v>
      </c>
      <c r="E1431" t="str">
        <f>IF(TRIM(Procurement_Raw!E1431)="","",IFERROR(INDEX(Supplier_Lookup!$A$2:$A$25,MATCH(TRIM(Procurement_Raw!E1431),Supplier_Lookup!$A$2:$A$25,0)),TRIM(Procurement_Raw!E1431)))</f>
        <v>MediSure</v>
      </c>
      <c r="F1431" t="str">
        <f>IFERROR(INDEX(Category_Targets!$A$2:$A$9,MATCH(TRIM(Procurement_Raw!F1431),Category_Targets!$A$2:$A$9,0)),"Unmapped")</f>
        <v>Medical Supplies</v>
      </c>
      <c r="G1431" t="str">
        <f>TRIM(Procurement_Raw!G1431)</f>
        <v>INV-2025-01430</v>
      </c>
      <c r="H1431" s="77">
        <f>Procurement_Raw!H1431</f>
        <v>40</v>
      </c>
      <c r="I1431" s="124">
        <f>Procurement_Raw!I1431</f>
        <v>103.05</v>
      </c>
      <c r="J1431" s="125">
        <f>IF(Procurement_Raw!J1431="","",Procurement_Raw!J1431)</f>
        <v>4122.12</v>
      </c>
      <c r="K1431" s="77">
        <f>Procurement_Raw!K1431</f>
        <v>60</v>
      </c>
      <c r="L1431" t="str">
        <f>Procurement_Raw!L1431</f>
        <v>Procurement Portal</v>
      </c>
      <c r="M1431" t="str">
        <f>Procurement_Raw!O1431</f>
        <v>Y</v>
      </c>
      <c r="N1431" t="str">
        <f>IF(E1431="","Missing supplier",IF(B1431="","Missing site",IF(J1431="","Missing spend",IF(COUNTIFS($G$2:G1431,G1431,$E$2:E1431,E1431,$J$2:J1431,J1431)&gt;1,"Duplicate invoice",IF(COUNTIF($G$2:$G$1801,G1431)&gt;1,"Duplicate ID - review",IF(AND(P1431&lt;&gt;"Unmapped",P1431&lt;&gt;F1431),"Category mismatch","OK"))))))</f>
        <v>OK</v>
      </c>
      <c r="O1431" s="125">
        <f t="shared" si="66"/>
        <v>4122.12</v>
      </c>
      <c r="P1431" t="str">
        <f>IF(E1431="","Unmapped",IFERROR(INDEX(Supplier_Lookup!$B$2:$B$25,MATCH(E1431,Supplier_Lookup!$A$2:$A$25,0)),"Unmapped"))</f>
        <v>Medical Supplies</v>
      </c>
      <c r="Q1431" s="76">
        <f>IFERROR(INDEX(Category_Targets!$B$2:$B$9,MATCH(F1431,Category_Targets!$A$2:$A$9,0)),0)</f>
        <v>0.06</v>
      </c>
      <c r="R1431" s="125">
        <f t="shared" si="67"/>
        <v>247.32719999999998</v>
      </c>
      <c r="S1431" s="78">
        <f t="shared" si="68"/>
        <v>45717</v>
      </c>
      <c r="T1431" t="str">
        <f>IFERROR(VLOOKUP(B1431,Sites!$A$2:$D$21,4,FALSE()),"Unknown")</f>
        <v>Newport</v>
      </c>
      <c r="U1431" t="str">
        <f>IF(N1431="OK","",COUNTIF($N$2:N1431,"&lt;&gt;OK"))</f>
        <v/>
      </c>
      <c r="V1431">
        <f>IF(OR(NOT(EXACT(E1431,TRIM(Procurement_Raw!E1431))),NOT(EXACT(F1431,TRIM(Procurement_Raw!F1431)))),1,0)</f>
        <v>0</v>
      </c>
    </row>
    <row r="1432" spans="1:22" ht="15" customHeight="1" x14ac:dyDescent="0.25">
      <c r="A1432" s="123">
        <f>Procurement_Raw!A1432</f>
        <v>45956</v>
      </c>
      <c r="B1432" t="str">
        <f>TRIM(Procurement_Raw!B1432)</f>
        <v>S001</v>
      </c>
      <c r="C1432" t="str">
        <f>Procurement_Raw!C1432</f>
        <v>Preston Care &amp; Education Centre</v>
      </c>
      <c r="D1432" t="str">
        <f>Procurement_Raw!D1432</f>
        <v>North</v>
      </c>
      <c r="E1432" t="str">
        <f>IF(TRIM(Procurement_Raw!E1432)="","",IFERROR(INDEX(Supplier_Lookup!$A$2:$A$25,MATCH(TRIM(Procurement_Raw!E1432),Supplier_Lookup!$A$2:$A$25,0)),TRIM(Procurement_Raw!E1432)))</f>
        <v>RoadReady</v>
      </c>
      <c r="F1432" t="str">
        <f>IFERROR(INDEX(Category_Targets!$A$2:$A$9,MATCH(TRIM(Procurement_Raw!F1432),Category_Targets!$A$2:$A$9,0)),"Unmapped")</f>
        <v>Vehicle &amp; Fuel</v>
      </c>
      <c r="G1432" t="str">
        <f>TRIM(Procurement_Raw!G1432)</f>
        <v>INV-2025-01431</v>
      </c>
      <c r="H1432" s="77">
        <f>Procurement_Raw!H1432</f>
        <v>70</v>
      </c>
      <c r="I1432" s="124">
        <f>Procurement_Raw!I1432</f>
        <v>112.5</v>
      </c>
      <c r="J1432" s="125">
        <f>IF(Procurement_Raw!J1432="","",Procurement_Raw!J1432)</f>
        <v>7874.98</v>
      </c>
      <c r="K1432" s="77">
        <f>Procurement_Raw!K1432</f>
        <v>30</v>
      </c>
      <c r="L1432" t="str">
        <f>Procurement_Raw!L1432</f>
        <v>ERP</v>
      </c>
      <c r="M1432" t="str">
        <f>Procurement_Raw!O1432</f>
        <v>N</v>
      </c>
      <c r="N1432" t="str">
        <f>IF(E1432="","Missing supplier",IF(B1432="","Missing site",IF(J1432="","Missing spend",IF(COUNTIFS($G$2:G1432,G1432,$E$2:E1432,E1432,$J$2:J1432,J1432)&gt;1,"Duplicate invoice",IF(COUNTIF($G$2:$G$1801,G1432)&gt;1,"Duplicate ID - review",IF(AND(P1432&lt;&gt;"Unmapped",P1432&lt;&gt;F1432),"Category mismatch","OK"))))))</f>
        <v>OK</v>
      </c>
      <c r="O1432" s="125">
        <f t="shared" si="66"/>
        <v>7874.98</v>
      </c>
      <c r="P1432" t="str">
        <f>IF(E1432="","Unmapped",IFERROR(INDEX(Supplier_Lookup!$B$2:$B$25,MATCH(E1432,Supplier_Lookup!$A$2:$A$25,0)),"Unmapped"))</f>
        <v>Vehicle &amp; Fuel</v>
      </c>
      <c r="Q1432" s="76">
        <f>IFERROR(INDEX(Category_Targets!$B$2:$B$9,MATCH(F1432,Category_Targets!$A$2:$A$9,0)),0)</f>
        <v>0.05</v>
      </c>
      <c r="R1432" s="125">
        <f t="shared" si="67"/>
        <v>393.74900000000002</v>
      </c>
      <c r="S1432" s="78">
        <f t="shared" si="68"/>
        <v>45931</v>
      </c>
      <c r="T1432" t="str">
        <f>IFERROR(VLOOKUP(B1432,Sites!$A$2:$D$21,4,FALSE()),"Unknown")</f>
        <v>Preston</v>
      </c>
      <c r="U1432" t="str">
        <f>IF(N1432="OK","",COUNTIF($N$2:N1432,"&lt;&gt;OK"))</f>
        <v/>
      </c>
      <c r="V1432">
        <f>IF(OR(NOT(EXACT(E1432,TRIM(Procurement_Raw!E1432))),NOT(EXACT(F1432,TRIM(Procurement_Raw!F1432)))),1,0)</f>
        <v>0</v>
      </c>
    </row>
    <row r="1433" spans="1:22" ht="15" customHeight="1" x14ac:dyDescent="0.25">
      <c r="A1433" s="123">
        <f>Procurement_Raw!A1433</f>
        <v>45833</v>
      </c>
      <c r="B1433" t="str">
        <f>TRIM(Procurement_Raw!B1433)</f>
        <v>S007</v>
      </c>
      <c r="C1433" t="str">
        <f>Procurement_Raw!C1433</f>
        <v>Nottingham Care &amp; Education Centre</v>
      </c>
      <c r="D1433" t="str">
        <f>Procurement_Raw!D1433</f>
        <v>Midlands</v>
      </c>
      <c r="E1433" t="str">
        <f>IF(TRIM(Procurement_Raw!E1433)="","",IFERROR(INDEX(Supplier_Lookup!$A$2:$A$25,MATCH(TRIM(Procurement_Raw!E1433),Supplier_Lookup!$A$2:$A$25,0)),TRIM(Procurement_Raw!E1433)))</f>
        <v>NetServe</v>
      </c>
      <c r="F1433" t="str">
        <f>IFERROR(INDEX(Category_Targets!$A$2:$A$9,MATCH(TRIM(Procurement_Raw!F1433),Category_Targets!$A$2:$A$9,0)),"Unmapped")</f>
        <v>IT &amp; Telecoms</v>
      </c>
      <c r="G1433" t="str">
        <f>TRIM(Procurement_Raw!G1433)</f>
        <v>INV-2025-01432</v>
      </c>
      <c r="H1433" s="77">
        <f>Procurement_Raw!H1433</f>
        <v>38</v>
      </c>
      <c r="I1433" s="124">
        <f>Procurement_Raw!I1433</f>
        <v>344.57</v>
      </c>
      <c r="J1433" s="125">
        <f>IF(Procurement_Raw!J1433="","",Procurement_Raw!J1433)</f>
        <v>13093.47</v>
      </c>
      <c r="K1433" s="77">
        <f>Procurement_Raw!K1433</f>
        <v>45</v>
      </c>
      <c r="L1433" t="str">
        <f>Procurement_Raw!L1433</f>
        <v>ERP</v>
      </c>
      <c r="M1433" t="str">
        <f>Procurement_Raw!O1433</f>
        <v>N</v>
      </c>
      <c r="N1433" t="str">
        <f>IF(E1433="","Missing supplier",IF(B1433="","Missing site",IF(J1433="","Missing spend",IF(COUNTIFS($G$2:G1433,G1433,$E$2:E1433,E1433,$J$2:J1433,J1433)&gt;1,"Duplicate invoice",IF(COUNTIF($G$2:$G$1801,G1433)&gt;1,"Duplicate ID - review",IF(AND(P1433&lt;&gt;"Unmapped",P1433&lt;&gt;F1433),"Category mismatch","OK"))))))</f>
        <v>OK</v>
      </c>
      <c r="O1433" s="125">
        <f t="shared" si="66"/>
        <v>13093.47</v>
      </c>
      <c r="P1433" t="str">
        <f>IF(E1433="","Unmapped",IFERROR(INDEX(Supplier_Lookup!$B$2:$B$25,MATCH(E1433,Supplier_Lookup!$A$2:$A$25,0)),"Unmapped"))</f>
        <v>IT &amp; Telecoms</v>
      </c>
      <c r="Q1433" s="76">
        <f>IFERROR(INDEX(Category_Targets!$B$2:$B$9,MATCH(F1433,Category_Targets!$A$2:$A$9,0)),0)</f>
        <v>0.08</v>
      </c>
      <c r="R1433" s="125">
        <f t="shared" si="67"/>
        <v>1047.4775999999999</v>
      </c>
      <c r="S1433" s="78">
        <f t="shared" si="68"/>
        <v>45809</v>
      </c>
      <c r="T1433" t="str">
        <f>IFERROR(VLOOKUP(B1433,Sites!$A$2:$D$21,4,FALSE()),"Unknown")</f>
        <v>Nottingham</v>
      </c>
      <c r="U1433" t="str">
        <f>IF(N1433="OK","",COUNTIF($N$2:N1433,"&lt;&gt;OK"))</f>
        <v/>
      </c>
      <c r="V1433">
        <f>IF(OR(NOT(EXACT(E1433,TRIM(Procurement_Raw!E1433))),NOT(EXACT(F1433,TRIM(Procurement_Raw!F1433)))),1,0)</f>
        <v>0</v>
      </c>
    </row>
    <row r="1434" spans="1:22" ht="15" customHeight="1" x14ac:dyDescent="0.25">
      <c r="A1434" s="123">
        <f>Procurement_Raw!A1434</f>
        <v>45779</v>
      </c>
      <c r="B1434" t="str">
        <f>TRIM(Procurement_Raw!B1434)</f>
        <v>S016</v>
      </c>
      <c r="C1434" t="str">
        <f>Procurement_Raw!C1434</f>
        <v>Cardiff Care &amp; Education Centre</v>
      </c>
      <c r="D1434" t="str">
        <f>Procurement_Raw!D1434</f>
        <v>Wales</v>
      </c>
      <c r="E1434" t="str">
        <f>IF(TRIM(Procurement_Raw!E1434)="","",IFERROR(INDEX(Supplier_Lookup!$A$2:$A$25,MATCH(TRIM(Procurement_Raw!E1434),Supplier_Lookup!$A$2:$A$25,0)),TRIM(Procurement_Raw!E1434)))</f>
        <v>CleanWorks</v>
      </c>
      <c r="F1434" t="str">
        <f>IFERROR(INDEX(Category_Targets!$A$2:$A$9,MATCH(TRIM(Procurement_Raw!F1434),Category_Targets!$A$2:$A$9,0)),"Unmapped")</f>
        <v>Facilities</v>
      </c>
      <c r="G1434" t="str">
        <f>TRIM(Procurement_Raw!G1434)</f>
        <v>INV-2025-01433</v>
      </c>
      <c r="H1434" s="77">
        <f>Procurement_Raw!H1434</f>
        <v>65</v>
      </c>
      <c r="I1434" s="124">
        <f>Procurement_Raw!I1434</f>
        <v>288.94</v>
      </c>
      <c r="J1434" s="125">
        <f>IF(Procurement_Raw!J1434="","",Procurement_Raw!J1434)</f>
        <v>18781.07</v>
      </c>
      <c r="K1434" s="77">
        <f>Procurement_Raw!K1434</f>
        <v>60</v>
      </c>
      <c r="L1434" t="str">
        <f>Procurement_Raw!L1434</f>
        <v>ERP</v>
      </c>
      <c r="M1434" t="str">
        <f>Procurement_Raw!O1434</f>
        <v>Y</v>
      </c>
      <c r="N1434" t="str">
        <f>IF(E1434="","Missing supplier",IF(B1434="","Missing site",IF(J1434="","Missing spend",IF(COUNTIFS($G$2:G1434,G1434,$E$2:E1434,E1434,$J$2:J1434,J1434)&gt;1,"Duplicate invoice",IF(COUNTIF($G$2:$G$1801,G1434)&gt;1,"Duplicate ID - review",IF(AND(P1434&lt;&gt;"Unmapped",P1434&lt;&gt;F1434),"Category mismatch","OK"))))))</f>
        <v>OK</v>
      </c>
      <c r="O1434" s="125">
        <f t="shared" si="66"/>
        <v>18781.07</v>
      </c>
      <c r="P1434" t="str">
        <f>IF(E1434="","Unmapped",IFERROR(INDEX(Supplier_Lookup!$B$2:$B$25,MATCH(E1434,Supplier_Lookup!$A$2:$A$25,0)),"Unmapped"))</f>
        <v>Facilities</v>
      </c>
      <c r="Q1434" s="76">
        <f>IFERROR(INDEX(Category_Targets!$B$2:$B$9,MATCH(F1434,Category_Targets!$A$2:$A$9,0)),0)</f>
        <v>0.05</v>
      </c>
      <c r="R1434" s="125">
        <f t="shared" si="67"/>
        <v>939.05349999999999</v>
      </c>
      <c r="S1434" s="78">
        <f t="shared" si="68"/>
        <v>45778</v>
      </c>
      <c r="T1434" t="str">
        <f>IFERROR(VLOOKUP(B1434,Sites!$A$2:$D$21,4,FALSE()),"Unknown")</f>
        <v>Cardiff</v>
      </c>
      <c r="U1434" t="str">
        <f>IF(N1434="OK","",COUNTIF($N$2:N1434,"&lt;&gt;OK"))</f>
        <v/>
      </c>
      <c r="V1434">
        <f>IF(OR(NOT(EXACT(E1434,TRIM(Procurement_Raw!E1434))),NOT(EXACT(F1434,TRIM(Procurement_Raw!F1434)))),1,0)</f>
        <v>0</v>
      </c>
    </row>
    <row r="1435" spans="1:22" ht="15" customHeight="1" x14ac:dyDescent="0.25">
      <c r="A1435" s="123">
        <f>Procurement_Raw!A1435</f>
        <v>45760</v>
      </c>
      <c r="B1435" t="str">
        <f>TRIM(Procurement_Raw!B1435)</f>
        <v>S003</v>
      </c>
      <c r="C1435" t="str">
        <f>Procurement_Raw!C1435</f>
        <v>Leeds Care &amp; Education Centre</v>
      </c>
      <c r="D1435" t="str">
        <f>Procurement_Raw!D1435</f>
        <v>North</v>
      </c>
      <c r="E1435" t="str">
        <f>IF(TRIM(Procurement_Raw!E1435)="","",IFERROR(INDEX(Supplier_Lookup!$A$2:$A$25,MATCH(TRIM(Procurement_Raw!E1435),Supplier_Lookup!$A$2:$A$25,0)),TRIM(Procurement_Raw!E1435)))</f>
        <v>FleetFuel</v>
      </c>
      <c r="F1435" t="str">
        <f>IFERROR(INDEX(Category_Targets!$A$2:$A$9,MATCH(TRIM(Procurement_Raw!F1435),Category_Targets!$A$2:$A$9,0)),"Unmapped")</f>
        <v>Vehicle &amp; Fuel</v>
      </c>
      <c r="G1435" t="str">
        <f>TRIM(Procurement_Raw!G1435)</f>
        <v>INV-2025-01434</v>
      </c>
      <c r="H1435" s="77">
        <f>Procurement_Raw!H1435</f>
        <v>26</v>
      </c>
      <c r="I1435" s="124">
        <f>Procurement_Raw!I1435</f>
        <v>68.94</v>
      </c>
      <c r="J1435" s="125">
        <f>IF(Procurement_Raw!J1435="","",Procurement_Raw!J1435)</f>
        <v>1792.35</v>
      </c>
      <c r="K1435" s="77">
        <f>Procurement_Raw!K1435</f>
        <v>30</v>
      </c>
      <c r="L1435" t="str">
        <f>Procurement_Raw!L1435</f>
        <v>Procurement Portal</v>
      </c>
      <c r="M1435" t="str">
        <f>Procurement_Raw!O1435</f>
        <v>Y</v>
      </c>
      <c r="N1435" t="str">
        <f>IF(E1435="","Missing supplier",IF(B1435="","Missing site",IF(J1435="","Missing spend",IF(COUNTIFS($G$2:G1435,G1435,$E$2:E1435,E1435,$J$2:J1435,J1435)&gt;1,"Duplicate invoice",IF(COUNTIF($G$2:$G$1801,G1435)&gt;1,"Duplicate ID - review",IF(AND(P1435&lt;&gt;"Unmapped",P1435&lt;&gt;F1435),"Category mismatch","OK"))))))</f>
        <v>OK</v>
      </c>
      <c r="O1435" s="125">
        <f t="shared" si="66"/>
        <v>1792.35</v>
      </c>
      <c r="P1435" t="str">
        <f>IF(E1435="","Unmapped",IFERROR(INDEX(Supplier_Lookup!$B$2:$B$25,MATCH(E1435,Supplier_Lookup!$A$2:$A$25,0)),"Unmapped"))</f>
        <v>Vehicle &amp; Fuel</v>
      </c>
      <c r="Q1435" s="76">
        <f>IFERROR(INDEX(Category_Targets!$B$2:$B$9,MATCH(F1435,Category_Targets!$A$2:$A$9,0)),0)</f>
        <v>0.05</v>
      </c>
      <c r="R1435" s="125">
        <f t="shared" si="67"/>
        <v>89.617500000000007</v>
      </c>
      <c r="S1435" s="78">
        <f t="shared" si="68"/>
        <v>45748</v>
      </c>
      <c r="T1435" t="str">
        <f>IFERROR(VLOOKUP(B1435,Sites!$A$2:$D$21,4,FALSE()),"Unknown")</f>
        <v>Leeds</v>
      </c>
      <c r="U1435" t="str">
        <f>IF(N1435="OK","",COUNTIF($N$2:N1435,"&lt;&gt;OK"))</f>
        <v/>
      </c>
      <c r="V1435">
        <f>IF(OR(NOT(EXACT(E1435,TRIM(Procurement_Raw!E1435))),NOT(EXACT(F1435,TRIM(Procurement_Raw!F1435)))),1,0)</f>
        <v>0</v>
      </c>
    </row>
    <row r="1436" spans="1:22" ht="15" customHeight="1" x14ac:dyDescent="0.25">
      <c r="A1436" s="123">
        <f>Procurement_Raw!A1436</f>
        <v>46012</v>
      </c>
      <c r="B1436" t="str">
        <f>TRIM(Procurement_Raw!B1436)</f>
        <v>S013</v>
      </c>
      <c r="C1436" t="str">
        <f>Procurement_Raw!C1436</f>
        <v>Reading Care &amp; Education Centre</v>
      </c>
      <c r="D1436" t="str">
        <f>Procurement_Raw!D1436</f>
        <v>South</v>
      </c>
      <c r="E1436" t="str">
        <f>IF(TRIM(Procurement_Raw!E1436)="","",IFERROR(INDEX(Supplier_Lookup!$A$2:$A$25,MATCH(TRIM(Procurement_Raw!E1436),Supplier_Lookup!$A$2:$A$25,0)),TRIM(Procurement_Raw!E1436)))</f>
        <v>PrintCo</v>
      </c>
      <c r="F1436" t="str">
        <f>IFERROR(INDEX(Category_Targets!$A$2:$A$9,MATCH(TRIM(Procurement_Raw!F1436),Category_Targets!$A$2:$A$9,0)),"Unmapped")</f>
        <v>Office &amp; Training</v>
      </c>
      <c r="G1436" t="str">
        <f>TRIM(Procurement_Raw!G1436)</f>
        <v>INV-2025-01435</v>
      </c>
      <c r="H1436" s="77">
        <f>Procurement_Raw!H1436</f>
        <v>60</v>
      </c>
      <c r="I1436" s="124">
        <f>Procurement_Raw!I1436</f>
        <v>68.41</v>
      </c>
      <c r="J1436" s="125">
        <f>IF(Procurement_Raw!J1436="","",Procurement_Raw!J1436)</f>
        <v>4104.8100000000004</v>
      </c>
      <c r="K1436" s="77">
        <f>Procurement_Raw!K1436</f>
        <v>60</v>
      </c>
      <c r="L1436" t="str">
        <f>Procurement_Raw!L1436</f>
        <v>Legacy Spend File</v>
      </c>
      <c r="M1436" t="str">
        <f>Procurement_Raw!O1436</f>
        <v>N</v>
      </c>
      <c r="N1436" t="str">
        <f>IF(E1436="","Missing supplier",IF(B1436="","Missing site",IF(J1436="","Missing spend",IF(COUNTIFS($G$2:G1436,G1436,$E$2:E1436,E1436,$J$2:J1436,J1436)&gt;1,"Duplicate invoice",IF(COUNTIF($G$2:$G$1801,G1436)&gt;1,"Duplicate ID - review",IF(AND(P1436&lt;&gt;"Unmapped",P1436&lt;&gt;F1436),"Category mismatch","OK"))))))</f>
        <v>OK</v>
      </c>
      <c r="O1436" s="125">
        <f t="shared" si="66"/>
        <v>4104.8100000000004</v>
      </c>
      <c r="P1436" t="str">
        <f>IF(E1436="","Unmapped",IFERROR(INDEX(Supplier_Lookup!$B$2:$B$25,MATCH(E1436,Supplier_Lookup!$A$2:$A$25,0)),"Unmapped"))</f>
        <v>Office &amp; Training</v>
      </c>
      <c r="Q1436" s="76">
        <f>IFERROR(INDEX(Category_Targets!$B$2:$B$9,MATCH(F1436,Category_Targets!$A$2:$A$9,0)),0)</f>
        <v>0.04</v>
      </c>
      <c r="R1436" s="125">
        <f t="shared" si="67"/>
        <v>164.19240000000002</v>
      </c>
      <c r="S1436" s="78">
        <f t="shared" si="68"/>
        <v>45992</v>
      </c>
      <c r="T1436" t="str">
        <f>IFERROR(VLOOKUP(B1436,Sites!$A$2:$D$21,4,FALSE()),"Unknown")</f>
        <v>Reading</v>
      </c>
      <c r="U1436" t="str">
        <f>IF(N1436="OK","",COUNTIF($N$2:N1436,"&lt;&gt;OK"))</f>
        <v/>
      </c>
      <c r="V1436">
        <f>IF(OR(NOT(EXACT(E1436,TRIM(Procurement_Raw!E1436))),NOT(EXACT(F1436,TRIM(Procurement_Raw!F1436)))),1,0)</f>
        <v>0</v>
      </c>
    </row>
    <row r="1437" spans="1:22" ht="15" customHeight="1" x14ac:dyDescent="0.25">
      <c r="A1437" s="123">
        <f>Procurement_Raw!A1437</f>
        <v>45811</v>
      </c>
      <c r="B1437" t="str">
        <f>TRIM(Procurement_Raw!B1437)</f>
        <v>S006</v>
      </c>
      <c r="C1437" t="str">
        <f>Procurement_Raw!C1437</f>
        <v>Birmingham Care &amp; Education Centre</v>
      </c>
      <c r="D1437" t="str">
        <f>Procurement_Raw!D1437</f>
        <v>Midlands</v>
      </c>
      <c r="E1437" t="str">
        <f>IF(TRIM(Procurement_Raw!E1437)="","",IFERROR(INDEX(Supplier_Lookup!$A$2:$A$25,MATCH(TRIM(Procurement_Raw!E1437),Supplier_Lookup!$A$2:$A$25,0)),TRIM(Procurement_Raw!E1437)))</f>
        <v>AutoCare</v>
      </c>
      <c r="F1437" t="str">
        <f>IFERROR(INDEX(Category_Targets!$A$2:$A$9,MATCH(TRIM(Procurement_Raw!F1437),Category_Targets!$A$2:$A$9,0)),"Unmapped")</f>
        <v>Vehicle &amp; Fuel</v>
      </c>
      <c r="G1437" t="str">
        <f>TRIM(Procurement_Raw!G1437)</f>
        <v>INV-2025-01436</v>
      </c>
      <c r="H1437" s="77">
        <f>Procurement_Raw!H1437</f>
        <v>54</v>
      </c>
      <c r="I1437" s="124">
        <f>Procurement_Raw!I1437</f>
        <v>110.97</v>
      </c>
      <c r="J1437" s="125">
        <f>IF(Procurement_Raw!J1437="","",Procurement_Raw!J1437)</f>
        <v>5992.6</v>
      </c>
      <c r="K1437" s="77">
        <f>Procurement_Raw!K1437</f>
        <v>45</v>
      </c>
      <c r="L1437" t="str">
        <f>Procurement_Raw!L1437</f>
        <v>ERP</v>
      </c>
      <c r="M1437" t="str">
        <f>Procurement_Raw!O1437</f>
        <v>N</v>
      </c>
      <c r="N1437" t="str">
        <f>IF(E1437="","Missing supplier",IF(B1437="","Missing site",IF(J1437="","Missing spend",IF(COUNTIFS($G$2:G1437,G1437,$E$2:E1437,E1437,$J$2:J1437,J1437)&gt;1,"Duplicate invoice",IF(COUNTIF($G$2:$G$1801,G1437)&gt;1,"Duplicate ID - review",IF(AND(P1437&lt;&gt;"Unmapped",P1437&lt;&gt;F1437),"Category mismatch","OK"))))))</f>
        <v>OK</v>
      </c>
      <c r="O1437" s="125">
        <f t="shared" si="66"/>
        <v>5992.6</v>
      </c>
      <c r="P1437" t="str">
        <f>IF(E1437="","Unmapped",IFERROR(INDEX(Supplier_Lookup!$B$2:$B$25,MATCH(E1437,Supplier_Lookup!$A$2:$A$25,0)),"Unmapped"))</f>
        <v>Vehicle &amp; Fuel</v>
      </c>
      <c r="Q1437" s="76">
        <f>IFERROR(INDEX(Category_Targets!$B$2:$B$9,MATCH(F1437,Category_Targets!$A$2:$A$9,0)),0)</f>
        <v>0.05</v>
      </c>
      <c r="R1437" s="125">
        <f t="shared" si="67"/>
        <v>299.63000000000005</v>
      </c>
      <c r="S1437" s="78">
        <f t="shared" si="68"/>
        <v>45809</v>
      </c>
      <c r="T1437" t="str">
        <f>IFERROR(VLOOKUP(B1437,Sites!$A$2:$D$21,4,FALSE()),"Unknown")</f>
        <v>Birmingham</v>
      </c>
      <c r="U1437" t="str">
        <f>IF(N1437="OK","",COUNTIF($N$2:N1437,"&lt;&gt;OK"))</f>
        <v/>
      </c>
      <c r="V1437">
        <f>IF(OR(NOT(EXACT(E1437,TRIM(Procurement_Raw!E1437))),NOT(EXACT(F1437,TRIM(Procurement_Raw!F1437)))),1,0)</f>
        <v>0</v>
      </c>
    </row>
    <row r="1438" spans="1:22" ht="15" customHeight="1" x14ac:dyDescent="0.25">
      <c r="A1438" s="123">
        <f>Procurement_Raw!A1438</f>
        <v>45911</v>
      </c>
      <c r="B1438" t="str">
        <f>TRIM(Procurement_Raw!B1438)</f>
        <v>S009</v>
      </c>
      <c r="C1438" t="str">
        <f>Procurement_Raw!C1438</f>
        <v>Derby Care &amp; Education Centre</v>
      </c>
      <c r="D1438" t="str">
        <f>Procurement_Raw!D1438</f>
        <v>Midlands</v>
      </c>
      <c r="E1438" t="str">
        <f>IF(TRIM(Procurement_Raw!E1438)="","",IFERROR(INDEX(Supplier_Lookup!$A$2:$A$25,MATCH(TRIM(Procurement_Raw!E1438),Supplier_Lookup!$A$2:$A$25,0)),TRIM(Procurement_Raw!E1438)))</f>
        <v>OfficePlus</v>
      </c>
      <c r="F1438" t="str">
        <f>IFERROR(INDEX(Category_Targets!$A$2:$A$9,MATCH(TRIM(Procurement_Raw!F1438),Category_Targets!$A$2:$A$9,0)),"Unmapped")</f>
        <v>Office &amp; Training</v>
      </c>
      <c r="G1438" t="str">
        <f>TRIM(Procurement_Raw!G1438)</f>
        <v>INV-2025-01437</v>
      </c>
      <c r="H1438" s="77">
        <f>Procurement_Raw!H1438</f>
        <v>29</v>
      </c>
      <c r="I1438" s="124">
        <f>Procurement_Raw!I1438</f>
        <v>65.41</v>
      </c>
      <c r="J1438" s="125">
        <f>IF(Procurement_Raw!J1438="","",Procurement_Raw!J1438)</f>
        <v>1896.95</v>
      </c>
      <c r="K1438" s="77">
        <f>Procurement_Raw!K1438</f>
        <v>30</v>
      </c>
      <c r="L1438" t="str">
        <f>Procurement_Raw!L1438</f>
        <v>Legacy Spend File</v>
      </c>
      <c r="M1438" t="str">
        <f>Procurement_Raw!O1438</f>
        <v>N</v>
      </c>
      <c r="N1438" t="str">
        <f>IF(E1438="","Missing supplier",IF(B1438="","Missing site",IF(J1438="","Missing spend",IF(COUNTIFS($G$2:G1438,G1438,$E$2:E1438,E1438,$J$2:J1438,J1438)&gt;1,"Duplicate invoice",IF(COUNTIF($G$2:$G$1801,G1438)&gt;1,"Duplicate ID - review",IF(AND(P1438&lt;&gt;"Unmapped",P1438&lt;&gt;F1438),"Category mismatch","OK"))))))</f>
        <v>OK</v>
      </c>
      <c r="O1438" s="125">
        <f t="shared" si="66"/>
        <v>1896.95</v>
      </c>
      <c r="P1438" t="str">
        <f>IF(E1438="","Unmapped",IFERROR(INDEX(Supplier_Lookup!$B$2:$B$25,MATCH(E1438,Supplier_Lookup!$A$2:$A$25,0)),"Unmapped"))</f>
        <v>Office &amp; Training</v>
      </c>
      <c r="Q1438" s="76">
        <f>IFERROR(INDEX(Category_Targets!$B$2:$B$9,MATCH(F1438,Category_Targets!$A$2:$A$9,0)),0)</f>
        <v>0.04</v>
      </c>
      <c r="R1438" s="125">
        <f t="shared" si="67"/>
        <v>75.878</v>
      </c>
      <c r="S1438" s="78">
        <f t="shared" si="68"/>
        <v>45901</v>
      </c>
      <c r="T1438" t="str">
        <f>IFERROR(VLOOKUP(B1438,Sites!$A$2:$D$21,4,FALSE()),"Unknown")</f>
        <v>Derby</v>
      </c>
      <c r="U1438" t="str">
        <f>IF(N1438="OK","",COUNTIF($N$2:N1438,"&lt;&gt;OK"))</f>
        <v/>
      </c>
      <c r="V1438">
        <f>IF(OR(NOT(EXACT(E1438,TRIM(Procurement_Raw!E1438))),NOT(EXACT(F1438,TRIM(Procurement_Raw!F1438)))),1,0)</f>
        <v>0</v>
      </c>
    </row>
    <row r="1439" spans="1:22" ht="15" customHeight="1" x14ac:dyDescent="0.25">
      <c r="A1439" s="123">
        <f>Procurement_Raw!A1439</f>
        <v>45977</v>
      </c>
      <c r="B1439" t="str">
        <f>TRIM(Procurement_Raw!B1439)</f>
        <v>S017</v>
      </c>
      <c r="C1439" t="str">
        <f>Procurement_Raw!C1439</f>
        <v>Swansea Care &amp; Education Centre</v>
      </c>
      <c r="D1439" t="str">
        <f>Procurement_Raw!D1439</f>
        <v>Wales</v>
      </c>
      <c r="E1439" t="str">
        <f>IF(TRIM(Procurement_Raw!E1439)="","",IFERROR(INDEX(Supplier_Lookup!$A$2:$A$25,MATCH(TRIM(Procurement_Raw!E1439),Supplier_Lookup!$A$2:$A$25,0)),TRIM(Procurement_Raw!E1439)))</f>
        <v>WaterGrid</v>
      </c>
      <c r="F1439" t="str">
        <f>IFERROR(INDEX(Category_Targets!$A$2:$A$9,MATCH(TRIM(Procurement_Raw!F1439),Category_Targets!$A$2:$A$9,0)),"Unmapped")</f>
        <v>Utilities</v>
      </c>
      <c r="G1439" t="str">
        <f>TRIM(Procurement_Raw!G1439)</f>
        <v>INV-2025-01438</v>
      </c>
      <c r="H1439" s="77">
        <f>Procurement_Raw!H1439</f>
        <v>28</v>
      </c>
      <c r="I1439" s="124">
        <f>Procurement_Raw!I1439</f>
        <v>605.16</v>
      </c>
      <c r="J1439" s="125">
        <f>IF(Procurement_Raw!J1439="","",Procurement_Raw!J1439)</f>
        <v>16944.62</v>
      </c>
      <c r="K1439" s="77">
        <f>Procurement_Raw!K1439</f>
        <v>30</v>
      </c>
      <c r="L1439" t="str">
        <f>Procurement_Raw!L1439</f>
        <v>Procurement Portal</v>
      </c>
      <c r="M1439" t="str">
        <f>Procurement_Raw!O1439</f>
        <v>N</v>
      </c>
      <c r="N1439" t="str">
        <f>IF(E1439="","Missing supplier",IF(B1439="","Missing site",IF(J1439="","Missing spend",IF(COUNTIFS($G$2:G1439,G1439,$E$2:E1439,E1439,$J$2:J1439,J1439)&gt;1,"Duplicate invoice",IF(COUNTIF($G$2:$G$1801,G1439)&gt;1,"Duplicate ID - review",IF(AND(P1439&lt;&gt;"Unmapped",P1439&lt;&gt;F1439),"Category mismatch","OK"))))))</f>
        <v>OK</v>
      </c>
      <c r="O1439" s="125">
        <f t="shared" si="66"/>
        <v>16944.62</v>
      </c>
      <c r="P1439" t="str">
        <f>IF(E1439="","Unmapped",IFERROR(INDEX(Supplier_Lookup!$B$2:$B$25,MATCH(E1439,Supplier_Lookup!$A$2:$A$25,0)),"Unmapped"))</f>
        <v>Utilities</v>
      </c>
      <c r="Q1439" s="76">
        <f>IFERROR(INDEX(Category_Targets!$B$2:$B$9,MATCH(F1439,Category_Targets!$A$2:$A$9,0)),0)</f>
        <v>0.03</v>
      </c>
      <c r="R1439" s="125">
        <f t="shared" si="67"/>
        <v>508.33859999999993</v>
      </c>
      <c r="S1439" s="78">
        <f t="shared" si="68"/>
        <v>45962</v>
      </c>
      <c r="T1439" t="str">
        <f>IFERROR(VLOOKUP(B1439,Sites!$A$2:$D$21,4,FALSE()),"Unknown")</f>
        <v>Swansea</v>
      </c>
      <c r="U1439" t="str">
        <f>IF(N1439="OK","",COUNTIF($N$2:N1439,"&lt;&gt;OK"))</f>
        <v/>
      </c>
      <c r="V1439">
        <f>IF(OR(NOT(EXACT(E1439,TRIM(Procurement_Raw!E1439))),NOT(EXACT(F1439,TRIM(Procurement_Raw!F1439)))),1,0)</f>
        <v>0</v>
      </c>
    </row>
    <row r="1440" spans="1:22" ht="15" customHeight="1" x14ac:dyDescent="0.25">
      <c r="A1440" s="123">
        <f>Procurement_Raw!A1440</f>
        <v>45850</v>
      </c>
      <c r="B1440" t="str">
        <f>TRIM(Procurement_Raw!B1440)</f>
        <v>S007</v>
      </c>
      <c r="C1440" t="str">
        <f>Procurement_Raw!C1440</f>
        <v>Nottingham Care &amp; Education Centre</v>
      </c>
      <c r="D1440" t="str">
        <f>Procurement_Raw!D1440</f>
        <v>Midlands</v>
      </c>
      <c r="E1440" t="str">
        <f>IF(TRIM(Procurement_Raw!E1440)="","",IFERROR(INDEX(Supplier_Lookup!$A$2:$A$25,MATCH(TRIM(Procurement_Raw!E1440),Supplier_Lookup!$A$2:$A$25,0)),TRIM(Procurement_Raw!E1440)))</f>
        <v>AutoCare</v>
      </c>
      <c r="F1440" t="str">
        <f>IFERROR(INDEX(Category_Targets!$A$2:$A$9,MATCH(TRIM(Procurement_Raw!F1440),Category_Targets!$A$2:$A$9,0)),"Unmapped")</f>
        <v>Vehicle &amp; Fuel</v>
      </c>
      <c r="G1440" t="str">
        <f>TRIM(Procurement_Raw!G1440)</f>
        <v>INV-2025-01439</v>
      </c>
      <c r="H1440" s="77">
        <f>Procurement_Raw!H1440</f>
        <v>27</v>
      </c>
      <c r="I1440" s="124">
        <f>Procurement_Raw!I1440</f>
        <v>124.45</v>
      </c>
      <c r="J1440" s="125">
        <f>IF(Procurement_Raw!J1440="","",Procurement_Raw!J1440)</f>
        <v>3360.18</v>
      </c>
      <c r="K1440" s="77">
        <f>Procurement_Raw!K1440</f>
        <v>45</v>
      </c>
      <c r="L1440" t="str">
        <f>Procurement_Raw!L1440</f>
        <v>ERP</v>
      </c>
      <c r="M1440" t="str">
        <f>Procurement_Raw!O1440</f>
        <v>N</v>
      </c>
      <c r="N1440" t="str">
        <f>IF(E1440="","Missing supplier",IF(B1440="","Missing site",IF(J1440="","Missing spend",IF(COUNTIFS($G$2:G1440,G1440,$E$2:E1440,E1440,$J$2:J1440,J1440)&gt;1,"Duplicate invoice",IF(COUNTIF($G$2:$G$1801,G1440)&gt;1,"Duplicate ID - review",IF(AND(P1440&lt;&gt;"Unmapped",P1440&lt;&gt;F1440),"Category mismatch","OK"))))))</f>
        <v>OK</v>
      </c>
      <c r="O1440" s="125">
        <f t="shared" si="66"/>
        <v>3360.18</v>
      </c>
      <c r="P1440" t="str">
        <f>IF(E1440="","Unmapped",IFERROR(INDEX(Supplier_Lookup!$B$2:$B$25,MATCH(E1440,Supplier_Lookup!$A$2:$A$25,0)),"Unmapped"))</f>
        <v>Vehicle &amp; Fuel</v>
      </c>
      <c r="Q1440" s="76">
        <f>IFERROR(INDEX(Category_Targets!$B$2:$B$9,MATCH(F1440,Category_Targets!$A$2:$A$9,0)),0)</f>
        <v>0.05</v>
      </c>
      <c r="R1440" s="125">
        <f t="shared" si="67"/>
        <v>168.00900000000001</v>
      </c>
      <c r="S1440" s="78">
        <f t="shared" si="68"/>
        <v>45839</v>
      </c>
      <c r="T1440" t="str">
        <f>IFERROR(VLOOKUP(B1440,Sites!$A$2:$D$21,4,FALSE()),"Unknown")</f>
        <v>Nottingham</v>
      </c>
      <c r="U1440" t="str">
        <f>IF(N1440="OK","",COUNTIF($N$2:N1440,"&lt;&gt;OK"))</f>
        <v/>
      </c>
      <c r="V1440">
        <f>IF(OR(NOT(EXACT(E1440,TRIM(Procurement_Raw!E1440))),NOT(EXACT(F1440,TRIM(Procurement_Raw!F1440)))),1,0)</f>
        <v>0</v>
      </c>
    </row>
    <row r="1441" spans="1:22" ht="15" customHeight="1" x14ac:dyDescent="0.25">
      <c r="A1441" s="123">
        <f>Procurement_Raw!A1441</f>
        <v>45695</v>
      </c>
      <c r="B1441" t="str">
        <f>TRIM(Procurement_Raw!B1441)</f>
        <v>S014</v>
      </c>
      <c r="C1441" t="str">
        <f>Procurement_Raw!C1441</f>
        <v>Southampton Care &amp; Education Centre</v>
      </c>
      <c r="D1441" t="str">
        <f>Procurement_Raw!D1441</f>
        <v>South</v>
      </c>
      <c r="E1441" t="str">
        <f>IF(TRIM(Procurement_Raw!E1441)="","",IFERROR(INDEX(Supplier_Lookup!$A$2:$A$25,MATCH(TRIM(Procurement_Raw!E1441),Supplier_Lookup!$A$2:$A$25,0)),TRIM(Procurement_Raw!E1441)))</f>
        <v>FleetFuel</v>
      </c>
      <c r="F1441" t="str">
        <f>IFERROR(INDEX(Category_Targets!$A$2:$A$9,MATCH(TRIM(Procurement_Raw!F1441),Category_Targets!$A$2:$A$9,0)),"Unmapped")</f>
        <v>Vehicle &amp; Fuel</v>
      </c>
      <c r="G1441" t="str">
        <f>TRIM(Procurement_Raw!G1441)</f>
        <v>INV-2025-01440</v>
      </c>
      <c r="H1441" s="77">
        <f>Procurement_Raw!H1441</f>
        <v>46</v>
      </c>
      <c r="I1441" s="124">
        <f>Procurement_Raw!I1441</f>
        <v>142.32</v>
      </c>
      <c r="J1441" s="125">
        <f>IF(Procurement_Raw!J1441="","",Procurement_Raw!J1441)</f>
        <v>6546.6</v>
      </c>
      <c r="K1441" s="77">
        <f>Procurement_Raw!K1441</f>
        <v>30</v>
      </c>
      <c r="L1441" t="str">
        <f>Procurement_Raw!L1441</f>
        <v>Legacy Spend File</v>
      </c>
      <c r="M1441" t="str">
        <f>Procurement_Raw!O1441</f>
        <v>Y</v>
      </c>
      <c r="N1441" t="str">
        <f>IF(E1441="","Missing supplier",IF(B1441="","Missing site",IF(J1441="","Missing spend",IF(COUNTIFS($G$2:G1441,G1441,$E$2:E1441,E1441,$J$2:J1441,J1441)&gt;1,"Duplicate invoice",IF(COUNTIF($G$2:$G$1801,G1441)&gt;1,"Duplicate ID - review",IF(AND(P1441&lt;&gt;"Unmapped",P1441&lt;&gt;F1441),"Category mismatch","OK"))))))</f>
        <v>OK</v>
      </c>
      <c r="O1441" s="125">
        <f t="shared" si="66"/>
        <v>6546.6</v>
      </c>
      <c r="P1441" t="str">
        <f>IF(E1441="","Unmapped",IFERROR(INDEX(Supplier_Lookup!$B$2:$B$25,MATCH(E1441,Supplier_Lookup!$A$2:$A$25,0)),"Unmapped"))</f>
        <v>Vehicle &amp; Fuel</v>
      </c>
      <c r="Q1441" s="76">
        <f>IFERROR(INDEX(Category_Targets!$B$2:$B$9,MATCH(F1441,Category_Targets!$A$2:$A$9,0)),0)</f>
        <v>0.05</v>
      </c>
      <c r="R1441" s="125">
        <f t="shared" si="67"/>
        <v>327.33000000000004</v>
      </c>
      <c r="S1441" s="78">
        <f t="shared" si="68"/>
        <v>45689</v>
      </c>
      <c r="T1441" t="str">
        <f>IFERROR(VLOOKUP(B1441,Sites!$A$2:$D$21,4,FALSE()),"Unknown")</f>
        <v>Southampton</v>
      </c>
      <c r="U1441" t="str">
        <f>IF(N1441="OK","",COUNTIF($N$2:N1441,"&lt;&gt;OK"))</f>
        <v/>
      </c>
      <c r="V1441">
        <f>IF(OR(NOT(EXACT(E1441,TRIM(Procurement_Raw!E1441))),NOT(EXACT(F1441,TRIM(Procurement_Raw!F1441)))),1,0)</f>
        <v>0</v>
      </c>
    </row>
    <row r="1442" spans="1:22" ht="15" customHeight="1" x14ac:dyDescent="0.25">
      <c r="A1442" s="123">
        <f>Procurement_Raw!A1442</f>
        <v>45883</v>
      </c>
      <c r="B1442" t="str">
        <f>TRIM(Procurement_Raw!B1442)</f>
        <v>S014</v>
      </c>
      <c r="C1442" t="str">
        <f>Procurement_Raw!C1442</f>
        <v>Southampton Care &amp; Education Centre</v>
      </c>
      <c r="D1442" t="str">
        <f>Procurement_Raw!D1442</f>
        <v>South</v>
      </c>
      <c r="E1442" t="str">
        <f>IF(TRIM(Procurement_Raw!E1442)="","",IFERROR(INDEX(Supplier_Lookup!$A$2:$A$25,MATCH(TRIM(Procurement_Raw!E1442),Supplier_Lookup!$A$2:$A$25,0)),TRIM(Procurement_Raw!E1442)))</f>
        <v>SafeGuard FM</v>
      </c>
      <c r="F1442" t="str">
        <f>IFERROR(INDEX(Category_Targets!$A$2:$A$9,MATCH(TRIM(Procurement_Raw!F1442),Category_Targets!$A$2:$A$9,0)),"Unmapped")</f>
        <v>Facilities</v>
      </c>
      <c r="G1442" t="str">
        <f>TRIM(Procurement_Raw!G1442)</f>
        <v>INV-2025-01441</v>
      </c>
      <c r="H1442" s="77">
        <f>Procurement_Raw!H1442</f>
        <v>25</v>
      </c>
      <c r="I1442" s="124">
        <f>Procurement_Raw!I1442</f>
        <v>259.18</v>
      </c>
      <c r="J1442" s="125">
        <f>IF(Procurement_Raw!J1442="","",Procurement_Raw!J1442)</f>
        <v>6479.62</v>
      </c>
      <c r="K1442" s="77">
        <f>Procurement_Raw!K1442</f>
        <v>60</v>
      </c>
      <c r="L1442" t="str">
        <f>Procurement_Raw!L1442</f>
        <v>Legacy Spend File</v>
      </c>
      <c r="M1442" t="str">
        <f>Procurement_Raw!O1442</f>
        <v>N</v>
      </c>
      <c r="N1442" t="str">
        <f>IF(E1442="","Missing supplier",IF(B1442="","Missing site",IF(J1442="","Missing spend",IF(COUNTIFS($G$2:G1442,G1442,$E$2:E1442,E1442,$J$2:J1442,J1442)&gt;1,"Duplicate invoice",IF(COUNTIF($G$2:$G$1801,G1442)&gt;1,"Duplicate ID - review",IF(AND(P1442&lt;&gt;"Unmapped",P1442&lt;&gt;F1442),"Category mismatch","OK"))))))</f>
        <v>OK</v>
      </c>
      <c r="O1442" s="125">
        <f t="shared" si="66"/>
        <v>6479.62</v>
      </c>
      <c r="P1442" t="str">
        <f>IF(E1442="","Unmapped",IFERROR(INDEX(Supplier_Lookup!$B$2:$B$25,MATCH(E1442,Supplier_Lookup!$A$2:$A$25,0)),"Unmapped"))</f>
        <v>Facilities</v>
      </c>
      <c r="Q1442" s="76">
        <f>IFERROR(INDEX(Category_Targets!$B$2:$B$9,MATCH(F1442,Category_Targets!$A$2:$A$9,0)),0)</f>
        <v>0.05</v>
      </c>
      <c r="R1442" s="125">
        <f t="shared" si="67"/>
        <v>323.98099999999999</v>
      </c>
      <c r="S1442" s="78">
        <f t="shared" si="68"/>
        <v>45870</v>
      </c>
      <c r="T1442" t="str">
        <f>IFERROR(VLOOKUP(B1442,Sites!$A$2:$D$21,4,FALSE()),"Unknown")</f>
        <v>Southampton</v>
      </c>
      <c r="U1442" t="str">
        <f>IF(N1442="OK","",COUNTIF($N$2:N1442,"&lt;&gt;OK"))</f>
        <v/>
      </c>
      <c r="V1442">
        <f>IF(OR(NOT(EXACT(E1442,TRIM(Procurement_Raw!E1442))),NOT(EXACT(F1442,TRIM(Procurement_Raw!F1442)))),1,0)</f>
        <v>0</v>
      </c>
    </row>
    <row r="1443" spans="1:22" ht="15" customHeight="1" x14ac:dyDescent="0.25">
      <c r="A1443" s="123">
        <f>Procurement_Raw!A1443</f>
        <v>45759</v>
      </c>
      <c r="B1443" t="str">
        <f>TRIM(Procurement_Raw!B1443)</f>
        <v>S016</v>
      </c>
      <c r="C1443" t="str">
        <f>Procurement_Raw!C1443</f>
        <v>Cardiff Care &amp; Education Centre</v>
      </c>
      <c r="D1443" t="str">
        <f>Procurement_Raw!D1443</f>
        <v>Wales</v>
      </c>
      <c r="E1443" t="str">
        <f>IF(TRIM(Procurement_Raw!E1443)="","",IFERROR(INDEX(Supplier_Lookup!$A$2:$A$25,MATCH(TRIM(Procurement_Raw!E1443),Supplier_Lookup!$A$2:$A$25,0)),TRIM(Procurement_Raw!E1443)))</f>
        <v>MediSure</v>
      </c>
      <c r="F1443" t="str">
        <f>IFERROR(INDEX(Category_Targets!$A$2:$A$9,MATCH(TRIM(Procurement_Raw!F1443),Category_Targets!$A$2:$A$9,0)),"Unmapped")</f>
        <v>Medical Supplies</v>
      </c>
      <c r="G1443" t="str">
        <f>TRIM(Procurement_Raw!G1443)</f>
        <v>INV-2025-01442</v>
      </c>
      <c r="H1443" s="77">
        <f>Procurement_Raw!H1443</f>
        <v>26</v>
      </c>
      <c r="I1443" s="124">
        <f>Procurement_Raw!I1443</f>
        <v>228.81</v>
      </c>
      <c r="J1443" s="125">
        <f>IF(Procurement_Raw!J1443="","",Procurement_Raw!J1443)</f>
        <v>5949.12</v>
      </c>
      <c r="K1443" s="77">
        <f>Procurement_Raw!K1443</f>
        <v>45</v>
      </c>
      <c r="L1443" t="str">
        <f>Procurement_Raw!L1443</f>
        <v>ERP</v>
      </c>
      <c r="M1443" t="str">
        <f>Procurement_Raw!O1443</f>
        <v>Y</v>
      </c>
      <c r="N1443" t="str">
        <f>IF(E1443="","Missing supplier",IF(B1443="","Missing site",IF(J1443="","Missing spend",IF(COUNTIFS($G$2:G1443,G1443,$E$2:E1443,E1443,$J$2:J1443,J1443)&gt;1,"Duplicate invoice",IF(COUNTIF($G$2:$G$1801,G1443)&gt;1,"Duplicate ID - review",IF(AND(P1443&lt;&gt;"Unmapped",P1443&lt;&gt;F1443),"Category mismatch","OK"))))))</f>
        <v>OK</v>
      </c>
      <c r="O1443" s="125">
        <f t="shared" si="66"/>
        <v>5949.12</v>
      </c>
      <c r="P1443" t="str">
        <f>IF(E1443="","Unmapped",IFERROR(INDEX(Supplier_Lookup!$B$2:$B$25,MATCH(E1443,Supplier_Lookup!$A$2:$A$25,0)),"Unmapped"))</f>
        <v>Medical Supplies</v>
      </c>
      <c r="Q1443" s="76">
        <f>IFERROR(INDEX(Category_Targets!$B$2:$B$9,MATCH(F1443,Category_Targets!$A$2:$A$9,0)),0)</f>
        <v>0.06</v>
      </c>
      <c r="R1443" s="125">
        <f t="shared" si="67"/>
        <v>356.94719999999995</v>
      </c>
      <c r="S1443" s="78">
        <f t="shared" si="68"/>
        <v>45748</v>
      </c>
      <c r="T1443" t="str">
        <f>IFERROR(VLOOKUP(B1443,Sites!$A$2:$D$21,4,FALSE()),"Unknown")</f>
        <v>Cardiff</v>
      </c>
      <c r="U1443" t="str">
        <f>IF(N1443="OK","",COUNTIF($N$2:N1443,"&lt;&gt;OK"))</f>
        <v/>
      </c>
      <c r="V1443">
        <f>IF(OR(NOT(EXACT(E1443,TRIM(Procurement_Raw!E1443))),NOT(EXACT(F1443,TRIM(Procurement_Raw!F1443)))),1,0)</f>
        <v>0</v>
      </c>
    </row>
    <row r="1444" spans="1:22" ht="15" customHeight="1" x14ac:dyDescent="0.25">
      <c r="A1444" s="123">
        <f>Procurement_Raw!A1444</f>
        <v>45747</v>
      </c>
      <c r="B1444" t="str">
        <f>TRIM(Procurement_Raw!B1444)</f>
        <v>S001</v>
      </c>
      <c r="C1444" t="str">
        <f>Procurement_Raw!C1444</f>
        <v>Preston Care &amp; Education Centre</v>
      </c>
      <c r="D1444" t="str">
        <f>Procurement_Raw!D1444</f>
        <v>North</v>
      </c>
      <c r="E1444" t="str">
        <f>IF(TRIM(Procurement_Raw!E1444)="","",IFERROR(INDEX(Supplier_Lookup!$A$2:$A$25,MATCH(TRIM(Procurement_Raw!E1444),Supplier_Lookup!$A$2:$A$25,0)),TRIM(Procurement_Raw!E1444)))</f>
        <v>NetServe</v>
      </c>
      <c r="F1444" t="str">
        <f>IFERROR(INDEX(Category_Targets!$A$2:$A$9,MATCH(TRIM(Procurement_Raw!F1444),Category_Targets!$A$2:$A$9,0)),"Unmapped")</f>
        <v>IT &amp; Telecoms</v>
      </c>
      <c r="G1444" t="str">
        <f>TRIM(Procurement_Raw!G1444)</f>
        <v>INV-2025-01443</v>
      </c>
      <c r="H1444" s="77">
        <f>Procurement_Raw!H1444</f>
        <v>44</v>
      </c>
      <c r="I1444" s="124">
        <f>Procurement_Raw!I1444</f>
        <v>243.03</v>
      </c>
      <c r="J1444" s="125">
        <f>IF(Procurement_Raw!J1444="","",Procurement_Raw!J1444)</f>
        <v>10693.37</v>
      </c>
      <c r="K1444" s="77">
        <f>Procurement_Raw!K1444</f>
        <v>60</v>
      </c>
      <c r="L1444" t="str">
        <f>Procurement_Raw!L1444</f>
        <v>ERP</v>
      </c>
      <c r="M1444" t="str">
        <f>Procurement_Raw!O1444</f>
        <v>N</v>
      </c>
      <c r="N1444" t="str">
        <f>IF(E1444="","Missing supplier",IF(B1444="","Missing site",IF(J1444="","Missing spend",IF(COUNTIFS($G$2:G1444,G1444,$E$2:E1444,E1444,$J$2:J1444,J1444)&gt;1,"Duplicate invoice",IF(COUNTIF($G$2:$G$1801,G1444)&gt;1,"Duplicate ID - review",IF(AND(P1444&lt;&gt;"Unmapped",P1444&lt;&gt;F1444),"Category mismatch","OK"))))))</f>
        <v>OK</v>
      </c>
      <c r="O1444" s="125">
        <f t="shared" si="66"/>
        <v>10693.37</v>
      </c>
      <c r="P1444" t="str">
        <f>IF(E1444="","Unmapped",IFERROR(INDEX(Supplier_Lookup!$B$2:$B$25,MATCH(E1444,Supplier_Lookup!$A$2:$A$25,0)),"Unmapped"))</f>
        <v>IT &amp; Telecoms</v>
      </c>
      <c r="Q1444" s="76">
        <f>IFERROR(INDEX(Category_Targets!$B$2:$B$9,MATCH(F1444,Category_Targets!$A$2:$A$9,0)),0)</f>
        <v>0.08</v>
      </c>
      <c r="R1444" s="125">
        <f t="shared" si="67"/>
        <v>855.46960000000013</v>
      </c>
      <c r="S1444" s="78">
        <f t="shared" si="68"/>
        <v>45717</v>
      </c>
      <c r="T1444" t="str">
        <f>IFERROR(VLOOKUP(B1444,Sites!$A$2:$D$21,4,FALSE()),"Unknown")</f>
        <v>Preston</v>
      </c>
      <c r="U1444" t="str">
        <f>IF(N1444="OK","",COUNTIF($N$2:N1444,"&lt;&gt;OK"))</f>
        <v/>
      </c>
      <c r="V1444">
        <f>IF(OR(NOT(EXACT(E1444,TRIM(Procurement_Raw!E1444))),NOT(EXACT(F1444,TRIM(Procurement_Raw!F1444)))),1,0)</f>
        <v>0</v>
      </c>
    </row>
    <row r="1445" spans="1:22" ht="15" customHeight="1" x14ac:dyDescent="0.25">
      <c r="A1445" s="123">
        <f>Procurement_Raw!A1445</f>
        <v>45748</v>
      </c>
      <c r="B1445" t="str">
        <f>TRIM(Procurement_Raw!B1445)</f>
        <v>S006</v>
      </c>
      <c r="C1445" t="str">
        <f>Procurement_Raw!C1445</f>
        <v>Birmingham Care &amp; Education Centre</v>
      </c>
      <c r="D1445" t="str">
        <f>Procurement_Raw!D1445</f>
        <v>Midlands</v>
      </c>
      <c r="E1445" t="str">
        <f>IF(TRIM(Procurement_Raw!E1445)="","",IFERROR(INDEX(Supplier_Lookup!$A$2:$A$25,MATCH(TRIM(Procurement_Raw!E1445),Supplier_Lookup!$A$2:$A$25,0)),TRIM(Procurement_Raw!E1445)))</f>
        <v>UK Energy Partners</v>
      </c>
      <c r="F1445" t="str">
        <f>IFERROR(INDEX(Category_Targets!$A$2:$A$9,MATCH(TRIM(Procurement_Raw!F1445),Category_Targets!$A$2:$A$9,0)),"Unmapped")</f>
        <v>Utilities</v>
      </c>
      <c r="G1445" t="str">
        <f>TRIM(Procurement_Raw!G1445)</f>
        <v>INV-2025-01444</v>
      </c>
      <c r="H1445" s="77">
        <f>Procurement_Raw!H1445</f>
        <v>34</v>
      </c>
      <c r="I1445" s="124">
        <f>Procurement_Raw!I1445</f>
        <v>122.51</v>
      </c>
      <c r="J1445" s="125">
        <f>IF(Procurement_Raw!J1445="","",Procurement_Raw!J1445)</f>
        <v>4165.38</v>
      </c>
      <c r="K1445" s="77">
        <f>Procurement_Raw!K1445</f>
        <v>30</v>
      </c>
      <c r="L1445" t="str">
        <f>Procurement_Raw!L1445</f>
        <v>ERP</v>
      </c>
      <c r="M1445" t="str">
        <f>Procurement_Raw!O1445</f>
        <v>N</v>
      </c>
      <c r="N1445" t="str">
        <f>IF(E1445="","Missing supplier",IF(B1445="","Missing site",IF(J1445="","Missing spend",IF(COUNTIFS($G$2:G1445,G1445,$E$2:E1445,E1445,$J$2:J1445,J1445)&gt;1,"Duplicate invoice",IF(COUNTIF($G$2:$G$1801,G1445)&gt;1,"Duplicate ID - review",IF(AND(P1445&lt;&gt;"Unmapped",P1445&lt;&gt;F1445),"Category mismatch","OK"))))))</f>
        <v>OK</v>
      </c>
      <c r="O1445" s="125">
        <f t="shared" si="66"/>
        <v>4165.38</v>
      </c>
      <c r="P1445" t="str">
        <f>IF(E1445="","Unmapped",IFERROR(INDEX(Supplier_Lookup!$B$2:$B$25,MATCH(E1445,Supplier_Lookup!$A$2:$A$25,0)),"Unmapped"))</f>
        <v>Utilities</v>
      </c>
      <c r="Q1445" s="76">
        <f>IFERROR(INDEX(Category_Targets!$B$2:$B$9,MATCH(F1445,Category_Targets!$A$2:$A$9,0)),0)</f>
        <v>0.03</v>
      </c>
      <c r="R1445" s="125">
        <f t="shared" si="67"/>
        <v>124.9614</v>
      </c>
      <c r="S1445" s="78">
        <f t="shared" si="68"/>
        <v>45748</v>
      </c>
      <c r="T1445" t="str">
        <f>IFERROR(VLOOKUP(B1445,Sites!$A$2:$D$21,4,FALSE()),"Unknown")</f>
        <v>Birmingham</v>
      </c>
      <c r="U1445" t="str">
        <f>IF(N1445="OK","",COUNTIF($N$2:N1445,"&lt;&gt;OK"))</f>
        <v/>
      </c>
      <c r="V1445">
        <f>IF(OR(NOT(EXACT(E1445,TRIM(Procurement_Raw!E1445))),NOT(EXACT(F1445,TRIM(Procurement_Raw!F1445)))),1,0)</f>
        <v>0</v>
      </c>
    </row>
    <row r="1446" spans="1:22" ht="15" customHeight="1" x14ac:dyDescent="0.25">
      <c r="A1446" s="123">
        <f>Procurement_Raw!A1446</f>
        <v>45993</v>
      </c>
      <c r="B1446" t="str">
        <f>TRIM(Procurement_Raw!B1446)</f>
        <v>S002</v>
      </c>
      <c r="C1446" t="str">
        <f>Procurement_Raw!C1446</f>
        <v>Manchester Care &amp; Education Centre</v>
      </c>
      <c r="D1446" t="str">
        <f>Procurement_Raw!D1446</f>
        <v>North</v>
      </c>
      <c r="E1446" t="str">
        <f>IF(TRIM(Procurement_Raw!E1446)="","",IFERROR(INDEX(Supplier_Lookup!$A$2:$A$25,MATCH(TRIM(Procurement_Raw!E1446),Supplier_Lookup!$A$2:$A$25,0)),TRIM(Procurement_Raw!E1446)))</f>
        <v>SafeGuard FM</v>
      </c>
      <c r="F1446" t="str">
        <f>IFERROR(INDEX(Category_Targets!$A$2:$A$9,MATCH(TRIM(Procurement_Raw!F1446),Category_Targets!$A$2:$A$9,0)),"Unmapped")</f>
        <v>Facilities</v>
      </c>
      <c r="G1446" t="str">
        <f>TRIM(Procurement_Raw!G1446)</f>
        <v>INV-2025-01445</v>
      </c>
      <c r="H1446" s="77">
        <f>Procurement_Raw!H1446</f>
        <v>15</v>
      </c>
      <c r="I1446" s="124">
        <f>Procurement_Raw!I1446</f>
        <v>224.26</v>
      </c>
      <c r="J1446" s="125">
        <f>IF(Procurement_Raw!J1446="","",Procurement_Raw!J1446)</f>
        <v>3363.83</v>
      </c>
      <c r="K1446" s="77">
        <f>Procurement_Raw!K1446</f>
        <v>45</v>
      </c>
      <c r="L1446" t="str">
        <f>Procurement_Raw!L1446</f>
        <v>ERP</v>
      </c>
      <c r="M1446" t="str">
        <f>Procurement_Raw!O1446</f>
        <v>N</v>
      </c>
      <c r="N1446" t="str">
        <f>IF(E1446="","Missing supplier",IF(B1446="","Missing site",IF(J1446="","Missing spend",IF(COUNTIFS($G$2:G1446,G1446,$E$2:E1446,E1446,$J$2:J1446,J1446)&gt;1,"Duplicate invoice",IF(COUNTIF($G$2:$G$1801,G1446)&gt;1,"Duplicate ID - review",IF(AND(P1446&lt;&gt;"Unmapped",P1446&lt;&gt;F1446),"Category mismatch","OK"))))))</f>
        <v>OK</v>
      </c>
      <c r="O1446" s="125">
        <f t="shared" si="66"/>
        <v>3363.83</v>
      </c>
      <c r="P1446" t="str">
        <f>IF(E1446="","Unmapped",IFERROR(INDEX(Supplier_Lookup!$B$2:$B$25,MATCH(E1446,Supplier_Lookup!$A$2:$A$25,0)),"Unmapped"))</f>
        <v>Facilities</v>
      </c>
      <c r="Q1446" s="76">
        <f>IFERROR(INDEX(Category_Targets!$B$2:$B$9,MATCH(F1446,Category_Targets!$A$2:$A$9,0)),0)</f>
        <v>0.05</v>
      </c>
      <c r="R1446" s="125">
        <f t="shared" si="67"/>
        <v>168.19150000000002</v>
      </c>
      <c r="S1446" s="78">
        <f t="shared" si="68"/>
        <v>45992</v>
      </c>
      <c r="T1446" t="str">
        <f>IFERROR(VLOOKUP(B1446,Sites!$A$2:$D$21,4,FALSE()),"Unknown")</f>
        <v>Manchester</v>
      </c>
      <c r="U1446" t="str">
        <f>IF(N1446="OK","",COUNTIF($N$2:N1446,"&lt;&gt;OK"))</f>
        <v/>
      </c>
      <c r="V1446">
        <f>IF(OR(NOT(EXACT(E1446,TRIM(Procurement_Raw!E1446))),NOT(EXACT(F1446,TRIM(Procurement_Raw!F1446)))),1,0)</f>
        <v>0</v>
      </c>
    </row>
    <row r="1447" spans="1:22" ht="15" customHeight="1" x14ac:dyDescent="0.25">
      <c r="A1447" s="123">
        <f>Procurement_Raw!A1447</f>
        <v>45847</v>
      </c>
      <c r="B1447" t="str">
        <f>TRIM(Procurement_Raw!B1447)</f>
        <v>S020</v>
      </c>
      <c r="C1447" t="str">
        <f>Procurement_Raw!C1447</f>
        <v>Bangor Care &amp; Education Centre</v>
      </c>
      <c r="D1447" t="str">
        <f>Procurement_Raw!D1447</f>
        <v>Wales</v>
      </c>
      <c r="E1447" t="str">
        <f>IF(TRIM(Procurement_Raw!E1447)="","",IFERROR(INDEX(Supplier_Lookup!$A$2:$A$25,MATCH(TRIM(Procurement_Raw!E1447),Supplier_Lookup!$A$2:$A$25,0)),TRIM(Procurement_Raw!E1447)))</f>
        <v>OfficePlus</v>
      </c>
      <c r="F1447" t="str">
        <f>IFERROR(INDEX(Category_Targets!$A$2:$A$9,MATCH(TRIM(Procurement_Raw!F1447),Category_Targets!$A$2:$A$9,0)),"Unmapped")</f>
        <v>Office &amp; Training</v>
      </c>
      <c r="G1447" t="str">
        <f>TRIM(Procurement_Raw!G1447)</f>
        <v>INV-2025-01446</v>
      </c>
      <c r="H1447" s="77">
        <f>Procurement_Raw!H1447</f>
        <v>48</v>
      </c>
      <c r="I1447" s="124">
        <f>Procurement_Raw!I1447</f>
        <v>52.42</v>
      </c>
      <c r="J1447" s="125">
        <f>IF(Procurement_Raw!J1447="","",Procurement_Raw!J1447)</f>
        <v>2516.04</v>
      </c>
      <c r="K1447" s="77">
        <f>Procurement_Raw!K1447</f>
        <v>60</v>
      </c>
      <c r="L1447" t="str">
        <f>Procurement_Raw!L1447</f>
        <v>ERP</v>
      </c>
      <c r="M1447" t="str">
        <f>Procurement_Raw!O1447</f>
        <v>N</v>
      </c>
      <c r="N1447" t="str">
        <f>IF(E1447="","Missing supplier",IF(B1447="","Missing site",IF(J1447="","Missing spend",IF(COUNTIFS($G$2:G1447,G1447,$E$2:E1447,E1447,$J$2:J1447,J1447)&gt;1,"Duplicate invoice",IF(COUNTIF($G$2:$G$1801,G1447)&gt;1,"Duplicate ID - review",IF(AND(P1447&lt;&gt;"Unmapped",P1447&lt;&gt;F1447),"Category mismatch","OK"))))))</f>
        <v>OK</v>
      </c>
      <c r="O1447" s="125">
        <f t="shared" si="66"/>
        <v>2516.04</v>
      </c>
      <c r="P1447" t="str">
        <f>IF(E1447="","Unmapped",IFERROR(INDEX(Supplier_Lookup!$B$2:$B$25,MATCH(E1447,Supplier_Lookup!$A$2:$A$25,0)),"Unmapped"))</f>
        <v>Office &amp; Training</v>
      </c>
      <c r="Q1447" s="76">
        <f>IFERROR(INDEX(Category_Targets!$B$2:$B$9,MATCH(F1447,Category_Targets!$A$2:$A$9,0)),0)</f>
        <v>0.04</v>
      </c>
      <c r="R1447" s="125">
        <f t="shared" si="67"/>
        <v>100.6416</v>
      </c>
      <c r="S1447" s="78">
        <f t="shared" si="68"/>
        <v>45839</v>
      </c>
      <c r="T1447" t="str">
        <f>IFERROR(VLOOKUP(B1447,Sites!$A$2:$D$21,4,FALSE()),"Unknown")</f>
        <v>Bangor</v>
      </c>
      <c r="U1447" t="str">
        <f>IF(N1447="OK","",COUNTIF($N$2:N1447,"&lt;&gt;OK"))</f>
        <v/>
      </c>
      <c r="V1447">
        <f>IF(OR(NOT(EXACT(E1447,TRIM(Procurement_Raw!E1447))),NOT(EXACT(F1447,TRIM(Procurement_Raw!F1447)))),1,0)</f>
        <v>0</v>
      </c>
    </row>
    <row r="1448" spans="1:22" ht="15" customHeight="1" x14ac:dyDescent="0.25">
      <c r="A1448" s="123">
        <f>Procurement_Raw!A1448</f>
        <v>45691</v>
      </c>
      <c r="B1448" t="str">
        <f>TRIM(Procurement_Raw!B1448)</f>
        <v>S001</v>
      </c>
      <c r="C1448" t="str">
        <f>Procurement_Raw!C1448</f>
        <v>Preston Care &amp; Education Centre</v>
      </c>
      <c r="D1448" t="str">
        <f>Procurement_Raw!D1448</f>
        <v>North</v>
      </c>
      <c r="E1448" t="str">
        <f>IF(TRIM(Procurement_Raw!E1448)="","",IFERROR(INDEX(Supplier_Lookup!$A$2:$A$25,MATCH(TRIM(Procurement_Raw!E1448),Supplier_Lookup!$A$2:$A$25,0)),TRIM(Procurement_Raw!E1448)))</f>
        <v>NurseLink</v>
      </c>
      <c r="F1448" t="str">
        <f>IFERROR(INDEX(Category_Targets!$A$2:$A$9,MATCH(TRIM(Procurement_Raw!F1448),Category_Targets!$A$2:$A$9,0)),"Unmapped")</f>
        <v>Agency Labour</v>
      </c>
      <c r="G1448" t="str">
        <f>TRIM(Procurement_Raw!G1448)</f>
        <v>INV-2025-01447</v>
      </c>
      <c r="H1448" s="77">
        <f>Procurement_Raw!H1448</f>
        <v>16</v>
      </c>
      <c r="I1448" s="124">
        <f>Procurement_Raw!I1448</f>
        <v>224.31</v>
      </c>
      <c r="J1448" s="125">
        <f>IF(Procurement_Raw!J1448="","",Procurement_Raw!J1448)</f>
        <v>3589.01</v>
      </c>
      <c r="K1448" s="77">
        <f>Procurement_Raw!K1448</f>
        <v>30</v>
      </c>
      <c r="L1448" t="str">
        <f>Procurement_Raw!L1448</f>
        <v>ERP</v>
      </c>
      <c r="M1448" t="str">
        <f>Procurement_Raw!O1448</f>
        <v>N</v>
      </c>
      <c r="N1448" t="str">
        <f>IF(E1448="","Missing supplier",IF(B1448="","Missing site",IF(J1448="","Missing spend",IF(COUNTIFS($G$2:G1448,G1448,$E$2:E1448,E1448,$J$2:J1448,J1448)&gt;1,"Duplicate invoice",IF(COUNTIF($G$2:$G$1801,G1448)&gt;1,"Duplicate ID - review",IF(AND(P1448&lt;&gt;"Unmapped",P1448&lt;&gt;F1448),"Category mismatch","OK"))))))</f>
        <v>OK</v>
      </c>
      <c r="O1448" s="125">
        <f t="shared" si="66"/>
        <v>3589.01</v>
      </c>
      <c r="P1448" t="str">
        <f>IF(E1448="","Unmapped",IFERROR(INDEX(Supplier_Lookup!$B$2:$B$25,MATCH(E1448,Supplier_Lookup!$A$2:$A$25,0)),"Unmapped"))</f>
        <v>Agency Labour</v>
      </c>
      <c r="Q1448" s="76">
        <f>IFERROR(INDEX(Category_Targets!$B$2:$B$9,MATCH(F1448,Category_Targets!$A$2:$A$9,0)),0)</f>
        <v>7.0000000000000007E-2</v>
      </c>
      <c r="R1448" s="125">
        <f t="shared" si="67"/>
        <v>251.23070000000004</v>
      </c>
      <c r="S1448" s="78">
        <f t="shared" si="68"/>
        <v>45689</v>
      </c>
      <c r="T1448" t="str">
        <f>IFERROR(VLOOKUP(B1448,Sites!$A$2:$D$21,4,FALSE()),"Unknown")</f>
        <v>Preston</v>
      </c>
      <c r="U1448" t="str">
        <f>IF(N1448="OK","",COUNTIF($N$2:N1448,"&lt;&gt;OK"))</f>
        <v/>
      </c>
      <c r="V1448">
        <f>IF(OR(NOT(EXACT(E1448,TRIM(Procurement_Raw!E1448))),NOT(EXACT(F1448,TRIM(Procurement_Raw!F1448)))),1,0)</f>
        <v>0</v>
      </c>
    </row>
    <row r="1449" spans="1:22" ht="15" customHeight="1" x14ac:dyDescent="0.25">
      <c r="A1449" s="123">
        <f>Procurement_Raw!A1449</f>
        <v>45851</v>
      </c>
      <c r="B1449" t="str">
        <f>TRIM(Procurement_Raw!B1449)</f>
        <v>S020</v>
      </c>
      <c r="C1449" t="str">
        <f>Procurement_Raw!C1449</f>
        <v>Bangor Care &amp; Education Centre</v>
      </c>
      <c r="D1449" t="str">
        <f>Procurement_Raw!D1449</f>
        <v>Wales</v>
      </c>
      <c r="E1449" t="str">
        <f>IF(TRIM(Procurement_Raw!E1449)="","",IFERROR(INDEX(Supplier_Lookup!$A$2:$A$25,MATCH(TRIM(Procurement_Raw!E1449),Supplier_Lookup!$A$2:$A$25,0)),TRIM(Procurement_Raw!E1449)))</f>
        <v>PowerDirect</v>
      </c>
      <c r="F1449" t="str">
        <f>IFERROR(INDEX(Category_Targets!$A$2:$A$9,MATCH(TRIM(Procurement_Raw!F1449),Category_Targets!$A$2:$A$9,0)),"Unmapped")</f>
        <v>Utilities</v>
      </c>
      <c r="G1449" t="str">
        <f>TRIM(Procurement_Raw!G1449)</f>
        <v>INV-2025-01448</v>
      </c>
      <c r="H1449" s="77">
        <f>Procurement_Raw!H1449</f>
        <v>48</v>
      </c>
      <c r="I1449" s="124">
        <f>Procurement_Raw!I1449</f>
        <v>345.14</v>
      </c>
      <c r="J1449" s="125">
        <f>IF(Procurement_Raw!J1449="","",Procurement_Raw!J1449)</f>
        <v>16566.900000000001</v>
      </c>
      <c r="K1449" s="77">
        <f>Procurement_Raw!K1449</f>
        <v>45</v>
      </c>
      <c r="L1449" t="str">
        <f>Procurement_Raw!L1449</f>
        <v>Legacy Spend File</v>
      </c>
      <c r="M1449" t="str">
        <f>Procurement_Raw!O1449</f>
        <v>N</v>
      </c>
      <c r="N1449" t="str">
        <f>IF(E1449="","Missing supplier",IF(B1449="","Missing site",IF(J1449="","Missing spend",IF(COUNTIFS($G$2:G1449,G1449,$E$2:E1449,E1449,$J$2:J1449,J1449)&gt;1,"Duplicate invoice",IF(COUNTIF($G$2:$G$1801,G1449)&gt;1,"Duplicate ID - review",IF(AND(P1449&lt;&gt;"Unmapped",P1449&lt;&gt;F1449),"Category mismatch","OK"))))))</f>
        <v>OK</v>
      </c>
      <c r="O1449" s="125">
        <f t="shared" si="66"/>
        <v>16566.900000000001</v>
      </c>
      <c r="P1449" t="str">
        <f>IF(E1449="","Unmapped",IFERROR(INDEX(Supplier_Lookup!$B$2:$B$25,MATCH(E1449,Supplier_Lookup!$A$2:$A$25,0)),"Unmapped"))</f>
        <v>Utilities</v>
      </c>
      <c r="Q1449" s="76">
        <f>IFERROR(INDEX(Category_Targets!$B$2:$B$9,MATCH(F1449,Category_Targets!$A$2:$A$9,0)),0)</f>
        <v>0.03</v>
      </c>
      <c r="R1449" s="125">
        <f t="shared" si="67"/>
        <v>497.00700000000001</v>
      </c>
      <c r="S1449" s="78">
        <f t="shared" si="68"/>
        <v>45839</v>
      </c>
      <c r="T1449" t="str">
        <f>IFERROR(VLOOKUP(B1449,Sites!$A$2:$D$21,4,FALSE()),"Unknown")</f>
        <v>Bangor</v>
      </c>
      <c r="U1449" t="str">
        <f>IF(N1449="OK","",COUNTIF($N$2:N1449,"&lt;&gt;OK"))</f>
        <v/>
      </c>
      <c r="V1449">
        <f>IF(OR(NOT(EXACT(E1449,TRIM(Procurement_Raw!E1449))),NOT(EXACT(F1449,TRIM(Procurement_Raw!F1449)))),1,0)</f>
        <v>0</v>
      </c>
    </row>
    <row r="1450" spans="1:22" ht="15" customHeight="1" x14ac:dyDescent="0.25">
      <c r="A1450" s="123">
        <f>Procurement_Raw!A1450</f>
        <v>45973</v>
      </c>
      <c r="B1450" t="str">
        <f>TRIM(Procurement_Raw!B1450)</f>
        <v>S008</v>
      </c>
      <c r="C1450" t="str">
        <f>Procurement_Raw!C1450</f>
        <v>Leicester Care &amp; Education Centre</v>
      </c>
      <c r="D1450" t="str">
        <f>Procurement_Raw!D1450</f>
        <v>Midlands</v>
      </c>
      <c r="E1450" t="str">
        <f>IF(TRIM(Procurement_Raw!E1450)="","",IFERROR(INDEX(Supplier_Lookup!$A$2:$A$25,MATCH(TRIM(Procurement_Raw!E1450),Supplier_Lookup!$A$2:$A$25,0)),TRIM(Procurement_Raw!E1450)))</f>
        <v>UK Energy Partners</v>
      </c>
      <c r="F1450" t="str">
        <f>IFERROR(INDEX(Category_Targets!$A$2:$A$9,MATCH(TRIM(Procurement_Raw!F1450),Category_Targets!$A$2:$A$9,0)),"Unmapped")</f>
        <v>Utilities</v>
      </c>
      <c r="G1450" t="str">
        <f>TRIM(Procurement_Raw!G1450)</f>
        <v>INV-2025-01449</v>
      </c>
      <c r="H1450" s="77">
        <f>Procurement_Raw!H1450</f>
        <v>76</v>
      </c>
      <c r="I1450" s="124">
        <f>Procurement_Raw!I1450</f>
        <v>493.99</v>
      </c>
      <c r="J1450" s="125">
        <f>IF(Procurement_Raw!J1450="","",Procurement_Raw!J1450)</f>
        <v>37543.29</v>
      </c>
      <c r="K1450" s="77">
        <f>Procurement_Raw!K1450</f>
        <v>30</v>
      </c>
      <c r="L1450" t="str">
        <f>Procurement_Raw!L1450</f>
        <v>Legacy Spend File</v>
      </c>
      <c r="M1450" t="str">
        <f>Procurement_Raw!O1450</f>
        <v>N</v>
      </c>
      <c r="N1450" t="str">
        <f>IF(E1450="","Missing supplier",IF(B1450="","Missing site",IF(J1450="","Missing spend",IF(COUNTIFS($G$2:G1450,G1450,$E$2:E1450,E1450,$J$2:J1450,J1450)&gt;1,"Duplicate invoice",IF(COUNTIF($G$2:$G$1801,G1450)&gt;1,"Duplicate ID - review",IF(AND(P1450&lt;&gt;"Unmapped",P1450&lt;&gt;F1450),"Category mismatch","OK"))))))</f>
        <v>OK</v>
      </c>
      <c r="O1450" s="125">
        <f t="shared" si="66"/>
        <v>37543.29</v>
      </c>
      <c r="P1450" t="str">
        <f>IF(E1450="","Unmapped",IFERROR(INDEX(Supplier_Lookup!$B$2:$B$25,MATCH(E1450,Supplier_Lookup!$A$2:$A$25,0)),"Unmapped"))</f>
        <v>Utilities</v>
      </c>
      <c r="Q1450" s="76">
        <f>IFERROR(INDEX(Category_Targets!$B$2:$B$9,MATCH(F1450,Category_Targets!$A$2:$A$9,0)),0)</f>
        <v>0.03</v>
      </c>
      <c r="R1450" s="125">
        <f t="shared" si="67"/>
        <v>1126.2987000000001</v>
      </c>
      <c r="S1450" s="78">
        <f t="shared" si="68"/>
        <v>45962</v>
      </c>
      <c r="T1450" t="str">
        <f>IFERROR(VLOOKUP(B1450,Sites!$A$2:$D$21,4,FALSE()),"Unknown")</f>
        <v>Leicester</v>
      </c>
      <c r="U1450" t="str">
        <f>IF(N1450="OK","",COUNTIF($N$2:N1450,"&lt;&gt;OK"))</f>
        <v/>
      </c>
      <c r="V1450">
        <f>IF(OR(NOT(EXACT(E1450,TRIM(Procurement_Raw!E1450))),NOT(EXACT(F1450,TRIM(Procurement_Raw!F1450)))),1,0)</f>
        <v>0</v>
      </c>
    </row>
    <row r="1451" spans="1:22" ht="15" customHeight="1" x14ac:dyDescent="0.25">
      <c r="A1451" s="123">
        <f>Procurement_Raw!A1451</f>
        <v>45784</v>
      </c>
      <c r="B1451" t="str">
        <f>TRIM(Procurement_Raw!B1451)</f>
        <v>S017</v>
      </c>
      <c r="C1451" t="str">
        <f>Procurement_Raw!C1451</f>
        <v>Swansea Care &amp; Education Centre</v>
      </c>
      <c r="D1451" t="str">
        <f>Procurement_Raw!D1451</f>
        <v>Wales</v>
      </c>
      <c r="E1451" t="str">
        <f>IF(TRIM(Procurement_Raw!E1451)="","",IFERROR(INDEX(Supplier_Lookup!$A$2:$A$25,MATCH(TRIM(Procurement_Raw!E1451),Supplier_Lookup!$A$2:$A$25,0)),TRIM(Procurement_Raw!E1451)))</f>
        <v>SafeGuard FM</v>
      </c>
      <c r="F1451" t="str">
        <f>IFERROR(INDEX(Category_Targets!$A$2:$A$9,MATCH(TRIM(Procurement_Raw!F1451),Category_Targets!$A$2:$A$9,0)),"Unmapped")</f>
        <v>Facilities</v>
      </c>
      <c r="G1451" t="str">
        <f>TRIM(Procurement_Raw!G1451)</f>
        <v>INV-2025-01450</v>
      </c>
      <c r="H1451" s="77">
        <f>Procurement_Raw!H1451</f>
        <v>7</v>
      </c>
      <c r="I1451" s="124">
        <f>Procurement_Raw!I1451</f>
        <v>182.12</v>
      </c>
      <c r="J1451" s="125">
        <f>IF(Procurement_Raw!J1451="","",Procurement_Raw!J1451)</f>
        <v>1274.83</v>
      </c>
      <c r="K1451" s="77">
        <f>Procurement_Raw!K1451</f>
        <v>60</v>
      </c>
      <c r="L1451" t="str">
        <f>Procurement_Raw!L1451</f>
        <v>Procurement Portal</v>
      </c>
      <c r="M1451" t="str">
        <f>Procurement_Raw!O1451</f>
        <v>N</v>
      </c>
      <c r="N1451" t="str">
        <f>IF(E1451="","Missing supplier",IF(B1451="","Missing site",IF(J1451="","Missing spend",IF(COUNTIFS($G$2:G1451,G1451,$E$2:E1451,E1451,$J$2:J1451,J1451)&gt;1,"Duplicate invoice",IF(COUNTIF($G$2:$G$1801,G1451)&gt;1,"Duplicate ID - review",IF(AND(P1451&lt;&gt;"Unmapped",P1451&lt;&gt;F1451),"Category mismatch","OK"))))))</f>
        <v>OK</v>
      </c>
      <c r="O1451" s="125">
        <f t="shared" si="66"/>
        <v>1274.83</v>
      </c>
      <c r="P1451" t="str">
        <f>IF(E1451="","Unmapped",IFERROR(INDEX(Supplier_Lookup!$B$2:$B$25,MATCH(E1451,Supplier_Lookup!$A$2:$A$25,0)),"Unmapped"))</f>
        <v>Facilities</v>
      </c>
      <c r="Q1451" s="76">
        <f>IFERROR(INDEX(Category_Targets!$B$2:$B$9,MATCH(F1451,Category_Targets!$A$2:$A$9,0)),0)</f>
        <v>0.05</v>
      </c>
      <c r="R1451" s="125">
        <f t="shared" si="67"/>
        <v>63.741500000000002</v>
      </c>
      <c r="S1451" s="78">
        <f t="shared" si="68"/>
        <v>45778</v>
      </c>
      <c r="T1451" t="str">
        <f>IFERROR(VLOOKUP(B1451,Sites!$A$2:$D$21,4,FALSE()),"Unknown")</f>
        <v>Swansea</v>
      </c>
      <c r="U1451" t="str">
        <f>IF(N1451="OK","",COUNTIF($N$2:N1451,"&lt;&gt;OK"))</f>
        <v/>
      </c>
      <c r="V1451">
        <f>IF(OR(NOT(EXACT(E1451,TRIM(Procurement_Raw!E1451))),NOT(EXACT(F1451,TRIM(Procurement_Raw!F1451)))),1,0)</f>
        <v>0</v>
      </c>
    </row>
    <row r="1452" spans="1:22" ht="15" customHeight="1" x14ac:dyDescent="0.25">
      <c r="A1452" s="123">
        <f>Procurement_Raw!A1452</f>
        <v>45699</v>
      </c>
      <c r="B1452" t="str">
        <f>TRIM(Procurement_Raw!B1452)</f>
        <v>S014</v>
      </c>
      <c r="C1452" t="str">
        <f>Procurement_Raw!C1452</f>
        <v>Southampton Care &amp; Education Centre</v>
      </c>
      <c r="D1452" t="str">
        <f>Procurement_Raw!D1452</f>
        <v>South</v>
      </c>
      <c r="E1452" t="str">
        <f>IF(TRIM(Procurement_Raw!E1452)="","",IFERROR(INDEX(Supplier_Lookup!$A$2:$A$25,MATCH(TRIM(Procurement_Raw!E1452),Supplier_Lookup!$A$2:$A$25,0)),TRIM(Procurement_Raw!E1452)))</f>
        <v>OfficePlus</v>
      </c>
      <c r="F1452" t="str">
        <f>IFERROR(INDEX(Category_Targets!$A$2:$A$9,MATCH(TRIM(Procurement_Raw!F1452),Category_Targets!$A$2:$A$9,0)),"Unmapped")</f>
        <v>Office &amp; Training</v>
      </c>
      <c r="G1452" t="str">
        <f>TRIM(Procurement_Raw!G1452)</f>
        <v>INV-2025-01451</v>
      </c>
      <c r="H1452" s="77">
        <f>Procurement_Raw!H1452</f>
        <v>61</v>
      </c>
      <c r="I1452" s="124">
        <f>Procurement_Raw!I1452</f>
        <v>88.89</v>
      </c>
      <c r="J1452" s="125">
        <f>IF(Procurement_Raw!J1452="","",Procurement_Raw!J1452)</f>
        <v>5422</v>
      </c>
      <c r="K1452" s="77">
        <f>Procurement_Raw!K1452</f>
        <v>60</v>
      </c>
      <c r="L1452" t="str">
        <f>Procurement_Raw!L1452</f>
        <v>Legacy Spend File</v>
      </c>
      <c r="M1452" t="str">
        <f>Procurement_Raw!O1452</f>
        <v>N</v>
      </c>
      <c r="N1452" t="str">
        <f>IF(E1452="","Missing supplier",IF(B1452="","Missing site",IF(J1452="","Missing spend",IF(COUNTIFS($G$2:G1452,G1452,$E$2:E1452,E1452,$J$2:J1452,J1452)&gt;1,"Duplicate invoice",IF(COUNTIF($G$2:$G$1801,G1452)&gt;1,"Duplicate ID - review",IF(AND(P1452&lt;&gt;"Unmapped",P1452&lt;&gt;F1452),"Category mismatch","OK"))))))</f>
        <v>OK</v>
      </c>
      <c r="O1452" s="125">
        <f t="shared" si="66"/>
        <v>5422</v>
      </c>
      <c r="P1452" t="str">
        <f>IF(E1452="","Unmapped",IFERROR(INDEX(Supplier_Lookup!$B$2:$B$25,MATCH(E1452,Supplier_Lookup!$A$2:$A$25,0)),"Unmapped"))</f>
        <v>Office &amp; Training</v>
      </c>
      <c r="Q1452" s="76">
        <f>IFERROR(INDEX(Category_Targets!$B$2:$B$9,MATCH(F1452,Category_Targets!$A$2:$A$9,0)),0)</f>
        <v>0.04</v>
      </c>
      <c r="R1452" s="125">
        <f t="shared" si="67"/>
        <v>216.88</v>
      </c>
      <c r="S1452" s="78">
        <f t="shared" si="68"/>
        <v>45689</v>
      </c>
      <c r="T1452" t="str">
        <f>IFERROR(VLOOKUP(B1452,Sites!$A$2:$D$21,4,FALSE()),"Unknown")</f>
        <v>Southampton</v>
      </c>
      <c r="U1452" t="str">
        <f>IF(N1452="OK","",COUNTIF($N$2:N1452,"&lt;&gt;OK"))</f>
        <v/>
      </c>
      <c r="V1452">
        <f>IF(OR(NOT(EXACT(E1452,TRIM(Procurement_Raw!E1452))),NOT(EXACT(F1452,TRIM(Procurement_Raw!F1452)))),1,0)</f>
        <v>0</v>
      </c>
    </row>
    <row r="1453" spans="1:22" ht="15" customHeight="1" x14ac:dyDescent="0.25">
      <c r="A1453" s="123">
        <f>Procurement_Raw!A1453</f>
        <v>45856</v>
      </c>
      <c r="B1453" t="str">
        <f>TRIM(Procurement_Raw!B1453)</f>
        <v>S020</v>
      </c>
      <c r="C1453" t="str">
        <f>Procurement_Raw!C1453</f>
        <v>Bangor Care &amp; Education Centre</v>
      </c>
      <c r="D1453" t="str">
        <f>Procurement_Raw!D1453</f>
        <v>Wales</v>
      </c>
      <c r="E1453" t="str">
        <f>IF(TRIM(Procurement_Raw!E1453)="","",IFERROR(INDEX(Supplier_Lookup!$A$2:$A$25,MATCH(TRIM(Procurement_Raw!E1453),Supplier_Lookup!$A$2:$A$25,0)),TRIM(Procurement_Raw!E1453)))</f>
        <v>BuildCare</v>
      </c>
      <c r="F1453" t="str">
        <f>IFERROR(INDEX(Category_Targets!$A$2:$A$9,MATCH(TRIM(Procurement_Raw!F1453),Category_Targets!$A$2:$A$9,0)),"Unmapped")</f>
        <v>Facilities</v>
      </c>
      <c r="G1453" t="str">
        <f>TRIM(Procurement_Raw!G1453)</f>
        <v>INV-2025-01452</v>
      </c>
      <c r="H1453" s="77">
        <f>Procurement_Raw!H1453</f>
        <v>66</v>
      </c>
      <c r="I1453" s="124">
        <f>Procurement_Raw!I1453</f>
        <v>459.06</v>
      </c>
      <c r="J1453" s="125">
        <f>IF(Procurement_Raw!J1453="","",Procurement_Raw!J1453)</f>
        <v>30297.78</v>
      </c>
      <c r="K1453" s="77">
        <f>Procurement_Raw!K1453</f>
        <v>45</v>
      </c>
      <c r="L1453" t="str">
        <f>Procurement_Raw!L1453</f>
        <v>Procurement Portal</v>
      </c>
      <c r="M1453" t="str">
        <f>Procurement_Raw!O1453</f>
        <v>N</v>
      </c>
      <c r="N1453" t="str">
        <f>IF(E1453="","Missing supplier",IF(B1453="","Missing site",IF(J1453="","Missing spend",IF(COUNTIFS($G$2:G1453,G1453,$E$2:E1453,E1453,$J$2:J1453,J1453)&gt;1,"Duplicate invoice",IF(COUNTIF($G$2:$G$1801,G1453)&gt;1,"Duplicate ID - review",IF(AND(P1453&lt;&gt;"Unmapped",P1453&lt;&gt;F1453),"Category mismatch","OK"))))))</f>
        <v>OK</v>
      </c>
      <c r="O1453" s="125">
        <f t="shared" si="66"/>
        <v>30297.78</v>
      </c>
      <c r="P1453" t="str">
        <f>IF(E1453="","Unmapped",IFERROR(INDEX(Supplier_Lookup!$B$2:$B$25,MATCH(E1453,Supplier_Lookup!$A$2:$A$25,0)),"Unmapped"))</f>
        <v>Facilities</v>
      </c>
      <c r="Q1453" s="76">
        <f>IFERROR(INDEX(Category_Targets!$B$2:$B$9,MATCH(F1453,Category_Targets!$A$2:$A$9,0)),0)</f>
        <v>0.05</v>
      </c>
      <c r="R1453" s="125">
        <f t="shared" si="67"/>
        <v>1514.8890000000001</v>
      </c>
      <c r="S1453" s="78">
        <f t="shared" si="68"/>
        <v>45839</v>
      </c>
      <c r="T1453" t="str">
        <f>IFERROR(VLOOKUP(B1453,Sites!$A$2:$D$21,4,FALSE()),"Unknown")</f>
        <v>Bangor</v>
      </c>
      <c r="U1453" t="str">
        <f>IF(N1453="OK","",COUNTIF($N$2:N1453,"&lt;&gt;OK"))</f>
        <v/>
      </c>
      <c r="V1453">
        <f>IF(OR(NOT(EXACT(E1453,TRIM(Procurement_Raw!E1453))),NOT(EXACT(F1453,TRIM(Procurement_Raw!F1453)))),1,0)</f>
        <v>0</v>
      </c>
    </row>
    <row r="1454" spans="1:22" ht="15" customHeight="1" x14ac:dyDescent="0.25">
      <c r="A1454" s="123">
        <f>Procurement_Raw!A1454</f>
        <v>45822</v>
      </c>
      <c r="B1454" t="str">
        <f>TRIM(Procurement_Raw!B1454)</f>
        <v>S017</v>
      </c>
      <c r="C1454" t="str">
        <f>Procurement_Raw!C1454</f>
        <v>Swansea Care &amp; Education Centre</v>
      </c>
      <c r="D1454" t="str">
        <f>Procurement_Raw!D1454</f>
        <v>Wales</v>
      </c>
      <c r="E1454" t="str">
        <f>IF(TRIM(Procurement_Raw!E1454)="","",IFERROR(INDEX(Supplier_Lookup!$A$2:$A$25,MATCH(TRIM(Procurement_Raw!E1454),Supplier_Lookup!$A$2:$A$25,0)),TRIM(Procurement_Raw!E1454)))</f>
        <v>OfficePlus</v>
      </c>
      <c r="F1454" t="str">
        <f>IFERROR(INDEX(Category_Targets!$A$2:$A$9,MATCH(TRIM(Procurement_Raw!F1454),Category_Targets!$A$2:$A$9,0)),"Unmapped")</f>
        <v>Office &amp; Training</v>
      </c>
      <c r="G1454" t="str">
        <f>TRIM(Procurement_Raw!G1454)</f>
        <v>INV-2025-01453</v>
      </c>
      <c r="H1454" s="77">
        <f>Procurement_Raw!H1454</f>
        <v>48</v>
      </c>
      <c r="I1454" s="124">
        <f>Procurement_Raw!I1454</f>
        <v>85.62</v>
      </c>
      <c r="J1454" s="125">
        <f>IF(Procurement_Raw!J1454="","",Procurement_Raw!J1454)</f>
        <v>4109.6899999999996</v>
      </c>
      <c r="K1454" s="77">
        <f>Procurement_Raw!K1454</f>
        <v>60</v>
      </c>
      <c r="L1454" t="str">
        <f>Procurement_Raw!L1454</f>
        <v>Legacy Spend File</v>
      </c>
      <c r="M1454" t="str">
        <f>Procurement_Raw!O1454</f>
        <v>N</v>
      </c>
      <c r="N1454" t="str">
        <f>IF(E1454="","Missing supplier",IF(B1454="","Missing site",IF(J1454="","Missing spend",IF(COUNTIFS($G$2:G1454,G1454,$E$2:E1454,E1454,$J$2:J1454,J1454)&gt;1,"Duplicate invoice",IF(COUNTIF($G$2:$G$1801,G1454)&gt;1,"Duplicate ID - review",IF(AND(P1454&lt;&gt;"Unmapped",P1454&lt;&gt;F1454),"Category mismatch","OK"))))))</f>
        <v>OK</v>
      </c>
      <c r="O1454" s="125">
        <f t="shared" si="66"/>
        <v>4109.6899999999996</v>
      </c>
      <c r="P1454" t="str">
        <f>IF(E1454="","Unmapped",IFERROR(INDEX(Supplier_Lookup!$B$2:$B$25,MATCH(E1454,Supplier_Lookup!$A$2:$A$25,0)),"Unmapped"))</f>
        <v>Office &amp; Training</v>
      </c>
      <c r="Q1454" s="76">
        <f>IFERROR(INDEX(Category_Targets!$B$2:$B$9,MATCH(F1454,Category_Targets!$A$2:$A$9,0)),0)</f>
        <v>0.04</v>
      </c>
      <c r="R1454" s="125">
        <f t="shared" si="67"/>
        <v>164.38759999999999</v>
      </c>
      <c r="S1454" s="78">
        <f t="shared" si="68"/>
        <v>45809</v>
      </c>
      <c r="T1454" t="str">
        <f>IFERROR(VLOOKUP(B1454,Sites!$A$2:$D$21,4,FALSE()),"Unknown")</f>
        <v>Swansea</v>
      </c>
      <c r="U1454" t="str">
        <f>IF(N1454="OK","",COUNTIF($N$2:N1454,"&lt;&gt;OK"))</f>
        <v/>
      </c>
      <c r="V1454">
        <f>IF(OR(NOT(EXACT(E1454,TRIM(Procurement_Raw!E1454))),NOT(EXACT(F1454,TRIM(Procurement_Raw!F1454)))),1,0)</f>
        <v>0</v>
      </c>
    </row>
    <row r="1455" spans="1:22" ht="15" customHeight="1" x14ac:dyDescent="0.25">
      <c r="A1455" s="123">
        <f>Procurement_Raw!A1455</f>
        <v>45795</v>
      </c>
      <c r="B1455" t="str">
        <f>TRIM(Procurement_Raw!B1455)</f>
        <v>S002</v>
      </c>
      <c r="C1455" t="str">
        <f>Procurement_Raw!C1455</f>
        <v>Manchester Care &amp; Education Centre</v>
      </c>
      <c r="D1455" t="str">
        <f>Procurement_Raw!D1455</f>
        <v>North</v>
      </c>
      <c r="E1455" t="str">
        <f>IF(TRIM(Procurement_Raw!E1455)="","",IFERROR(INDEX(Supplier_Lookup!$A$2:$A$25,MATCH(TRIM(Procurement_Raw!E1455),Supplier_Lookup!$A$2:$A$25,0)),TRIM(Procurement_Raw!E1455)))</f>
        <v>LearnWell</v>
      </c>
      <c r="F1455" t="str">
        <f>IFERROR(INDEX(Category_Targets!$A$2:$A$9,MATCH(TRIM(Procurement_Raw!F1455),Category_Targets!$A$2:$A$9,0)),"Unmapped")</f>
        <v>Office &amp; Training</v>
      </c>
      <c r="G1455" t="str">
        <f>TRIM(Procurement_Raw!G1455)</f>
        <v>INV-2025-01454</v>
      </c>
      <c r="H1455" s="77">
        <f>Procurement_Raw!H1455</f>
        <v>75</v>
      </c>
      <c r="I1455" s="124">
        <f>Procurement_Raw!I1455</f>
        <v>313.69</v>
      </c>
      <c r="J1455" s="125">
        <f>IF(Procurement_Raw!J1455="","",Procurement_Raw!J1455)</f>
        <v>23526.95</v>
      </c>
      <c r="K1455" s="77">
        <f>Procurement_Raw!K1455</f>
        <v>45</v>
      </c>
      <c r="L1455" t="str">
        <f>Procurement_Raw!L1455</f>
        <v>Legacy Spend File</v>
      </c>
      <c r="M1455" t="str">
        <f>Procurement_Raw!O1455</f>
        <v>N</v>
      </c>
      <c r="N1455" t="str">
        <f>IF(E1455="","Missing supplier",IF(B1455="","Missing site",IF(J1455="","Missing spend",IF(COUNTIFS($G$2:G1455,G1455,$E$2:E1455,E1455,$J$2:J1455,J1455)&gt;1,"Duplicate invoice",IF(COUNTIF($G$2:$G$1801,G1455)&gt;1,"Duplicate ID - review",IF(AND(P1455&lt;&gt;"Unmapped",P1455&lt;&gt;F1455),"Category mismatch","OK"))))))</f>
        <v>OK</v>
      </c>
      <c r="O1455" s="125">
        <f t="shared" si="66"/>
        <v>23526.95</v>
      </c>
      <c r="P1455" t="str">
        <f>IF(E1455="","Unmapped",IFERROR(INDEX(Supplier_Lookup!$B$2:$B$25,MATCH(E1455,Supplier_Lookup!$A$2:$A$25,0)),"Unmapped"))</f>
        <v>Office &amp; Training</v>
      </c>
      <c r="Q1455" s="76">
        <f>IFERROR(INDEX(Category_Targets!$B$2:$B$9,MATCH(F1455,Category_Targets!$A$2:$A$9,0)),0)</f>
        <v>0.04</v>
      </c>
      <c r="R1455" s="125">
        <f t="shared" si="67"/>
        <v>941.07800000000009</v>
      </c>
      <c r="S1455" s="78">
        <f t="shared" si="68"/>
        <v>45778</v>
      </c>
      <c r="T1455" t="str">
        <f>IFERROR(VLOOKUP(B1455,Sites!$A$2:$D$21,4,FALSE()),"Unknown")</f>
        <v>Manchester</v>
      </c>
      <c r="U1455" t="str">
        <f>IF(N1455="OK","",COUNTIF($N$2:N1455,"&lt;&gt;OK"))</f>
        <v/>
      </c>
      <c r="V1455">
        <f>IF(OR(NOT(EXACT(E1455,TRIM(Procurement_Raw!E1455))),NOT(EXACT(F1455,TRIM(Procurement_Raw!F1455)))),1,0)</f>
        <v>0</v>
      </c>
    </row>
    <row r="1456" spans="1:22" ht="15" customHeight="1" x14ac:dyDescent="0.25">
      <c r="A1456" s="123">
        <f>Procurement_Raw!A1456</f>
        <v>45770</v>
      </c>
      <c r="B1456" t="str">
        <f>TRIM(Procurement_Raw!B1456)</f>
        <v>S003</v>
      </c>
      <c r="C1456" t="str">
        <f>Procurement_Raw!C1456</f>
        <v>Leeds Care &amp; Education Centre</v>
      </c>
      <c r="D1456" t="str">
        <f>Procurement_Raw!D1456</f>
        <v>North</v>
      </c>
      <c r="E1456" t="str">
        <f>IF(TRIM(Procurement_Raw!E1456)="","",IFERROR(INDEX(Supplier_Lookup!$A$2:$A$25,MATCH(TRIM(Procurement_Raw!E1456),Supplier_Lookup!$A$2:$A$25,0)),TRIM(Procurement_Raw!E1456)))</f>
        <v>MediSure</v>
      </c>
      <c r="F1456" t="str">
        <f>IFERROR(INDEX(Category_Targets!$A$2:$A$9,MATCH(TRIM(Procurement_Raw!F1456),Category_Targets!$A$2:$A$9,0)),"Unmapped")</f>
        <v>Medical Supplies</v>
      </c>
      <c r="G1456" t="str">
        <f>TRIM(Procurement_Raw!G1456)</f>
        <v>INV-2025-01455</v>
      </c>
      <c r="H1456" s="77">
        <f>Procurement_Raw!H1456</f>
        <v>26</v>
      </c>
      <c r="I1456" s="124">
        <f>Procurement_Raw!I1456</f>
        <v>163.78</v>
      </c>
      <c r="J1456" s="125">
        <f>IF(Procurement_Raw!J1456="","",Procurement_Raw!J1456)</f>
        <v>4258.2700000000004</v>
      </c>
      <c r="K1456" s="77">
        <f>Procurement_Raw!K1456</f>
        <v>45</v>
      </c>
      <c r="L1456" t="str">
        <f>Procurement_Raw!L1456</f>
        <v>ERP</v>
      </c>
      <c r="M1456" t="str">
        <f>Procurement_Raw!O1456</f>
        <v>Y</v>
      </c>
      <c r="N1456" t="str">
        <f>IF(E1456="","Missing supplier",IF(B1456="","Missing site",IF(J1456="","Missing spend",IF(COUNTIFS($G$2:G1456,G1456,$E$2:E1456,E1456,$J$2:J1456,J1456)&gt;1,"Duplicate invoice",IF(COUNTIF($G$2:$G$1801,G1456)&gt;1,"Duplicate ID - review",IF(AND(P1456&lt;&gt;"Unmapped",P1456&lt;&gt;F1456),"Category mismatch","OK"))))))</f>
        <v>OK</v>
      </c>
      <c r="O1456" s="125">
        <f t="shared" si="66"/>
        <v>4258.2700000000004</v>
      </c>
      <c r="P1456" t="str">
        <f>IF(E1456="","Unmapped",IFERROR(INDEX(Supplier_Lookup!$B$2:$B$25,MATCH(E1456,Supplier_Lookup!$A$2:$A$25,0)),"Unmapped"))</f>
        <v>Medical Supplies</v>
      </c>
      <c r="Q1456" s="76">
        <f>IFERROR(INDEX(Category_Targets!$B$2:$B$9,MATCH(F1456,Category_Targets!$A$2:$A$9,0)),0)</f>
        <v>0.06</v>
      </c>
      <c r="R1456" s="125">
        <f t="shared" si="67"/>
        <v>255.49620000000002</v>
      </c>
      <c r="S1456" s="78">
        <f t="shared" si="68"/>
        <v>45748</v>
      </c>
      <c r="T1456" t="str">
        <f>IFERROR(VLOOKUP(B1456,Sites!$A$2:$D$21,4,FALSE()),"Unknown")</f>
        <v>Leeds</v>
      </c>
      <c r="U1456" t="str">
        <f>IF(N1456="OK","",COUNTIF($N$2:N1456,"&lt;&gt;OK"))</f>
        <v/>
      </c>
      <c r="V1456">
        <f>IF(OR(NOT(EXACT(E1456,TRIM(Procurement_Raw!E1456))),NOT(EXACT(F1456,TRIM(Procurement_Raw!F1456)))),1,0)</f>
        <v>0</v>
      </c>
    </row>
    <row r="1457" spans="1:22" ht="15" customHeight="1" x14ac:dyDescent="0.25">
      <c r="A1457" s="123">
        <f>Procurement_Raw!A1457</f>
        <v>45875</v>
      </c>
      <c r="B1457" t="str">
        <f>TRIM(Procurement_Raw!B1457)</f>
        <v>S011</v>
      </c>
      <c r="C1457" t="str">
        <f>Procurement_Raw!C1457</f>
        <v>London Care &amp; Education Centre</v>
      </c>
      <c r="D1457" t="str">
        <f>Procurement_Raw!D1457</f>
        <v>South</v>
      </c>
      <c r="E1457" t="str">
        <f>IF(TRIM(Procurement_Raw!E1457)="","",IFERROR(INDEX(Supplier_Lookup!$A$2:$A$25,MATCH(TRIM(Procurement_Raw!E1457),Supplier_Lookup!$A$2:$A$25,0)),TRIM(Procurement_Raw!E1457)))</f>
        <v>WaterGrid</v>
      </c>
      <c r="F1457" t="str">
        <f>IFERROR(INDEX(Category_Targets!$A$2:$A$9,MATCH(TRIM(Procurement_Raw!F1457),Category_Targets!$A$2:$A$9,0)),"Unmapped")</f>
        <v>Utilities</v>
      </c>
      <c r="G1457" t="str">
        <f>TRIM(Procurement_Raw!G1457)</f>
        <v>INV-2025-01456</v>
      </c>
      <c r="H1457" s="77">
        <f>Procurement_Raw!H1457</f>
        <v>49</v>
      </c>
      <c r="I1457" s="124">
        <f>Procurement_Raw!I1457</f>
        <v>94.92</v>
      </c>
      <c r="J1457" s="125">
        <f>IF(Procurement_Raw!J1457="","",Procurement_Raw!J1457)</f>
        <v>4651.1099999999997</v>
      </c>
      <c r="K1457" s="77">
        <f>Procurement_Raw!K1457</f>
        <v>60</v>
      </c>
      <c r="L1457" t="str">
        <f>Procurement_Raw!L1457</f>
        <v>ERP</v>
      </c>
      <c r="M1457" t="str">
        <f>Procurement_Raw!O1457</f>
        <v>N</v>
      </c>
      <c r="N1457" t="str">
        <f>IF(E1457="","Missing supplier",IF(B1457="","Missing site",IF(J1457="","Missing spend",IF(COUNTIFS($G$2:G1457,G1457,$E$2:E1457,E1457,$J$2:J1457,J1457)&gt;1,"Duplicate invoice",IF(COUNTIF($G$2:$G$1801,G1457)&gt;1,"Duplicate ID - review",IF(AND(P1457&lt;&gt;"Unmapped",P1457&lt;&gt;F1457),"Category mismatch","OK"))))))</f>
        <v>OK</v>
      </c>
      <c r="O1457" s="125">
        <f t="shared" si="66"/>
        <v>4651.1099999999997</v>
      </c>
      <c r="P1457" t="str">
        <f>IF(E1457="","Unmapped",IFERROR(INDEX(Supplier_Lookup!$B$2:$B$25,MATCH(E1457,Supplier_Lookup!$A$2:$A$25,0)),"Unmapped"))</f>
        <v>Utilities</v>
      </c>
      <c r="Q1457" s="76">
        <f>IFERROR(INDEX(Category_Targets!$B$2:$B$9,MATCH(F1457,Category_Targets!$A$2:$A$9,0)),0)</f>
        <v>0.03</v>
      </c>
      <c r="R1457" s="125">
        <f t="shared" si="67"/>
        <v>139.5333</v>
      </c>
      <c r="S1457" s="78">
        <f t="shared" si="68"/>
        <v>45870</v>
      </c>
      <c r="T1457" t="str">
        <f>IFERROR(VLOOKUP(B1457,Sites!$A$2:$D$21,4,FALSE()),"Unknown")</f>
        <v>London</v>
      </c>
      <c r="U1457" t="str">
        <f>IF(N1457="OK","",COUNTIF($N$2:N1457,"&lt;&gt;OK"))</f>
        <v/>
      </c>
      <c r="V1457">
        <f>IF(OR(NOT(EXACT(E1457,TRIM(Procurement_Raw!E1457))),NOT(EXACT(F1457,TRIM(Procurement_Raw!F1457)))),1,0)</f>
        <v>0</v>
      </c>
    </row>
    <row r="1458" spans="1:22" ht="15" customHeight="1" x14ac:dyDescent="0.25">
      <c r="A1458" s="123">
        <f>Procurement_Raw!A1458</f>
        <v>45701</v>
      </c>
      <c r="B1458" t="str">
        <f>TRIM(Procurement_Raw!B1458)</f>
        <v>S019</v>
      </c>
      <c r="C1458" t="str">
        <f>Procurement_Raw!C1458</f>
        <v>Wrexham Care &amp; Education Centre</v>
      </c>
      <c r="D1458" t="str">
        <f>Procurement_Raw!D1458</f>
        <v>Wales</v>
      </c>
      <c r="E1458" t="str">
        <f>IF(TRIM(Procurement_Raw!E1458)="","",IFERROR(INDEX(Supplier_Lookup!$A$2:$A$25,MATCH(TRIM(Procurement_Raw!E1458),Supplier_Lookup!$A$2:$A$25,0)),TRIM(Procurement_Raw!E1458)))</f>
        <v>NetServe</v>
      </c>
      <c r="F1458" t="str">
        <f>IFERROR(INDEX(Category_Targets!$A$2:$A$9,MATCH(TRIM(Procurement_Raw!F1458),Category_Targets!$A$2:$A$9,0)),"Unmapped")</f>
        <v>IT &amp; Telecoms</v>
      </c>
      <c r="G1458" t="str">
        <f>TRIM(Procurement_Raw!G1458)</f>
        <v>INV-2025-01457</v>
      </c>
      <c r="H1458" s="77">
        <f>Procurement_Raw!H1458</f>
        <v>18</v>
      </c>
      <c r="I1458" s="124">
        <f>Procurement_Raw!I1458</f>
        <v>332.94</v>
      </c>
      <c r="J1458" s="125">
        <f>IF(Procurement_Raw!J1458="","",Procurement_Raw!J1458)</f>
        <v>5992.94</v>
      </c>
      <c r="K1458" s="77">
        <f>Procurement_Raw!K1458</f>
        <v>30</v>
      </c>
      <c r="L1458" t="str">
        <f>Procurement_Raw!L1458</f>
        <v>Procurement Portal</v>
      </c>
      <c r="M1458" t="str">
        <f>Procurement_Raw!O1458</f>
        <v>N</v>
      </c>
      <c r="N1458" t="str">
        <f>IF(E1458="","Missing supplier",IF(B1458="","Missing site",IF(J1458="","Missing spend",IF(COUNTIFS($G$2:G1458,G1458,$E$2:E1458,E1458,$J$2:J1458,J1458)&gt;1,"Duplicate invoice",IF(COUNTIF($G$2:$G$1801,G1458)&gt;1,"Duplicate ID - review",IF(AND(P1458&lt;&gt;"Unmapped",P1458&lt;&gt;F1458),"Category mismatch","OK"))))))</f>
        <v>OK</v>
      </c>
      <c r="O1458" s="125">
        <f t="shared" si="66"/>
        <v>5992.94</v>
      </c>
      <c r="P1458" t="str">
        <f>IF(E1458="","Unmapped",IFERROR(INDEX(Supplier_Lookup!$B$2:$B$25,MATCH(E1458,Supplier_Lookup!$A$2:$A$25,0)),"Unmapped"))</f>
        <v>IT &amp; Telecoms</v>
      </c>
      <c r="Q1458" s="76">
        <f>IFERROR(INDEX(Category_Targets!$B$2:$B$9,MATCH(F1458,Category_Targets!$A$2:$A$9,0)),0)</f>
        <v>0.08</v>
      </c>
      <c r="R1458" s="125">
        <f t="shared" si="67"/>
        <v>479.43519999999995</v>
      </c>
      <c r="S1458" s="78">
        <f t="shared" si="68"/>
        <v>45689</v>
      </c>
      <c r="T1458" t="str">
        <f>IFERROR(VLOOKUP(B1458,Sites!$A$2:$D$21,4,FALSE()),"Unknown")</f>
        <v>Wrexham</v>
      </c>
      <c r="U1458" t="str">
        <f>IF(N1458="OK","",COUNTIF($N$2:N1458,"&lt;&gt;OK"))</f>
        <v/>
      </c>
      <c r="V1458">
        <f>IF(OR(NOT(EXACT(E1458,TRIM(Procurement_Raw!E1458))),NOT(EXACT(F1458,TRIM(Procurement_Raw!F1458)))),1,0)</f>
        <v>0</v>
      </c>
    </row>
    <row r="1459" spans="1:22" ht="15" customHeight="1" x14ac:dyDescent="0.25">
      <c r="A1459" s="123">
        <f>Procurement_Raw!A1459</f>
        <v>45956</v>
      </c>
      <c r="B1459" t="str">
        <f>TRIM(Procurement_Raw!B1459)</f>
        <v>S007</v>
      </c>
      <c r="C1459" t="str">
        <f>Procurement_Raw!C1459</f>
        <v>Nottingham Care &amp; Education Centre</v>
      </c>
      <c r="D1459" t="str">
        <f>Procurement_Raw!D1459</f>
        <v>Midlands</v>
      </c>
      <c r="E1459" t="str">
        <f>IF(TRIM(Procurement_Raw!E1459)="","",IFERROR(INDEX(Supplier_Lookup!$A$2:$A$25,MATCH(TRIM(Procurement_Raw!E1459),Supplier_Lookup!$A$2:$A$25,0)),TRIM(Procurement_Raw!E1459)))</f>
        <v>FleetFuel</v>
      </c>
      <c r="F1459" t="str">
        <f>IFERROR(INDEX(Category_Targets!$A$2:$A$9,MATCH(TRIM(Procurement_Raw!F1459),Category_Targets!$A$2:$A$9,0)),"Unmapped")</f>
        <v>Vehicle &amp; Fuel</v>
      </c>
      <c r="G1459" t="str">
        <f>TRIM(Procurement_Raw!G1459)</f>
        <v>INV-2025-01458</v>
      </c>
      <c r="H1459" s="77">
        <f>Procurement_Raw!H1459</f>
        <v>6</v>
      </c>
      <c r="I1459" s="124">
        <f>Procurement_Raw!I1459</f>
        <v>117.16</v>
      </c>
      <c r="J1459" s="125">
        <f>IF(Procurement_Raw!J1459="","",Procurement_Raw!J1459)</f>
        <v>702.94</v>
      </c>
      <c r="K1459" s="77">
        <f>Procurement_Raw!K1459</f>
        <v>45</v>
      </c>
      <c r="L1459" t="str">
        <f>Procurement_Raw!L1459</f>
        <v>Legacy Spend File</v>
      </c>
      <c r="M1459" t="str">
        <f>Procurement_Raw!O1459</f>
        <v>Y</v>
      </c>
      <c r="N1459" t="str">
        <f>IF(E1459="","Missing supplier",IF(B1459="","Missing site",IF(J1459="","Missing spend",IF(COUNTIFS($G$2:G1459,G1459,$E$2:E1459,E1459,$J$2:J1459,J1459)&gt;1,"Duplicate invoice",IF(COUNTIF($G$2:$G$1801,G1459)&gt;1,"Duplicate ID - review",IF(AND(P1459&lt;&gt;"Unmapped",P1459&lt;&gt;F1459),"Category mismatch","OK"))))))</f>
        <v>OK</v>
      </c>
      <c r="O1459" s="125">
        <f t="shared" si="66"/>
        <v>702.94</v>
      </c>
      <c r="P1459" t="str">
        <f>IF(E1459="","Unmapped",IFERROR(INDEX(Supplier_Lookup!$B$2:$B$25,MATCH(E1459,Supplier_Lookup!$A$2:$A$25,0)),"Unmapped"))</f>
        <v>Vehicle &amp; Fuel</v>
      </c>
      <c r="Q1459" s="76">
        <f>IFERROR(INDEX(Category_Targets!$B$2:$B$9,MATCH(F1459,Category_Targets!$A$2:$A$9,0)),0)</f>
        <v>0.05</v>
      </c>
      <c r="R1459" s="125">
        <f t="shared" si="67"/>
        <v>35.147000000000006</v>
      </c>
      <c r="S1459" s="78">
        <f t="shared" si="68"/>
        <v>45931</v>
      </c>
      <c r="T1459" t="str">
        <f>IFERROR(VLOOKUP(B1459,Sites!$A$2:$D$21,4,FALSE()),"Unknown")</f>
        <v>Nottingham</v>
      </c>
      <c r="U1459" t="str">
        <f>IF(N1459="OK","",COUNTIF($N$2:N1459,"&lt;&gt;OK"))</f>
        <v/>
      </c>
      <c r="V1459">
        <f>IF(OR(NOT(EXACT(E1459,TRIM(Procurement_Raw!E1459))),NOT(EXACT(F1459,TRIM(Procurement_Raw!F1459)))),1,0)</f>
        <v>0</v>
      </c>
    </row>
    <row r="1460" spans="1:22" ht="15" customHeight="1" x14ac:dyDescent="0.25">
      <c r="A1460" s="123">
        <f>Procurement_Raw!A1460</f>
        <v>45888</v>
      </c>
      <c r="B1460" t="str">
        <f>TRIM(Procurement_Raw!B1460)</f>
        <v>S005</v>
      </c>
      <c r="C1460" t="str">
        <f>Procurement_Raw!C1460</f>
        <v>Sheffield Care &amp; Education Centre</v>
      </c>
      <c r="D1460" t="str">
        <f>Procurement_Raw!D1460</f>
        <v>North</v>
      </c>
      <c r="E1460" t="str">
        <f>IF(TRIM(Procurement_Raw!E1460)="","",IFERROR(INDEX(Supplier_Lookup!$A$2:$A$25,MATCH(TRIM(Procurement_Raw!E1460),Supplier_Lookup!$A$2:$A$25,0)),TRIM(Procurement_Raw!E1460)))</f>
        <v>RoadReady</v>
      </c>
      <c r="F1460" t="str">
        <f>IFERROR(INDEX(Category_Targets!$A$2:$A$9,MATCH(TRIM(Procurement_Raw!F1460),Category_Targets!$A$2:$A$9,0)),"Unmapped")</f>
        <v>Vehicle &amp; Fuel</v>
      </c>
      <c r="G1460" t="str">
        <f>TRIM(Procurement_Raw!G1460)</f>
        <v>INV-2025-01459</v>
      </c>
      <c r="H1460" s="77">
        <f>Procurement_Raw!H1460</f>
        <v>60</v>
      </c>
      <c r="I1460" s="124">
        <f>Procurement_Raw!I1460</f>
        <v>193.11</v>
      </c>
      <c r="J1460" s="125">
        <f>IF(Procurement_Raw!J1460="","",Procurement_Raw!J1460)</f>
        <v>11586.38</v>
      </c>
      <c r="K1460" s="77">
        <f>Procurement_Raw!K1460</f>
        <v>45</v>
      </c>
      <c r="L1460" t="str">
        <f>Procurement_Raw!L1460</f>
        <v>Procurement Portal</v>
      </c>
      <c r="M1460" t="str">
        <f>Procurement_Raw!O1460</f>
        <v>N</v>
      </c>
      <c r="N1460" t="str">
        <f>IF(E1460="","Missing supplier",IF(B1460="","Missing site",IF(J1460="","Missing spend",IF(COUNTIFS($G$2:G1460,G1460,$E$2:E1460,E1460,$J$2:J1460,J1460)&gt;1,"Duplicate invoice",IF(COUNTIF($G$2:$G$1801,G1460)&gt;1,"Duplicate ID - review",IF(AND(P1460&lt;&gt;"Unmapped",P1460&lt;&gt;F1460),"Category mismatch","OK"))))))</f>
        <v>OK</v>
      </c>
      <c r="O1460" s="125">
        <f t="shared" si="66"/>
        <v>11586.38</v>
      </c>
      <c r="P1460" t="str">
        <f>IF(E1460="","Unmapped",IFERROR(INDEX(Supplier_Lookup!$B$2:$B$25,MATCH(E1460,Supplier_Lookup!$A$2:$A$25,0)),"Unmapped"))</f>
        <v>Vehicle &amp; Fuel</v>
      </c>
      <c r="Q1460" s="76">
        <f>IFERROR(INDEX(Category_Targets!$B$2:$B$9,MATCH(F1460,Category_Targets!$A$2:$A$9,0)),0)</f>
        <v>0.05</v>
      </c>
      <c r="R1460" s="125">
        <f t="shared" si="67"/>
        <v>579.31899999999996</v>
      </c>
      <c r="S1460" s="78">
        <f t="shared" si="68"/>
        <v>45870</v>
      </c>
      <c r="T1460" t="str">
        <f>IFERROR(VLOOKUP(B1460,Sites!$A$2:$D$21,4,FALSE()),"Unknown")</f>
        <v>Sheffield</v>
      </c>
      <c r="U1460" t="str">
        <f>IF(N1460="OK","",COUNTIF($N$2:N1460,"&lt;&gt;OK"))</f>
        <v/>
      </c>
      <c r="V1460">
        <f>IF(OR(NOT(EXACT(E1460,TRIM(Procurement_Raw!E1460))),NOT(EXACT(F1460,TRIM(Procurement_Raw!F1460)))),1,0)</f>
        <v>0</v>
      </c>
    </row>
    <row r="1461" spans="1:22" ht="15" customHeight="1" x14ac:dyDescent="0.25">
      <c r="A1461" s="123">
        <f>Procurement_Raw!A1461</f>
        <v>45797</v>
      </c>
      <c r="B1461" t="str">
        <f>TRIM(Procurement_Raw!B1461)</f>
        <v>S009</v>
      </c>
      <c r="C1461" t="str">
        <f>Procurement_Raw!C1461</f>
        <v>Derby Care &amp; Education Centre</v>
      </c>
      <c r="D1461" t="str">
        <f>Procurement_Raw!D1461</f>
        <v>Midlands</v>
      </c>
      <c r="E1461" t="str">
        <f>IF(TRIM(Procurement_Raw!E1461)="","",IFERROR(INDEX(Supplier_Lookup!$A$2:$A$25,MATCH(TRIM(Procurement_Raw!E1461),Supplier_Lookup!$A$2:$A$25,0)),TRIM(Procurement_Raw!E1461)))</f>
        <v>LearnWell</v>
      </c>
      <c r="F1461" t="str">
        <f>IFERROR(INDEX(Category_Targets!$A$2:$A$9,MATCH(TRIM(Procurement_Raw!F1461),Category_Targets!$A$2:$A$9,0)),"Unmapped")</f>
        <v>Office &amp; Training</v>
      </c>
      <c r="G1461" t="str">
        <f>TRIM(Procurement_Raw!G1461)</f>
        <v>INV-2025-01460</v>
      </c>
      <c r="H1461" s="77">
        <f>Procurement_Raw!H1461</f>
        <v>49</v>
      </c>
      <c r="I1461" s="124">
        <f>Procurement_Raw!I1461</f>
        <v>108.61</v>
      </c>
      <c r="J1461" s="125">
        <f>IF(Procurement_Raw!J1461="","",Procurement_Raw!J1461)</f>
        <v>5321.75</v>
      </c>
      <c r="K1461" s="77">
        <f>Procurement_Raw!K1461</f>
        <v>30</v>
      </c>
      <c r="L1461" t="str">
        <f>Procurement_Raw!L1461</f>
        <v>ERP</v>
      </c>
      <c r="M1461" t="str">
        <f>Procurement_Raw!O1461</f>
        <v>N</v>
      </c>
      <c r="N1461" t="str">
        <f>IF(E1461="","Missing supplier",IF(B1461="","Missing site",IF(J1461="","Missing spend",IF(COUNTIFS($G$2:G1461,G1461,$E$2:E1461,E1461,$J$2:J1461,J1461)&gt;1,"Duplicate invoice",IF(COUNTIF($G$2:$G$1801,G1461)&gt;1,"Duplicate ID - review",IF(AND(P1461&lt;&gt;"Unmapped",P1461&lt;&gt;F1461),"Category mismatch","OK"))))))</f>
        <v>OK</v>
      </c>
      <c r="O1461" s="125">
        <f t="shared" si="66"/>
        <v>5321.75</v>
      </c>
      <c r="P1461" t="str">
        <f>IF(E1461="","Unmapped",IFERROR(INDEX(Supplier_Lookup!$B$2:$B$25,MATCH(E1461,Supplier_Lookup!$A$2:$A$25,0)),"Unmapped"))</f>
        <v>Office &amp; Training</v>
      </c>
      <c r="Q1461" s="76">
        <f>IFERROR(INDEX(Category_Targets!$B$2:$B$9,MATCH(F1461,Category_Targets!$A$2:$A$9,0)),0)</f>
        <v>0.04</v>
      </c>
      <c r="R1461" s="125">
        <f t="shared" si="67"/>
        <v>212.87</v>
      </c>
      <c r="S1461" s="78">
        <f t="shared" si="68"/>
        <v>45778</v>
      </c>
      <c r="T1461" t="str">
        <f>IFERROR(VLOOKUP(B1461,Sites!$A$2:$D$21,4,FALSE()),"Unknown")</f>
        <v>Derby</v>
      </c>
      <c r="U1461" t="str">
        <f>IF(N1461="OK","",COUNTIF($N$2:N1461,"&lt;&gt;OK"))</f>
        <v/>
      </c>
      <c r="V1461">
        <f>IF(OR(NOT(EXACT(E1461,TRIM(Procurement_Raw!E1461))),NOT(EXACT(F1461,TRIM(Procurement_Raw!F1461)))),1,0)</f>
        <v>0</v>
      </c>
    </row>
    <row r="1462" spans="1:22" ht="15" customHeight="1" x14ac:dyDescent="0.25">
      <c r="A1462" s="123">
        <f>Procurement_Raw!A1462</f>
        <v>45988</v>
      </c>
      <c r="B1462" t="str">
        <f>TRIM(Procurement_Raw!B1462)</f>
        <v>S017</v>
      </c>
      <c r="C1462" t="str">
        <f>Procurement_Raw!C1462</f>
        <v>Swansea Care &amp; Education Centre</v>
      </c>
      <c r="D1462" t="str">
        <f>Procurement_Raw!D1462</f>
        <v>Wales</v>
      </c>
      <c r="E1462" t="str">
        <f>IF(TRIM(Procurement_Raw!E1462)="","",IFERROR(INDEX(Supplier_Lookup!$A$2:$A$25,MATCH(TRIM(Procurement_Raw!E1462),Supplier_Lookup!$A$2:$A$25,0)),TRIM(Procurement_Raw!E1462)))</f>
        <v>WaterGrid</v>
      </c>
      <c r="F1462" t="str">
        <f>IFERROR(INDEX(Category_Targets!$A$2:$A$9,MATCH(TRIM(Procurement_Raw!F1462),Category_Targets!$A$2:$A$9,0)),"Unmapped")</f>
        <v>Utilities</v>
      </c>
      <c r="G1462" t="str">
        <f>TRIM(Procurement_Raw!G1462)</f>
        <v>INV-2025-01461</v>
      </c>
      <c r="H1462" s="77">
        <f>Procurement_Raw!H1462</f>
        <v>10</v>
      </c>
      <c r="I1462" s="124">
        <f>Procurement_Raw!I1462</f>
        <v>231.67</v>
      </c>
      <c r="J1462" s="125">
        <f>IF(Procurement_Raw!J1462="","",Procurement_Raw!J1462)</f>
        <v>2316.69</v>
      </c>
      <c r="K1462" s="77">
        <f>Procurement_Raw!K1462</f>
        <v>45</v>
      </c>
      <c r="L1462" t="str">
        <f>Procurement_Raw!L1462</f>
        <v>ERP</v>
      </c>
      <c r="M1462" t="str">
        <f>Procurement_Raw!O1462</f>
        <v>N</v>
      </c>
      <c r="N1462" t="str">
        <f>IF(E1462="","Missing supplier",IF(B1462="","Missing site",IF(J1462="","Missing spend",IF(COUNTIFS($G$2:G1462,G1462,$E$2:E1462,E1462,$J$2:J1462,J1462)&gt;1,"Duplicate invoice",IF(COUNTIF($G$2:$G$1801,G1462)&gt;1,"Duplicate ID - review",IF(AND(P1462&lt;&gt;"Unmapped",P1462&lt;&gt;F1462),"Category mismatch","OK"))))))</f>
        <v>OK</v>
      </c>
      <c r="O1462" s="125">
        <f t="shared" si="66"/>
        <v>2316.69</v>
      </c>
      <c r="P1462" t="str">
        <f>IF(E1462="","Unmapped",IFERROR(INDEX(Supplier_Lookup!$B$2:$B$25,MATCH(E1462,Supplier_Lookup!$A$2:$A$25,0)),"Unmapped"))</f>
        <v>Utilities</v>
      </c>
      <c r="Q1462" s="76">
        <f>IFERROR(INDEX(Category_Targets!$B$2:$B$9,MATCH(F1462,Category_Targets!$A$2:$A$9,0)),0)</f>
        <v>0.03</v>
      </c>
      <c r="R1462" s="125">
        <f t="shared" si="67"/>
        <v>69.500699999999995</v>
      </c>
      <c r="S1462" s="78">
        <f t="shared" si="68"/>
        <v>45962</v>
      </c>
      <c r="T1462" t="str">
        <f>IFERROR(VLOOKUP(B1462,Sites!$A$2:$D$21,4,FALSE()),"Unknown")</f>
        <v>Swansea</v>
      </c>
      <c r="U1462" t="str">
        <f>IF(N1462="OK","",COUNTIF($N$2:N1462,"&lt;&gt;OK"))</f>
        <v/>
      </c>
      <c r="V1462">
        <f>IF(OR(NOT(EXACT(E1462,TRIM(Procurement_Raw!E1462))),NOT(EXACT(F1462,TRIM(Procurement_Raw!F1462)))),1,0)</f>
        <v>0</v>
      </c>
    </row>
    <row r="1463" spans="1:22" ht="15" customHeight="1" x14ac:dyDescent="0.25">
      <c r="A1463" s="123">
        <f>Procurement_Raw!A1463</f>
        <v>45774</v>
      </c>
      <c r="B1463" t="str">
        <f>TRIM(Procurement_Raw!B1463)</f>
        <v>S017</v>
      </c>
      <c r="C1463" t="str">
        <f>Procurement_Raw!C1463</f>
        <v>Swansea Care &amp; Education Centre</v>
      </c>
      <c r="D1463" t="str">
        <f>Procurement_Raw!D1463</f>
        <v>Wales</v>
      </c>
      <c r="E1463" t="str">
        <f>IF(TRIM(Procurement_Raw!E1463)="","",IFERROR(INDEX(Supplier_Lookup!$A$2:$A$25,MATCH(TRIM(Procurement_Raw!E1463),Supplier_Lookup!$A$2:$A$25,0)),TRIM(Procurement_Raw!E1463)))</f>
        <v>NourishCo</v>
      </c>
      <c r="F1463" t="str">
        <f>IFERROR(INDEX(Category_Targets!$A$2:$A$9,MATCH(TRIM(Procurement_Raw!F1463),Category_Targets!$A$2:$A$9,0)),"Unmapped")</f>
        <v>Food &amp; Catering</v>
      </c>
      <c r="G1463" t="str">
        <f>TRIM(Procurement_Raw!G1463)</f>
        <v>INV-2025-01462</v>
      </c>
      <c r="H1463" s="77">
        <f>Procurement_Raw!H1463</f>
        <v>13</v>
      </c>
      <c r="I1463" s="124">
        <f>Procurement_Raw!I1463</f>
        <v>33.15</v>
      </c>
      <c r="J1463" s="125">
        <f>IF(Procurement_Raw!J1463="","",Procurement_Raw!J1463)</f>
        <v>430.94</v>
      </c>
      <c r="K1463" s="77">
        <f>Procurement_Raw!K1463</f>
        <v>30</v>
      </c>
      <c r="L1463" t="str">
        <f>Procurement_Raw!L1463</f>
        <v>ERP</v>
      </c>
      <c r="M1463" t="str">
        <f>Procurement_Raw!O1463</f>
        <v>N</v>
      </c>
      <c r="N1463" t="str">
        <f>IF(E1463="","Missing supplier",IF(B1463="","Missing site",IF(J1463="","Missing spend",IF(COUNTIFS($G$2:G1463,G1463,$E$2:E1463,E1463,$J$2:J1463,J1463)&gt;1,"Duplicate invoice",IF(COUNTIF($G$2:$G$1801,G1463)&gt;1,"Duplicate ID - review",IF(AND(P1463&lt;&gt;"Unmapped",P1463&lt;&gt;F1463),"Category mismatch","OK"))))))</f>
        <v>OK</v>
      </c>
      <c r="O1463" s="125">
        <f t="shared" si="66"/>
        <v>430.94</v>
      </c>
      <c r="P1463" t="str">
        <f>IF(E1463="","Unmapped",IFERROR(INDEX(Supplier_Lookup!$B$2:$B$25,MATCH(E1463,Supplier_Lookup!$A$2:$A$25,0)),"Unmapped"))</f>
        <v>Food &amp; Catering</v>
      </c>
      <c r="Q1463" s="76">
        <f>IFERROR(INDEX(Category_Targets!$B$2:$B$9,MATCH(F1463,Category_Targets!$A$2:$A$9,0)),0)</f>
        <v>0.04</v>
      </c>
      <c r="R1463" s="125">
        <f t="shared" si="67"/>
        <v>17.2376</v>
      </c>
      <c r="S1463" s="78">
        <f t="shared" si="68"/>
        <v>45748</v>
      </c>
      <c r="T1463" t="str">
        <f>IFERROR(VLOOKUP(B1463,Sites!$A$2:$D$21,4,FALSE()),"Unknown")</f>
        <v>Swansea</v>
      </c>
      <c r="U1463" t="str">
        <f>IF(N1463="OK","",COUNTIF($N$2:N1463,"&lt;&gt;OK"))</f>
        <v/>
      </c>
      <c r="V1463">
        <f>IF(OR(NOT(EXACT(E1463,TRIM(Procurement_Raw!E1463))),NOT(EXACT(F1463,TRIM(Procurement_Raw!F1463)))),1,0)</f>
        <v>0</v>
      </c>
    </row>
    <row r="1464" spans="1:22" ht="15" customHeight="1" x14ac:dyDescent="0.25">
      <c r="A1464" s="123">
        <f>Procurement_Raw!A1464</f>
        <v>45760</v>
      </c>
      <c r="B1464" t="str">
        <f>TRIM(Procurement_Raw!B1464)</f>
        <v>S017</v>
      </c>
      <c r="C1464" t="str">
        <f>Procurement_Raw!C1464</f>
        <v>Swansea Care &amp; Education Centre</v>
      </c>
      <c r="D1464" t="str">
        <f>Procurement_Raw!D1464</f>
        <v>Wales</v>
      </c>
      <c r="E1464" t="str">
        <f>IF(TRIM(Procurement_Raw!E1464)="","",IFERROR(INDEX(Supplier_Lookup!$A$2:$A$25,MATCH(TRIM(Procurement_Raw!E1464),Supplier_Lookup!$A$2:$A$25,0)),TRIM(Procurement_Raw!E1464)))</f>
        <v>ClinEquip</v>
      </c>
      <c r="F1464" t="str">
        <f>IFERROR(INDEX(Category_Targets!$A$2:$A$9,MATCH(TRIM(Procurement_Raw!F1464),Category_Targets!$A$2:$A$9,0)),"Unmapped")</f>
        <v>Medical Supplies</v>
      </c>
      <c r="G1464" t="str">
        <f>TRIM(Procurement_Raw!G1464)</f>
        <v>INV-2025-01463</v>
      </c>
      <c r="H1464" s="77">
        <f>Procurement_Raw!H1464</f>
        <v>43</v>
      </c>
      <c r="I1464" s="124">
        <f>Procurement_Raw!I1464</f>
        <v>106.97</v>
      </c>
      <c r="J1464" s="125">
        <f>IF(Procurement_Raw!J1464="","",Procurement_Raw!J1464)</f>
        <v>4599.62</v>
      </c>
      <c r="K1464" s="77">
        <f>Procurement_Raw!K1464</f>
        <v>30</v>
      </c>
      <c r="L1464" t="str">
        <f>Procurement_Raw!L1464</f>
        <v>Legacy Spend File</v>
      </c>
      <c r="M1464" t="str">
        <f>Procurement_Raw!O1464</f>
        <v>N</v>
      </c>
      <c r="N1464" t="str">
        <f>IF(E1464="","Missing supplier",IF(B1464="","Missing site",IF(J1464="","Missing spend",IF(COUNTIFS($G$2:G1464,G1464,$E$2:E1464,E1464,$J$2:J1464,J1464)&gt;1,"Duplicate invoice",IF(COUNTIF($G$2:$G$1801,G1464)&gt;1,"Duplicate ID - review",IF(AND(P1464&lt;&gt;"Unmapped",P1464&lt;&gt;F1464),"Category mismatch","OK"))))))</f>
        <v>OK</v>
      </c>
      <c r="O1464" s="125">
        <f t="shared" si="66"/>
        <v>4599.62</v>
      </c>
      <c r="P1464" t="str">
        <f>IF(E1464="","Unmapped",IFERROR(INDEX(Supplier_Lookup!$B$2:$B$25,MATCH(E1464,Supplier_Lookup!$A$2:$A$25,0)),"Unmapped"))</f>
        <v>Medical Supplies</v>
      </c>
      <c r="Q1464" s="76">
        <f>IFERROR(INDEX(Category_Targets!$B$2:$B$9,MATCH(F1464,Category_Targets!$A$2:$A$9,0)),0)</f>
        <v>0.06</v>
      </c>
      <c r="R1464" s="125">
        <f t="shared" si="67"/>
        <v>275.97719999999998</v>
      </c>
      <c r="S1464" s="78">
        <f t="shared" si="68"/>
        <v>45748</v>
      </c>
      <c r="T1464" t="str">
        <f>IFERROR(VLOOKUP(B1464,Sites!$A$2:$D$21,4,FALSE()),"Unknown")</f>
        <v>Swansea</v>
      </c>
      <c r="U1464" t="str">
        <f>IF(N1464="OK","",COUNTIF($N$2:N1464,"&lt;&gt;OK"))</f>
        <v/>
      </c>
      <c r="V1464">
        <f>IF(OR(NOT(EXACT(E1464,TRIM(Procurement_Raw!E1464))),NOT(EXACT(F1464,TRIM(Procurement_Raw!F1464)))),1,0)</f>
        <v>0</v>
      </c>
    </row>
    <row r="1465" spans="1:22" ht="15" customHeight="1" x14ac:dyDescent="0.25">
      <c r="A1465" s="123">
        <f>Procurement_Raw!A1465</f>
        <v>46007</v>
      </c>
      <c r="B1465" t="str">
        <f>TRIM(Procurement_Raw!B1465)</f>
        <v>S007</v>
      </c>
      <c r="C1465" t="str">
        <f>Procurement_Raw!C1465</f>
        <v>Nottingham Care &amp; Education Centre</v>
      </c>
      <c r="D1465" t="str">
        <f>Procurement_Raw!D1465</f>
        <v>Midlands</v>
      </c>
      <c r="E1465" t="str">
        <f>IF(TRIM(Procurement_Raw!E1465)="","",IFERROR(INDEX(Supplier_Lookup!$A$2:$A$25,MATCH(TRIM(Procurement_Raw!E1465),Supplier_Lookup!$A$2:$A$25,0)),TRIM(Procurement_Raw!E1465)))</f>
        <v>TeleCare IT</v>
      </c>
      <c r="F1465" t="str">
        <f>IFERROR(INDEX(Category_Targets!$A$2:$A$9,MATCH(TRIM(Procurement_Raw!F1465),Category_Targets!$A$2:$A$9,0)),"Unmapped")</f>
        <v>IT &amp; Telecoms</v>
      </c>
      <c r="G1465" t="str">
        <f>TRIM(Procurement_Raw!G1465)</f>
        <v>INV-2025-01464</v>
      </c>
      <c r="H1465" s="77">
        <f>Procurement_Raw!H1465</f>
        <v>36</v>
      </c>
      <c r="I1465" s="124">
        <f>Procurement_Raw!I1465</f>
        <v>137.81</v>
      </c>
      <c r="J1465" s="125">
        <f>IF(Procurement_Raw!J1465="","",Procurement_Raw!J1465)</f>
        <v>4960.99</v>
      </c>
      <c r="K1465" s="77">
        <f>Procurement_Raw!K1465</f>
        <v>30</v>
      </c>
      <c r="L1465" t="str">
        <f>Procurement_Raw!L1465</f>
        <v>Legacy Spend File</v>
      </c>
      <c r="M1465" t="str">
        <f>Procurement_Raw!O1465</f>
        <v>N</v>
      </c>
      <c r="N1465" t="str">
        <f>IF(E1465="","Missing supplier",IF(B1465="","Missing site",IF(J1465="","Missing spend",IF(COUNTIFS($G$2:G1465,G1465,$E$2:E1465,E1465,$J$2:J1465,J1465)&gt;1,"Duplicate invoice",IF(COUNTIF($G$2:$G$1801,G1465)&gt;1,"Duplicate ID - review",IF(AND(P1465&lt;&gt;"Unmapped",P1465&lt;&gt;F1465),"Category mismatch","OK"))))))</f>
        <v>OK</v>
      </c>
      <c r="O1465" s="125">
        <f t="shared" si="66"/>
        <v>4960.99</v>
      </c>
      <c r="P1465" t="str">
        <f>IF(E1465="","Unmapped",IFERROR(INDEX(Supplier_Lookup!$B$2:$B$25,MATCH(E1465,Supplier_Lookup!$A$2:$A$25,0)),"Unmapped"))</f>
        <v>IT &amp; Telecoms</v>
      </c>
      <c r="Q1465" s="76">
        <f>IFERROR(INDEX(Category_Targets!$B$2:$B$9,MATCH(F1465,Category_Targets!$A$2:$A$9,0)),0)</f>
        <v>0.08</v>
      </c>
      <c r="R1465" s="125">
        <f t="shared" si="67"/>
        <v>396.87919999999997</v>
      </c>
      <c r="S1465" s="78">
        <f t="shared" si="68"/>
        <v>45992</v>
      </c>
      <c r="T1465" t="str">
        <f>IFERROR(VLOOKUP(B1465,Sites!$A$2:$D$21,4,FALSE()),"Unknown")</f>
        <v>Nottingham</v>
      </c>
      <c r="U1465" t="str">
        <f>IF(N1465="OK","",COUNTIF($N$2:N1465,"&lt;&gt;OK"))</f>
        <v/>
      </c>
      <c r="V1465">
        <f>IF(OR(NOT(EXACT(E1465,TRIM(Procurement_Raw!E1465))),NOT(EXACT(F1465,TRIM(Procurement_Raw!F1465)))),1,0)</f>
        <v>0</v>
      </c>
    </row>
    <row r="1466" spans="1:22" ht="15" customHeight="1" x14ac:dyDescent="0.25">
      <c r="A1466" s="123">
        <f>Procurement_Raw!A1466</f>
        <v>45936</v>
      </c>
      <c r="B1466" t="str">
        <f>TRIM(Procurement_Raw!B1466)</f>
        <v>S007</v>
      </c>
      <c r="C1466" t="str">
        <f>Procurement_Raw!C1466</f>
        <v>Nottingham Care &amp; Education Centre</v>
      </c>
      <c r="D1466" t="str">
        <f>Procurement_Raw!D1466</f>
        <v>Midlands</v>
      </c>
      <c r="E1466" t="str">
        <f>IF(TRIM(Procurement_Raw!E1466)="","",IFERROR(INDEX(Supplier_Lookup!$A$2:$A$25,MATCH(TRIM(Procurement_Raw!E1466),Supplier_Lookup!$A$2:$A$25,0)),TRIM(Procurement_Raw!E1466)))</f>
        <v>BuildCare</v>
      </c>
      <c r="F1466" t="str">
        <f>IFERROR(INDEX(Category_Targets!$A$2:$A$9,MATCH(TRIM(Procurement_Raw!F1466),Category_Targets!$A$2:$A$9,0)),"Unmapped")</f>
        <v>Facilities</v>
      </c>
      <c r="G1466" t="str">
        <f>TRIM(Procurement_Raw!G1466)</f>
        <v>INV-2025-01465</v>
      </c>
      <c r="H1466" s="77">
        <f>Procurement_Raw!H1466</f>
        <v>34</v>
      </c>
      <c r="I1466" s="124">
        <f>Procurement_Raw!I1466</f>
        <v>130.80000000000001</v>
      </c>
      <c r="J1466" s="125">
        <f>IF(Procurement_Raw!J1466="","",Procurement_Raw!J1466)</f>
        <v>4447.2</v>
      </c>
      <c r="K1466" s="77">
        <f>Procurement_Raw!K1466</f>
        <v>30</v>
      </c>
      <c r="L1466" t="str">
        <f>Procurement_Raw!L1466</f>
        <v>Procurement Portal</v>
      </c>
      <c r="M1466" t="str">
        <f>Procurement_Raw!O1466</f>
        <v>N</v>
      </c>
      <c r="N1466" t="str">
        <f>IF(E1466="","Missing supplier",IF(B1466="","Missing site",IF(J1466="","Missing spend",IF(COUNTIFS($G$2:G1466,G1466,$E$2:E1466,E1466,$J$2:J1466,J1466)&gt;1,"Duplicate invoice",IF(COUNTIF($G$2:$G$1801,G1466)&gt;1,"Duplicate ID - review",IF(AND(P1466&lt;&gt;"Unmapped",P1466&lt;&gt;F1466),"Category mismatch","OK"))))))</f>
        <v>OK</v>
      </c>
      <c r="O1466" s="125">
        <f t="shared" si="66"/>
        <v>4447.2</v>
      </c>
      <c r="P1466" t="str">
        <f>IF(E1466="","Unmapped",IFERROR(INDEX(Supplier_Lookup!$B$2:$B$25,MATCH(E1466,Supplier_Lookup!$A$2:$A$25,0)),"Unmapped"))</f>
        <v>Facilities</v>
      </c>
      <c r="Q1466" s="76">
        <f>IFERROR(INDEX(Category_Targets!$B$2:$B$9,MATCH(F1466,Category_Targets!$A$2:$A$9,0)),0)</f>
        <v>0.05</v>
      </c>
      <c r="R1466" s="125">
        <f t="shared" si="67"/>
        <v>222.36</v>
      </c>
      <c r="S1466" s="78">
        <f t="shared" si="68"/>
        <v>45931</v>
      </c>
      <c r="T1466" t="str">
        <f>IFERROR(VLOOKUP(B1466,Sites!$A$2:$D$21,4,FALSE()),"Unknown")</f>
        <v>Nottingham</v>
      </c>
      <c r="U1466" t="str">
        <f>IF(N1466="OK","",COUNTIF($N$2:N1466,"&lt;&gt;OK"))</f>
        <v/>
      </c>
      <c r="V1466">
        <f>IF(OR(NOT(EXACT(E1466,TRIM(Procurement_Raw!E1466))),NOT(EXACT(F1466,TRIM(Procurement_Raw!F1466)))),1,0)</f>
        <v>0</v>
      </c>
    </row>
    <row r="1467" spans="1:22" ht="15" customHeight="1" x14ac:dyDescent="0.25">
      <c r="A1467" s="123">
        <f>Procurement_Raw!A1467</f>
        <v>45865</v>
      </c>
      <c r="B1467" t="str">
        <f>TRIM(Procurement_Raw!B1467)</f>
        <v>S014</v>
      </c>
      <c r="C1467" t="str">
        <f>Procurement_Raw!C1467</f>
        <v>Southampton Care &amp; Education Centre</v>
      </c>
      <c r="D1467" t="str">
        <f>Procurement_Raw!D1467</f>
        <v>South</v>
      </c>
      <c r="E1467" t="str">
        <f>IF(TRIM(Procurement_Raw!E1467)="","",IFERROR(INDEX(Supplier_Lookup!$A$2:$A$25,MATCH(TRIM(Procurement_Raw!E1467),Supplier_Lookup!$A$2:$A$25,0)),TRIM(Procurement_Raw!E1467)))</f>
        <v>RoadReady</v>
      </c>
      <c r="F1467" t="str">
        <f>IFERROR(INDEX(Category_Targets!$A$2:$A$9,MATCH(TRIM(Procurement_Raw!F1467),Category_Targets!$A$2:$A$9,0)),"Unmapped")</f>
        <v>Vehicle &amp; Fuel</v>
      </c>
      <c r="G1467" t="str">
        <f>TRIM(Procurement_Raw!G1467)</f>
        <v>INV-2025-01466</v>
      </c>
      <c r="H1467" s="77">
        <f>Procurement_Raw!H1467</f>
        <v>75</v>
      </c>
      <c r="I1467" s="124">
        <f>Procurement_Raw!I1467</f>
        <v>131.31</v>
      </c>
      <c r="J1467" s="125">
        <f>IF(Procurement_Raw!J1467="","",Procurement_Raw!J1467)</f>
        <v>9848.59</v>
      </c>
      <c r="K1467" s="77">
        <f>Procurement_Raw!K1467</f>
        <v>60</v>
      </c>
      <c r="L1467" t="str">
        <f>Procurement_Raw!L1467</f>
        <v>ERP</v>
      </c>
      <c r="M1467" t="str">
        <f>Procurement_Raw!O1467</f>
        <v>N</v>
      </c>
      <c r="N1467" t="str">
        <f>IF(E1467="","Missing supplier",IF(B1467="","Missing site",IF(J1467="","Missing spend",IF(COUNTIFS($G$2:G1467,G1467,$E$2:E1467,E1467,$J$2:J1467,J1467)&gt;1,"Duplicate invoice",IF(COUNTIF($G$2:$G$1801,G1467)&gt;1,"Duplicate ID - review",IF(AND(P1467&lt;&gt;"Unmapped",P1467&lt;&gt;F1467),"Category mismatch","OK"))))))</f>
        <v>OK</v>
      </c>
      <c r="O1467" s="125">
        <f t="shared" si="66"/>
        <v>9848.59</v>
      </c>
      <c r="P1467" t="str">
        <f>IF(E1467="","Unmapped",IFERROR(INDEX(Supplier_Lookup!$B$2:$B$25,MATCH(E1467,Supplier_Lookup!$A$2:$A$25,0)),"Unmapped"))</f>
        <v>Vehicle &amp; Fuel</v>
      </c>
      <c r="Q1467" s="76">
        <f>IFERROR(INDEX(Category_Targets!$B$2:$B$9,MATCH(F1467,Category_Targets!$A$2:$A$9,0)),0)</f>
        <v>0.05</v>
      </c>
      <c r="R1467" s="125">
        <f t="shared" si="67"/>
        <v>492.42950000000002</v>
      </c>
      <c r="S1467" s="78">
        <f t="shared" si="68"/>
        <v>45839</v>
      </c>
      <c r="T1467" t="str">
        <f>IFERROR(VLOOKUP(B1467,Sites!$A$2:$D$21,4,FALSE()),"Unknown")</f>
        <v>Southampton</v>
      </c>
      <c r="U1467" t="str">
        <f>IF(N1467="OK","",COUNTIF($N$2:N1467,"&lt;&gt;OK"))</f>
        <v/>
      </c>
      <c r="V1467">
        <f>IF(OR(NOT(EXACT(E1467,TRIM(Procurement_Raw!E1467))),NOT(EXACT(F1467,TRIM(Procurement_Raw!F1467)))),1,0)</f>
        <v>0</v>
      </c>
    </row>
    <row r="1468" spans="1:22" ht="15" customHeight="1" x14ac:dyDescent="0.25">
      <c r="A1468" s="123">
        <f>Procurement_Raw!A1468</f>
        <v>45774</v>
      </c>
      <c r="B1468" t="str">
        <f>TRIM(Procurement_Raw!B1468)</f>
        <v>S008</v>
      </c>
      <c r="C1468" t="str">
        <f>Procurement_Raw!C1468</f>
        <v>Leicester Care &amp; Education Centre</v>
      </c>
      <c r="D1468" t="str">
        <f>Procurement_Raw!D1468</f>
        <v>Midlands</v>
      </c>
      <c r="E1468" t="str">
        <f>IF(TRIM(Procurement_Raw!E1468)="","",IFERROR(INDEX(Supplier_Lookup!$A$2:$A$25,MATCH(TRIM(Procurement_Raw!E1468),Supplier_Lookup!$A$2:$A$25,0)),TRIM(Procurement_Raw!E1468)))</f>
        <v>SafeGuard FM</v>
      </c>
      <c r="F1468" t="str">
        <f>IFERROR(INDEX(Category_Targets!$A$2:$A$9,MATCH(TRIM(Procurement_Raw!F1468),Category_Targets!$A$2:$A$9,0)),"Unmapped")</f>
        <v>Facilities</v>
      </c>
      <c r="G1468" t="str">
        <f>TRIM(Procurement_Raw!G1468)</f>
        <v>INV-2025-01467</v>
      </c>
      <c r="H1468" s="77">
        <f>Procurement_Raw!H1468</f>
        <v>30</v>
      </c>
      <c r="I1468" s="124">
        <f>Procurement_Raw!I1468</f>
        <v>450.97</v>
      </c>
      <c r="J1468" s="125">
        <f>IF(Procurement_Raw!J1468="","",Procurement_Raw!J1468)</f>
        <v>13529.15</v>
      </c>
      <c r="K1468" s="77">
        <f>Procurement_Raw!K1468</f>
        <v>60</v>
      </c>
      <c r="L1468" t="str">
        <f>Procurement_Raw!L1468</f>
        <v>Legacy Spend File</v>
      </c>
      <c r="M1468" t="str">
        <f>Procurement_Raw!O1468</f>
        <v>N</v>
      </c>
      <c r="N1468" t="str">
        <f>IF(E1468="","Missing supplier",IF(B1468="","Missing site",IF(J1468="","Missing spend",IF(COUNTIFS($G$2:G1468,G1468,$E$2:E1468,E1468,$J$2:J1468,J1468)&gt;1,"Duplicate invoice",IF(COUNTIF($G$2:$G$1801,G1468)&gt;1,"Duplicate ID - review",IF(AND(P1468&lt;&gt;"Unmapped",P1468&lt;&gt;F1468),"Category mismatch","OK"))))))</f>
        <v>OK</v>
      </c>
      <c r="O1468" s="125">
        <f t="shared" si="66"/>
        <v>13529.15</v>
      </c>
      <c r="P1468" t="str">
        <f>IF(E1468="","Unmapped",IFERROR(INDEX(Supplier_Lookup!$B$2:$B$25,MATCH(E1468,Supplier_Lookup!$A$2:$A$25,0)),"Unmapped"))</f>
        <v>Facilities</v>
      </c>
      <c r="Q1468" s="76">
        <f>IFERROR(INDEX(Category_Targets!$B$2:$B$9,MATCH(F1468,Category_Targets!$A$2:$A$9,0)),0)</f>
        <v>0.05</v>
      </c>
      <c r="R1468" s="125">
        <f t="shared" si="67"/>
        <v>676.45749999999998</v>
      </c>
      <c r="S1468" s="78">
        <f t="shared" si="68"/>
        <v>45748</v>
      </c>
      <c r="T1468" t="str">
        <f>IFERROR(VLOOKUP(B1468,Sites!$A$2:$D$21,4,FALSE()),"Unknown")</f>
        <v>Leicester</v>
      </c>
      <c r="U1468" t="str">
        <f>IF(N1468="OK","",COUNTIF($N$2:N1468,"&lt;&gt;OK"))</f>
        <v/>
      </c>
      <c r="V1468">
        <f>IF(OR(NOT(EXACT(E1468,TRIM(Procurement_Raw!E1468))),NOT(EXACT(F1468,TRIM(Procurement_Raw!F1468)))),1,0)</f>
        <v>0</v>
      </c>
    </row>
    <row r="1469" spans="1:22" ht="15" customHeight="1" x14ac:dyDescent="0.25">
      <c r="A1469" s="123">
        <f>Procurement_Raw!A1469</f>
        <v>45922</v>
      </c>
      <c r="B1469" t="str">
        <f>TRIM(Procurement_Raw!B1469)</f>
        <v>S018</v>
      </c>
      <c r="C1469" t="str">
        <f>Procurement_Raw!C1469</f>
        <v>Newport Care &amp; Education Centre</v>
      </c>
      <c r="D1469" t="str">
        <f>Procurement_Raw!D1469</f>
        <v>Wales</v>
      </c>
      <c r="E1469" t="str">
        <f>IF(TRIM(Procurement_Raw!E1469)="","",IFERROR(INDEX(Supplier_Lookup!$A$2:$A$25,MATCH(TRIM(Procurement_Raw!E1469),Supplier_Lookup!$A$2:$A$25,0)),TRIM(Procurement_Raw!E1469)))</f>
        <v>OfficePlus</v>
      </c>
      <c r="F1469" t="str">
        <f>IFERROR(INDEX(Category_Targets!$A$2:$A$9,MATCH(TRIM(Procurement_Raw!F1469),Category_Targets!$A$2:$A$9,0)),"Unmapped")</f>
        <v>Office &amp; Training</v>
      </c>
      <c r="G1469" t="str">
        <f>TRIM(Procurement_Raw!G1469)</f>
        <v>INV-2025-01468</v>
      </c>
      <c r="H1469" s="77">
        <f>Procurement_Raw!H1469</f>
        <v>76</v>
      </c>
      <c r="I1469" s="124">
        <f>Procurement_Raw!I1469</f>
        <v>93.18</v>
      </c>
      <c r="J1469" s="125">
        <f>IF(Procurement_Raw!J1469="","",Procurement_Raw!J1469)</f>
        <v>7081.85</v>
      </c>
      <c r="K1469" s="77">
        <f>Procurement_Raw!K1469</f>
        <v>60</v>
      </c>
      <c r="L1469" t="str">
        <f>Procurement_Raw!L1469</f>
        <v>Procurement Portal</v>
      </c>
      <c r="M1469" t="str">
        <f>Procurement_Raw!O1469</f>
        <v>N</v>
      </c>
      <c r="N1469" t="str">
        <f>IF(E1469="","Missing supplier",IF(B1469="","Missing site",IF(J1469="","Missing spend",IF(COUNTIFS($G$2:G1469,G1469,$E$2:E1469,E1469,$J$2:J1469,J1469)&gt;1,"Duplicate invoice",IF(COUNTIF($G$2:$G$1801,G1469)&gt;1,"Duplicate ID - review",IF(AND(P1469&lt;&gt;"Unmapped",P1469&lt;&gt;F1469),"Category mismatch","OK"))))))</f>
        <v>OK</v>
      </c>
      <c r="O1469" s="125">
        <f t="shared" si="66"/>
        <v>7081.85</v>
      </c>
      <c r="P1469" t="str">
        <f>IF(E1469="","Unmapped",IFERROR(INDEX(Supplier_Lookup!$B$2:$B$25,MATCH(E1469,Supplier_Lookup!$A$2:$A$25,0)),"Unmapped"))</f>
        <v>Office &amp; Training</v>
      </c>
      <c r="Q1469" s="76">
        <f>IFERROR(INDEX(Category_Targets!$B$2:$B$9,MATCH(F1469,Category_Targets!$A$2:$A$9,0)),0)</f>
        <v>0.04</v>
      </c>
      <c r="R1469" s="125">
        <f t="shared" si="67"/>
        <v>283.274</v>
      </c>
      <c r="S1469" s="78">
        <f t="shared" si="68"/>
        <v>45901</v>
      </c>
      <c r="T1469" t="str">
        <f>IFERROR(VLOOKUP(B1469,Sites!$A$2:$D$21,4,FALSE()),"Unknown")</f>
        <v>Newport</v>
      </c>
      <c r="U1469" t="str">
        <f>IF(N1469="OK","",COUNTIF($N$2:N1469,"&lt;&gt;OK"))</f>
        <v/>
      </c>
      <c r="V1469">
        <f>IF(OR(NOT(EXACT(E1469,TRIM(Procurement_Raw!E1469))),NOT(EXACT(F1469,TRIM(Procurement_Raw!F1469)))),1,0)</f>
        <v>0</v>
      </c>
    </row>
    <row r="1470" spans="1:22" ht="15" customHeight="1" x14ac:dyDescent="0.25">
      <c r="A1470" s="123">
        <f>Procurement_Raw!A1470</f>
        <v>45701</v>
      </c>
      <c r="B1470" t="str">
        <f>TRIM(Procurement_Raw!B1470)</f>
        <v>S017</v>
      </c>
      <c r="C1470" t="str">
        <f>Procurement_Raw!C1470</f>
        <v>Swansea Care &amp; Education Centre</v>
      </c>
      <c r="D1470" t="str">
        <f>Procurement_Raw!D1470</f>
        <v>Wales</v>
      </c>
      <c r="E1470" t="str">
        <f>IF(TRIM(Procurement_Raw!E1470)="","",IFERROR(INDEX(Supplier_Lookup!$A$2:$A$25,MATCH(TRIM(Procurement_Raw!E1470),Supplier_Lookup!$A$2:$A$25,0)),TRIM(Procurement_Raw!E1470)))</f>
        <v>LearnWell</v>
      </c>
      <c r="F1470" t="str">
        <f>IFERROR(INDEX(Category_Targets!$A$2:$A$9,MATCH(TRIM(Procurement_Raw!F1470),Category_Targets!$A$2:$A$9,0)),"Unmapped")</f>
        <v>Office &amp; Training</v>
      </c>
      <c r="G1470" t="str">
        <f>TRIM(Procurement_Raw!G1470)</f>
        <v>INV-2025-01469</v>
      </c>
      <c r="H1470" s="77">
        <f>Procurement_Raw!H1470</f>
        <v>41</v>
      </c>
      <c r="I1470" s="124">
        <f>Procurement_Raw!I1470</f>
        <v>38.85</v>
      </c>
      <c r="J1470" s="125">
        <f>IF(Procurement_Raw!J1470="","",Procurement_Raw!J1470)</f>
        <v>1592.92</v>
      </c>
      <c r="K1470" s="77">
        <f>Procurement_Raw!K1470</f>
        <v>30</v>
      </c>
      <c r="L1470" t="str">
        <f>Procurement_Raw!L1470</f>
        <v>Procurement Portal</v>
      </c>
      <c r="M1470" t="str">
        <f>Procurement_Raw!O1470</f>
        <v>N</v>
      </c>
      <c r="N1470" t="str">
        <f>IF(E1470="","Missing supplier",IF(B1470="","Missing site",IF(J1470="","Missing spend",IF(COUNTIFS($G$2:G1470,G1470,$E$2:E1470,E1470,$J$2:J1470,J1470)&gt;1,"Duplicate invoice",IF(COUNTIF($G$2:$G$1801,G1470)&gt;1,"Duplicate ID - review",IF(AND(P1470&lt;&gt;"Unmapped",P1470&lt;&gt;F1470),"Category mismatch","OK"))))))</f>
        <v>OK</v>
      </c>
      <c r="O1470" s="125">
        <f t="shared" si="66"/>
        <v>1592.92</v>
      </c>
      <c r="P1470" t="str">
        <f>IF(E1470="","Unmapped",IFERROR(INDEX(Supplier_Lookup!$B$2:$B$25,MATCH(E1470,Supplier_Lookup!$A$2:$A$25,0)),"Unmapped"))</f>
        <v>Office &amp; Training</v>
      </c>
      <c r="Q1470" s="76">
        <f>IFERROR(INDEX(Category_Targets!$B$2:$B$9,MATCH(F1470,Category_Targets!$A$2:$A$9,0)),0)</f>
        <v>0.04</v>
      </c>
      <c r="R1470" s="125">
        <f t="shared" si="67"/>
        <v>63.716800000000006</v>
      </c>
      <c r="S1470" s="78">
        <f t="shared" si="68"/>
        <v>45689</v>
      </c>
      <c r="T1470" t="str">
        <f>IFERROR(VLOOKUP(B1470,Sites!$A$2:$D$21,4,FALSE()),"Unknown")</f>
        <v>Swansea</v>
      </c>
      <c r="U1470" t="str">
        <f>IF(N1470="OK","",COUNTIF($N$2:N1470,"&lt;&gt;OK"))</f>
        <v/>
      </c>
      <c r="V1470">
        <f>IF(OR(NOT(EXACT(E1470,TRIM(Procurement_Raw!E1470))),NOT(EXACT(F1470,TRIM(Procurement_Raw!F1470)))),1,0)</f>
        <v>0</v>
      </c>
    </row>
    <row r="1471" spans="1:22" ht="15" customHeight="1" x14ac:dyDescent="0.25">
      <c r="A1471" s="123">
        <f>Procurement_Raw!A1471</f>
        <v>45882</v>
      </c>
      <c r="B1471" t="str">
        <f>TRIM(Procurement_Raw!B1471)</f>
        <v>S018</v>
      </c>
      <c r="C1471" t="str">
        <f>Procurement_Raw!C1471</f>
        <v>Newport Care &amp; Education Centre</v>
      </c>
      <c r="D1471" t="str">
        <f>Procurement_Raw!D1471</f>
        <v>Wales</v>
      </c>
      <c r="E1471" t="str">
        <f>IF(TRIM(Procurement_Raw!E1471)="","",IFERROR(INDEX(Supplier_Lookup!$A$2:$A$25,MATCH(TRIM(Procurement_Raw!E1471),Supplier_Lookup!$A$2:$A$25,0)),TRIM(Procurement_Raw!E1471)))</f>
        <v>HealthStaffing</v>
      </c>
      <c r="F1471" t="str">
        <f>IFERROR(INDEX(Category_Targets!$A$2:$A$9,MATCH(TRIM(Procurement_Raw!F1471),Category_Targets!$A$2:$A$9,0)),"Unmapped")</f>
        <v>Agency Labour</v>
      </c>
      <c r="G1471" t="str">
        <f>TRIM(Procurement_Raw!G1471)</f>
        <v>INV-2025-01470</v>
      </c>
      <c r="H1471" s="77">
        <f>Procurement_Raw!H1471</f>
        <v>58</v>
      </c>
      <c r="I1471" s="124">
        <f>Procurement_Raw!I1471</f>
        <v>383.11</v>
      </c>
      <c r="J1471" s="125">
        <f>IF(Procurement_Raw!J1471="","",Procurement_Raw!J1471)</f>
        <v>22220.2</v>
      </c>
      <c r="K1471" s="77">
        <f>Procurement_Raw!K1471</f>
        <v>60</v>
      </c>
      <c r="L1471" t="str">
        <f>Procurement_Raw!L1471</f>
        <v>ERP</v>
      </c>
      <c r="M1471" t="str">
        <f>Procurement_Raw!O1471</f>
        <v>N</v>
      </c>
      <c r="N1471" t="str">
        <f>IF(E1471="","Missing supplier",IF(B1471="","Missing site",IF(J1471="","Missing spend",IF(COUNTIFS($G$2:G1471,G1471,$E$2:E1471,E1471,$J$2:J1471,J1471)&gt;1,"Duplicate invoice",IF(COUNTIF($G$2:$G$1801,G1471)&gt;1,"Duplicate ID - review",IF(AND(P1471&lt;&gt;"Unmapped",P1471&lt;&gt;F1471),"Category mismatch","OK"))))))</f>
        <v>OK</v>
      </c>
      <c r="O1471" s="125">
        <f t="shared" si="66"/>
        <v>22220.2</v>
      </c>
      <c r="P1471" t="str">
        <f>IF(E1471="","Unmapped",IFERROR(INDEX(Supplier_Lookup!$B$2:$B$25,MATCH(E1471,Supplier_Lookup!$A$2:$A$25,0)),"Unmapped"))</f>
        <v>Agency Labour</v>
      </c>
      <c r="Q1471" s="76">
        <f>IFERROR(INDEX(Category_Targets!$B$2:$B$9,MATCH(F1471,Category_Targets!$A$2:$A$9,0)),0)</f>
        <v>7.0000000000000007E-2</v>
      </c>
      <c r="R1471" s="125">
        <f t="shared" si="67"/>
        <v>1555.4140000000002</v>
      </c>
      <c r="S1471" s="78">
        <f t="shared" si="68"/>
        <v>45870</v>
      </c>
      <c r="T1471" t="str">
        <f>IFERROR(VLOOKUP(B1471,Sites!$A$2:$D$21,4,FALSE()),"Unknown")</f>
        <v>Newport</v>
      </c>
      <c r="U1471" t="str">
        <f>IF(N1471="OK","",COUNTIF($N$2:N1471,"&lt;&gt;OK"))</f>
        <v/>
      </c>
      <c r="V1471">
        <f>IF(OR(NOT(EXACT(E1471,TRIM(Procurement_Raw!E1471))),NOT(EXACT(F1471,TRIM(Procurement_Raw!F1471)))),1,0)</f>
        <v>0</v>
      </c>
    </row>
    <row r="1472" spans="1:22" ht="15" customHeight="1" x14ac:dyDescent="0.25">
      <c r="A1472" s="123">
        <f>Procurement_Raw!A1472</f>
        <v>45723</v>
      </c>
      <c r="B1472" t="str">
        <f>TRIM(Procurement_Raw!B1472)</f>
        <v>S011</v>
      </c>
      <c r="C1472" t="str">
        <f>Procurement_Raw!C1472</f>
        <v>London Care &amp; Education Centre</v>
      </c>
      <c r="D1472" t="str">
        <f>Procurement_Raw!D1472</f>
        <v>South</v>
      </c>
      <c r="E1472" t="str">
        <f>IF(TRIM(Procurement_Raw!E1472)="","",IFERROR(INDEX(Supplier_Lookup!$A$2:$A$25,MATCH(TRIM(Procurement_Raw!E1472),Supplier_Lookup!$A$2:$A$25,0)),TRIM(Procurement_Raw!E1472)))</f>
        <v>BuildCare</v>
      </c>
      <c r="F1472" t="str">
        <f>IFERROR(INDEX(Category_Targets!$A$2:$A$9,MATCH(TRIM(Procurement_Raw!F1472),Category_Targets!$A$2:$A$9,0)),"Unmapped")</f>
        <v>Facilities</v>
      </c>
      <c r="G1472" t="str">
        <f>TRIM(Procurement_Raw!G1472)</f>
        <v>INV-2025-01471</v>
      </c>
      <c r="H1472" s="77">
        <f>Procurement_Raw!H1472</f>
        <v>40</v>
      </c>
      <c r="I1472" s="124">
        <f>Procurement_Raw!I1472</f>
        <v>347.62</v>
      </c>
      <c r="J1472" s="125">
        <f>IF(Procurement_Raw!J1472="","",Procurement_Raw!J1472)</f>
        <v>13904.72</v>
      </c>
      <c r="K1472" s="77">
        <f>Procurement_Raw!K1472</f>
        <v>60</v>
      </c>
      <c r="L1472" t="str">
        <f>Procurement_Raw!L1472</f>
        <v>ERP</v>
      </c>
      <c r="M1472" t="str">
        <f>Procurement_Raw!O1472</f>
        <v>N</v>
      </c>
      <c r="N1472" t="str">
        <f>IF(E1472="","Missing supplier",IF(B1472="","Missing site",IF(J1472="","Missing spend",IF(COUNTIFS($G$2:G1472,G1472,$E$2:E1472,E1472,$J$2:J1472,J1472)&gt;1,"Duplicate invoice",IF(COUNTIF($G$2:$G$1801,G1472)&gt;1,"Duplicate ID - review",IF(AND(P1472&lt;&gt;"Unmapped",P1472&lt;&gt;F1472),"Category mismatch","OK"))))))</f>
        <v>OK</v>
      </c>
      <c r="O1472" s="125">
        <f t="shared" si="66"/>
        <v>13904.72</v>
      </c>
      <c r="P1472" t="str">
        <f>IF(E1472="","Unmapped",IFERROR(INDEX(Supplier_Lookup!$B$2:$B$25,MATCH(E1472,Supplier_Lookup!$A$2:$A$25,0)),"Unmapped"))</f>
        <v>Facilities</v>
      </c>
      <c r="Q1472" s="76">
        <f>IFERROR(INDEX(Category_Targets!$B$2:$B$9,MATCH(F1472,Category_Targets!$A$2:$A$9,0)),0)</f>
        <v>0.05</v>
      </c>
      <c r="R1472" s="125">
        <f t="shared" si="67"/>
        <v>695.23599999999999</v>
      </c>
      <c r="S1472" s="78">
        <f t="shared" si="68"/>
        <v>45717</v>
      </c>
      <c r="T1472" t="str">
        <f>IFERROR(VLOOKUP(B1472,Sites!$A$2:$D$21,4,FALSE()),"Unknown")</f>
        <v>London</v>
      </c>
      <c r="U1472" t="str">
        <f>IF(N1472="OK","",COUNTIF($N$2:N1472,"&lt;&gt;OK"))</f>
        <v/>
      </c>
      <c r="V1472">
        <f>IF(OR(NOT(EXACT(E1472,TRIM(Procurement_Raw!E1472))),NOT(EXACT(F1472,TRIM(Procurement_Raw!F1472)))),1,0)</f>
        <v>0</v>
      </c>
    </row>
    <row r="1473" spans="1:22" ht="15" customHeight="1" x14ac:dyDescent="0.25">
      <c r="A1473" s="123">
        <f>Procurement_Raw!A1473</f>
        <v>45773</v>
      </c>
      <c r="B1473" t="str">
        <f>TRIM(Procurement_Raw!B1473)</f>
        <v>S012</v>
      </c>
      <c r="C1473" t="str">
        <f>Procurement_Raw!C1473</f>
        <v>Bristol Care &amp; Education Centre</v>
      </c>
      <c r="D1473" t="str">
        <f>Procurement_Raw!D1473</f>
        <v>South</v>
      </c>
      <c r="E1473" t="str">
        <f>IF(TRIM(Procurement_Raw!E1473)="","",IFERROR(INDEX(Supplier_Lookup!$A$2:$A$25,MATCH(TRIM(Procurement_Raw!E1473),Supplier_Lookup!$A$2:$A$25,0)),TRIM(Procurement_Raw!E1473)))</f>
        <v>RoadReady</v>
      </c>
      <c r="F1473" t="str">
        <f>IFERROR(INDEX(Category_Targets!$A$2:$A$9,MATCH(TRIM(Procurement_Raw!F1473),Category_Targets!$A$2:$A$9,0)),"Unmapped")</f>
        <v>Vehicle &amp; Fuel</v>
      </c>
      <c r="G1473" t="str">
        <f>TRIM(Procurement_Raw!G1473)</f>
        <v>INV-2025-01472</v>
      </c>
      <c r="H1473" s="77">
        <f>Procurement_Raw!H1473</f>
        <v>54</v>
      </c>
      <c r="I1473" s="124">
        <f>Procurement_Raw!I1473</f>
        <v>67.930000000000007</v>
      </c>
      <c r="J1473" s="125">
        <f>IF(Procurement_Raw!J1473="","",Procurement_Raw!J1473)</f>
        <v>3668.29</v>
      </c>
      <c r="K1473" s="77">
        <f>Procurement_Raw!K1473</f>
        <v>45</v>
      </c>
      <c r="L1473" t="str">
        <f>Procurement_Raw!L1473</f>
        <v>Legacy Spend File</v>
      </c>
      <c r="M1473" t="str">
        <f>Procurement_Raw!O1473</f>
        <v>N</v>
      </c>
      <c r="N1473" t="str">
        <f>IF(E1473="","Missing supplier",IF(B1473="","Missing site",IF(J1473="","Missing spend",IF(COUNTIFS($G$2:G1473,G1473,$E$2:E1473,E1473,$J$2:J1473,J1473)&gt;1,"Duplicate invoice",IF(COUNTIF($G$2:$G$1801,G1473)&gt;1,"Duplicate ID - review",IF(AND(P1473&lt;&gt;"Unmapped",P1473&lt;&gt;F1473),"Category mismatch","OK"))))))</f>
        <v>OK</v>
      </c>
      <c r="O1473" s="125">
        <f t="shared" si="66"/>
        <v>3668.29</v>
      </c>
      <c r="P1473" t="str">
        <f>IF(E1473="","Unmapped",IFERROR(INDEX(Supplier_Lookup!$B$2:$B$25,MATCH(E1473,Supplier_Lookup!$A$2:$A$25,0)),"Unmapped"))</f>
        <v>Vehicle &amp; Fuel</v>
      </c>
      <c r="Q1473" s="76">
        <f>IFERROR(INDEX(Category_Targets!$B$2:$B$9,MATCH(F1473,Category_Targets!$A$2:$A$9,0)),0)</f>
        <v>0.05</v>
      </c>
      <c r="R1473" s="125">
        <f t="shared" si="67"/>
        <v>183.4145</v>
      </c>
      <c r="S1473" s="78">
        <f t="shared" si="68"/>
        <v>45748</v>
      </c>
      <c r="T1473" t="str">
        <f>IFERROR(VLOOKUP(B1473,Sites!$A$2:$D$21,4,FALSE()),"Unknown")</f>
        <v>Bristol</v>
      </c>
      <c r="U1473" t="str">
        <f>IF(N1473="OK","",COUNTIF($N$2:N1473,"&lt;&gt;OK"))</f>
        <v/>
      </c>
      <c r="V1473">
        <f>IF(OR(NOT(EXACT(E1473,TRIM(Procurement_Raw!E1473))),NOT(EXACT(F1473,TRIM(Procurement_Raw!F1473)))),1,0)</f>
        <v>0</v>
      </c>
    </row>
    <row r="1474" spans="1:22" ht="15" customHeight="1" x14ac:dyDescent="0.25">
      <c r="A1474" s="123">
        <f>Procurement_Raw!A1474</f>
        <v>45933</v>
      </c>
      <c r="B1474" t="str">
        <f>TRIM(Procurement_Raw!B1474)</f>
        <v>S016</v>
      </c>
      <c r="C1474" t="str">
        <f>Procurement_Raw!C1474</f>
        <v>Cardiff Care &amp; Education Centre</v>
      </c>
      <c r="D1474" t="str">
        <f>Procurement_Raw!D1474</f>
        <v>Wales</v>
      </c>
      <c r="E1474" t="str">
        <f>IF(TRIM(Procurement_Raw!E1474)="","",IFERROR(INDEX(Supplier_Lookup!$A$2:$A$25,MATCH(TRIM(Procurement_Raw!E1474),Supplier_Lookup!$A$2:$A$25,0)),TRIM(Procurement_Raw!E1474)))</f>
        <v>NurseLink</v>
      </c>
      <c r="F1474" t="str">
        <f>IFERROR(INDEX(Category_Targets!$A$2:$A$9,MATCH(TRIM(Procurement_Raw!F1474),Category_Targets!$A$2:$A$9,0)),"Unmapped")</f>
        <v>Agency Labour</v>
      </c>
      <c r="G1474" t="str">
        <f>TRIM(Procurement_Raw!G1474)</f>
        <v>INV-2025-01473</v>
      </c>
      <c r="H1474" s="77">
        <f>Procurement_Raw!H1474</f>
        <v>39</v>
      </c>
      <c r="I1474" s="124">
        <f>Procurement_Raw!I1474</f>
        <v>278.68</v>
      </c>
      <c r="J1474" s="125">
        <f>IF(Procurement_Raw!J1474="","",Procurement_Raw!J1474)</f>
        <v>10868.62</v>
      </c>
      <c r="K1474" s="77">
        <f>Procurement_Raw!K1474</f>
        <v>45</v>
      </c>
      <c r="L1474" t="str">
        <f>Procurement_Raw!L1474</f>
        <v>Legacy Spend File</v>
      </c>
      <c r="M1474" t="str">
        <f>Procurement_Raw!O1474</f>
        <v>N</v>
      </c>
      <c r="N1474" t="str">
        <f>IF(E1474="","Missing supplier",IF(B1474="","Missing site",IF(J1474="","Missing spend",IF(COUNTIFS($G$2:G1474,G1474,$E$2:E1474,E1474,$J$2:J1474,J1474)&gt;1,"Duplicate invoice",IF(COUNTIF($G$2:$G$1801,G1474)&gt;1,"Duplicate ID - review",IF(AND(P1474&lt;&gt;"Unmapped",P1474&lt;&gt;F1474),"Category mismatch","OK"))))))</f>
        <v>OK</v>
      </c>
      <c r="O1474" s="125">
        <f t="shared" ref="O1474:O1537" si="69">IF(OR(N1474="Missing spend",N1474="Duplicate invoice"),0,J1474)</f>
        <v>10868.62</v>
      </c>
      <c r="P1474" t="str">
        <f>IF(E1474="","Unmapped",IFERROR(INDEX(Supplier_Lookup!$B$2:$B$25,MATCH(E1474,Supplier_Lookup!$A$2:$A$25,0)),"Unmapped"))</f>
        <v>Agency Labour</v>
      </c>
      <c r="Q1474" s="76">
        <f>IFERROR(INDEX(Category_Targets!$B$2:$B$9,MATCH(F1474,Category_Targets!$A$2:$A$9,0)),0)</f>
        <v>7.0000000000000007E-2</v>
      </c>
      <c r="R1474" s="125">
        <f t="shared" ref="R1474:R1537" si="70">O1474*Q1474</f>
        <v>760.80340000000012</v>
      </c>
      <c r="S1474" s="78">
        <f t="shared" ref="S1474:S1537" si="71">DATE(YEAR(A1474),MONTH(A1474),1)</f>
        <v>45931</v>
      </c>
      <c r="T1474" t="str">
        <f>IFERROR(VLOOKUP(B1474,Sites!$A$2:$D$21,4,FALSE()),"Unknown")</f>
        <v>Cardiff</v>
      </c>
      <c r="U1474" t="str">
        <f>IF(N1474="OK","",COUNTIF($N$2:N1474,"&lt;&gt;OK"))</f>
        <v/>
      </c>
      <c r="V1474">
        <f>IF(OR(NOT(EXACT(E1474,TRIM(Procurement_Raw!E1474))),NOT(EXACT(F1474,TRIM(Procurement_Raw!F1474)))),1,0)</f>
        <v>0</v>
      </c>
    </row>
    <row r="1475" spans="1:22" ht="15" customHeight="1" x14ac:dyDescent="0.25">
      <c r="A1475" s="123">
        <f>Procurement_Raw!A1475</f>
        <v>45736</v>
      </c>
      <c r="B1475" t="str">
        <f>TRIM(Procurement_Raw!B1475)</f>
        <v>S006</v>
      </c>
      <c r="C1475" t="str">
        <f>Procurement_Raw!C1475</f>
        <v>Birmingham Care &amp; Education Centre</v>
      </c>
      <c r="D1475" t="str">
        <f>Procurement_Raw!D1475</f>
        <v>Midlands</v>
      </c>
      <c r="E1475" t="str">
        <f>IF(TRIM(Procurement_Raw!E1475)="","",IFERROR(INDEX(Supplier_Lookup!$A$2:$A$25,MATCH(TRIM(Procurement_Raw!E1475),Supplier_Lookup!$A$2:$A$25,0)),TRIM(Procurement_Raw!E1475)))</f>
        <v>MediSure</v>
      </c>
      <c r="F1475" t="str">
        <f>IFERROR(INDEX(Category_Targets!$A$2:$A$9,MATCH(TRIM(Procurement_Raw!F1475),Category_Targets!$A$2:$A$9,0)),"Unmapped")</f>
        <v>Medical Supplies</v>
      </c>
      <c r="G1475" t="str">
        <f>TRIM(Procurement_Raw!G1475)</f>
        <v>INV-2025-01474</v>
      </c>
      <c r="H1475" s="77">
        <f>Procurement_Raw!H1475</f>
        <v>43</v>
      </c>
      <c r="I1475" s="124">
        <f>Procurement_Raw!I1475</f>
        <v>120.97</v>
      </c>
      <c r="J1475" s="125">
        <f>IF(Procurement_Raw!J1475="","",Procurement_Raw!J1475)</f>
        <v>5201.8500000000004</v>
      </c>
      <c r="K1475" s="77">
        <f>Procurement_Raw!K1475</f>
        <v>60</v>
      </c>
      <c r="L1475" t="str">
        <f>Procurement_Raw!L1475</f>
        <v>Legacy Spend File</v>
      </c>
      <c r="M1475" t="str">
        <f>Procurement_Raw!O1475</f>
        <v>Y</v>
      </c>
      <c r="N1475" t="str">
        <f>IF(E1475="","Missing supplier",IF(B1475="","Missing site",IF(J1475="","Missing spend",IF(COUNTIFS($G$2:G1475,G1475,$E$2:E1475,E1475,$J$2:J1475,J1475)&gt;1,"Duplicate invoice",IF(COUNTIF($G$2:$G$1801,G1475)&gt;1,"Duplicate ID - review",IF(AND(P1475&lt;&gt;"Unmapped",P1475&lt;&gt;F1475),"Category mismatch","OK"))))))</f>
        <v>OK</v>
      </c>
      <c r="O1475" s="125">
        <f t="shared" si="69"/>
        <v>5201.8500000000004</v>
      </c>
      <c r="P1475" t="str">
        <f>IF(E1475="","Unmapped",IFERROR(INDEX(Supplier_Lookup!$B$2:$B$25,MATCH(E1475,Supplier_Lookup!$A$2:$A$25,0)),"Unmapped"))</f>
        <v>Medical Supplies</v>
      </c>
      <c r="Q1475" s="76">
        <f>IFERROR(INDEX(Category_Targets!$B$2:$B$9,MATCH(F1475,Category_Targets!$A$2:$A$9,0)),0)</f>
        <v>0.06</v>
      </c>
      <c r="R1475" s="125">
        <f t="shared" si="70"/>
        <v>312.11099999999999</v>
      </c>
      <c r="S1475" s="78">
        <f t="shared" si="71"/>
        <v>45717</v>
      </c>
      <c r="T1475" t="str">
        <f>IFERROR(VLOOKUP(B1475,Sites!$A$2:$D$21,4,FALSE()),"Unknown")</f>
        <v>Birmingham</v>
      </c>
      <c r="U1475" t="str">
        <f>IF(N1475="OK","",COUNTIF($N$2:N1475,"&lt;&gt;OK"))</f>
        <v/>
      </c>
      <c r="V1475">
        <f>IF(OR(NOT(EXACT(E1475,TRIM(Procurement_Raw!E1475))),NOT(EXACT(F1475,TRIM(Procurement_Raw!F1475)))),1,0)</f>
        <v>0</v>
      </c>
    </row>
    <row r="1476" spans="1:22" ht="15" customHeight="1" x14ac:dyDescent="0.25">
      <c r="A1476" s="123">
        <f>Procurement_Raw!A1476</f>
        <v>45762</v>
      </c>
      <c r="B1476" t="str">
        <f>TRIM(Procurement_Raw!B1476)</f>
        <v>S017</v>
      </c>
      <c r="C1476" t="str">
        <f>Procurement_Raw!C1476</f>
        <v>Swansea Care &amp; Education Centre</v>
      </c>
      <c r="D1476" t="str">
        <f>Procurement_Raw!D1476</f>
        <v>Wales</v>
      </c>
      <c r="E1476" t="str">
        <f>IF(TRIM(Procurement_Raw!E1476)="","",IFERROR(INDEX(Supplier_Lookup!$A$2:$A$25,MATCH(TRIM(Procurement_Raw!E1476),Supplier_Lookup!$A$2:$A$25,0)),TRIM(Procurement_Raw!E1476)))</f>
        <v>CareTemps</v>
      </c>
      <c r="F1476" t="str">
        <f>IFERROR(INDEX(Category_Targets!$A$2:$A$9,MATCH(TRIM(Procurement_Raw!F1476),Category_Targets!$A$2:$A$9,0)),"Unmapped")</f>
        <v>Agency Labour</v>
      </c>
      <c r="G1476" t="str">
        <f>TRIM(Procurement_Raw!G1476)</f>
        <v>INV-2025-01475</v>
      </c>
      <c r="H1476" s="77">
        <f>Procurement_Raw!H1476</f>
        <v>51</v>
      </c>
      <c r="I1476" s="124">
        <f>Procurement_Raw!I1476</f>
        <v>194.82</v>
      </c>
      <c r="J1476" s="125">
        <f>IF(Procurement_Raw!J1476="","",Procurement_Raw!J1476)</f>
        <v>9935.94</v>
      </c>
      <c r="K1476" s="77">
        <f>Procurement_Raw!K1476</f>
        <v>30</v>
      </c>
      <c r="L1476" t="str">
        <f>Procurement_Raw!L1476</f>
        <v>Legacy Spend File</v>
      </c>
      <c r="M1476" t="str">
        <f>Procurement_Raw!O1476</f>
        <v>N</v>
      </c>
      <c r="N1476" t="str">
        <f>IF(E1476="","Missing supplier",IF(B1476="","Missing site",IF(J1476="","Missing spend",IF(COUNTIFS($G$2:G1476,G1476,$E$2:E1476,E1476,$J$2:J1476,J1476)&gt;1,"Duplicate invoice",IF(COUNTIF($G$2:$G$1801,G1476)&gt;1,"Duplicate ID - review",IF(AND(P1476&lt;&gt;"Unmapped",P1476&lt;&gt;F1476),"Category mismatch","OK"))))))</f>
        <v>OK</v>
      </c>
      <c r="O1476" s="125">
        <f t="shared" si="69"/>
        <v>9935.94</v>
      </c>
      <c r="P1476" t="str">
        <f>IF(E1476="","Unmapped",IFERROR(INDEX(Supplier_Lookup!$B$2:$B$25,MATCH(E1476,Supplier_Lookup!$A$2:$A$25,0)),"Unmapped"))</f>
        <v>Agency Labour</v>
      </c>
      <c r="Q1476" s="76">
        <f>IFERROR(INDEX(Category_Targets!$B$2:$B$9,MATCH(F1476,Category_Targets!$A$2:$A$9,0)),0)</f>
        <v>7.0000000000000007E-2</v>
      </c>
      <c r="R1476" s="125">
        <f t="shared" si="70"/>
        <v>695.51580000000013</v>
      </c>
      <c r="S1476" s="78">
        <f t="shared" si="71"/>
        <v>45748</v>
      </c>
      <c r="T1476" t="str">
        <f>IFERROR(VLOOKUP(B1476,Sites!$A$2:$D$21,4,FALSE()),"Unknown")</f>
        <v>Swansea</v>
      </c>
      <c r="U1476" t="str">
        <f>IF(N1476="OK","",COUNTIF($N$2:N1476,"&lt;&gt;OK"))</f>
        <v/>
      </c>
      <c r="V1476">
        <f>IF(OR(NOT(EXACT(E1476,TRIM(Procurement_Raw!E1476))),NOT(EXACT(F1476,TRIM(Procurement_Raw!F1476)))),1,0)</f>
        <v>0</v>
      </c>
    </row>
    <row r="1477" spans="1:22" ht="15" customHeight="1" x14ac:dyDescent="0.25">
      <c r="A1477" s="123">
        <f>Procurement_Raw!A1477</f>
        <v>45713</v>
      </c>
      <c r="B1477" t="str">
        <f>TRIM(Procurement_Raw!B1477)</f>
        <v>S013</v>
      </c>
      <c r="C1477" t="str">
        <f>Procurement_Raw!C1477</f>
        <v>Reading Care &amp; Education Centre</v>
      </c>
      <c r="D1477" t="str">
        <f>Procurement_Raw!D1477</f>
        <v>South</v>
      </c>
      <c r="E1477" t="str">
        <f>IF(TRIM(Procurement_Raw!E1477)="","",IFERROR(INDEX(Supplier_Lookup!$A$2:$A$25,MATCH(TRIM(Procurement_Raw!E1477),Supplier_Lookup!$A$2:$A$25,0)),TRIM(Procurement_Raw!E1477)))</f>
        <v>WaterGrid</v>
      </c>
      <c r="F1477" t="str">
        <f>IFERROR(INDEX(Category_Targets!$A$2:$A$9,MATCH(TRIM(Procurement_Raw!F1477),Category_Targets!$A$2:$A$9,0)),"Unmapped")</f>
        <v>Utilities</v>
      </c>
      <c r="G1477" t="str">
        <f>TRIM(Procurement_Raw!G1477)</f>
        <v>INV-2025-01476</v>
      </c>
      <c r="H1477" s="77">
        <f>Procurement_Raw!H1477</f>
        <v>43</v>
      </c>
      <c r="I1477" s="124">
        <f>Procurement_Raw!I1477</f>
        <v>357.1</v>
      </c>
      <c r="J1477" s="125">
        <f>IF(Procurement_Raw!J1477="","",Procurement_Raw!J1477)</f>
        <v>15355.29</v>
      </c>
      <c r="K1477" s="77">
        <f>Procurement_Raw!K1477</f>
        <v>60</v>
      </c>
      <c r="L1477" t="str">
        <f>Procurement_Raw!L1477</f>
        <v>Procurement Portal</v>
      </c>
      <c r="M1477" t="str">
        <f>Procurement_Raw!O1477</f>
        <v>N</v>
      </c>
      <c r="N1477" t="str">
        <f>IF(E1477="","Missing supplier",IF(B1477="","Missing site",IF(J1477="","Missing spend",IF(COUNTIFS($G$2:G1477,G1477,$E$2:E1477,E1477,$J$2:J1477,J1477)&gt;1,"Duplicate invoice",IF(COUNTIF($G$2:$G$1801,G1477)&gt;1,"Duplicate ID - review",IF(AND(P1477&lt;&gt;"Unmapped",P1477&lt;&gt;F1477),"Category mismatch","OK"))))))</f>
        <v>OK</v>
      </c>
      <c r="O1477" s="125">
        <f t="shared" si="69"/>
        <v>15355.29</v>
      </c>
      <c r="P1477" t="str">
        <f>IF(E1477="","Unmapped",IFERROR(INDEX(Supplier_Lookup!$B$2:$B$25,MATCH(E1477,Supplier_Lookup!$A$2:$A$25,0)),"Unmapped"))</f>
        <v>Utilities</v>
      </c>
      <c r="Q1477" s="76">
        <f>IFERROR(INDEX(Category_Targets!$B$2:$B$9,MATCH(F1477,Category_Targets!$A$2:$A$9,0)),0)</f>
        <v>0.03</v>
      </c>
      <c r="R1477" s="125">
        <f t="shared" si="70"/>
        <v>460.65870000000001</v>
      </c>
      <c r="S1477" s="78">
        <f t="shared" si="71"/>
        <v>45689</v>
      </c>
      <c r="T1477" t="str">
        <f>IFERROR(VLOOKUP(B1477,Sites!$A$2:$D$21,4,FALSE()),"Unknown")</f>
        <v>Reading</v>
      </c>
      <c r="U1477" t="str">
        <f>IF(N1477="OK","",COUNTIF($N$2:N1477,"&lt;&gt;OK"))</f>
        <v/>
      </c>
      <c r="V1477">
        <f>IF(OR(NOT(EXACT(E1477,TRIM(Procurement_Raw!E1477))),NOT(EXACT(F1477,TRIM(Procurement_Raw!F1477)))),1,0)</f>
        <v>0</v>
      </c>
    </row>
    <row r="1478" spans="1:22" ht="15" customHeight="1" x14ac:dyDescent="0.25">
      <c r="A1478" s="123">
        <f>Procurement_Raw!A1478</f>
        <v>45745</v>
      </c>
      <c r="B1478" t="str">
        <f>TRIM(Procurement_Raw!B1478)</f>
        <v>S004</v>
      </c>
      <c r="C1478" t="str">
        <f>Procurement_Raw!C1478</f>
        <v>Newcastle Care &amp; Education Centre</v>
      </c>
      <c r="D1478" t="str">
        <f>Procurement_Raw!D1478</f>
        <v>North</v>
      </c>
      <c r="E1478" t="str">
        <f>IF(TRIM(Procurement_Raw!E1478)="","",IFERROR(INDEX(Supplier_Lookup!$A$2:$A$25,MATCH(TRIM(Procurement_Raw!E1478),Supplier_Lookup!$A$2:$A$25,0)),TRIM(Procurement_Raw!E1478)))</f>
        <v>CloudLink</v>
      </c>
      <c r="F1478" t="str">
        <f>IFERROR(INDEX(Category_Targets!$A$2:$A$9,MATCH(TRIM(Procurement_Raw!F1478),Category_Targets!$A$2:$A$9,0)),"Unmapped")</f>
        <v>IT &amp; Telecoms</v>
      </c>
      <c r="G1478" t="str">
        <f>TRIM(Procurement_Raw!G1478)</f>
        <v>INV-2025-01477</v>
      </c>
      <c r="H1478" s="77">
        <f>Procurement_Raw!H1478</f>
        <v>14</v>
      </c>
      <c r="I1478" s="124">
        <f>Procurement_Raw!I1478</f>
        <v>205.84</v>
      </c>
      <c r="J1478" s="125">
        <f>IF(Procurement_Raw!J1478="","",Procurement_Raw!J1478)</f>
        <v>2881.78</v>
      </c>
      <c r="K1478" s="77">
        <f>Procurement_Raw!K1478</f>
        <v>60</v>
      </c>
      <c r="L1478" t="str">
        <f>Procurement_Raw!L1478</f>
        <v>Legacy Spend File</v>
      </c>
      <c r="M1478" t="str">
        <f>Procurement_Raw!O1478</f>
        <v>Y</v>
      </c>
      <c r="N1478" t="str">
        <f>IF(E1478="","Missing supplier",IF(B1478="","Missing site",IF(J1478="","Missing spend",IF(COUNTIFS($G$2:G1478,G1478,$E$2:E1478,E1478,$J$2:J1478,J1478)&gt;1,"Duplicate invoice",IF(COUNTIF($G$2:$G$1801,G1478)&gt;1,"Duplicate ID - review",IF(AND(P1478&lt;&gt;"Unmapped",P1478&lt;&gt;F1478),"Category mismatch","OK"))))))</f>
        <v>OK</v>
      </c>
      <c r="O1478" s="125">
        <f t="shared" si="69"/>
        <v>2881.78</v>
      </c>
      <c r="P1478" t="str">
        <f>IF(E1478="","Unmapped",IFERROR(INDEX(Supplier_Lookup!$B$2:$B$25,MATCH(E1478,Supplier_Lookup!$A$2:$A$25,0)),"Unmapped"))</f>
        <v>IT &amp; Telecoms</v>
      </c>
      <c r="Q1478" s="76">
        <f>IFERROR(INDEX(Category_Targets!$B$2:$B$9,MATCH(F1478,Category_Targets!$A$2:$A$9,0)),0)</f>
        <v>0.08</v>
      </c>
      <c r="R1478" s="125">
        <f t="shared" si="70"/>
        <v>230.54240000000001</v>
      </c>
      <c r="S1478" s="78">
        <f t="shared" si="71"/>
        <v>45717</v>
      </c>
      <c r="T1478" t="str">
        <f>IFERROR(VLOOKUP(B1478,Sites!$A$2:$D$21,4,FALSE()),"Unknown")</f>
        <v>Newcastle</v>
      </c>
      <c r="U1478" t="str">
        <f>IF(N1478="OK","",COUNTIF($N$2:N1478,"&lt;&gt;OK"))</f>
        <v/>
      </c>
      <c r="V1478">
        <f>IF(OR(NOT(EXACT(E1478,TRIM(Procurement_Raw!E1478))),NOT(EXACT(F1478,TRIM(Procurement_Raw!F1478)))),1,0)</f>
        <v>0</v>
      </c>
    </row>
    <row r="1479" spans="1:22" ht="15" customHeight="1" x14ac:dyDescent="0.25">
      <c r="A1479" s="123">
        <f>Procurement_Raw!A1479</f>
        <v>45966</v>
      </c>
      <c r="B1479" t="str">
        <f>TRIM(Procurement_Raw!B1479)</f>
        <v>S013</v>
      </c>
      <c r="C1479" t="str">
        <f>Procurement_Raw!C1479</f>
        <v>Reading Care &amp; Education Centre</v>
      </c>
      <c r="D1479" t="str">
        <f>Procurement_Raw!D1479</f>
        <v>South</v>
      </c>
      <c r="E1479" t="str">
        <f>IF(TRIM(Procurement_Raw!E1479)="","",IFERROR(INDEX(Supplier_Lookup!$A$2:$A$25,MATCH(TRIM(Procurement_Raw!E1479),Supplier_Lookup!$A$2:$A$25,0)),TRIM(Procurement_Raw!E1479)))</f>
        <v>ClinEquip</v>
      </c>
      <c r="F1479" t="str">
        <f>IFERROR(INDEX(Category_Targets!$A$2:$A$9,MATCH(TRIM(Procurement_Raw!F1479),Category_Targets!$A$2:$A$9,0)),"Unmapped")</f>
        <v>Medical Supplies</v>
      </c>
      <c r="G1479" t="str">
        <f>TRIM(Procurement_Raw!G1479)</f>
        <v>INV-2025-01478</v>
      </c>
      <c r="H1479" s="77">
        <f>Procurement_Raw!H1479</f>
        <v>63</v>
      </c>
      <c r="I1479" s="124">
        <f>Procurement_Raw!I1479</f>
        <v>151.13999999999999</v>
      </c>
      <c r="J1479" s="125">
        <f>IF(Procurement_Raw!J1479="","",Procurement_Raw!J1479)</f>
        <v>9522.09</v>
      </c>
      <c r="K1479" s="77">
        <f>Procurement_Raw!K1479</f>
        <v>30</v>
      </c>
      <c r="L1479" t="str">
        <f>Procurement_Raw!L1479</f>
        <v>ERP</v>
      </c>
      <c r="M1479" t="str">
        <f>Procurement_Raw!O1479</f>
        <v>N</v>
      </c>
      <c r="N1479" t="str">
        <f>IF(E1479="","Missing supplier",IF(B1479="","Missing site",IF(J1479="","Missing spend",IF(COUNTIFS($G$2:G1479,G1479,$E$2:E1479,E1479,$J$2:J1479,J1479)&gt;1,"Duplicate invoice",IF(COUNTIF($G$2:$G$1801,G1479)&gt;1,"Duplicate ID - review",IF(AND(P1479&lt;&gt;"Unmapped",P1479&lt;&gt;F1479),"Category mismatch","OK"))))))</f>
        <v>OK</v>
      </c>
      <c r="O1479" s="125">
        <f t="shared" si="69"/>
        <v>9522.09</v>
      </c>
      <c r="P1479" t="str">
        <f>IF(E1479="","Unmapped",IFERROR(INDEX(Supplier_Lookup!$B$2:$B$25,MATCH(E1479,Supplier_Lookup!$A$2:$A$25,0)),"Unmapped"))</f>
        <v>Medical Supplies</v>
      </c>
      <c r="Q1479" s="76">
        <f>IFERROR(INDEX(Category_Targets!$B$2:$B$9,MATCH(F1479,Category_Targets!$A$2:$A$9,0)),0)</f>
        <v>0.06</v>
      </c>
      <c r="R1479" s="125">
        <f t="shared" si="70"/>
        <v>571.32539999999995</v>
      </c>
      <c r="S1479" s="78">
        <f t="shared" si="71"/>
        <v>45962</v>
      </c>
      <c r="T1479" t="str">
        <f>IFERROR(VLOOKUP(B1479,Sites!$A$2:$D$21,4,FALSE()),"Unknown")</f>
        <v>Reading</v>
      </c>
      <c r="U1479" t="str">
        <f>IF(N1479="OK","",COUNTIF($N$2:N1479,"&lt;&gt;OK"))</f>
        <v/>
      </c>
      <c r="V1479">
        <f>IF(OR(NOT(EXACT(E1479,TRIM(Procurement_Raw!E1479))),NOT(EXACT(F1479,TRIM(Procurement_Raw!F1479)))),1,0)</f>
        <v>0</v>
      </c>
    </row>
    <row r="1480" spans="1:22" ht="15" customHeight="1" x14ac:dyDescent="0.25">
      <c r="A1480" s="123">
        <f>Procurement_Raw!A1480</f>
        <v>45803</v>
      </c>
      <c r="B1480" t="str">
        <f>TRIM(Procurement_Raw!B1480)</f>
        <v>S019</v>
      </c>
      <c r="C1480" t="str">
        <f>Procurement_Raw!C1480</f>
        <v>Wrexham Care &amp; Education Centre</v>
      </c>
      <c r="D1480" t="str">
        <f>Procurement_Raw!D1480</f>
        <v>Wales</v>
      </c>
      <c r="E1480" t="str">
        <f>IF(TRIM(Procurement_Raw!E1480)="","",IFERROR(INDEX(Supplier_Lookup!$A$2:$A$25,MATCH(TRIM(Procurement_Raw!E1480),Supplier_Lookup!$A$2:$A$25,0)),TRIM(Procurement_Raw!E1480)))</f>
        <v>NourishCo</v>
      </c>
      <c r="F1480" t="str">
        <f>IFERROR(INDEX(Category_Targets!$A$2:$A$9,MATCH(TRIM(Procurement_Raw!F1480),Category_Targets!$A$2:$A$9,0)),"Unmapped")</f>
        <v>Food &amp; Catering</v>
      </c>
      <c r="G1480" t="str">
        <f>TRIM(Procurement_Raw!G1480)</f>
        <v>INV-2025-01479</v>
      </c>
      <c r="H1480" s="77">
        <f>Procurement_Raw!H1480</f>
        <v>27</v>
      </c>
      <c r="I1480" s="124">
        <f>Procurement_Raw!I1480</f>
        <v>39.9</v>
      </c>
      <c r="J1480" s="125">
        <f>IF(Procurement_Raw!J1480="","",Procurement_Raw!J1480)</f>
        <v>1077.18</v>
      </c>
      <c r="K1480" s="77">
        <f>Procurement_Raw!K1480</f>
        <v>30</v>
      </c>
      <c r="L1480" t="str">
        <f>Procurement_Raw!L1480</f>
        <v>Procurement Portal</v>
      </c>
      <c r="M1480" t="str">
        <f>Procurement_Raw!O1480</f>
        <v>N</v>
      </c>
      <c r="N1480" t="str">
        <f>IF(E1480="","Missing supplier",IF(B1480="","Missing site",IF(J1480="","Missing spend",IF(COUNTIFS($G$2:G1480,G1480,$E$2:E1480,E1480,$J$2:J1480,J1480)&gt;1,"Duplicate invoice",IF(COUNTIF($G$2:$G$1801,G1480)&gt;1,"Duplicate ID - review",IF(AND(P1480&lt;&gt;"Unmapped",P1480&lt;&gt;F1480),"Category mismatch","OK"))))))</f>
        <v>OK</v>
      </c>
      <c r="O1480" s="125">
        <f t="shared" si="69"/>
        <v>1077.18</v>
      </c>
      <c r="P1480" t="str">
        <f>IF(E1480="","Unmapped",IFERROR(INDEX(Supplier_Lookup!$B$2:$B$25,MATCH(E1480,Supplier_Lookup!$A$2:$A$25,0)),"Unmapped"))</f>
        <v>Food &amp; Catering</v>
      </c>
      <c r="Q1480" s="76">
        <f>IFERROR(INDEX(Category_Targets!$B$2:$B$9,MATCH(F1480,Category_Targets!$A$2:$A$9,0)),0)</f>
        <v>0.04</v>
      </c>
      <c r="R1480" s="125">
        <f t="shared" si="70"/>
        <v>43.087200000000003</v>
      </c>
      <c r="S1480" s="78">
        <f t="shared" si="71"/>
        <v>45778</v>
      </c>
      <c r="T1480" t="str">
        <f>IFERROR(VLOOKUP(B1480,Sites!$A$2:$D$21,4,FALSE()),"Unknown")</f>
        <v>Wrexham</v>
      </c>
      <c r="U1480" t="str">
        <f>IF(N1480="OK","",COUNTIF($N$2:N1480,"&lt;&gt;OK"))</f>
        <v/>
      </c>
      <c r="V1480">
        <f>IF(OR(NOT(EXACT(E1480,TRIM(Procurement_Raw!E1480))),NOT(EXACT(F1480,TRIM(Procurement_Raw!F1480)))),1,0)</f>
        <v>0</v>
      </c>
    </row>
    <row r="1481" spans="1:22" ht="15" customHeight="1" x14ac:dyDescent="0.25">
      <c r="A1481" s="123">
        <f>Procurement_Raw!A1481</f>
        <v>45687</v>
      </c>
      <c r="B1481" t="str">
        <f>TRIM(Procurement_Raw!B1481)</f>
        <v>S013</v>
      </c>
      <c r="C1481" t="str">
        <f>Procurement_Raw!C1481</f>
        <v>Reading Care &amp; Education Centre</v>
      </c>
      <c r="D1481" t="str">
        <f>Procurement_Raw!D1481</f>
        <v>South</v>
      </c>
      <c r="E1481" t="str">
        <f>IF(TRIM(Procurement_Raw!E1481)="","",IFERROR(INDEX(Supplier_Lookup!$A$2:$A$25,MATCH(TRIM(Procurement_Raw!E1481),Supplier_Lookup!$A$2:$A$25,0)),TRIM(Procurement_Raw!E1481)))</f>
        <v>NourishCo</v>
      </c>
      <c r="F1481" t="str">
        <f>IFERROR(INDEX(Category_Targets!$A$2:$A$9,MATCH(TRIM(Procurement_Raw!F1481),Category_Targets!$A$2:$A$9,0)),"Unmapped")</f>
        <v>Food &amp; Catering</v>
      </c>
      <c r="G1481" t="str">
        <f>TRIM(Procurement_Raw!G1481)</f>
        <v>INV-2025-01480</v>
      </c>
      <c r="H1481" s="77">
        <f>Procurement_Raw!H1481</f>
        <v>48</v>
      </c>
      <c r="I1481" s="124">
        <f>Procurement_Raw!I1481</f>
        <v>51.1</v>
      </c>
      <c r="J1481" s="125">
        <f>IF(Procurement_Raw!J1481="","",Procurement_Raw!J1481)</f>
        <v>2452.8000000000002</v>
      </c>
      <c r="K1481" s="77">
        <f>Procurement_Raw!K1481</f>
        <v>60</v>
      </c>
      <c r="L1481" t="str">
        <f>Procurement_Raw!L1481</f>
        <v>ERP</v>
      </c>
      <c r="M1481" t="str">
        <f>Procurement_Raw!O1481</f>
        <v>N</v>
      </c>
      <c r="N1481" t="str">
        <f>IF(E1481="","Missing supplier",IF(B1481="","Missing site",IF(J1481="","Missing spend",IF(COUNTIFS($G$2:G1481,G1481,$E$2:E1481,E1481,$J$2:J1481,J1481)&gt;1,"Duplicate invoice",IF(COUNTIF($G$2:$G$1801,G1481)&gt;1,"Duplicate ID - review",IF(AND(P1481&lt;&gt;"Unmapped",P1481&lt;&gt;F1481),"Category mismatch","OK"))))))</f>
        <v>OK</v>
      </c>
      <c r="O1481" s="125">
        <f t="shared" si="69"/>
        <v>2452.8000000000002</v>
      </c>
      <c r="P1481" t="str">
        <f>IF(E1481="","Unmapped",IFERROR(INDEX(Supplier_Lookup!$B$2:$B$25,MATCH(E1481,Supplier_Lookup!$A$2:$A$25,0)),"Unmapped"))</f>
        <v>Food &amp; Catering</v>
      </c>
      <c r="Q1481" s="76">
        <f>IFERROR(INDEX(Category_Targets!$B$2:$B$9,MATCH(F1481,Category_Targets!$A$2:$A$9,0)),0)</f>
        <v>0.04</v>
      </c>
      <c r="R1481" s="125">
        <f t="shared" si="70"/>
        <v>98.112000000000009</v>
      </c>
      <c r="S1481" s="78">
        <f t="shared" si="71"/>
        <v>45658</v>
      </c>
      <c r="T1481" t="str">
        <f>IFERROR(VLOOKUP(B1481,Sites!$A$2:$D$21,4,FALSE()),"Unknown")</f>
        <v>Reading</v>
      </c>
      <c r="U1481" t="str">
        <f>IF(N1481="OK","",COUNTIF($N$2:N1481,"&lt;&gt;OK"))</f>
        <v/>
      </c>
      <c r="V1481">
        <f>IF(OR(NOT(EXACT(E1481,TRIM(Procurement_Raw!E1481))),NOT(EXACT(F1481,TRIM(Procurement_Raw!F1481)))),1,0)</f>
        <v>0</v>
      </c>
    </row>
    <row r="1482" spans="1:22" ht="15" customHeight="1" x14ac:dyDescent="0.25">
      <c r="A1482" s="123">
        <f>Procurement_Raw!A1482</f>
        <v>45858</v>
      </c>
      <c r="B1482" t="str">
        <f>TRIM(Procurement_Raw!B1482)</f>
        <v>S007</v>
      </c>
      <c r="C1482" t="str">
        <f>Procurement_Raw!C1482</f>
        <v>Nottingham Care &amp; Education Centre</v>
      </c>
      <c r="D1482" t="str">
        <f>Procurement_Raw!D1482</f>
        <v>Midlands</v>
      </c>
      <c r="E1482" t="str">
        <f>IF(TRIM(Procurement_Raw!E1482)="","",IFERROR(INDEX(Supplier_Lookup!$A$2:$A$25,MATCH(TRIM(Procurement_Raw!E1482),Supplier_Lookup!$A$2:$A$25,0)),TRIM(Procurement_Raw!E1482)))</f>
        <v>RoadReady</v>
      </c>
      <c r="F1482" t="str">
        <f>IFERROR(INDEX(Category_Targets!$A$2:$A$9,MATCH(TRIM(Procurement_Raw!F1482),Category_Targets!$A$2:$A$9,0)),"Unmapped")</f>
        <v>Vehicle &amp; Fuel</v>
      </c>
      <c r="G1482" t="str">
        <f>TRIM(Procurement_Raw!G1482)</f>
        <v>INV-2025-01481</v>
      </c>
      <c r="H1482" s="77">
        <f>Procurement_Raw!H1482</f>
        <v>21</v>
      </c>
      <c r="I1482" s="124">
        <f>Procurement_Raw!I1482</f>
        <v>141.34</v>
      </c>
      <c r="J1482" s="125">
        <f>IF(Procurement_Raw!J1482="","",Procurement_Raw!J1482)</f>
        <v>2968.19</v>
      </c>
      <c r="K1482" s="77">
        <f>Procurement_Raw!K1482</f>
        <v>30</v>
      </c>
      <c r="L1482" t="str">
        <f>Procurement_Raw!L1482</f>
        <v>ERP</v>
      </c>
      <c r="M1482" t="str">
        <f>Procurement_Raw!O1482</f>
        <v>N</v>
      </c>
      <c r="N1482" t="str">
        <f>IF(E1482="","Missing supplier",IF(B1482="","Missing site",IF(J1482="","Missing spend",IF(COUNTIFS($G$2:G1482,G1482,$E$2:E1482,E1482,$J$2:J1482,J1482)&gt;1,"Duplicate invoice",IF(COUNTIF($G$2:$G$1801,G1482)&gt;1,"Duplicate ID - review",IF(AND(P1482&lt;&gt;"Unmapped",P1482&lt;&gt;F1482),"Category mismatch","OK"))))))</f>
        <v>OK</v>
      </c>
      <c r="O1482" s="125">
        <f t="shared" si="69"/>
        <v>2968.19</v>
      </c>
      <c r="P1482" t="str">
        <f>IF(E1482="","Unmapped",IFERROR(INDEX(Supplier_Lookup!$B$2:$B$25,MATCH(E1482,Supplier_Lookup!$A$2:$A$25,0)),"Unmapped"))</f>
        <v>Vehicle &amp; Fuel</v>
      </c>
      <c r="Q1482" s="76">
        <f>IFERROR(INDEX(Category_Targets!$B$2:$B$9,MATCH(F1482,Category_Targets!$A$2:$A$9,0)),0)</f>
        <v>0.05</v>
      </c>
      <c r="R1482" s="125">
        <f t="shared" si="70"/>
        <v>148.40950000000001</v>
      </c>
      <c r="S1482" s="78">
        <f t="shared" si="71"/>
        <v>45839</v>
      </c>
      <c r="T1482" t="str">
        <f>IFERROR(VLOOKUP(B1482,Sites!$A$2:$D$21,4,FALSE()),"Unknown")</f>
        <v>Nottingham</v>
      </c>
      <c r="U1482" t="str">
        <f>IF(N1482="OK","",COUNTIF($N$2:N1482,"&lt;&gt;OK"))</f>
        <v/>
      </c>
      <c r="V1482">
        <f>IF(OR(NOT(EXACT(E1482,TRIM(Procurement_Raw!E1482))),NOT(EXACT(F1482,TRIM(Procurement_Raw!F1482)))),1,0)</f>
        <v>0</v>
      </c>
    </row>
    <row r="1483" spans="1:22" ht="15" customHeight="1" x14ac:dyDescent="0.25">
      <c r="A1483" s="123">
        <f>Procurement_Raw!A1483</f>
        <v>45693</v>
      </c>
      <c r="B1483" t="str">
        <f>TRIM(Procurement_Raw!B1483)</f>
        <v>S014</v>
      </c>
      <c r="C1483" t="str">
        <f>Procurement_Raw!C1483</f>
        <v>Southampton Care &amp; Education Centre</v>
      </c>
      <c r="D1483" t="str">
        <f>Procurement_Raw!D1483</f>
        <v>South</v>
      </c>
      <c r="E1483" t="str">
        <f>IF(TRIM(Procurement_Raw!E1483)="","",IFERROR(INDEX(Supplier_Lookup!$A$2:$A$25,MATCH(TRIM(Procurement_Raw!E1483),Supplier_Lookup!$A$2:$A$25,0)),TRIM(Procurement_Raw!E1483)))</f>
        <v>CareTemps</v>
      </c>
      <c r="F1483" t="str">
        <f>IFERROR(INDEX(Category_Targets!$A$2:$A$9,MATCH(TRIM(Procurement_Raw!F1483),Category_Targets!$A$2:$A$9,0)),"Unmapped")</f>
        <v>Agency Labour</v>
      </c>
      <c r="G1483" t="str">
        <f>TRIM(Procurement_Raw!G1483)</f>
        <v>INV-2025-01482</v>
      </c>
      <c r="H1483" s="77">
        <f>Procurement_Raw!H1483</f>
        <v>50</v>
      </c>
      <c r="I1483" s="124">
        <f>Procurement_Raw!I1483</f>
        <v>244.38</v>
      </c>
      <c r="J1483" s="125">
        <f>IF(Procurement_Raw!J1483="","",Procurement_Raw!J1483)</f>
        <v>12219</v>
      </c>
      <c r="K1483" s="77">
        <f>Procurement_Raw!K1483</f>
        <v>30</v>
      </c>
      <c r="L1483" t="str">
        <f>Procurement_Raw!L1483</f>
        <v>ERP</v>
      </c>
      <c r="M1483" t="str">
        <f>Procurement_Raw!O1483</f>
        <v>N</v>
      </c>
      <c r="N1483" t="str">
        <f>IF(E1483="","Missing supplier",IF(B1483="","Missing site",IF(J1483="","Missing spend",IF(COUNTIFS($G$2:G1483,G1483,$E$2:E1483,E1483,$J$2:J1483,J1483)&gt;1,"Duplicate invoice",IF(COUNTIF($G$2:$G$1801,G1483)&gt;1,"Duplicate ID - review",IF(AND(P1483&lt;&gt;"Unmapped",P1483&lt;&gt;F1483),"Category mismatch","OK"))))))</f>
        <v>OK</v>
      </c>
      <c r="O1483" s="125">
        <f t="shared" si="69"/>
        <v>12219</v>
      </c>
      <c r="P1483" t="str">
        <f>IF(E1483="","Unmapped",IFERROR(INDEX(Supplier_Lookup!$B$2:$B$25,MATCH(E1483,Supplier_Lookup!$A$2:$A$25,0)),"Unmapped"))</f>
        <v>Agency Labour</v>
      </c>
      <c r="Q1483" s="76">
        <f>IFERROR(INDEX(Category_Targets!$B$2:$B$9,MATCH(F1483,Category_Targets!$A$2:$A$9,0)),0)</f>
        <v>7.0000000000000007E-2</v>
      </c>
      <c r="R1483" s="125">
        <f t="shared" si="70"/>
        <v>855.33</v>
      </c>
      <c r="S1483" s="78">
        <f t="shared" si="71"/>
        <v>45689</v>
      </c>
      <c r="T1483" t="str">
        <f>IFERROR(VLOOKUP(B1483,Sites!$A$2:$D$21,4,FALSE()),"Unknown")</f>
        <v>Southampton</v>
      </c>
      <c r="U1483" t="str">
        <f>IF(N1483="OK","",COUNTIF($N$2:N1483,"&lt;&gt;OK"))</f>
        <v/>
      </c>
      <c r="V1483">
        <f>IF(OR(NOT(EXACT(E1483,TRIM(Procurement_Raw!E1483))),NOT(EXACT(F1483,TRIM(Procurement_Raw!F1483)))),1,0)</f>
        <v>0</v>
      </c>
    </row>
    <row r="1484" spans="1:22" ht="15" customHeight="1" x14ac:dyDescent="0.25">
      <c r="A1484" s="123">
        <f>Procurement_Raw!A1484</f>
        <v>46021</v>
      </c>
      <c r="B1484" t="str">
        <f>TRIM(Procurement_Raw!B1484)</f>
        <v>S014</v>
      </c>
      <c r="C1484" t="str">
        <f>Procurement_Raw!C1484</f>
        <v>Southampton Care &amp; Education Centre</v>
      </c>
      <c r="D1484" t="str">
        <f>Procurement_Raw!D1484</f>
        <v>South</v>
      </c>
      <c r="E1484" t="str">
        <f>IF(TRIM(Procurement_Raw!E1484)="","",IFERROR(INDEX(Supplier_Lookup!$A$2:$A$25,MATCH(TRIM(Procurement_Raw!E1484),Supplier_Lookup!$A$2:$A$25,0)),TRIM(Procurement_Raw!E1484)))</f>
        <v>TeleCare IT</v>
      </c>
      <c r="F1484" t="str">
        <f>IFERROR(INDEX(Category_Targets!$A$2:$A$9,MATCH(TRIM(Procurement_Raw!F1484),Category_Targets!$A$2:$A$9,0)),"Unmapped")</f>
        <v>IT &amp; Telecoms</v>
      </c>
      <c r="G1484" t="str">
        <f>TRIM(Procurement_Raw!G1484)</f>
        <v>INV-2025-01483</v>
      </c>
      <c r="H1484" s="77">
        <f>Procurement_Raw!H1484</f>
        <v>61</v>
      </c>
      <c r="I1484" s="124">
        <f>Procurement_Raw!I1484</f>
        <v>568.76</v>
      </c>
      <c r="J1484" s="125">
        <f>IF(Procurement_Raw!J1484="","",Procurement_Raw!J1484)</f>
        <v>34694.33</v>
      </c>
      <c r="K1484" s="77">
        <f>Procurement_Raw!K1484</f>
        <v>30</v>
      </c>
      <c r="L1484" t="str">
        <f>Procurement_Raw!L1484</f>
        <v>Legacy Spend File</v>
      </c>
      <c r="M1484" t="str">
        <f>Procurement_Raw!O1484</f>
        <v>N</v>
      </c>
      <c r="N1484" t="str">
        <f>IF(E1484="","Missing supplier",IF(B1484="","Missing site",IF(J1484="","Missing spend",IF(COUNTIFS($G$2:G1484,G1484,$E$2:E1484,E1484,$J$2:J1484,J1484)&gt;1,"Duplicate invoice",IF(COUNTIF($G$2:$G$1801,G1484)&gt;1,"Duplicate ID - review",IF(AND(P1484&lt;&gt;"Unmapped",P1484&lt;&gt;F1484),"Category mismatch","OK"))))))</f>
        <v>OK</v>
      </c>
      <c r="O1484" s="125">
        <f t="shared" si="69"/>
        <v>34694.33</v>
      </c>
      <c r="P1484" t="str">
        <f>IF(E1484="","Unmapped",IFERROR(INDEX(Supplier_Lookup!$B$2:$B$25,MATCH(E1484,Supplier_Lookup!$A$2:$A$25,0)),"Unmapped"))</f>
        <v>IT &amp; Telecoms</v>
      </c>
      <c r="Q1484" s="76">
        <f>IFERROR(INDEX(Category_Targets!$B$2:$B$9,MATCH(F1484,Category_Targets!$A$2:$A$9,0)),0)</f>
        <v>0.08</v>
      </c>
      <c r="R1484" s="125">
        <f t="shared" si="70"/>
        <v>2775.5464000000002</v>
      </c>
      <c r="S1484" s="78">
        <f t="shared" si="71"/>
        <v>45992</v>
      </c>
      <c r="T1484" t="str">
        <f>IFERROR(VLOOKUP(B1484,Sites!$A$2:$D$21,4,FALSE()),"Unknown")</f>
        <v>Southampton</v>
      </c>
      <c r="U1484" t="str">
        <f>IF(N1484="OK","",COUNTIF($N$2:N1484,"&lt;&gt;OK"))</f>
        <v/>
      </c>
      <c r="V1484">
        <f>IF(OR(NOT(EXACT(E1484,TRIM(Procurement_Raw!E1484))),NOT(EXACT(F1484,TRIM(Procurement_Raw!F1484)))),1,0)</f>
        <v>0</v>
      </c>
    </row>
    <row r="1485" spans="1:22" ht="15" customHeight="1" x14ac:dyDescent="0.25">
      <c r="A1485" s="123">
        <f>Procurement_Raw!A1485</f>
        <v>45761</v>
      </c>
      <c r="B1485" t="str">
        <f>TRIM(Procurement_Raw!B1485)</f>
        <v>S011</v>
      </c>
      <c r="C1485" t="str">
        <f>Procurement_Raw!C1485</f>
        <v>London Care &amp; Education Centre</v>
      </c>
      <c r="D1485" t="str">
        <f>Procurement_Raw!D1485</f>
        <v>South</v>
      </c>
      <c r="E1485" t="str">
        <f>IF(TRIM(Procurement_Raw!E1485)="","",IFERROR(INDEX(Supplier_Lookup!$A$2:$A$25,MATCH(TRIM(Procurement_Raw!E1485),Supplier_Lookup!$A$2:$A$25,0)),TRIM(Procurement_Raw!E1485)))</f>
        <v>NetServe</v>
      </c>
      <c r="F1485" t="str">
        <f>IFERROR(INDEX(Category_Targets!$A$2:$A$9,MATCH(TRIM(Procurement_Raw!F1485),Category_Targets!$A$2:$A$9,0)),"Unmapped")</f>
        <v>IT &amp; Telecoms</v>
      </c>
      <c r="G1485" t="str">
        <f>TRIM(Procurement_Raw!G1485)</f>
        <v>INV-2025-01484</v>
      </c>
      <c r="H1485" s="77">
        <f>Procurement_Raw!H1485</f>
        <v>65</v>
      </c>
      <c r="I1485" s="124">
        <f>Procurement_Raw!I1485</f>
        <v>176.59</v>
      </c>
      <c r="J1485" s="125">
        <f>IF(Procurement_Raw!J1485="","",Procurement_Raw!J1485)</f>
        <v>11478.32</v>
      </c>
      <c r="K1485" s="77">
        <f>Procurement_Raw!K1485</f>
        <v>60</v>
      </c>
      <c r="L1485" t="str">
        <f>Procurement_Raw!L1485</f>
        <v>Legacy Spend File</v>
      </c>
      <c r="M1485" t="str">
        <f>Procurement_Raw!O1485</f>
        <v>N</v>
      </c>
      <c r="N1485" t="str">
        <f>IF(E1485="","Missing supplier",IF(B1485="","Missing site",IF(J1485="","Missing spend",IF(COUNTIFS($G$2:G1485,G1485,$E$2:E1485,E1485,$J$2:J1485,J1485)&gt;1,"Duplicate invoice",IF(COUNTIF($G$2:$G$1801,G1485)&gt;1,"Duplicate ID - review",IF(AND(P1485&lt;&gt;"Unmapped",P1485&lt;&gt;F1485),"Category mismatch","OK"))))))</f>
        <v>OK</v>
      </c>
      <c r="O1485" s="125">
        <f t="shared" si="69"/>
        <v>11478.32</v>
      </c>
      <c r="P1485" t="str">
        <f>IF(E1485="","Unmapped",IFERROR(INDEX(Supplier_Lookup!$B$2:$B$25,MATCH(E1485,Supplier_Lookup!$A$2:$A$25,0)),"Unmapped"))</f>
        <v>IT &amp; Telecoms</v>
      </c>
      <c r="Q1485" s="76">
        <f>IFERROR(INDEX(Category_Targets!$B$2:$B$9,MATCH(F1485,Category_Targets!$A$2:$A$9,0)),0)</f>
        <v>0.08</v>
      </c>
      <c r="R1485" s="125">
        <f t="shared" si="70"/>
        <v>918.26559999999995</v>
      </c>
      <c r="S1485" s="78">
        <f t="shared" si="71"/>
        <v>45748</v>
      </c>
      <c r="T1485" t="str">
        <f>IFERROR(VLOOKUP(B1485,Sites!$A$2:$D$21,4,FALSE()),"Unknown")</f>
        <v>London</v>
      </c>
      <c r="U1485" t="str">
        <f>IF(N1485="OK","",COUNTIF($N$2:N1485,"&lt;&gt;OK"))</f>
        <v/>
      </c>
      <c r="V1485">
        <f>IF(OR(NOT(EXACT(E1485,TRIM(Procurement_Raw!E1485))),NOT(EXACT(F1485,TRIM(Procurement_Raw!F1485)))),1,0)</f>
        <v>0</v>
      </c>
    </row>
    <row r="1486" spans="1:22" ht="15" customHeight="1" x14ac:dyDescent="0.25">
      <c r="A1486" s="123">
        <f>Procurement_Raw!A1486</f>
        <v>45661</v>
      </c>
      <c r="B1486" t="str">
        <f>TRIM(Procurement_Raw!B1486)</f>
        <v>S009</v>
      </c>
      <c r="C1486" t="str">
        <f>Procurement_Raw!C1486</f>
        <v>Derby Care &amp; Education Centre</v>
      </c>
      <c r="D1486" t="str">
        <f>Procurement_Raw!D1486</f>
        <v>Midlands</v>
      </c>
      <c r="E1486" t="str">
        <f>IF(TRIM(Procurement_Raw!E1486)="","",IFERROR(INDEX(Supplier_Lookup!$A$2:$A$25,MATCH(TRIM(Procurement_Raw!E1486),Supplier_Lookup!$A$2:$A$25,0)),TRIM(Procurement_Raw!E1486)))</f>
        <v>CloudLink</v>
      </c>
      <c r="F1486" t="str">
        <f>IFERROR(INDEX(Category_Targets!$A$2:$A$9,MATCH(TRIM(Procurement_Raw!F1486),Category_Targets!$A$2:$A$9,0)),"Unmapped")</f>
        <v>IT &amp; Telecoms</v>
      </c>
      <c r="G1486" t="str">
        <f>TRIM(Procurement_Raw!G1486)</f>
        <v>INV-2025-01485</v>
      </c>
      <c r="H1486" s="77">
        <f>Procurement_Raw!H1486</f>
        <v>19</v>
      </c>
      <c r="I1486" s="124">
        <f>Procurement_Raw!I1486</f>
        <v>248.94</v>
      </c>
      <c r="J1486" s="125">
        <f>IF(Procurement_Raw!J1486="","",Procurement_Raw!J1486)</f>
        <v>4729.82</v>
      </c>
      <c r="K1486" s="77">
        <f>Procurement_Raw!K1486</f>
        <v>45</v>
      </c>
      <c r="L1486" t="str">
        <f>Procurement_Raw!L1486</f>
        <v>ERP</v>
      </c>
      <c r="M1486" t="str">
        <f>Procurement_Raw!O1486</f>
        <v>Y</v>
      </c>
      <c r="N1486" t="str">
        <f>IF(E1486="","Missing supplier",IF(B1486="","Missing site",IF(J1486="","Missing spend",IF(COUNTIFS($G$2:G1486,G1486,$E$2:E1486,E1486,$J$2:J1486,J1486)&gt;1,"Duplicate invoice",IF(COUNTIF($G$2:$G$1801,G1486)&gt;1,"Duplicate ID - review",IF(AND(P1486&lt;&gt;"Unmapped",P1486&lt;&gt;F1486),"Category mismatch","OK"))))))</f>
        <v>OK</v>
      </c>
      <c r="O1486" s="125">
        <f t="shared" si="69"/>
        <v>4729.82</v>
      </c>
      <c r="P1486" t="str">
        <f>IF(E1486="","Unmapped",IFERROR(INDEX(Supplier_Lookup!$B$2:$B$25,MATCH(E1486,Supplier_Lookup!$A$2:$A$25,0)),"Unmapped"))</f>
        <v>IT &amp; Telecoms</v>
      </c>
      <c r="Q1486" s="76">
        <f>IFERROR(INDEX(Category_Targets!$B$2:$B$9,MATCH(F1486,Category_Targets!$A$2:$A$9,0)),0)</f>
        <v>0.08</v>
      </c>
      <c r="R1486" s="125">
        <f t="shared" si="70"/>
        <v>378.38560000000001</v>
      </c>
      <c r="S1486" s="78">
        <f t="shared" si="71"/>
        <v>45658</v>
      </c>
      <c r="T1486" t="str">
        <f>IFERROR(VLOOKUP(B1486,Sites!$A$2:$D$21,4,FALSE()),"Unknown")</f>
        <v>Derby</v>
      </c>
      <c r="U1486" t="str">
        <f>IF(N1486="OK","",COUNTIF($N$2:N1486,"&lt;&gt;OK"))</f>
        <v/>
      </c>
      <c r="V1486">
        <f>IF(OR(NOT(EXACT(E1486,TRIM(Procurement_Raw!E1486))),NOT(EXACT(F1486,TRIM(Procurement_Raw!F1486)))),1,0)</f>
        <v>0</v>
      </c>
    </row>
    <row r="1487" spans="1:22" ht="15" customHeight="1" x14ac:dyDescent="0.25">
      <c r="A1487" s="123">
        <f>Procurement_Raw!A1487</f>
        <v>45826</v>
      </c>
      <c r="B1487" t="str">
        <f>TRIM(Procurement_Raw!B1487)</f>
        <v>S009</v>
      </c>
      <c r="C1487" t="str">
        <f>Procurement_Raw!C1487</f>
        <v>Derby Care &amp; Education Centre</v>
      </c>
      <c r="D1487" t="str">
        <f>Procurement_Raw!D1487</f>
        <v>Midlands</v>
      </c>
      <c r="E1487" t="str">
        <f>IF(TRIM(Procurement_Raw!E1487)="","",IFERROR(INDEX(Supplier_Lookup!$A$2:$A$25,MATCH(TRIM(Procurement_Raw!E1487),Supplier_Lookup!$A$2:$A$25,0)),TRIM(Procurement_Raw!E1487)))</f>
        <v>PowerDirect</v>
      </c>
      <c r="F1487" t="str">
        <f>IFERROR(INDEX(Category_Targets!$A$2:$A$9,MATCH(TRIM(Procurement_Raw!F1487),Category_Targets!$A$2:$A$9,0)),"Unmapped")</f>
        <v>Utilities</v>
      </c>
      <c r="G1487" t="str">
        <f>TRIM(Procurement_Raw!G1487)</f>
        <v>INV-2025-01486</v>
      </c>
      <c r="H1487" s="77">
        <f>Procurement_Raw!H1487</f>
        <v>73</v>
      </c>
      <c r="I1487" s="124">
        <f>Procurement_Raw!I1487</f>
        <v>417.54</v>
      </c>
      <c r="J1487" s="125">
        <f>IF(Procurement_Raw!J1487="","",Procurement_Raw!J1487)</f>
        <v>30480.59</v>
      </c>
      <c r="K1487" s="77">
        <f>Procurement_Raw!K1487</f>
        <v>45</v>
      </c>
      <c r="L1487" t="str">
        <f>Procurement_Raw!L1487</f>
        <v>Procurement Portal</v>
      </c>
      <c r="M1487" t="str">
        <f>Procurement_Raw!O1487</f>
        <v>N</v>
      </c>
      <c r="N1487" t="str">
        <f>IF(E1487="","Missing supplier",IF(B1487="","Missing site",IF(J1487="","Missing spend",IF(COUNTIFS($G$2:G1487,G1487,$E$2:E1487,E1487,$J$2:J1487,J1487)&gt;1,"Duplicate invoice",IF(COUNTIF($G$2:$G$1801,G1487)&gt;1,"Duplicate ID - review",IF(AND(P1487&lt;&gt;"Unmapped",P1487&lt;&gt;F1487),"Category mismatch","OK"))))))</f>
        <v>OK</v>
      </c>
      <c r="O1487" s="125">
        <f t="shared" si="69"/>
        <v>30480.59</v>
      </c>
      <c r="P1487" t="str">
        <f>IF(E1487="","Unmapped",IFERROR(INDEX(Supplier_Lookup!$B$2:$B$25,MATCH(E1487,Supplier_Lookup!$A$2:$A$25,0)),"Unmapped"))</f>
        <v>Utilities</v>
      </c>
      <c r="Q1487" s="76">
        <f>IFERROR(INDEX(Category_Targets!$B$2:$B$9,MATCH(F1487,Category_Targets!$A$2:$A$9,0)),0)</f>
        <v>0.03</v>
      </c>
      <c r="R1487" s="125">
        <f t="shared" si="70"/>
        <v>914.41769999999997</v>
      </c>
      <c r="S1487" s="78">
        <f t="shared" si="71"/>
        <v>45809</v>
      </c>
      <c r="T1487" t="str">
        <f>IFERROR(VLOOKUP(B1487,Sites!$A$2:$D$21,4,FALSE()),"Unknown")</f>
        <v>Derby</v>
      </c>
      <c r="U1487" t="str">
        <f>IF(N1487="OK","",COUNTIF($N$2:N1487,"&lt;&gt;OK"))</f>
        <v/>
      </c>
      <c r="V1487">
        <f>IF(OR(NOT(EXACT(E1487,TRIM(Procurement_Raw!E1487))),NOT(EXACT(F1487,TRIM(Procurement_Raw!F1487)))),1,0)</f>
        <v>0</v>
      </c>
    </row>
    <row r="1488" spans="1:22" ht="15" customHeight="1" x14ac:dyDescent="0.25">
      <c r="A1488" s="123">
        <f>Procurement_Raw!A1488</f>
        <v>45704</v>
      </c>
      <c r="B1488" t="str">
        <f>TRIM(Procurement_Raw!B1488)</f>
        <v>S013</v>
      </c>
      <c r="C1488" t="str">
        <f>Procurement_Raw!C1488</f>
        <v>Reading Care &amp; Education Centre</v>
      </c>
      <c r="D1488" t="str">
        <f>Procurement_Raw!D1488</f>
        <v>South</v>
      </c>
      <c r="E1488" t="str">
        <f>IF(TRIM(Procurement_Raw!E1488)="","",IFERROR(INDEX(Supplier_Lookup!$A$2:$A$25,MATCH(TRIM(Procurement_Raw!E1488),Supplier_Lookup!$A$2:$A$25,0)),TRIM(Procurement_Raw!E1488)))</f>
        <v>ClinEquip</v>
      </c>
      <c r="F1488" t="str">
        <f>IFERROR(INDEX(Category_Targets!$A$2:$A$9,MATCH(TRIM(Procurement_Raw!F1488),Category_Targets!$A$2:$A$9,0)),"Unmapped")</f>
        <v>Medical Supplies</v>
      </c>
      <c r="G1488" t="str">
        <f>TRIM(Procurement_Raw!G1488)</f>
        <v>INV-2025-01487</v>
      </c>
      <c r="H1488" s="77">
        <f>Procurement_Raw!H1488</f>
        <v>37</v>
      </c>
      <c r="I1488" s="124">
        <f>Procurement_Raw!I1488</f>
        <v>55</v>
      </c>
      <c r="J1488" s="125">
        <f>IF(Procurement_Raw!J1488="","",Procurement_Raw!J1488)</f>
        <v>2035.12</v>
      </c>
      <c r="K1488" s="77">
        <f>Procurement_Raw!K1488</f>
        <v>60</v>
      </c>
      <c r="L1488" t="str">
        <f>Procurement_Raw!L1488</f>
        <v>Procurement Portal</v>
      </c>
      <c r="M1488" t="str">
        <f>Procurement_Raw!O1488</f>
        <v>N</v>
      </c>
      <c r="N1488" t="str">
        <f>IF(E1488="","Missing supplier",IF(B1488="","Missing site",IF(J1488="","Missing spend",IF(COUNTIFS($G$2:G1488,G1488,$E$2:E1488,E1488,$J$2:J1488,J1488)&gt;1,"Duplicate invoice",IF(COUNTIF($G$2:$G$1801,G1488)&gt;1,"Duplicate ID - review",IF(AND(P1488&lt;&gt;"Unmapped",P1488&lt;&gt;F1488),"Category mismatch","OK"))))))</f>
        <v>OK</v>
      </c>
      <c r="O1488" s="125">
        <f t="shared" si="69"/>
        <v>2035.12</v>
      </c>
      <c r="P1488" t="str">
        <f>IF(E1488="","Unmapped",IFERROR(INDEX(Supplier_Lookup!$B$2:$B$25,MATCH(E1488,Supplier_Lookup!$A$2:$A$25,0)),"Unmapped"))</f>
        <v>Medical Supplies</v>
      </c>
      <c r="Q1488" s="76">
        <f>IFERROR(INDEX(Category_Targets!$B$2:$B$9,MATCH(F1488,Category_Targets!$A$2:$A$9,0)),0)</f>
        <v>0.06</v>
      </c>
      <c r="R1488" s="125">
        <f t="shared" si="70"/>
        <v>122.10719999999999</v>
      </c>
      <c r="S1488" s="78">
        <f t="shared" si="71"/>
        <v>45689</v>
      </c>
      <c r="T1488" t="str">
        <f>IFERROR(VLOOKUP(B1488,Sites!$A$2:$D$21,4,FALSE()),"Unknown")</f>
        <v>Reading</v>
      </c>
      <c r="U1488" t="str">
        <f>IF(N1488="OK","",COUNTIF($N$2:N1488,"&lt;&gt;OK"))</f>
        <v/>
      </c>
      <c r="V1488">
        <f>IF(OR(NOT(EXACT(E1488,TRIM(Procurement_Raw!E1488))),NOT(EXACT(F1488,TRIM(Procurement_Raw!F1488)))),1,0)</f>
        <v>0</v>
      </c>
    </row>
    <row r="1489" spans="1:22" ht="15" customHeight="1" x14ac:dyDescent="0.25">
      <c r="A1489" s="123">
        <f>Procurement_Raw!A1489</f>
        <v>45971</v>
      </c>
      <c r="B1489" t="str">
        <f>TRIM(Procurement_Raw!B1489)</f>
        <v>S001</v>
      </c>
      <c r="C1489" t="str">
        <f>Procurement_Raw!C1489</f>
        <v>Preston Care &amp; Education Centre</v>
      </c>
      <c r="D1489" t="str">
        <f>Procurement_Raw!D1489</f>
        <v>North</v>
      </c>
      <c r="E1489" t="str">
        <f>IF(TRIM(Procurement_Raw!E1489)="","",IFERROR(INDEX(Supplier_Lookup!$A$2:$A$25,MATCH(TRIM(Procurement_Raw!E1489),Supplier_Lookup!$A$2:$A$25,0)),TRIM(Procurement_Raw!E1489)))</f>
        <v>TeleCare IT</v>
      </c>
      <c r="F1489" t="str">
        <f>IFERROR(INDEX(Category_Targets!$A$2:$A$9,MATCH(TRIM(Procurement_Raw!F1489),Category_Targets!$A$2:$A$9,0)),"Unmapped")</f>
        <v>IT &amp; Telecoms</v>
      </c>
      <c r="G1489" t="str">
        <f>TRIM(Procurement_Raw!G1489)</f>
        <v>INV-2025-01488</v>
      </c>
      <c r="H1489" s="77">
        <f>Procurement_Raw!H1489</f>
        <v>23</v>
      </c>
      <c r="I1489" s="124">
        <f>Procurement_Raw!I1489</f>
        <v>83.53</v>
      </c>
      <c r="J1489" s="125">
        <f>IF(Procurement_Raw!J1489="","",Procurement_Raw!J1489)</f>
        <v>1921.15</v>
      </c>
      <c r="K1489" s="77">
        <f>Procurement_Raw!K1489</f>
        <v>45</v>
      </c>
      <c r="L1489" t="str">
        <f>Procurement_Raw!L1489</f>
        <v>ERP</v>
      </c>
      <c r="M1489" t="str">
        <f>Procurement_Raw!O1489</f>
        <v>N</v>
      </c>
      <c r="N1489" t="str">
        <f>IF(E1489="","Missing supplier",IF(B1489="","Missing site",IF(J1489="","Missing spend",IF(COUNTIFS($G$2:G1489,G1489,$E$2:E1489,E1489,$J$2:J1489,J1489)&gt;1,"Duplicate invoice",IF(COUNTIF($G$2:$G$1801,G1489)&gt;1,"Duplicate ID - review",IF(AND(P1489&lt;&gt;"Unmapped",P1489&lt;&gt;F1489),"Category mismatch","OK"))))))</f>
        <v>OK</v>
      </c>
      <c r="O1489" s="125">
        <f t="shared" si="69"/>
        <v>1921.15</v>
      </c>
      <c r="P1489" t="str">
        <f>IF(E1489="","Unmapped",IFERROR(INDEX(Supplier_Lookup!$B$2:$B$25,MATCH(E1489,Supplier_Lookup!$A$2:$A$25,0)),"Unmapped"))</f>
        <v>IT &amp; Telecoms</v>
      </c>
      <c r="Q1489" s="76">
        <f>IFERROR(INDEX(Category_Targets!$B$2:$B$9,MATCH(F1489,Category_Targets!$A$2:$A$9,0)),0)</f>
        <v>0.08</v>
      </c>
      <c r="R1489" s="125">
        <f t="shared" si="70"/>
        <v>153.69200000000001</v>
      </c>
      <c r="S1489" s="78">
        <f t="shared" si="71"/>
        <v>45962</v>
      </c>
      <c r="T1489" t="str">
        <f>IFERROR(VLOOKUP(B1489,Sites!$A$2:$D$21,4,FALSE()),"Unknown")</f>
        <v>Preston</v>
      </c>
      <c r="U1489" t="str">
        <f>IF(N1489="OK","",COUNTIF($N$2:N1489,"&lt;&gt;OK"))</f>
        <v/>
      </c>
      <c r="V1489">
        <f>IF(OR(NOT(EXACT(E1489,TRIM(Procurement_Raw!E1489))),NOT(EXACT(F1489,TRIM(Procurement_Raw!F1489)))),1,0)</f>
        <v>0</v>
      </c>
    </row>
    <row r="1490" spans="1:22" ht="15" customHeight="1" x14ac:dyDescent="0.25">
      <c r="A1490" s="123">
        <f>Procurement_Raw!A1490</f>
        <v>45854</v>
      </c>
      <c r="B1490" t="str">
        <f>TRIM(Procurement_Raw!B1490)</f>
        <v>S011</v>
      </c>
      <c r="C1490" t="str">
        <f>Procurement_Raw!C1490</f>
        <v>London Care &amp; Education Centre</v>
      </c>
      <c r="D1490" t="str">
        <f>Procurement_Raw!D1490</f>
        <v>South</v>
      </c>
      <c r="E1490" t="str">
        <f>IF(TRIM(Procurement_Raw!E1490)="","",IFERROR(INDEX(Supplier_Lookup!$A$2:$A$25,MATCH(TRIM(Procurement_Raw!E1490),Supplier_Lookup!$A$2:$A$25,0)),TRIM(Procurement_Raw!E1490)))</f>
        <v>CareTemps</v>
      </c>
      <c r="F1490" t="str">
        <f>IFERROR(INDEX(Category_Targets!$A$2:$A$9,MATCH(TRIM(Procurement_Raw!F1490),Category_Targets!$A$2:$A$9,0)),"Unmapped")</f>
        <v>Agency Labour</v>
      </c>
      <c r="G1490" t="str">
        <f>TRIM(Procurement_Raw!G1490)</f>
        <v>INV-2025-01489</v>
      </c>
      <c r="H1490" s="77">
        <f>Procurement_Raw!H1490</f>
        <v>24</v>
      </c>
      <c r="I1490" s="124">
        <f>Procurement_Raw!I1490</f>
        <v>129.63</v>
      </c>
      <c r="J1490" s="125">
        <f>IF(Procurement_Raw!J1490="","",Procurement_Raw!J1490)</f>
        <v>3111.08</v>
      </c>
      <c r="K1490" s="77">
        <f>Procurement_Raw!K1490</f>
        <v>60</v>
      </c>
      <c r="L1490" t="str">
        <f>Procurement_Raw!L1490</f>
        <v>Legacy Spend File</v>
      </c>
      <c r="M1490" t="str">
        <f>Procurement_Raw!O1490</f>
        <v>N</v>
      </c>
      <c r="N1490" t="str">
        <f>IF(E1490="","Missing supplier",IF(B1490="","Missing site",IF(J1490="","Missing spend",IF(COUNTIFS($G$2:G1490,G1490,$E$2:E1490,E1490,$J$2:J1490,J1490)&gt;1,"Duplicate invoice",IF(COUNTIF($G$2:$G$1801,G1490)&gt;1,"Duplicate ID - review",IF(AND(P1490&lt;&gt;"Unmapped",P1490&lt;&gt;F1490),"Category mismatch","OK"))))))</f>
        <v>OK</v>
      </c>
      <c r="O1490" s="125">
        <f t="shared" si="69"/>
        <v>3111.08</v>
      </c>
      <c r="P1490" t="str">
        <f>IF(E1490="","Unmapped",IFERROR(INDEX(Supplier_Lookup!$B$2:$B$25,MATCH(E1490,Supplier_Lookup!$A$2:$A$25,0)),"Unmapped"))</f>
        <v>Agency Labour</v>
      </c>
      <c r="Q1490" s="76">
        <f>IFERROR(INDEX(Category_Targets!$B$2:$B$9,MATCH(F1490,Category_Targets!$A$2:$A$9,0)),0)</f>
        <v>7.0000000000000007E-2</v>
      </c>
      <c r="R1490" s="125">
        <f t="shared" si="70"/>
        <v>217.77560000000003</v>
      </c>
      <c r="S1490" s="78">
        <f t="shared" si="71"/>
        <v>45839</v>
      </c>
      <c r="T1490" t="str">
        <f>IFERROR(VLOOKUP(B1490,Sites!$A$2:$D$21,4,FALSE()),"Unknown")</f>
        <v>London</v>
      </c>
      <c r="U1490" t="str">
        <f>IF(N1490="OK","",COUNTIF($N$2:N1490,"&lt;&gt;OK"))</f>
        <v/>
      </c>
      <c r="V1490">
        <f>IF(OR(NOT(EXACT(E1490,TRIM(Procurement_Raw!E1490))),NOT(EXACT(F1490,TRIM(Procurement_Raw!F1490)))),1,0)</f>
        <v>0</v>
      </c>
    </row>
    <row r="1491" spans="1:22" ht="15" customHeight="1" x14ac:dyDescent="0.25">
      <c r="A1491" s="123">
        <f>Procurement_Raw!A1491</f>
        <v>45680</v>
      </c>
      <c r="B1491" t="str">
        <f>TRIM(Procurement_Raw!B1491)</f>
        <v>S008</v>
      </c>
      <c r="C1491" t="str">
        <f>Procurement_Raw!C1491</f>
        <v>Leicester Care &amp; Education Centre</v>
      </c>
      <c r="D1491" t="str">
        <f>Procurement_Raw!D1491</f>
        <v>Midlands</v>
      </c>
      <c r="E1491" t="str">
        <f>IF(TRIM(Procurement_Raw!E1491)="","",IFERROR(INDEX(Supplier_Lookup!$A$2:$A$25,MATCH(TRIM(Procurement_Raw!E1491),Supplier_Lookup!$A$2:$A$25,0)),TRIM(Procurement_Raw!E1491)))</f>
        <v>NurseLink</v>
      </c>
      <c r="F1491" t="str">
        <f>IFERROR(INDEX(Category_Targets!$A$2:$A$9,MATCH(TRIM(Procurement_Raw!F1491),Category_Targets!$A$2:$A$9,0)),"Unmapped")</f>
        <v>Agency Labour</v>
      </c>
      <c r="G1491" t="str">
        <f>TRIM(Procurement_Raw!G1491)</f>
        <v>INV-2025-01490</v>
      </c>
      <c r="H1491" s="77">
        <f>Procurement_Raw!H1491</f>
        <v>31</v>
      </c>
      <c r="I1491" s="124">
        <f>Procurement_Raw!I1491</f>
        <v>600.76</v>
      </c>
      <c r="J1491" s="125">
        <f>IF(Procurement_Raw!J1491="","",Procurement_Raw!J1491)</f>
        <v>18623.71</v>
      </c>
      <c r="K1491" s="77">
        <f>Procurement_Raw!K1491</f>
        <v>30</v>
      </c>
      <c r="L1491" t="str">
        <f>Procurement_Raw!L1491</f>
        <v>Procurement Portal</v>
      </c>
      <c r="M1491" t="str">
        <f>Procurement_Raw!O1491</f>
        <v>N</v>
      </c>
      <c r="N1491" t="str">
        <f>IF(E1491="","Missing supplier",IF(B1491="","Missing site",IF(J1491="","Missing spend",IF(COUNTIFS($G$2:G1491,G1491,$E$2:E1491,E1491,$J$2:J1491,J1491)&gt;1,"Duplicate invoice",IF(COUNTIF($G$2:$G$1801,G1491)&gt;1,"Duplicate ID - review",IF(AND(P1491&lt;&gt;"Unmapped",P1491&lt;&gt;F1491),"Category mismatch","OK"))))))</f>
        <v>OK</v>
      </c>
      <c r="O1491" s="125">
        <f t="shared" si="69"/>
        <v>18623.71</v>
      </c>
      <c r="P1491" t="str">
        <f>IF(E1491="","Unmapped",IFERROR(INDEX(Supplier_Lookup!$B$2:$B$25,MATCH(E1491,Supplier_Lookup!$A$2:$A$25,0)),"Unmapped"))</f>
        <v>Agency Labour</v>
      </c>
      <c r="Q1491" s="76">
        <f>IFERROR(INDEX(Category_Targets!$B$2:$B$9,MATCH(F1491,Category_Targets!$A$2:$A$9,0)),0)</f>
        <v>7.0000000000000007E-2</v>
      </c>
      <c r="R1491" s="125">
        <f t="shared" si="70"/>
        <v>1303.6597000000002</v>
      </c>
      <c r="S1491" s="78">
        <f t="shared" si="71"/>
        <v>45658</v>
      </c>
      <c r="T1491" t="str">
        <f>IFERROR(VLOOKUP(B1491,Sites!$A$2:$D$21,4,FALSE()),"Unknown")</f>
        <v>Leicester</v>
      </c>
      <c r="U1491" t="str">
        <f>IF(N1491="OK","",COUNTIF($N$2:N1491,"&lt;&gt;OK"))</f>
        <v/>
      </c>
      <c r="V1491">
        <f>IF(OR(NOT(EXACT(E1491,TRIM(Procurement_Raw!E1491))),NOT(EXACT(F1491,TRIM(Procurement_Raw!F1491)))),1,0)</f>
        <v>0</v>
      </c>
    </row>
    <row r="1492" spans="1:22" ht="15" customHeight="1" x14ac:dyDescent="0.25">
      <c r="A1492" s="123">
        <f>Procurement_Raw!A1492</f>
        <v>45692</v>
      </c>
      <c r="B1492" t="str">
        <f>TRIM(Procurement_Raw!B1492)</f>
        <v>S011</v>
      </c>
      <c r="C1492" t="str">
        <f>Procurement_Raw!C1492</f>
        <v>London Care &amp; Education Centre</v>
      </c>
      <c r="D1492" t="str">
        <f>Procurement_Raw!D1492</f>
        <v>South</v>
      </c>
      <c r="E1492" t="str">
        <f>IF(TRIM(Procurement_Raw!E1492)="","",IFERROR(INDEX(Supplier_Lookup!$A$2:$A$25,MATCH(TRIM(Procurement_Raw!E1492),Supplier_Lookup!$A$2:$A$25,0)),TRIM(Procurement_Raw!E1492)))</f>
        <v>NetServe</v>
      </c>
      <c r="F1492" t="str">
        <f>IFERROR(INDEX(Category_Targets!$A$2:$A$9,MATCH(TRIM(Procurement_Raw!F1492),Category_Targets!$A$2:$A$9,0)),"Unmapped")</f>
        <v>IT &amp; Telecoms</v>
      </c>
      <c r="G1492" t="str">
        <f>TRIM(Procurement_Raw!G1492)</f>
        <v>INV-2025-01491</v>
      </c>
      <c r="H1492" s="77">
        <f>Procurement_Raw!H1492</f>
        <v>28</v>
      </c>
      <c r="I1492" s="124">
        <f>Procurement_Raw!I1492</f>
        <v>162.41</v>
      </c>
      <c r="J1492" s="125">
        <f>IF(Procurement_Raw!J1492="","",Procurement_Raw!J1492)</f>
        <v>4547.3999999999996</v>
      </c>
      <c r="K1492" s="77">
        <f>Procurement_Raw!K1492</f>
        <v>45</v>
      </c>
      <c r="L1492" t="str">
        <f>Procurement_Raw!L1492</f>
        <v>Procurement Portal</v>
      </c>
      <c r="M1492" t="str">
        <f>Procurement_Raw!O1492</f>
        <v>N</v>
      </c>
      <c r="N1492" t="str">
        <f>IF(E1492="","Missing supplier",IF(B1492="","Missing site",IF(J1492="","Missing spend",IF(COUNTIFS($G$2:G1492,G1492,$E$2:E1492,E1492,$J$2:J1492,J1492)&gt;1,"Duplicate invoice",IF(COUNTIF($G$2:$G$1801,G1492)&gt;1,"Duplicate ID - review",IF(AND(P1492&lt;&gt;"Unmapped",P1492&lt;&gt;F1492),"Category mismatch","OK"))))))</f>
        <v>OK</v>
      </c>
      <c r="O1492" s="125">
        <f t="shared" si="69"/>
        <v>4547.3999999999996</v>
      </c>
      <c r="P1492" t="str">
        <f>IF(E1492="","Unmapped",IFERROR(INDEX(Supplier_Lookup!$B$2:$B$25,MATCH(E1492,Supplier_Lookup!$A$2:$A$25,0)),"Unmapped"))</f>
        <v>IT &amp; Telecoms</v>
      </c>
      <c r="Q1492" s="76">
        <f>IFERROR(INDEX(Category_Targets!$B$2:$B$9,MATCH(F1492,Category_Targets!$A$2:$A$9,0)),0)</f>
        <v>0.08</v>
      </c>
      <c r="R1492" s="125">
        <f t="shared" si="70"/>
        <v>363.79199999999997</v>
      </c>
      <c r="S1492" s="78">
        <f t="shared" si="71"/>
        <v>45689</v>
      </c>
      <c r="T1492" t="str">
        <f>IFERROR(VLOOKUP(B1492,Sites!$A$2:$D$21,4,FALSE()),"Unknown")</f>
        <v>London</v>
      </c>
      <c r="U1492" t="str">
        <f>IF(N1492="OK","",COUNTIF($N$2:N1492,"&lt;&gt;OK"))</f>
        <v/>
      </c>
      <c r="V1492">
        <f>IF(OR(NOT(EXACT(E1492,TRIM(Procurement_Raw!E1492))),NOT(EXACT(F1492,TRIM(Procurement_Raw!F1492)))),1,0)</f>
        <v>0</v>
      </c>
    </row>
    <row r="1493" spans="1:22" ht="15" customHeight="1" x14ac:dyDescent="0.25">
      <c r="A1493" s="123">
        <f>Procurement_Raw!A1493</f>
        <v>45697</v>
      </c>
      <c r="B1493" t="str">
        <f>TRIM(Procurement_Raw!B1493)</f>
        <v>S020</v>
      </c>
      <c r="C1493" t="str">
        <f>Procurement_Raw!C1493</f>
        <v>Bangor Care &amp; Education Centre</v>
      </c>
      <c r="D1493" t="str">
        <f>Procurement_Raw!D1493</f>
        <v>Wales</v>
      </c>
      <c r="E1493" t="str">
        <f>IF(TRIM(Procurement_Raw!E1493)="","",IFERROR(INDEX(Supplier_Lookup!$A$2:$A$25,MATCH(TRIM(Procurement_Raw!E1493),Supplier_Lookup!$A$2:$A$25,0)),TRIM(Procurement_Raw!E1493)))</f>
        <v>NourishCo</v>
      </c>
      <c r="F1493" t="str">
        <f>IFERROR(INDEX(Category_Targets!$A$2:$A$9,MATCH(TRIM(Procurement_Raw!F1493),Category_Targets!$A$2:$A$9,0)),"Unmapped")</f>
        <v>Food &amp; Catering</v>
      </c>
      <c r="G1493" t="str">
        <f>TRIM(Procurement_Raw!G1493)</f>
        <v>INV-2025-01492</v>
      </c>
      <c r="H1493" s="77">
        <f>Procurement_Raw!H1493</f>
        <v>14</v>
      </c>
      <c r="I1493" s="124">
        <f>Procurement_Raw!I1493</f>
        <v>265.44</v>
      </c>
      <c r="J1493" s="125">
        <f>IF(Procurement_Raw!J1493="","",Procurement_Raw!J1493)</f>
        <v>3716.19</v>
      </c>
      <c r="K1493" s="77">
        <f>Procurement_Raw!K1493</f>
        <v>60</v>
      </c>
      <c r="L1493" t="str">
        <f>Procurement_Raw!L1493</f>
        <v>Procurement Portal</v>
      </c>
      <c r="M1493" t="str">
        <f>Procurement_Raw!O1493</f>
        <v>N</v>
      </c>
      <c r="N1493" t="str">
        <f>IF(E1493="","Missing supplier",IF(B1493="","Missing site",IF(J1493="","Missing spend",IF(COUNTIFS($G$2:G1493,G1493,$E$2:E1493,E1493,$J$2:J1493,J1493)&gt;1,"Duplicate invoice",IF(COUNTIF($G$2:$G$1801,G1493)&gt;1,"Duplicate ID - review",IF(AND(P1493&lt;&gt;"Unmapped",P1493&lt;&gt;F1493),"Category mismatch","OK"))))))</f>
        <v>OK</v>
      </c>
      <c r="O1493" s="125">
        <f t="shared" si="69"/>
        <v>3716.19</v>
      </c>
      <c r="P1493" t="str">
        <f>IF(E1493="","Unmapped",IFERROR(INDEX(Supplier_Lookup!$B$2:$B$25,MATCH(E1493,Supplier_Lookup!$A$2:$A$25,0)),"Unmapped"))</f>
        <v>Food &amp; Catering</v>
      </c>
      <c r="Q1493" s="76">
        <f>IFERROR(INDEX(Category_Targets!$B$2:$B$9,MATCH(F1493,Category_Targets!$A$2:$A$9,0)),0)</f>
        <v>0.04</v>
      </c>
      <c r="R1493" s="125">
        <f t="shared" si="70"/>
        <v>148.64760000000001</v>
      </c>
      <c r="S1493" s="78">
        <f t="shared" si="71"/>
        <v>45689</v>
      </c>
      <c r="T1493" t="str">
        <f>IFERROR(VLOOKUP(B1493,Sites!$A$2:$D$21,4,FALSE()),"Unknown")</f>
        <v>Bangor</v>
      </c>
      <c r="U1493" t="str">
        <f>IF(N1493="OK","",COUNTIF($N$2:N1493,"&lt;&gt;OK"))</f>
        <v/>
      </c>
      <c r="V1493">
        <f>IF(OR(NOT(EXACT(E1493,TRIM(Procurement_Raw!E1493))),NOT(EXACT(F1493,TRIM(Procurement_Raw!F1493)))),1,0)</f>
        <v>0</v>
      </c>
    </row>
    <row r="1494" spans="1:22" ht="15" customHeight="1" x14ac:dyDescent="0.25">
      <c r="A1494" s="123">
        <f>Procurement_Raw!A1494</f>
        <v>45787</v>
      </c>
      <c r="B1494" t="str">
        <f>TRIM(Procurement_Raw!B1494)</f>
        <v>S008</v>
      </c>
      <c r="C1494" t="str">
        <f>Procurement_Raw!C1494</f>
        <v>Leicester Care &amp; Education Centre</v>
      </c>
      <c r="D1494" t="str">
        <f>Procurement_Raw!D1494</f>
        <v>Midlands</v>
      </c>
      <c r="E1494" t="str">
        <f>IF(TRIM(Procurement_Raw!E1494)="","",IFERROR(INDEX(Supplier_Lookup!$A$2:$A$25,MATCH(TRIM(Procurement_Raw!E1494),Supplier_Lookup!$A$2:$A$25,0)),TRIM(Procurement_Raw!E1494)))</f>
        <v>OfficePlus</v>
      </c>
      <c r="F1494" t="str">
        <f>IFERROR(INDEX(Category_Targets!$A$2:$A$9,MATCH(TRIM(Procurement_Raw!F1494),Category_Targets!$A$2:$A$9,0)),"Unmapped")</f>
        <v>Office &amp; Training</v>
      </c>
      <c r="G1494" t="str">
        <f>TRIM(Procurement_Raw!G1494)</f>
        <v>INV-2025-01493</v>
      </c>
      <c r="H1494" s="77">
        <f>Procurement_Raw!H1494</f>
        <v>27</v>
      </c>
      <c r="I1494" s="124">
        <f>Procurement_Raw!I1494</f>
        <v>54.99</v>
      </c>
      <c r="J1494" s="125">
        <f>IF(Procurement_Raw!J1494="","",Procurement_Raw!J1494)</f>
        <v>1484.73</v>
      </c>
      <c r="K1494" s="77">
        <f>Procurement_Raw!K1494</f>
        <v>60</v>
      </c>
      <c r="L1494" t="str">
        <f>Procurement_Raw!L1494</f>
        <v>ERP</v>
      </c>
      <c r="M1494" t="str">
        <f>Procurement_Raw!O1494</f>
        <v>N</v>
      </c>
      <c r="N1494" t="str">
        <f>IF(E1494="","Missing supplier",IF(B1494="","Missing site",IF(J1494="","Missing spend",IF(COUNTIFS($G$2:G1494,G1494,$E$2:E1494,E1494,$J$2:J1494,J1494)&gt;1,"Duplicate invoice",IF(COUNTIF($G$2:$G$1801,G1494)&gt;1,"Duplicate ID - review",IF(AND(P1494&lt;&gt;"Unmapped",P1494&lt;&gt;F1494),"Category mismatch","OK"))))))</f>
        <v>OK</v>
      </c>
      <c r="O1494" s="125">
        <f t="shared" si="69"/>
        <v>1484.73</v>
      </c>
      <c r="P1494" t="str">
        <f>IF(E1494="","Unmapped",IFERROR(INDEX(Supplier_Lookup!$B$2:$B$25,MATCH(E1494,Supplier_Lookup!$A$2:$A$25,0)),"Unmapped"))</f>
        <v>Office &amp; Training</v>
      </c>
      <c r="Q1494" s="76">
        <f>IFERROR(INDEX(Category_Targets!$B$2:$B$9,MATCH(F1494,Category_Targets!$A$2:$A$9,0)),0)</f>
        <v>0.04</v>
      </c>
      <c r="R1494" s="125">
        <f t="shared" si="70"/>
        <v>59.389200000000002</v>
      </c>
      <c r="S1494" s="78">
        <f t="shared" si="71"/>
        <v>45778</v>
      </c>
      <c r="T1494" t="str">
        <f>IFERROR(VLOOKUP(B1494,Sites!$A$2:$D$21,4,FALSE()),"Unknown")</f>
        <v>Leicester</v>
      </c>
      <c r="U1494" t="str">
        <f>IF(N1494="OK","",COUNTIF($N$2:N1494,"&lt;&gt;OK"))</f>
        <v/>
      </c>
      <c r="V1494">
        <f>IF(OR(NOT(EXACT(E1494,TRIM(Procurement_Raw!E1494))),NOT(EXACT(F1494,TRIM(Procurement_Raw!F1494)))),1,0)</f>
        <v>0</v>
      </c>
    </row>
    <row r="1495" spans="1:22" ht="15" customHeight="1" x14ac:dyDescent="0.25">
      <c r="A1495" s="123">
        <f>Procurement_Raw!A1495</f>
        <v>45985</v>
      </c>
      <c r="B1495" t="str">
        <f>TRIM(Procurement_Raw!B1495)</f>
        <v>S002</v>
      </c>
      <c r="C1495" t="str">
        <f>Procurement_Raw!C1495</f>
        <v>Manchester Care &amp; Education Centre</v>
      </c>
      <c r="D1495" t="str">
        <f>Procurement_Raw!D1495</f>
        <v>North</v>
      </c>
      <c r="E1495" t="str">
        <f>IF(TRIM(Procurement_Raw!E1495)="","",IFERROR(INDEX(Supplier_Lookup!$A$2:$A$25,MATCH(TRIM(Procurement_Raw!E1495),Supplier_Lookup!$A$2:$A$25,0)),TRIM(Procurement_Raw!E1495)))</f>
        <v>MediSure</v>
      </c>
      <c r="F1495" t="str">
        <f>IFERROR(INDEX(Category_Targets!$A$2:$A$9,MATCH(TRIM(Procurement_Raw!F1495),Category_Targets!$A$2:$A$9,0)),"Unmapped")</f>
        <v>Medical Supplies</v>
      </c>
      <c r="G1495" t="str">
        <f>TRIM(Procurement_Raw!G1495)</f>
        <v>INV-2025-01494</v>
      </c>
      <c r="H1495" s="77">
        <f>Procurement_Raw!H1495</f>
        <v>60</v>
      </c>
      <c r="I1495" s="124">
        <f>Procurement_Raw!I1495</f>
        <v>132.82</v>
      </c>
      <c r="J1495" s="125">
        <f>IF(Procurement_Raw!J1495="","",Procurement_Raw!J1495)</f>
        <v>7969.2</v>
      </c>
      <c r="K1495" s="77">
        <f>Procurement_Raw!K1495</f>
        <v>45</v>
      </c>
      <c r="L1495" t="str">
        <f>Procurement_Raw!L1495</f>
        <v>Procurement Portal</v>
      </c>
      <c r="M1495" t="str">
        <f>Procurement_Raw!O1495</f>
        <v>Y</v>
      </c>
      <c r="N1495" t="str">
        <f>IF(E1495="","Missing supplier",IF(B1495="","Missing site",IF(J1495="","Missing spend",IF(COUNTIFS($G$2:G1495,G1495,$E$2:E1495,E1495,$J$2:J1495,J1495)&gt;1,"Duplicate invoice",IF(COUNTIF($G$2:$G$1801,G1495)&gt;1,"Duplicate ID - review",IF(AND(P1495&lt;&gt;"Unmapped",P1495&lt;&gt;F1495),"Category mismatch","OK"))))))</f>
        <v>OK</v>
      </c>
      <c r="O1495" s="125">
        <f t="shared" si="69"/>
        <v>7969.2</v>
      </c>
      <c r="P1495" t="str">
        <f>IF(E1495="","Unmapped",IFERROR(INDEX(Supplier_Lookup!$B$2:$B$25,MATCH(E1495,Supplier_Lookup!$A$2:$A$25,0)),"Unmapped"))</f>
        <v>Medical Supplies</v>
      </c>
      <c r="Q1495" s="76">
        <f>IFERROR(INDEX(Category_Targets!$B$2:$B$9,MATCH(F1495,Category_Targets!$A$2:$A$9,0)),0)</f>
        <v>0.06</v>
      </c>
      <c r="R1495" s="125">
        <f t="shared" si="70"/>
        <v>478.15199999999999</v>
      </c>
      <c r="S1495" s="78">
        <f t="shared" si="71"/>
        <v>45962</v>
      </c>
      <c r="T1495" t="str">
        <f>IFERROR(VLOOKUP(B1495,Sites!$A$2:$D$21,4,FALSE()),"Unknown")</f>
        <v>Manchester</v>
      </c>
      <c r="U1495" t="str">
        <f>IF(N1495="OK","",COUNTIF($N$2:N1495,"&lt;&gt;OK"))</f>
        <v/>
      </c>
      <c r="V1495">
        <f>IF(OR(NOT(EXACT(E1495,TRIM(Procurement_Raw!E1495))),NOT(EXACT(F1495,TRIM(Procurement_Raw!F1495)))),1,0)</f>
        <v>0</v>
      </c>
    </row>
    <row r="1496" spans="1:22" ht="15" customHeight="1" x14ac:dyDescent="0.25">
      <c r="A1496" s="123">
        <f>Procurement_Raw!A1496</f>
        <v>45861</v>
      </c>
      <c r="B1496" t="str">
        <f>TRIM(Procurement_Raw!B1496)</f>
        <v>S020</v>
      </c>
      <c r="C1496" t="str">
        <f>Procurement_Raw!C1496</f>
        <v>Bangor Care &amp; Education Centre</v>
      </c>
      <c r="D1496" t="str">
        <f>Procurement_Raw!D1496</f>
        <v>Wales</v>
      </c>
      <c r="E1496" t="str">
        <f>IF(TRIM(Procurement_Raw!E1496)="","",IFERROR(INDEX(Supplier_Lookup!$A$2:$A$25,MATCH(TRIM(Procurement_Raw!E1496),Supplier_Lookup!$A$2:$A$25,0)),TRIM(Procurement_Raw!E1496)))</f>
        <v>HealthStaffing</v>
      </c>
      <c r="F1496" t="str">
        <f>IFERROR(INDEX(Category_Targets!$A$2:$A$9,MATCH(TRIM(Procurement_Raw!F1496),Category_Targets!$A$2:$A$9,0)),"Unmapped")</f>
        <v>Agency Labour</v>
      </c>
      <c r="G1496" t="str">
        <f>TRIM(Procurement_Raw!G1496)</f>
        <v>INV-2025-01495</v>
      </c>
      <c r="H1496" s="77">
        <f>Procurement_Raw!H1496</f>
        <v>5</v>
      </c>
      <c r="I1496" s="124">
        <f>Procurement_Raw!I1496</f>
        <v>700.6</v>
      </c>
      <c r="J1496" s="125">
        <f>IF(Procurement_Raw!J1496="","",Procurement_Raw!J1496)</f>
        <v>3503.02</v>
      </c>
      <c r="K1496" s="77">
        <f>Procurement_Raw!K1496</f>
        <v>30</v>
      </c>
      <c r="L1496" t="str">
        <f>Procurement_Raw!L1496</f>
        <v>Procurement Portal</v>
      </c>
      <c r="M1496" t="str">
        <f>Procurement_Raw!O1496</f>
        <v>N</v>
      </c>
      <c r="N1496" t="str">
        <f>IF(E1496="","Missing supplier",IF(B1496="","Missing site",IF(J1496="","Missing spend",IF(COUNTIFS($G$2:G1496,G1496,$E$2:E1496,E1496,$J$2:J1496,J1496)&gt;1,"Duplicate invoice",IF(COUNTIF($G$2:$G$1801,G1496)&gt;1,"Duplicate ID - review",IF(AND(P1496&lt;&gt;"Unmapped",P1496&lt;&gt;F1496),"Category mismatch","OK"))))))</f>
        <v>OK</v>
      </c>
      <c r="O1496" s="125">
        <f t="shared" si="69"/>
        <v>3503.02</v>
      </c>
      <c r="P1496" t="str">
        <f>IF(E1496="","Unmapped",IFERROR(INDEX(Supplier_Lookup!$B$2:$B$25,MATCH(E1496,Supplier_Lookup!$A$2:$A$25,0)),"Unmapped"))</f>
        <v>Agency Labour</v>
      </c>
      <c r="Q1496" s="76">
        <f>IFERROR(INDEX(Category_Targets!$B$2:$B$9,MATCH(F1496,Category_Targets!$A$2:$A$9,0)),0)</f>
        <v>7.0000000000000007E-2</v>
      </c>
      <c r="R1496" s="125">
        <f t="shared" si="70"/>
        <v>245.21140000000003</v>
      </c>
      <c r="S1496" s="78">
        <f t="shared" si="71"/>
        <v>45839</v>
      </c>
      <c r="T1496" t="str">
        <f>IFERROR(VLOOKUP(B1496,Sites!$A$2:$D$21,4,FALSE()),"Unknown")</f>
        <v>Bangor</v>
      </c>
      <c r="U1496" t="str">
        <f>IF(N1496="OK","",COUNTIF($N$2:N1496,"&lt;&gt;OK"))</f>
        <v/>
      </c>
      <c r="V1496">
        <f>IF(OR(NOT(EXACT(E1496,TRIM(Procurement_Raw!E1496))),NOT(EXACT(F1496,TRIM(Procurement_Raw!F1496)))),1,0)</f>
        <v>0</v>
      </c>
    </row>
    <row r="1497" spans="1:22" ht="15" customHeight="1" x14ac:dyDescent="0.25">
      <c r="A1497" s="123">
        <f>Procurement_Raw!A1497</f>
        <v>46001</v>
      </c>
      <c r="B1497" t="str">
        <f>TRIM(Procurement_Raw!B1497)</f>
        <v>S014</v>
      </c>
      <c r="C1497" t="str">
        <f>Procurement_Raw!C1497</f>
        <v>Southampton Care &amp; Education Centre</v>
      </c>
      <c r="D1497" t="str">
        <f>Procurement_Raw!D1497</f>
        <v>South</v>
      </c>
      <c r="E1497" t="str">
        <f>IF(TRIM(Procurement_Raw!E1497)="","",IFERROR(INDEX(Supplier_Lookup!$A$2:$A$25,MATCH(TRIM(Procurement_Raw!E1497),Supplier_Lookup!$A$2:$A$25,0)),TRIM(Procurement_Raw!E1497)))</f>
        <v>SafeGuard FM</v>
      </c>
      <c r="F1497" t="str">
        <f>IFERROR(INDEX(Category_Targets!$A$2:$A$9,MATCH(TRIM(Procurement_Raw!F1497),Category_Targets!$A$2:$A$9,0)),"Unmapped")</f>
        <v>Facilities</v>
      </c>
      <c r="G1497" t="str">
        <f>TRIM(Procurement_Raw!G1497)</f>
        <v>INV-2025-01496</v>
      </c>
      <c r="H1497" s="77">
        <f>Procurement_Raw!H1497</f>
        <v>60</v>
      </c>
      <c r="I1497" s="124">
        <f>Procurement_Raw!I1497</f>
        <v>542.57000000000005</v>
      </c>
      <c r="J1497" s="125">
        <f>IF(Procurement_Raw!J1497="","",Procurement_Raw!J1497)</f>
        <v>32553.9</v>
      </c>
      <c r="K1497" s="77">
        <f>Procurement_Raw!K1497</f>
        <v>45</v>
      </c>
      <c r="L1497" t="str">
        <f>Procurement_Raw!L1497</f>
        <v>Procurement Portal</v>
      </c>
      <c r="M1497" t="str">
        <f>Procurement_Raw!O1497</f>
        <v>N</v>
      </c>
      <c r="N1497" t="str">
        <f>IF(E1497="","Missing supplier",IF(B1497="","Missing site",IF(J1497="","Missing spend",IF(COUNTIFS($G$2:G1497,G1497,$E$2:E1497,E1497,$J$2:J1497,J1497)&gt;1,"Duplicate invoice",IF(COUNTIF($G$2:$G$1801,G1497)&gt;1,"Duplicate ID - review",IF(AND(P1497&lt;&gt;"Unmapped",P1497&lt;&gt;F1497),"Category mismatch","OK"))))))</f>
        <v>OK</v>
      </c>
      <c r="O1497" s="125">
        <f t="shared" si="69"/>
        <v>32553.9</v>
      </c>
      <c r="P1497" t="str">
        <f>IF(E1497="","Unmapped",IFERROR(INDEX(Supplier_Lookup!$B$2:$B$25,MATCH(E1497,Supplier_Lookup!$A$2:$A$25,0)),"Unmapped"))</f>
        <v>Facilities</v>
      </c>
      <c r="Q1497" s="76">
        <f>IFERROR(INDEX(Category_Targets!$B$2:$B$9,MATCH(F1497,Category_Targets!$A$2:$A$9,0)),0)</f>
        <v>0.05</v>
      </c>
      <c r="R1497" s="125">
        <f t="shared" si="70"/>
        <v>1627.6950000000002</v>
      </c>
      <c r="S1497" s="78">
        <f t="shared" si="71"/>
        <v>45992</v>
      </c>
      <c r="T1497" t="str">
        <f>IFERROR(VLOOKUP(B1497,Sites!$A$2:$D$21,4,FALSE()),"Unknown")</f>
        <v>Southampton</v>
      </c>
      <c r="U1497" t="str">
        <f>IF(N1497="OK","",COUNTIF($N$2:N1497,"&lt;&gt;OK"))</f>
        <v/>
      </c>
      <c r="V1497">
        <f>IF(OR(NOT(EXACT(E1497,TRIM(Procurement_Raw!E1497))),NOT(EXACT(F1497,TRIM(Procurement_Raw!F1497)))),1,0)</f>
        <v>0</v>
      </c>
    </row>
    <row r="1498" spans="1:22" ht="15" customHeight="1" x14ac:dyDescent="0.25">
      <c r="A1498" s="123">
        <f>Procurement_Raw!A1498</f>
        <v>45994</v>
      </c>
      <c r="B1498" t="str">
        <f>TRIM(Procurement_Raw!B1498)</f>
        <v>S001</v>
      </c>
      <c r="C1498" t="str">
        <f>Procurement_Raw!C1498</f>
        <v>Preston Care &amp; Education Centre</v>
      </c>
      <c r="D1498" t="str">
        <f>Procurement_Raw!D1498</f>
        <v>North</v>
      </c>
      <c r="E1498" t="str">
        <f>IF(TRIM(Procurement_Raw!E1498)="","",IFERROR(INDEX(Supplier_Lookup!$A$2:$A$25,MATCH(TRIM(Procurement_Raw!E1498),Supplier_Lookup!$A$2:$A$25,0)),TRIM(Procurement_Raw!E1498)))</f>
        <v>KitchenPro</v>
      </c>
      <c r="F1498" t="str">
        <f>IFERROR(INDEX(Category_Targets!$A$2:$A$9,MATCH(TRIM(Procurement_Raw!F1498),Category_Targets!$A$2:$A$9,0)),"Unmapped")</f>
        <v>Food &amp; Catering</v>
      </c>
      <c r="G1498" t="str">
        <f>TRIM(Procurement_Raw!G1498)</f>
        <v>INV-2025-01497</v>
      </c>
      <c r="H1498" s="77">
        <f>Procurement_Raw!H1498</f>
        <v>32</v>
      </c>
      <c r="I1498" s="124">
        <f>Procurement_Raw!I1498</f>
        <v>201.99</v>
      </c>
      <c r="J1498" s="125">
        <f>IF(Procurement_Raw!J1498="","",Procurement_Raw!J1498)</f>
        <v>6463.65</v>
      </c>
      <c r="K1498" s="77">
        <f>Procurement_Raw!K1498</f>
        <v>60</v>
      </c>
      <c r="L1498" t="str">
        <f>Procurement_Raw!L1498</f>
        <v>Procurement Portal</v>
      </c>
      <c r="M1498" t="str">
        <f>Procurement_Raw!O1498</f>
        <v>N</v>
      </c>
      <c r="N1498" t="str">
        <f>IF(E1498="","Missing supplier",IF(B1498="","Missing site",IF(J1498="","Missing spend",IF(COUNTIFS($G$2:G1498,G1498,$E$2:E1498,E1498,$J$2:J1498,J1498)&gt;1,"Duplicate invoice",IF(COUNTIF($G$2:$G$1801,G1498)&gt;1,"Duplicate ID - review",IF(AND(P1498&lt;&gt;"Unmapped",P1498&lt;&gt;F1498),"Category mismatch","OK"))))))</f>
        <v>OK</v>
      </c>
      <c r="O1498" s="125">
        <f t="shared" si="69"/>
        <v>6463.65</v>
      </c>
      <c r="P1498" t="str">
        <f>IF(E1498="","Unmapped",IFERROR(INDEX(Supplier_Lookup!$B$2:$B$25,MATCH(E1498,Supplier_Lookup!$A$2:$A$25,0)),"Unmapped"))</f>
        <v>Food &amp; Catering</v>
      </c>
      <c r="Q1498" s="76">
        <f>IFERROR(INDEX(Category_Targets!$B$2:$B$9,MATCH(F1498,Category_Targets!$A$2:$A$9,0)),0)</f>
        <v>0.04</v>
      </c>
      <c r="R1498" s="125">
        <f t="shared" si="70"/>
        <v>258.54599999999999</v>
      </c>
      <c r="S1498" s="78">
        <f t="shared" si="71"/>
        <v>45992</v>
      </c>
      <c r="T1498" t="str">
        <f>IFERROR(VLOOKUP(B1498,Sites!$A$2:$D$21,4,FALSE()),"Unknown")</f>
        <v>Preston</v>
      </c>
      <c r="U1498" t="str">
        <f>IF(N1498="OK","",COUNTIF($N$2:N1498,"&lt;&gt;OK"))</f>
        <v/>
      </c>
      <c r="V1498">
        <f>IF(OR(NOT(EXACT(E1498,TRIM(Procurement_Raw!E1498))),NOT(EXACT(F1498,TRIM(Procurement_Raw!F1498)))),1,0)</f>
        <v>0</v>
      </c>
    </row>
    <row r="1499" spans="1:22" ht="15" customHeight="1" x14ac:dyDescent="0.25">
      <c r="A1499" s="123">
        <f>Procurement_Raw!A1499</f>
        <v>45740</v>
      </c>
      <c r="B1499" t="str">
        <f>TRIM(Procurement_Raw!B1499)</f>
        <v>S013</v>
      </c>
      <c r="C1499" t="str">
        <f>Procurement_Raw!C1499</f>
        <v>Reading Care &amp; Education Centre</v>
      </c>
      <c r="D1499" t="str">
        <f>Procurement_Raw!D1499</f>
        <v>South</v>
      </c>
      <c r="E1499" t="str">
        <f>IF(TRIM(Procurement_Raw!E1499)="","",IFERROR(INDEX(Supplier_Lookup!$A$2:$A$25,MATCH(TRIM(Procurement_Raw!E1499),Supplier_Lookup!$A$2:$A$25,0)),TRIM(Procurement_Raw!E1499)))</f>
        <v>LearnWell</v>
      </c>
      <c r="F1499" t="str">
        <f>IFERROR(INDEX(Category_Targets!$A$2:$A$9,MATCH(TRIM(Procurement_Raw!F1499),Category_Targets!$A$2:$A$9,0)),"Unmapped")</f>
        <v>Office &amp; Training</v>
      </c>
      <c r="G1499" t="str">
        <f>TRIM(Procurement_Raw!G1499)</f>
        <v>INV-2025-01498</v>
      </c>
      <c r="H1499" s="77">
        <f>Procurement_Raw!H1499</f>
        <v>22</v>
      </c>
      <c r="I1499" s="124">
        <f>Procurement_Raw!I1499</f>
        <v>145.78</v>
      </c>
      <c r="J1499" s="125">
        <f>IF(Procurement_Raw!J1499="","",Procurement_Raw!J1499)</f>
        <v>3207.13</v>
      </c>
      <c r="K1499" s="77">
        <f>Procurement_Raw!K1499</f>
        <v>30</v>
      </c>
      <c r="L1499" t="str">
        <f>Procurement_Raw!L1499</f>
        <v>Legacy Spend File</v>
      </c>
      <c r="M1499" t="str">
        <f>Procurement_Raw!O1499</f>
        <v>N</v>
      </c>
      <c r="N1499" t="str">
        <f>IF(E1499="","Missing supplier",IF(B1499="","Missing site",IF(J1499="","Missing spend",IF(COUNTIFS($G$2:G1499,G1499,$E$2:E1499,E1499,$J$2:J1499,J1499)&gt;1,"Duplicate invoice",IF(COUNTIF($G$2:$G$1801,G1499)&gt;1,"Duplicate ID - review",IF(AND(P1499&lt;&gt;"Unmapped",P1499&lt;&gt;F1499),"Category mismatch","OK"))))))</f>
        <v>OK</v>
      </c>
      <c r="O1499" s="125">
        <f t="shared" si="69"/>
        <v>3207.13</v>
      </c>
      <c r="P1499" t="str">
        <f>IF(E1499="","Unmapped",IFERROR(INDEX(Supplier_Lookup!$B$2:$B$25,MATCH(E1499,Supplier_Lookup!$A$2:$A$25,0)),"Unmapped"))</f>
        <v>Office &amp; Training</v>
      </c>
      <c r="Q1499" s="76">
        <f>IFERROR(INDEX(Category_Targets!$B$2:$B$9,MATCH(F1499,Category_Targets!$A$2:$A$9,0)),0)</f>
        <v>0.04</v>
      </c>
      <c r="R1499" s="125">
        <f t="shared" si="70"/>
        <v>128.2852</v>
      </c>
      <c r="S1499" s="78">
        <f t="shared" si="71"/>
        <v>45717</v>
      </c>
      <c r="T1499" t="str">
        <f>IFERROR(VLOOKUP(B1499,Sites!$A$2:$D$21,4,FALSE()),"Unknown")</f>
        <v>Reading</v>
      </c>
      <c r="U1499" t="str">
        <f>IF(N1499="OK","",COUNTIF($N$2:N1499,"&lt;&gt;OK"))</f>
        <v/>
      </c>
      <c r="V1499">
        <f>IF(OR(NOT(EXACT(E1499,TRIM(Procurement_Raw!E1499))),NOT(EXACT(F1499,TRIM(Procurement_Raw!F1499)))),1,0)</f>
        <v>0</v>
      </c>
    </row>
    <row r="1500" spans="1:22" ht="15" customHeight="1" x14ac:dyDescent="0.25">
      <c r="A1500" s="123">
        <f>Procurement_Raw!A1500</f>
        <v>45721</v>
      </c>
      <c r="B1500" t="str">
        <f>TRIM(Procurement_Raw!B1500)</f>
        <v>S010</v>
      </c>
      <c r="C1500" t="str">
        <f>Procurement_Raw!C1500</f>
        <v>Coventry Care &amp; Education Centre</v>
      </c>
      <c r="D1500" t="str">
        <f>Procurement_Raw!D1500</f>
        <v>Midlands</v>
      </c>
      <c r="E1500" t="str">
        <f>IF(TRIM(Procurement_Raw!E1500)="","",IFERROR(INDEX(Supplier_Lookup!$A$2:$A$25,MATCH(TRIM(Procurement_Raw!E1500),Supplier_Lookup!$A$2:$A$25,0)),TRIM(Procurement_Raw!E1500)))</f>
        <v>SafeGuard FM</v>
      </c>
      <c r="F1500" t="str">
        <f>IFERROR(INDEX(Category_Targets!$A$2:$A$9,MATCH(TRIM(Procurement_Raw!F1500),Category_Targets!$A$2:$A$9,0)),"Unmapped")</f>
        <v>Facilities</v>
      </c>
      <c r="G1500" t="str">
        <f>TRIM(Procurement_Raw!G1500)</f>
        <v>INV-2025-01499</v>
      </c>
      <c r="H1500" s="77">
        <f>Procurement_Raw!H1500</f>
        <v>69</v>
      </c>
      <c r="I1500" s="124">
        <f>Procurement_Raw!I1500</f>
        <v>316.14</v>
      </c>
      <c r="J1500" s="125">
        <f>IF(Procurement_Raw!J1500="","",Procurement_Raw!J1500)</f>
        <v>21813.79</v>
      </c>
      <c r="K1500" s="77">
        <f>Procurement_Raw!K1500</f>
        <v>60</v>
      </c>
      <c r="L1500" t="str">
        <f>Procurement_Raw!L1500</f>
        <v>Procurement Portal</v>
      </c>
      <c r="M1500" t="str">
        <f>Procurement_Raw!O1500</f>
        <v>N</v>
      </c>
      <c r="N1500" t="str">
        <f>IF(E1500="","Missing supplier",IF(B1500="","Missing site",IF(J1500="","Missing spend",IF(COUNTIFS($G$2:G1500,G1500,$E$2:E1500,E1500,$J$2:J1500,J1500)&gt;1,"Duplicate invoice",IF(COUNTIF($G$2:$G$1801,G1500)&gt;1,"Duplicate ID - review",IF(AND(P1500&lt;&gt;"Unmapped",P1500&lt;&gt;F1500),"Category mismatch","OK"))))))</f>
        <v>OK</v>
      </c>
      <c r="O1500" s="125">
        <f t="shared" si="69"/>
        <v>21813.79</v>
      </c>
      <c r="P1500" t="str">
        <f>IF(E1500="","Unmapped",IFERROR(INDEX(Supplier_Lookup!$B$2:$B$25,MATCH(E1500,Supplier_Lookup!$A$2:$A$25,0)),"Unmapped"))</f>
        <v>Facilities</v>
      </c>
      <c r="Q1500" s="76">
        <f>IFERROR(INDEX(Category_Targets!$B$2:$B$9,MATCH(F1500,Category_Targets!$A$2:$A$9,0)),0)</f>
        <v>0.05</v>
      </c>
      <c r="R1500" s="125">
        <f t="shared" si="70"/>
        <v>1090.6895000000002</v>
      </c>
      <c r="S1500" s="78">
        <f t="shared" si="71"/>
        <v>45717</v>
      </c>
      <c r="T1500" t="str">
        <f>IFERROR(VLOOKUP(B1500,Sites!$A$2:$D$21,4,FALSE()),"Unknown")</f>
        <v>Coventry</v>
      </c>
      <c r="U1500" t="str">
        <f>IF(N1500="OK","",COUNTIF($N$2:N1500,"&lt;&gt;OK"))</f>
        <v/>
      </c>
      <c r="V1500">
        <f>IF(OR(NOT(EXACT(E1500,TRIM(Procurement_Raw!E1500))),NOT(EXACT(F1500,TRIM(Procurement_Raw!F1500)))),1,0)</f>
        <v>0</v>
      </c>
    </row>
    <row r="1501" spans="1:22" ht="15" customHeight="1" x14ac:dyDescent="0.25">
      <c r="A1501" s="123">
        <f>Procurement_Raw!A1501</f>
        <v>45663</v>
      </c>
      <c r="B1501" t="str">
        <f>TRIM(Procurement_Raw!B1501)</f>
        <v>S004</v>
      </c>
      <c r="C1501" t="str">
        <f>Procurement_Raw!C1501</f>
        <v>Newcastle Care &amp; Education Centre</v>
      </c>
      <c r="D1501" t="str">
        <f>Procurement_Raw!D1501</f>
        <v>North</v>
      </c>
      <c r="E1501" t="str">
        <f>IF(TRIM(Procurement_Raw!E1501)="","",IFERROR(INDEX(Supplier_Lookup!$A$2:$A$25,MATCH(TRIM(Procurement_Raw!E1501),Supplier_Lookup!$A$2:$A$25,0)),TRIM(Procurement_Raw!E1501)))</f>
        <v>KitchenPro</v>
      </c>
      <c r="F1501" t="str">
        <f>IFERROR(INDEX(Category_Targets!$A$2:$A$9,MATCH(TRIM(Procurement_Raw!F1501),Category_Targets!$A$2:$A$9,0)),"Unmapped")</f>
        <v>Food &amp; Catering</v>
      </c>
      <c r="G1501" t="str">
        <f>TRIM(Procurement_Raw!G1501)</f>
        <v>INV-2025-01500</v>
      </c>
      <c r="H1501" s="77">
        <f>Procurement_Raw!H1501</f>
        <v>35</v>
      </c>
      <c r="I1501" s="124">
        <f>Procurement_Raw!I1501</f>
        <v>90.04</v>
      </c>
      <c r="J1501" s="125">
        <f>IF(Procurement_Raw!J1501="","",Procurement_Raw!J1501)</f>
        <v>3151.47</v>
      </c>
      <c r="K1501" s="77">
        <f>Procurement_Raw!K1501</f>
        <v>30</v>
      </c>
      <c r="L1501" t="str">
        <f>Procurement_Raw!L1501</f>
        <v>Procurement Portal</v>
      </c>
      <c r="M1501" t="str">
        <f>Procurement_Raw!O1501</f>
        <v>N</v>
      </c>
      <c r="N1501" t="str">
        <f>IF(E1501="","Missing supplier",IF(B1501="","Missing site",IF(J1501="","Missing spend",IF(COUNTIFS($G$2:G1501,G1501,$E$2:E1501,E1501,$J$2:J1501,J1501)&gt;1,"Duplicate invoice",IF(COUNTIF($G$2:$G$1801,G1501)&gt;1,"Duplicate ID - review",IF(AND(P1501&lt;&gt;"Unmapped",P1501&lt;&gt;F1501),"Category mismatch","OK"))))))</f>
        <v>OK</v>
      </c>
      <c r="O1501" s="125">
        <f t="shared" si="69"/>
        <v>3151.47</v>
      </c>
      <c r="P1501" t="str">
        <f>IF(E1501="","Unmapped",IFERROR(INDEX(Supplier_Lookup!$B$2:$B$25,MATCH(E1501,Supplier_Lookup!$A$2:$A$25,0)),"Unmapped"))</f>
        <v>Food &amp; Catering</v>
      </c>
      <c r="Q1501" s="76">
        <f>IFERROR(INDEX(Category_Targets!$B$2:$B$9,MATCH(F1501,Category_Targets!$A$2:$A$9,0)),0)</f>
        <v>0.04</v>
      </c>
      <c r="R1501" s="125">
        <f t="shared" si="70"/>
        <v>126.05879999999999</v>
      </c>
      <c r="S1501" s="78">
        <f t="shared" si="71"/>
        <v>45658</v>
      </c>
      <c r="T1501" t="str">
        <f>IFERROR(VLOOKUP(B1501,Sites!$A$2:$D$21,4,FALSE()),"Unknown")</f>
        <v>Newcastle</v>
      </c>
      <c r="U1501" t="str">
        <f>IF(N1501="OK","",COUNTIF($N$2:N1501,"&lt;&gt;OK"))</f>
        <v/>
      </c>
      <c r="V1501">
        <f>IF(OR(NOT(EXACT(E1501,TRIM(Procurement_Raw!E1501))),NOT(EXACT(F1501,TRIM(Procurement_Raw!F1501)))),1,0)</f>
        <v>0</v>
      </c>
    </row>
    <row r="1502" spans="1:22" ht="15" customHeight="1" x14ac:dyDescent="0.25">
      <c r="A1502" s="123">
        <f>Procurement_Raw!A1502</f>
        <v>45675</v>
      </c>
      <c r="B1502" t="str">
        <f>TRIM(Procurement_Raw!B1502)</f>
        <v>S007</v>
      </c>
      <c r="C1502" t="str">
        <f>Procurement_Raw!C1502</f>
        <v>Nottingham Care &amp; Education Centre</v>
      </c>
      <c r="D1502" t="str">
        <f>Procurement_Raw!D1502</f>
        <v>Midlands</v>
      </c>
      <c r="E1502" t="str">
        <f>IF(TRIM(Procurement_Raw!E1502)="","",IFERROR(INDEX(Supplier_Lookup!$A$2:$A$25,MATCH(TRIM(Procurement_Raw!E1502),Supplier_Lookup!$A$2:$A$25,0)),TRIM(Procurement_Raw!E1502)))</f>
        <v>CleanWorks</v>
      </c>
      <c r="F1502" t="str">
        <f>IFERROR(INDEX(Category_Targets!$A$2:$A$9,MATCH(TRIM(Procurement_Raw!F1502),Category_Targets!$A$2:$A$9,0)),"Unmapped")</f>
        <v>Facilities</v>
      </c>
      <c r="G1502" t="str">
        <f>TRIM(Procurement_Raw!G1502)</f>
        <v>INV-2025-01501</v>
      </c>
      <c r="H1502" s="77">
        <f>Procurement_Raw!H1502</f>
        <v>69</v>
      </c>
      <c r="I1502" s="124">
        <f>Procurement_Raw!I1502</f>
        <v>276.18</v>
      </c>
      <c r="J1502" s="125">
        <f>IF(Procurement_Raw!J1502="","",Procurement_Raw!J1502)</f>
        <v>19056.47</v>
      </c>
      <c r="K1502" s="77">
        <f>Procurement_Raw!K1502</f>
        <v>30</v>
      </c>
      <c r="L1502" t="str">
        <f>Procurement_Raw!L1502</f>
        <v>Procurement Portal</v>
      </c>
      <c r="M1502" t="str">
        <f>Procurement_Raw!O1502</f>
        <v>Y</v>
      </c>
      <c r="N1502" t="str">
        <f>IF(E1502="","Missing supplier",IF(B1502="","Missing site",IF(J1502="","Missing spend",IF(COUNTIFS($G$2:G1502,G1502,$E$2:E1502,E1502,$J$2:J1502,J1502)&gt;1,"Duplicate invoice",IF(COUNTIF($G$2:$G$1801,G1502)&gt;1,"Duplicate ID - review",IF(AND(P1502&lt;&gt;"Unmapped",P1502&lt;&gt;F1502),"Category mismatch","OK"))))))</f>
        <v>OK</v>
      </c>
      <c r="O1502" s="125">
        <f t="shared" si="69"/>
        <v>19056.47</v>
      </c>
      <c r="P1502" t="str">
        <f>IF(E1502="","Unmapped",IFERROR(INDEX(Supplier_Lookup!$B$2:$B$25,MATCH(E1502,Supplier_Lookup!$A$2:$A$25,0)),"Unmapped"))</f>
        <v>Facilities</v>
      </c>
      <c r="Q1502" s="76">
        <f>IFERROR(INDEX(Category_Targets!$B$2:$B$9,MATCH(F1502,Category_Targets!$A$2:$A$9,0)),0)</f>
        <v>0.05</v>
      </c>
      <c r="R1502" s="125">
        <f t="shared" si="70"/>
        <v>952.82350000000008</v>
      </c>
      <c r="S1502" s="78">
        <f t="shared" si="71"/>
        <v>45658</v>
      </c>
      <c r="T1502" t="str">
        <f>IFERROR(VLOOKUP(B1502,Sites!$A$2:$D$21,4,FALSE()),"Unknown")</f>
        <v>Nottingham</v>
      </c>
      <c r="U1502" t="str">
        <f>IF(N1502="OK","",COUNTIF($N$2:N1502,"&lt;&gt;OK"))</f>
        <v/>
      </c>
      <c r="V1502">
        <f>IF(OR(NOT(EXACT(E1502,TRIM(Procurement_Raw!E1502))),NOT(EXACT(F1502,TRIM(Procurement_Raw!F1502)))),1,0)</f>
        <v>0</v>
      </c>
    </row>
    <row r="1503" spans="1:22" ht="15" customHeight="1" x14ac:dyDescent="0.25">
      <c r="A1503" s="123">
        <f>Procurement_Raw!A1503</f>
        <v>45925</v>
      </c>
      <c r="B1503" t="str">
        <f>TRIM(Procurement_Raw!B1503)</f>
        <v>S009</v>
      </c>
      <c r="C1503" t="str">
        <f>Procurement_Raw!C1503</f>
        <v>Derby Care &amp; Education Centre</v>
      </c>
      <c r="D1503" t="str">
        <f>Procurement_Raw!D1503</f>
        <v>Midlands</v>
      </c>
      <c r="E1503" t="str">
        <f>IF(TRIM(Procurement_Raw!E1503)="","",IFERROR(INDEX(Supplier_Lookup!$A$2:$A$25,MATCH(TRIM(Procurement_Raw!E1503),Supplier_Lookup!$A$2:$A$25,0)),TRIM(Procurement_Raw!E1503)))</f>
        <v>ClinEquip</v>
      </c>
      <c r="F1503" t="str">
        <f>IFERROR(INDEX(Category_Targets!$A$2:$A$9,MATCH(TRIM(Procurement_Raw!F1503),Category_Targets!$A$2:$A$9,0)),"Unmapped")</f>
        <v>Medical Supplies</v>
      </c>
      <c r="G1503" t="str">
        <f>TRIM(Procurement_Raw!G1503)</f>
        <v>INV-2025-01502</v>
      </c>
      <c r="H1503" s="77">
        <f>Procurement_Raw!H1503</f>
        <v>14</v>
      </c>
      <c r="I1503" s="124">
        <f>Procurement_Raw!I1503</f>
        <v>88.62</v>
      </c>
      <c r="J1503" s="125">
        <f>IF(Procurement_Raw!J1503="","",Procurement_Raw!J1503)</f>
        <v>1240.6600000000001</v>
      </c>
      <c r="K1503" s="77">
        <f>Procurement_Raw!K1503</f>
        <v>45</v>
      </c>
      <c r="L1503" t="str">
        <f>Procurement_Raw!L1503</f>
        <v>Legacy Spend File</v>
      </c>
      <c r="M1503" t="str">
        <f>Procurement_Raw!O1503</f>
        <v>N</v>
      </c>
      <c r="N1503" t="str">
        <f>IF(E1503="","Missing supplier",IF(B1503="","Missing site",IF(J1503="","Missing spend",IF(COUNTIFS($G$2:G1503,G1503,$E$2:E1503,E1503,$J$2:J1503,J1503)&gt;1,"Duplicate invoice",IF(COUNTIF($G$2:$G$1801,G1503)&gt;1,"Duplicate ID - review",IF(AND(P1503&lt;&gt;"Unmapped",P1503&lt;&gt;F1503),"Category mismatch","OK"))))))</f>
        <v>OK</v>
      </c>
      <c r="O1503" s="125">
        <f t="shared" si="69"/>
        <v>1240.6600000000001</v>
      </c>
      <c r="P1503" t="str">
        <f>IF(E1503="","Unmapped",IFERROR(INDEX(Supplier_Lookup!$B$2:$B$25,MATCH(E1503,Supplier_Lookup!$A$2:$A$25,0)),"Unmapped"))</f>
        <v>Medical Supplies</v>
      </c>
      <c r="Q1503" s="76">
        <f>IFERROR(INDEX(Category_Targets!$B$2:$B$9,MATCH(F1503,Category_Targets!$A$2:$A$9,0)),0)</f>
        <v>0.06</v>
      </c>
      <c r="R1503" s="125">
        <f t="shared" si="70"/>
        <v>74.439599999999999</v>
      </c>
      <c r="S1503" s="78">
        <f t="shared" si="71"/>
        <v>45901</v>
      </c>
      <c r="T1503" t="str">
        <f>IFERROR(VLOOKUP(B1503,Sites!$A$2:$D$21,4,FALSE()),"Unknown")</f>
        <v>Derby</v>
      </c>
      <c r="U1503" t="str">
        <f>IF(N1503="OK","",COUNTIF($N$2:N1503,"&lt;&gt;OK"))</f>
        <v/>
      </c>
      <c r="V1503">
        <f>IF(OR(NOT(EXACT(E1503,TRIM(Procurement_Raw!E1503))),NOT(EXACT(F1503,TRIM(Procurement_Raw!F1503)))),1,0)</f>
        <v>0</v>
      </c>
    </row>
    <row r="1504" spans="1:22" ht="15" customHeight="1" x14ac:dyDescent="0.25">
      <c r="A1504" s="123">
        <f>Procurement_Raw!A1504</f>
        <v>45964</v>
      </c>
      <c r="B1504" t="str">
        <f>TRIM(Procurement_Raw!B1504)</f>
        <v>S019</v>
      </c>
      <c r="C1504" t="str">
        <f>Procurement_Raw!C1504</f>
        <v>Wrexham Care &amp; Education Centre</v>
      </c>
      <c r="D1504" t="str">
        <f>Procurement_Raw!D1504</f>
        <v>Wales</v>
      </c>
      <c r="E1504" t="str">
        <f>IF(TRIM(Procurement_Raw!E1504)="","",IFERROR(INDEX(Supplier_Lookup!$A$2:$A$25,MATCH(TRIM(Procurement_Raw!E1504),Supplier_Lookup!$A$2:$A$25,0)),TRIM(Procurement_Raw!E1504)))</f>
        <v>OfficePlus</v>
      </c>
      <c r="F1504" t="str">
        <f>IFERROR(INDEX(Category_Targets!$A$2:$A$9,MATCH(TRIM(Procurement_Raw!F1504),Category_Targets!$A$2:$A$9,0)),"Unmapped")</f>
        <v>Office &amp; Training</v>
      </c>
      <c r="G1504" t="str">
        <f>TRIM(Procurement_Raw!G1504)</f>
        <v>INV-2025-01503</v>
      </c>
      <c r="H1504" s="77">
        <f>Procurement_Raw!H1504</f>
        <v>1</v>
      </c>
      <c r="I1504" s="124">
        <f>Procurement_Raw!I1504</f>
        <v>47.82</v>
      </c>
      <c r="J1504" s="125">
        <f>IF(Procurement_Raw!J1504="","",Procurement_Raw!J1504)</f>
        <v>47.82</v>
      </c>
      <c r="K1504" s="77">
        <f>Procurement_Raw!K1504</f>
        <v>30</v>
      </c>
      <c r="L1504" t="str">
        <f>Procurement_Raw!L1504</f>
        <v>Procurement Portal</v>
      </c>
      <c r="M1504" t="str">
        <f>Procurement_Raw!O1504</f>
        <v>N</v>
      </c>
      <c r="N1504" t="str">
        <f>IF(E1504="","Missing supplier",IF(B1504="","Missing site",IF(J1504="","Missing spend",IF(COUNTIFS($G$2:G1504,G1504,$E$2:E1504,E1504,$J$2:J1504,J1504)&gt;1,"Duplicate invoice",IF(COUNTIF($G$2:$G$1801,G1504)&gt;1,"Duplicate ID - review",IF(AND(P1504&lt;&gt;"Unmapped",P1504&lt;&gt;F1504),"Category mismatch","OK"))))))</f>
        <v>OK</v>
      </c>
      <c r="O1504" s="125">
        <f t="shared" si="69"/>
        <v>47.82</v>
      </c>
      <c r="P1504" t="str">
        <f>IF(E1504="","Unmapped",IFERROR(INDEX(Supplier_Lookup!$B$2:$B$25,MATCH(E1504,Supplier_Lookup!$A$2:$A$25,0)),"Unmapped"))</f>
        <v>Office &amp; Training</v>
      </c>
      <c r="Q1504" s="76">
        <f>IFERROR(INDEX(Category_Targets!$B$2:$B$9,MATCH(F1504,Category_Targets!$A$2:$A$9,0)),0)</f>
        <v>0.04</v>
      </c>
      <c r="R1504" s="125">
        <f t="shared" si="70"/>
        <v>1.9128000000000001</v>
      </c>
      <c r="S1504" s="78">
        <f t="shared" si="71"/>
        <v>45962</v>
      </c>
      <c r="T1504" t="str">
        <f>IFERROR(VLOOKUP(B1504,Sites!$A$2:$D$21,4,FALSE()),"Unknown")</f>
        <v>Wrexham</v>
      </c>
      <c r="U1504" t="str">
        <f>IF(N1504="OK","",COUNTIF($N$2:N1504,"&lt;&gt;OK"))</f>
        <v/>
      </c>
      <c r="V1504">
        <f>IF(OR(NOT(EXACT(E1504,TRIM(Procurement_Raw!E1504))),NOT(EXACT(F1504,TRIM(Procurement_Raw!F1504)))),1,0)</f>
        <v>0</v>
      </c>
    </row>
    <row r="1505" spans="1:22" ht="15" customHeight="1" x14ac:dyDescent="0.25">
      <c r="A1505" s="123">
        <f>Procurement_Raw!A1505</f>
        <v>45780</v>
      </c>
      <c r="B1505" t="str">
        <f>TRIM(Procurement_Raw!B1505)</f>
        <v>S014</v>
      </c>
      <c r="C1505" t="str">
        <f>Procurement_Raw!C1505</f>
        <v>Southampton Care &amp; Education Centre</v>
      </c>
      <c r="D1505" t="str">
        <f>Procurement_Raw!D1505</f>
        <v>South</v>
      </c>
      <c r="E1505" t="str">
        <f>IF(TRIM(Procurement_Raw!E1505)="","",IFERROR(INDEX(Supplier_Lookup!$A$2:$A$25,MATCH(TRIM(Procurement_Raw!E1505),Supplier_Lookup!$A$2:$A$25,0)),TRIM(Procurement_Raw!E1505)))</f>
        <v>WaterGrid</v>
      </c>
      <c r="F1505" t="str">
        <f>IFERROR(INDEX(Category_Targets!$A$2:$A$9,MATCH(TRIM(Procurement_Raw!F1505),Category_Targets!$A$2:$A$9,0)),"Unmapped")</f>
        <v>Utilities</v>
      </c>
      <c r="G1505" t="str">
        <f>TRIM(Procurement_Raw!G1505)</f>
        <v>INV-2025-01504</v>
      </c>
      <c r="H1505" s="77">
        <f>Procurement_Raw!H1505</f>
        <v>26</v>
      </c>
      <c r="I1505" s="124">
        <f>Procurement_Raw!I1505</f>
        <v>249.54</v>
      </c>
      <c r="J1505" s="125">
        <f>IF(Procurement_Raw!J1505="","",Procurement_Raw!J1505)</f>
        <v>6487.95</v>
      </c>
      <c r="K1505" s="77">
        <f>Procurement_Raw!K1505</f>
        <v>30</v>
      </c>
      <c r="L1505" t="str">
        <f>Procurement_Raw!L1505</f>
        <v>ERP</v>
      </c>
      <c r="M1505" t="str">
        <f>Procurement_Raw!O1505</f>
        <v>N</v>
      </c>
      <c r="N1505" t="str">
        <f>IF(E1505="","Missing supplier",IF(B1505="","Missing site",IF(J1505="","Missing spend",IF(COUNTIFS($G$2:G1505,G1505,$E$2:E1505,E1505,$J$2:J1505,J1505)&gt;1,"Duplicate invoice",IF(COUNTIF($G$2:$G$1801,G1505)&gt;1,"Duplicate ID - review",IF(AND(P1505&lt;&gt;"Unmapped",P1505&lt;&gt;F1505),"Category mismatch","OK"))))))</f>
        <v>OK</v>
      </c>
      <c r="O1505" s="125">
        <f t="shared" si="69"/>
        <v>6487.95</v>
      </c>
      <c r="P1505" t="str">
        <f>IF(E1505="","Unmapped",IFERROR(INDEX(Supplier_Lookup!$B$2:$B$25,MATCH(E1505,Supplier_Lookup!$A$2:$A$25,0)),"Unmapped"))</f>
        <v>Utilities</v>
      </c>
      <c r="Q1505" s="76">
        <f>IFERROR(INDEX(Category_Targets!$B$2:$B$9,MATCH(F1505,Category_Targets!$A$2:$A$9,0)),0)</f>
        <v>0.03</v>
      </c>
      <c r="R1505" s="125">
        <f t="shared" si="70"/>
        <v>194.63849999999999</v>
      </c>
      <c r="S1505" s="78">
        <f t="shared" si="71"/>
        <v>45778</v>
      </c>
      <c r="T1505" t="str">
        <f>IFERROR(VLOOKUP(B1505,Sites!$A$2:$D$21,4,FALSE()),"Unknown")</f>
        <v>Southampton</v>
      </c>
      <c r="U1505" t="str">
        <f>IF(N1505="OK","",COUNTIF($N$2:N1505,"&lt;&gt;OK"))</f>
        <v/>
      </c>
      <c r="V1505">
        <f>IF(OR(NOT(EXACT(E1505,TRIM(Procurement_Raw!E1505))),NOT(EXACT(F1505,TRIM(Procurement_Raw!F1505)))),1,0)</f>
        <v>0</v>
      </c>
    </row>
    <row r="1506" spans="1:22" ht="15" customHeight="1" x14ac:dyDescent="0.25">
      <c r="A1506" s="123">
        <f>Procurement_Raw!A1506</f>
        <v>45830</v>
      </c>
      <c r="B1506" t="str">
        <f>TRIM(Procurement_Raw!B1506)</f>
        <v>S018</v>
      </c>
      <c r="C1506" t="str">
        <f>Procurement_Raw!C1506</f>
        <v>Newport Care &amp; Education Centre</v>
      </c>
      <c r="D1506" t="str">
        <f>Procurement_Raw!D1506</f>
        <v>Wales</v>
      </c>
      <c r="E1506" t="str">
        <f>IF(TRIM(Procurement_Raw!E1506)="","",IFERROR(INDEX(Supplier_Lookup!$A$2:$A$25,MATCH(TRIM(Procurement_Raw!E1506),Supplier_Lookup!$A$2:$A$25,0)),TRIM(Procurement_Raw!E1506)))</f>
        <v>MediSure</v>
      </c>
      <c r="F1506" t="str">
        <f>IFERROR(INDEX(Category_Targets!$A$2:$A$9,MATCH(TRIM(Procurement_Raw!F1506),Category_Targets!$A$2:$A$9,0)),"Unmapped")</f>
        <v>Medical Supplies</v>
      </c>
      <c r="G1506" t="str">
        <f>TRIM(Procurement_Raw!G1506)</f>
        <v>INV-2025-01505</v>
      </c>
      <c r="H1506" s="77">
        <f>Procurement_Raw!H1506</f>
        <v>25</v>
      </c>
      <c r="I1506" s="124">
        <f>Procurement_Raw!I1506</f>
        <v>109.28</v>
      </c>
      <c r="J1506" s="125">
        <f>IF(Procurement_Raw!J1506="","",Procurement_Raw!J1506)</f>
        <v>2731.94</v>
      </c>
      <c r="K1506" s="77">
        <f>Procurement_Raw!K1506</f>
        <v>60</v>
      </c>
      <c r="L1506" t="str">
        <f>Procurement_Raw!L1506</f>
        <v>Legacy Spend File</v>
      </c>
      <c r="M1506" t="str">
        <f>Procurement_Raw!O1506</f>
        <v>Y</v>
      </c>
      <c r="N1506" t="str">
        <f>IF(E1506="","Missing supplier",IF(B1506="","Missing site",IF(J1506="","Missing spend",IF(COUNTIFS($G$2:G1506,G1506,$E$2:E1506,E1506,$J$2:J1506,J1506)&gt;1,"Duplicate invoice",IF(COUNTIF($G$2:$G$1801,G1506)&gt;1,"Duplicate ID - review",IF(AND(P1506&lt;&gt;"Unmapped",P1506&lt;&gt;F1506),"Category mismatch","OK"))))))</f>
        <v>OK</v>
      </c>
      <c r="O1506" s="125">
        <f t="shared" si="69"/>
        <v>2731.94</v>
      </c>
      <c r="P1506" t="str">
        <f>IF(E1506="","Unmapped",IFERROR(INDEX(Supplier_Lookup!$B$2:$B$25,MATCH(E1506,Supplier_Lookup!$A$2:$A$25,0)),"Unmapped"))</f>
        <v>Medical Supplies</v>
      </c>
      <c r="Q1506" s="76">
        <f>IFERROR(INDEX(Category_Targets!$B$2:$B$9,MATCH(F1506,Category_Targets!$A$2:$A$9,0)),0)</f>
        <v>0.06</v>
      </c>
      <c r="R1506" s="125">
        <f t="shared" si="70"/>
        <v>163.91640000000001</v>
      </c>
      <c r="S1506" s="78">
        <f t="shared" si="71"/>
        <v>45809</v>
      </c>
      <c r="T1506" t="str">
        <f>IFERROR(VLOOKUP(B1506,Sites!$A$2:$D$21,4,FALSE()),"Unknown")</f>
        <v>Newport</v>
      </c>
      <c r="U1506" t="str">
        <f>IF(N1506="OK","",COUNTIF($N$2:N1506,"&lt;&gt;OK"))</f>
        <v/>
      </c>
      <c r="V1506">
        <f>IF(OR(NOT(EXACT(E1506,TRIM(Procurement_Raw!E1506))),NOT(EXACT(F1506,TRIM(Procurement_Raw!F1506)))),1,0)</f>
        <v>0</v>
      </c>
    </row>
    <row r="1507" spans="1:22" ht="15" customHeight="1" x14ac:dyDescent="0.25">
      <c r="A1507" s="123">
        <f>Procurement_Raw!A1507</f>
        <v>45998</v>
      </c>
      <c r="B1507" t="str">
        <f>TRIM(Procurement_Raw!B1507)</f>
        <v>S004</v>
      </c>
      <c r="C1507" t="str">
        <f>Procurement_Raw!C1507</f>
        <v>Newcastle Care &amp; Education Centre</v>
      </c>
      <c r="D1507" t="str">
        <f>Procurement_Raw!D1507</f>
        <v>North</v>
      </c>
      <c r="E1507" t="str">
        <f>IF(TRIM(Procurement_Raw!E1507)="","",IFERROR(INDEX(Supplier_Lookup!$A$2:$A$25,MATCH(TRIM(Procurement_Raw!E1507),Supplier_Lookup!$A$2:$A$25,0)),TRIM(Procurement_Raw!E1507)))</f>
        <v>UK Energy Partners</v>
      </c>
      <c r="F1507" t="str">
        <f>IFERROR(INDEX(Category_Targets!$A$2:$A$9,MATCH(TRIM(Procurement_Raw!F1507),Category_Targets!$A$2:$A$9,0)),"Unmapped")</f>
        <v>Utilities</v>
      </c>
      <c r="G1507" t="str">
        <f>TRIM(Procurement_Raw!G1507)</f>
        <v>INV-2025-01506</v>
      </c>
      <c r="H1507" s="77">
        <f>Procurement_Raw!H1507</f>
        <v>22</v>
      </c>
      <c r="I1507" s="124">
        <f>Procurement_Raw!I1507</f>
        <v>194.84</v>
      </c>
      <c r="J1507" s="125">
        <f>IF(Procurement_Raw!J1507="","",Procurement_Raw!J1507)</f>
        <v>4286.51</v>
      </c>
      <c r="K1507" s="77">
        <f>Procurement_Raw!K1507</f>
        <v>60</v>
      </c>
      <c r="L1507" t="str">
        <f>Procurement_Raw!L1507</f>
        <v>ERP</v>
      </c>
      <c r="M1507" t="str">
        <f>Procurement_Raw!O1507</f>
        <v>N</v>
      </c>
      <c r="N1507" t="str">
        <f>IF(E1507="","Missing supplier",IF(B1507="","Missing site",IF(J1507="","Missing spend",IF(COUNTIFS($G$2:G1507,G1507,$E$2:E1507,E1507,$J$2:J1507,J1507)&gt;1,"Duplicate invoice",IF(COUNTIF($G$2:$G$1801,G1507)&gt;1,"Duplicate ID - review",IF(AND(P1507&lt;&gt;"Unmapped",P1507&lt;&gt;F1507),"Category mismatch","OK"))))))</f>
        <v>OK</v>
      </c>
      <c r="O1507" s="125">
        <f t="shared" si="69"/>
        <v>4286.51</v>
      </c>
      <c r="P1507" t="str">
        <f>IF(E1507="","Unmapped",IFERROR(INDEX(Supplier_Lookup!$B$2:$B$25,MATCH(E1507,Supplier_Lookup!$A$2:$A$25,0)),"Unmapped"))</f>
        <v>Utilities</v>
      </c>
      <c r="Q1507" s="76">
        <f>IFERROR(INDEX(Category_Targets!$B$2:$B$9,MATCH(F1507,Category_Targets!$A$2:$A$9,0)),0)</f>
        <v>0.03</v>
      </c>
      <c r="R1507" s="125">
        <f t="shared" si="70"/>
        <v>128.59530000000001</v>
      </c>
      <c r="S1507" s="78">
        <f t="shared" si="71"/>
        <v>45992</v>
      </c>
      <c r="T1507" t="str">
        <f>IFERROR(VLOOKUP(B1507,Sites!$A$2:$D$21,4,FALSE()),"Unknown")</f>
        <v>Newcastle</v>
      </c>
      <c r="U1507" t="str">
        <f>IF(N1507="OK","",COUNTIF($N$2:N1507,"&lt;&gt;OK"))</f>
        <v/>
      </c>
      <c r="V1507">
        <f>IF(OR(NOT(EXACT(E1507,TRIM(Procurement_Raw!E1507))),NOT(EXACT(F1507,TRIM(Procurement_Raw!F1507)))),1,0)</f>
        <v>0</v>
      </c>
    </row>
    <row r="1508" spans="1:22" ht="15" customHeight="1" x14ac:dyDescent="0.25">
      <c r="A1508" s="123">
        <f>Procurement_Raw!A1508</f>
        <v>45713</v>
      </c>
      <c r="B1508" t="str">
        <f>TRIM(Procurement_Raw!B1508)</f>
        <v>S004</v>
      </c>
      <c r="C1508" t="str">
        <f>Procurement_Raw!C1508</f>
        <v>Newcastle Care &amp; Education Centre</v>
      </c>
      <c r="D1508" t="str">
        <f>Procurement_Raw!D1508</f>
        <v>North</v>
      </c>
      <c r="E1508" t="str">
        <f>IF(TRIM(Procurement_Raw!E1508)="","",IFERROR(INDEX(Supplier_Lookup!$A$2:$A$25,MATCH(TRIM(Procurement_Raw!E1508),Supplier_Lookup!$A$2:$A$25,0)),TRIM(Procurement_Raw!E1508)))</f>
        <v>NurseLink</v>
      </c>
      <c r="F1508" t="str">
        <f>IFERROR(INDEX(Category_Targets!$A$2:$A$9,MATCH(TRIM(Procurement_Raw!F1508),Category_Targets!$A$2:$A$9,0)),"Unmapped")</f>
        <v>Agency Labour</v>
      </c>
      <c r="G1508" t="str">
        <f>TRIM(Procurement_Raw!G1508)</f>
        <v>INV-2025-01507</v>
      </c>
      <c r="H1508" s="77">
        <f>Procurement_Raw!H1508</f>
        <v>42</v>
      </c>
      <c r="I1508" s="124">
        <f>Procurement_Raw!I1508</f>
        <v>440.01</v>
      </c>
      <c r="J1508" s="125">
        <f>IF(Procurement_Raw!J1508="","",Procurement_Raw!J1508)</f>
        <v>18480.39</v>
      </c>
      <c r="K1508" s="77">
        <f>Procurement_Raw!K1508</f>
        <v>45</v>
      </c>
      <c r="L1508" t="str">
        <f>Procurement_Raw!L1508</f>
        <v>Legacy Spend File</v>
      </c>
      <c r="M1508" t="str">
        <f>Procurement_Raw!O1508</f>
        <v>N</v>
      </c>
      <c r="N1508" t="str">
        <f>IF(E1508="","Missing supplier",IF(B1508="","Missing site",IF(J1508="","Missing spend",IF(COUNTIFS($G$2:G1508,G1508,$E$2:E1508,E1508,$J$2:J1508,J1508)&gt;1,"Duplicate invoice",IF(COUNTIF($G$2:$G$1801,G1508)&gt;1,"Duplicate ID - review",IF(AND(P1508&lt;&gt;"Unmapped",P1508&lt;&gt;F1508),"Category mismatch","OK"))))))</f>
        <v>OK</v>
      </c>
      <c r="O1508" s="125">
        <f t="shared" si="69"/>
        <v>18480.39</v>
      </c>
      <c r="P1508" t="str">
        <f>IF(E1508="","Unmapped",IFERROR(INDEX(Supplier_Lookup!$B$2:$B$25,MATCH(E1508,Supplier_Lookup!$A$2:$A$25,0)),"Unmapped"))</f>
        <v>Agency Labour</v>
      </c>
      <c r="Q1508" s="76">
        <f>IFERROR(INDEX(Category_Targets!$B$2:$B$9,MATCH(F1508,Category_Targets!$A$2:$A$9,0)),0)</f>
        <v>7.0000000000000007E-2</v>
      </c>
      <c r="R1508" s="125">
        <f t="shared" si="70"/>
        <v>1293.6273000000001</v>
      </c>
      <c r="S1508" s="78">
        <f t="shared" si="71"/>
        <v>45689</v>
      </c>
      <c r="T1508" t="str">
        <f>IFERROR(VLOOKUP(B1508,Sites!$A$2:$D$21,4,FALSE()),"Unknown")</f>
        <v>Newcastle</v>
      </c>
      <c r="U1508" t="str">
        <f>IF(N1508="OK","",COUNTIF($N$2:N1508,"&lt;&gt;OK"))</f>
        <v/>
      </c>
      <c r="V1508">
        <f>IF(OR(NOT(EXACT(E1508,TRIM(Procurement_Raw!E1508))),NOT(EXACT(F1508,TRIM(Procurement_Raw!F1508)))),1,0)</f>
        <v>0</v>
      </c>
    </row>
    <row r="1509" spans="1:22" ht="15" customHeight="1" x14ac:dyDescent="0.25">
      <c r="A1509" s="123">
        <f>Procurement_Raw!A1509</f>
        <v>45764</v>
      </c>
      <c r="B1509" t="str">
        <f>TRIM(Procurement_Raw!B1509)</f>
        <v>S013</v>
      </c>
      <c r="C1509" t="str">
        <f>Procurement_Raw!C1509</f>
        <v>Reading Care &amp; Education Centre</v>
      </c>
      <c r="D1509" t="str">
        <f>Procurement_Raw!D1509</f>
        <v>South</v>
      </c>
      <c r="E1509" t="str">
        <f>IF(TRIM(Procurement_Raw!E1509)="","",IFERROR(INDEX(Supplier_Lookup!$A$2:$A$25,MATCH(TRIM(Procurement_Raw!E1509),Supplier_Lookup!$A$2:$A$25,0)),TRIM(Procurement_Raw!E1509)))</f>
        <v>PowerDirect</v>
      </c>
      <c r="F1509" t="str">
        <f>IFERROR(INDEX(Category_Targets!$A$2:$A$9,MATCH(TRIM(Procurement_Raw!F1509),Category_Targets!$A$2:$A$9,0)),"Unmapped")</f>
        <v>Utilities</v>
      </c>
      <c r="G1509" t="str">
        <f>TRIM(Procurement_Raw!G1509)</f>
        <v>INV-2025-01508</v>
      </c>
      <c r="H1509" s="77">
        <f>Procurement_Raw!H1509</f>
        <v>70</v>
      </c>
      <c r="I1509" s="124">
        <f>Procurement_Raw!I1509</f>
        <v>422.79</v>
      </c>
      <c r="J1509" s="125">
        <f>IF(Procurement_Raw!J1509="","",Procurement_Raw!J1509)</f>
        <v>29595.39</v>
      </c>
      <c r="K1509" s="77">
        <f>Procurement_Raw!K1509</f>
        <v>45</v>
      </c>
      <c r="L1509" t="str">
        <f>Procurement_Raw!L1509</f>
        <v>Procurement Portal</v>
      </c>
      <c r="M1509" t="str">
        <f>Procurement_Raw!O1509</f>
        <v>N</v>
      </c>
      <c r="N1509" t="str">
        <f>IF(E1509="","Missing supplier",IF(B1509="","Missing site",IF(J1509="","Missing spend",IF(COUNTIFS($G$2:G1509,G1509,$E$2:E1509,E1509,$J$2:J1509,J1509)&gt;1,"Duplicate invoice",IF(COUNTIF($G$2:$G$1801,G1509)&gt;1,"Duplicate ID - review",IF(AND(P1509&lt;&gt;"Unmapped",P1509&lt;&gt;F1509),"Category mismatch","OK"))))))</f>
        <v>OK</v>
      </c>
      <c r="O1509" s="125">
        <f t="shared" si="69"/>
        <v>29595.39</v>
      </c>
      <c r="P1509" t="str">
        <f>IF(E1509="","Unmapped",IFERROR(INDEX(Supplier_Lookup!$B$2:$B$25,MATCH(E1509,Supplier_Lookup!$A$2:$A$25,0)),"Unmapped"))</f>
        <v>Utilities</v>
      </c>
      <c r="Q1509" s="76">
        <f>IFERROR(INDEX(Category_Targets!$B$2:$B$9,MATCH(F1509,Category_Targets!$A$2:$A$9,0)),0)</f>
        <v>0.03</v>
      </c>
      <c r="R1509" s="125">
        <f t="shared" si="70"/>
        <v>887.86169999999993</v>
      </c>
      <c r="S1509" s="78">
        <f t="shared" si="71"/>
        <v>45748</v>
      </c>
      <c r="T1509" t="str">
        <f>IFERROR(VLOOKUP(B1509,Sites!$A$2:$D$21,4,FALSE()),"Unknown")</f>
        <v>Reading</v>
      </c>
      <c r="U1509" t="str">
        <f>IF(N1509="OK","",COUNTIF($N$2:N1509,"&lt;&gt;OK"))</f>
        <v/>
      </c>
      <c r="V1509">
        <f>IF(OR(NOT(EXACT(E1509,TRIM(Procurement_Raw!E1509))),NOT(EXACT(F1509,TRIM(Procurement_Raw!F1509)))),1,0)</f>
        <v>1</v>
      </c>
    </row>
    <row r="1510" spans="1:22" ht="15" customHeight="1" x14ac:dyDescent="0.25">
      <c r="A1510" s="123">
        <f>Procurement_Raw!A1510</f>
        <v>45712</v>
      </c>
      <c r="B1510" t="str">
        <f>TRIM(Procurement_Raw!B1510)</f>
        <v>S001</v>
      </c>
      <c r="C1510" t="str">
        <f>Procurement_Raw!C1510</f>
        <v>Preston Care &amp; Education Centre</v>
      </c>
      <c r="D1510" t="str">
        <f>Procurement_Raw!D1510</f>
        <v>North</v>
      </c>
      <c r="E1510" t="str">
        <f>IF(TRIM(Procurement_Raw!E1510)="","",IFERROR(INDEX(Supplier_Lookup!$A$2:$A$25,MATCH(TRIM(Procurement_Raw!E1510),Supplier_Lookup!$A$2:$A$25,0)),TRIM(Procurement_Raw!E1510)))</f>
        <v>UK Energy Partners</v>
      </c>
      <c r="F1510" t="str">
        <f>IFERROR(INDEX(Category_Targets!$A$2:$A$9,MATCH(TRIM(Procurement_Raw!F1510),Category_Targets!$A$2:$A$9,0)),"Unmapped")</f>
        <v>Utilities</v>
      </c>
      <c r="G1510" t="str">
        <f>TRIM(Procurement_Raw!G1510)</f>
        <v>INV-2025-01509</v>
      </c>
      <c r="H1510" s="77">
        <f>Procurement_Raw!H1510</f>
        <v>46</v>
      </c>
      <c r="I1510" s="124">
        <f>Procurement_Raw!I1510</f>
        <v>262.45999999999998</v>
      </c>
      <c r="J1510" s="125">
        <f>IF(Procurement_Raw!J1510="","",Procurement_Raw!J1510)</f>
        <v>12072.99</v>
      </c>
      <c r="K1510" s="77">
        <f>Procurement_Raw!K1510</f>
        <v>45</v>
      </c>
      <c r="L1510" t="str">
        <f>Procurement_Raw!L1510</f>
        <v>ERP</v>
      </c>
      <c r="M1510" t="str">
        <f>Procurement_Raw!O1510</f>
        <v>N</v>
      </c>
      <c r="N1510" t="str">
        <f>IF(E1510="","Missing supplier",IF(B1510="","Missing site",IF(J1510="","Missing spend",IF(COUNTIFS($G$2:G1510,G1510,$E$2:E1510,E1510,$J$2:J1510,J1510)&gt;1,"Duplicate invoice",IF(COUNTIF($G$2:$G$1801,G1510)&gt;1,"Duplicate ID - review",IF(AND(P1510&lt;&gt;"Unmapped",P1510&lt;&gt;F1510),"Category mismatch","OK"))))))</f>
        <v>OK</v>
      </c>
      <c r="O1510" s="125">
        <f t="shared" si="69"/>
        <v>12072.99</v>
      </c>
      <c r="P1510" t="str">
        <f>IF(E1510="","Unmapped",IFERROR(INDEX(Supplier_Lookup!$B$2:$B$25,MATCH(E1510,Supplier_Lookup!$A$2:$A$25,0)),"Unmapped"))</f>
        <v>Utilities</v>
      </c>
      <c r="Q1510" s="76">
        <f>IFERROR(INDEX(Category_Targets!$B$2:$B$9,MATCH(F1510,Category_Targets!$A$2:$A$9,0)),0)</f>
        <v>0.03</v>
      </c>
      <c r="R1510" s="125">
        <f t="shared" si="70"/>
        <v>362.18969999999996</v>
      </c>
      <c r="S1510" s="78">
        <f t="shared" si="71"/>
        <v>45689</v>
      </c>
      <c r="T1510" t="str">
        <f>IFERROR(VLOOKUP(B1510,Sites!$A$2:$D$21,4,FALSE()),"Unknown")</f>
        <v>Preston</v>
      </c>
      <c r="U1510" t="str">
        <f>IF(N1510="OK","",COUNTIF($N$2:N1510,"&lt;&gt;OK"))</f>
        <v/>
      </c>
      <c r="V1510">
        <f>IF(OR(NOT(EXACT(E1510,TRIM(Procurement_Raw!E1510))),NOT(EXACT(F1510,TRIM(Procurement_Raw!F1510)))),1,0)</f>
        <v>0</v>
      </c>
    </row>
    <row r="1511" spans="1:22" ht="15" customHeight="1" x14ac:dyDescent="0.25">
      <c r="A1511" s="123">
        <f>Procurement_Raw!A1511</f>
        <v>45819</v>
      </c>
      <c r="B1511" t="str">
        <f>TRIM(Procurement_Raw!B1511)</f>
        <v>S006</v>
      </c>
      <c r="C1511" t="str">
        <f>Procurement_Raw!C1511</f>
        <v>Birmingham Care &amp; Education Centre</v>
      </c>
      <c r="D1511" t="str">
        <f>Procurement_Raw!D1511</f>
        <v>Midlands</v>
      </c>
      <c r="E1511" t="str">
        <f>IF(TRIM(Procurement_Raw!E1511)="","",IFERROR(INDEX(Supplier_Lookup!$A$2:$A$25,MATCH(TRIM(Procurement_Raw!E1511),Supplier_Lookup!$A$2:$A$25,0)),TRIM(Procurement_Raw!E1511)))</f>
        <v>NurseLink</v>
      </c>
      <c r="F1511" t="str">
        <f>IFERROR(INDEX(Category_Targets!$A$2:$A$9,MATCH(TRIM(Procurement_Raw!F1511),Category_Targets!$A$2:$A$9,0)),"Unmapped")</f>
        <v>Agency Labour</v>
      </c>
      <c r="G1511" t="str">
        <f>TRIM(Procurement_Raw!G1511)</f>
        <v>INV-2025-01510</v>
      </c>
      <c r="H1511" s="77">
        <f>Procurement_Raw!H1511</f>
        <v>2</v>
      </c>
      <c r="I1511" s="124">
        <f>Procurement_Raw!I1511</f>
        <v>676.16</v>
      </c>
      <c r="J1511" s="125">
        <f>IF(Procurement_Raw!J1511="","",Procurement_Raw!J1511)</f>
        <v>1352.31</v>
      </c>
      <c r="K1511" s="77">
        <f>Procurement_Raw!K1511</f>
        <v>45</v>
      </c>
      <c r="L1511" t="str">
        <f>Procurement_Raw!L1511</f>
        <v>ERP</v>
      </c>
      <c r="M1511" t="str">
        <f>Procurement_Raw!O1511</f>
        <v>N</v>
      </c>
      <c r="N1511" t="str">
        <f>IF(E1511="","Missing supplier",IF(B1511="","Missing site",IF(J1511="","Missing spend",IF(COUNTIFS($G$2:G1511,G1511,$E$2:E1511,E1511,$J$2:J1511,J1511)&gt;1,"Duplicate invoice",IF(COUNTIF($G$2:$G$1801,G1511)&gt;1,"Duplicate ID - review",IF(AND(P1511&lt;&gt;"Unmapped",P1511&lt;&gt;F1511),"Category mismatch","OK"))))))</f>
        <v>OK</v>
      </c>
      <c r="O1511" s="125">
        <f t="shared" si="69"/>
        <v>1352.31</v>
      </c>
      <c r="P1511" t="str">
        <f>IF(E1511="","Unmapped",IFERROR(INDEX(Supplier_Lookup!$B$2:$B$25,MATCH(E1511,Supplier_Lookup!$A$2:$A$25,0)),"Unmapped"))</f>
        <v>Agency Labour</v>
      </c>
      <c r="Q1511" s="76">
        <f>IFERROR(INDEX(Category_Targets!$B$2:$B$9,MATCH(F1511,Category_Targets!$A$2:$A$9,0)),0)</f>
        <v>7.0000000000000007E-2</v>
      </c>
      <c r="R1511" s="125">
        <f t="shared" si="70"/>
        <v>94.66170000000001</v>
      </c>
      <c r="S1511" s="78">
        <f t="shared" si="71"/>
        <v>45809</v>
      </c>
      <c r="T1511" t="str">
        <f>IFERROR(VLOOKUP(B1511,Sites!$A$2:$D$21,4,FALSE()),"Unknown")</f>
        <v>Birmingham</v>
      </c>
      <c r="U1511" t="str">
        <f>IF(N1511="OK","",COUNTIF($N$2:N1511,"&lt;&gt;OK"))</f>
        <v/>
      </c>
      <c r="V1511">
        <f>IF(OR(NOT(EXACT(E1511,TRIM(Procurement_Raw!E1511))),NOT(EXACT(F1511,TRIM(Procurement_Raw!F1511)))),1,0)</f>
        <v>0</v>
      </c>
    </row>
    <row r="1512" spans="1:22" ht="15" customHeight="1" x14ac:dyDescent="0.25">
      <c r="A1512" s="123">
        <f>Procurement_Raw!A1512</f>
        <v>45994</v>
      </c>
      <c r="B1512" t="str">
        <f>TRIM(Procurement_Raw!B1512)</f>
        <v>S016</v>
      </c>
      <c r="C1512" t="str">
        <f>Procurement_Raw!C1512</f>
        <v>Cardiff Care &amp; Education Centre</v>
      </c>
      <c r="D1512" t="str">
        <f>Procurement_Raw!D1512</f>
        <v>Wales</v>
      </c>
      <c r="E1512" t="str">
        <f>IF(TRIM(Procurement_Raw!E1512)="","",IFERROR(INDEX(Supplier_Lookup!$A$2:$A$25,MATCH(TRIM(Procurement_Raw!E1512),Supplier_Lookup!$A$2:$A$25,0)),TRIM(Procurement_Raw!E1512)))</f>
        <v>UK Energy Partners</v>
      </c>
      <c r="F1512" t="str">
        <f>IFERROR(INDEX(Category_Targets!$A$2:$A$9,MATCH(TRIM(Procurement_Raw!F1512),Category_Targets!$A$2:$A$9,0)),"Unmapped")</f>
        <v>Utilities</v>
      </c>
      <c r="G1512" t="str">
        <f>TRIM(Procurement_Raw!G1512)</f>
        <v>INV-2025-01511</v>
      </c>
      <c r="H1512" s="77">
        <f>Procurement_Raw!H1512</f>
        <v>36</v>
      </c>
      <c r="I1512" s="124">
        <f>Procurement_Raw!I1512</f>
        <v>133.41999999999999</v>
      </c>
      <c r="J1512" s="125">
        <f>IF(Procurement_Raw!J1512="","",Procurement_Raw!J1512)</f>
        <v>4803.26</v>
      </c>
      <c r="K1512" s="77">
        <f>Procurement_Raw!K1512</f>
        <v>60</v>
      </c>
      <c r="L1512" t="str">
        <f>Procurement_Raw!L1512</f>
        <v>Legacy Spend File</v>
      </c>
      <c r="M1512" t="str">
        <f>Procurement_Raw!O1512</f>
        <v>N</v>
      </c>
      <c r="N1512" t="str">
        <f>IF(E1512="","Missing supplier",IF(B1512="","Missing site",IF(J1512="","Missing spend",IF(COUNTIFS($G$2:G1512,G1512,$E$2:E1512,E1512,$J$2:J1512,J1512)&gt;1,"Duplicate invoice",IF(COUNTIF($G$2:$G$1801,G1512)&gt;1,"Duplicate ID - review",IF(AND(P1512&lt;&gt;"Unmapped",P1512&lt;&gt;F1512),"Category mismatch","OK"))))))</f>
        <v>OK</v>
      </c>
      <c r="O1512" s="125">
        <f t="shared" si="69"/>
        <v>4803.26</v>
      </c>
      <c r="P1512" t="str">
        <f>IF(E1512="","Unmapped",IFERROR(INDEX(Supplier_Lookup!$B$2:$B$25,MATCH(E1512,Supplier_Lookup!$A$2:$A$25,0)),"Unmapped"))</f>
        <v>Utilities</v>
      </c>
      <c r="Q1512" s="76">
        <f>IFERROR(INDEX(Category_Targets!$B$2:$B$9,MATCH(F1512,Category_Targets!$A$2:$A$9,0)),0)</f>
        <v>0.03</v>
      </c>
      <c r="R1512" s="125">
        <f t="shared" si="70"/>
        <v>144.09780000000001</v>
      </c>
      <c r="S1512" s="78">
        <f t="shared" si="71"/>
        <v>45992</v>
      </c>
      <c r="T1512" t="str">
        <f>IFERROR(VLOOKUP(B1512,Sites!$A$2:$D$21,4,FALSE()),"Unknown")</f>
        <v>Cardiff</v>
      </c>
      <c r="U1512" t="str">
        <f>IF(N1512="OK","",COUNTIF($N$2:N1512,"&lt;&gt;OK"))</f>
        <v/>
      </c>
      <c r="V1512">
        <f>IF(OR(NOT(EXACT(E1512,TRIM(Procurement_Raw!E1512))),NOT(EXACT(F1512,TRIM(Procurement_Raw!F1512)))),1,0)</f>
        <v>0</v>
      </c>
    </row>
    <row r="1513" spans="1:22" ht="15" customHeight="1" x14ac:dyDescent="0.25">
      <c r="A1513" s="123">
        <f>Procurement_Raw!A1513</f>
        <v>45769</v>
      </c>
      <c r="B1513" t="str">
        <f>TRIM(Procurement_Raw!B1513)</f>
        <v>S012</v>
      </c>
      <c r="C1513" t="str">
        <f>Procurement_Raw!C1513</f>
        <v>Bristol Care &amp; Education Centre</v>
      </c>
      <c r="D1513" t="str">
        <f>Procurement_Raw!D1513</f>
        <v>South</v>
      </c>
      <c r="E1513" t="str">
        <f>IF(TRIM(Procurement_Raw!E1513)="","",IFERROR(INDEX(Supplier_Lookup!$A$2:$A$25,MATCH(TRIM(Procurement_Raw!E1513),Supplier_Lookup!$A$2:$A$25,0)),TRIM(Procurement_Raw!E1513)))</f>
        <v>MediSure</v>
      </c>
      <c r="F1513" t="str">
        <f>IFERROR(INDEX(Category_Targets!$A$2:$A$9,MATCH(TRIM(Procurement_Raw!F1513),Category_Targets!$A$2:$A$9,0)),"Unmapped")</f>
        <v>Medical Supplies</v>
      </c>
      <c r="G1513" t="str">
        <f>TRIM(Procurement_Raw!G1513)</f>
        <v>INV-2025-01512</v>
      </c>
      <c r="H1513" s="77">
        <f>Procurement_Raw!H1513</f>
        <v>53</v>
      </c>
      <c r="I1513" s="124">
        <f>Procurement_Raw!I1513</f>
        <v>107.88</v>
      </c>
      <c r="J1513" s="125">
        <f>IF(Procurement_Raw!J1513="","",Procurement_Raw!J1513)</f>
        <v>5717.41</v>
      </c>
      <c r="K1513" s="77">
        <f>Procurement_Raw!K1513</f>
        <v>45</v>
      </c>
      <c r="L1513" t="str">
        <f>Procurement_Raw!L1513</f>
        <v>Legacy Spend File</v>
      </c>
      <c r="M1513" t="str">
        <f>Procurement_Raw!O1513</f>
        <v>Y</v>
      </c>
      <c r="N1513" t="str">
        <f>IF(E1513="","Missing supplier",IF(B1513="","Missing site",IF(J1513="","Missing spend",IF(COUNTIFS($G$2:G1513,G1513,$E$2:E1513,E1513,$J$2:J1513,J1513)&gt;1,"Duplicate invoice",IF(COUNTIF($G$2:$G$1801,G1513)&gt;1,"Duplicate ID - review",IF(AND(P1513&lt;&gt;"Unmapped",P1513&lt;&gt;F1513),"Category mismatch","OK"))))))</f>
        <v>OK</v>
      </c>
      <c r="O1513" s="125">
        <f t="shared" si="69"/>
        <v>5717.41</v>
      </c>
      <c r="P1513" t="str">
        <f>IF(E1513="","Unmapped",IFERROR(INDEX(Supplier_Lookup!$B$2:$B$25,MATCH(E1513,Supplier_Lookup!$A$2:$A$25,0)),"Unmapped"))</f>
        <v>Medical Supplies</v>
      </c>
      <c r="Q1513" s="76">
        <f>IFERROR(INDEX(Category_Targets!$B$2:$B$9,MATCH(F1513,Category_Targets!$A$2:$A$9,0)),0)</f>
        <v>0.06</v>
      </c>
      <c r="R1513" s="125">
        <f t="shared" si="70"/>
        <v>343.0446</v>
      </c>
      <c r="S1513" s="78">
        <f t="shared" si="71"/>
        <v>45748</v>
      </c>
      <c r="T1513" t="str">
        <f>IFERROR(VLOOKUP(B1513,Sites!$A$2:$D$21,4,FALSE()),"Unknown")</f>
        <v>Bristol</v>
      </c>
      <c r="U1513" t="str">
        <f>IF(N1513="OK","",COUNTIF($N$2:N1513,"&lt;&gt;OK"))</f>
        <v/>
      </c>
      <c r="V1513">
        <f>IF(OR(NOT(EXACT(E1513,TRIM(Procurement_Raw!E1513))),NOT(EXACT(F1513,TRIM(Procurement_Raw!F1513)))),1,0)</f>
        <v>0</v>
      </c>
    </row>
    <row r="1514" spans="1:22" ht="15" customHeight="1" x14ac:dyDescent="0.25">
      <c r="A1514" s="123">
        <f>Procurement_Raw!A1514</f>
        <v>45932</v>
      </c>
      <c r="B1514" t="str">
        <f>TRIM(Procurement_Raw!B1514)</f>
        <v>S013</v>
      </c>
      <c r="C1514" t="str">
        <f>Procurement_Raw!C1514</f>
        <v>Reading Care &amp; Education Centre</v>
      </c>
      <c r="D1514" t="str">
        <f>Procurement_Raw!D1514</f>
        <v>South</v>
      </c>
      <c r="E1514" t="str">
        <f>IF(TRIM(Procurement_Raw!E1514)="","",IFERROR(INDEX(Supplier_Lookup!$A$2:$A$25,MATCH(TRIM(Procurement_Raw!E1514),Supplier_Lookup!$A$2:$A$25,0)),TRIM(Procurement_Raw!E1514)))</f>
        <v>KitchenPro</v>
      </c>
      <c r="F1514" t="str">
        <f>IFERROR(INDEX(Category_Targets!$A$2:$A$9,MATCH(TRIM(Procurement_Raw!F1514),Category_Targets!$A$2:$A$9,0)),"Unmapped")</f>
        <v>Food &amp; Catering</v>
      </c>
      <c r="G1514" t="str">
        <f>TRIM(Procurement_Raw!G1514)</f>
        <v>INV-2025-01513</v>
      </c>
      <c r="H1514" s="77">
        <f>Procurement_Raw!H1514</f>
        <v>73</v>
      </c>
      <c r="I1514" s="124">
        <f>Procurement_Raw!I1514</f>
        <v>43.82</v>
      </c>
      <c r="J1514" s="125">
        <f>IF(Procurement_Raw!J1514="","",Procurement_Raw!J1514)</f>
        <v>3199</v>
      </c>
      <c r="K1514" s="77">
        <f>Procurement_Raw!K1514</f>
        <v>30</v>
      </c>
      <c r="L1514" t="str">
        <f>Procurement_Raw!L1514</f>
        <v>Procurement Portal</v>
      </c>
      <c r="M1514" t="str">
        <f>Procurement_Raw!O1514</f>
        <v>N</v>
      </c>
      <c r="N1514" t="str">
        <f>IF(E1514="","Missing supplier",IF(B1514="","Missing site",IF(J1514="","Missing spend",IF(COUNTIFS($G$2:G1514,G1514,$E$2:E1514,E1514,$J$2:J1514,J1514)&gt;1,"Duplicate invoice",IF(COUNTIF($G$2:$G$1801,G1514)&gt;1,"Duplicate ID - review",IF(AND(P1514&lt;&gt;"Unmapped",P1514&lt;&gt;F1514),"Category mismatch","OK"))))))</f>
        <v>OK</v>
      </c>
      <c r="O1514" s="125">
        <f t="shared" si="69"/>
        <v>3199</v>
      </c>
      <c r="P1514" t="str">
        <f>IF(E1514="","Unmapped",IFERROR(INDEX(Supplier_Lookup!$B$2:$B$25,MATCH(E1514,Supplier_Lookup!$A$2:$A$25,0)),"Unmapped"))</f>
        <v>Food &amp; Catering</v>
      </c>
      <c r="Q1514" s="76">
        <f>IFERROR(INDEX(Category_Targets!$B$2:$B$9,MATCH(F1514,Category_Targets!$A$2:$A$9,0)),0)</f>
        <v>0.04</v>
      </c>
      <c r="R1514" s="125">
        <f t="shared" si="70"/>
        <v>127.96000000000001</v>
      </c>
      <c r="S1514" s="78">
        <f t="shared" si="71"/>
        <v>45931</v>
      </c>
      <c r="T1514" t="str">
        <f>IFERROR(VLOOKUP(B1514,Sites!$A$2:$D$21,4,FALSE()),"Unknown")</f>
        <v>Reading</v>
      </c>
      <c r="U1514" t="str">
        <f>IF(N1514="OK","",COUNTIF($N$2:N1514,"&lt;&gt;OK"))</f>
        <v/>
      </c>
      <c r="V1514">
        <f>IF(OR(NOT(EXACT(E1514,TRIM(Procurement_Raw!E1514))),NOT(EXACT(F1514,TRIM(Procurement_Raw!F1514)))),1,0)</f>
        <v>0</v>
      </c>
    </row>
    <row r="1515" spans="1:22" ht="15" customHeight="1" x14ac:dyDescent="0.25">
      <c r="A1515" s="123">
        <f>Procurement_Raw!A1515</f>
        <v>46014</v>
      </c>
      <c r="B1515" t="str">
        <f>TRIM(Procurement_Raw!B1515)</f>
        <v>S014</v>
      </c>
      <c r="C1515" t="str">
        <f>Procurement_Raw!C1515</f>
        <v>Southampton Care &amp; Education Centre</v>
      </c>
      <c r="D1515" t="str">
        <f>Procurement_Raw!D1515</f>
        <v>South</v>
      </c>
      <c r="E1515" t="str">
        <f>IF(TRIM(Procurement_Raw!E1515)="","",IFERROR(INDEX(Supplier_Lookup!$A$2:$A$25,MATCH(TRIM(Procurement_Raw!E1515),Supplier_Lookup!$A$2:$A$25,0)),TRIM(Procurement_Raw!E1515)))</f>
        <v>AutoCare</v>
      </c>
      <c r="F1515" t="str">
        <f>IFERROR(INDEX(Category_Targets!$A$2:$A$9,MATCH(TRIM(Procurement_Raw!F1515),Category_Targets!$A$2:$A$9,0)),"Unmapped")</f>
        <v>Vehicle &amp; Fuel</v>
      </c>
      <c r="G1515" t="str">
        <f>TRIM(Procurement_Raw!G1515)</f>
        <v>INV-2025-01514</v>
      </c>
      <c r="H1515" s="77">
        <f>Procurement_Raw!H1515</f>
        <v>50</v>
      </c>
      <c r="I1515" s="124">
        <f>Procurement_Raw!I1515</f>
        <v>34.03</v>
      </c>
      <c r="J1515" s="125">
        <f>IF(Procurement_Raw!J1515="","",Procurement_Raw!J1515)</f>
        <v>1701.57</v>
      </c>
      <c r="K1515" s="77">
        <f>Procurement_Raw!K1515</f>
        <v>60</v>
      </c>
      <c r="L1515" t="str">
        <f>Procurement_Raw!L1515</f>
        <v>Legacy Spend File</v>
      </c>
      <c r="M1515" t="str">
        <f>Procurement_Raw!O1515</f>
        <v>N</v>
      </c>
      <c r="N1515" t="str">
        <f>IF(E1515="","Missing supplier",IF(B1515="","Missing site",IF(J1515="","Missing spend",IF(COUNTIFS($G$2:G1515,G1515,$E$2:E1515,E1515,$J$2:J1515,J1515)&gt;1,"Duplicate invoice",IF(COUNTIF($G$2:$G$1801,G1515)&gt;1,"Duplicate ID - review",IF(AND(P1515&lt;&gt;"Unmapped",P1515&lt;&gt;F1515),"Category mismatch","OK"))))))</f>
        <v>OK</v>
      </c>
      <c r="O1515" s="125">
        <f t="shared" si="69"/>
        <v>1701.57</v>
      </c>
      <c r="P1515" t="str">
        <f>IF(E1515="","Unmapped",IFERROR(INDEX(Supplier_Lookup!$B$2:$B$25,MATCH(E1515,Supplier_Lookup!$A$2:$A$25,0)),"Unmapped"))</f>
        <v>Vehicle &amp; Fuel</v>
      </c>
      <c r="Q1515" s="76">
        <f>IFERROR(INDEX(Category_Targets!$B$2:$B$9,MATCH(F1515,Category_Targets!$A$2:$A$9,0)),0)</f>
        <v>0.05</v>
      </c>
      <c r="R1515" s="125">
        <f t="shared" si="70"/>
        <v>85.078500000000005</v>
      </c>
      <c r="S1515" s="78">
        <f t="shared" si="71"/>
        <v>45992</v>
      </c>
      <c r="T1515" t="str">
        <f>IFERROR(VLOOKUP(B1515,Sites!$A$2:$D$21,4,FALSE()),"Unknown")</f>
        <v>Southampton</v>
      </c>
      <c r="U1515" t="str">
        <f>IF(N1515="OK","",COUNTIF($N$2:N1515,"&lt;&gt;OK"))</f>
        <v/>
      </c>
      <c r="V1515">
        <f>IF(OR(NOT(EXACT(E1515,TRIM(Procurement_Raw!E1515))),NOT(EXACT(F1515,TRIM(Procurement_Raw!F1515)))),1,0)</f>
        <v>0</v>
      </c>
    </row>
    <row r="1516" spans="1:22" ht="15" customHeight="1" x14ac:dyDescent="0.25">
      <c r="A1516" s="123">
        <f>Procurement_Raw!A1516</f>
        <v>45983</v>
      </c>
      <c r="B1516" t="str">
        <f>TRIM(Procurement_Raw!B1516)</f>
        <v>S008</v>
      </c>
      <c r="C1516" t="str">
        <f>Procurement_Raw!C1516</f>
        <v>Leicester Care &amp; Education Centre</v>
      </c>
      <c r="D1516" t="str">
        <f>Procurement_Raw!D1516</f>
        <v>Midlands</v>
      </c>
      <c r="E1516" t="str">
        <f>IF(TRIM(Procurement_Raw!E1516)="","",IFERROR(INDEX(Supplier_Lookup!$A$2:$A$25,MATCH(TRIM(Procurement_Raw!E1516),Supplier_Lookup!$A$2:$A$25,0)),TRIM(Procurement_Raw!E1516)))</f>
        <v>FleetFuel</v>
      </c>
      <c r="F1516" t="str">
        <f>IFERROR(INDEX(Category_Targets!$A$2:$A$9,MATCH(TRIM(Procurement_Raw!F1516),Category_Targets!$A$2:$A$9,0)),"Unmapped")</f>
        <v>Vehicle &amp; Fuel</v>
      </c>
      <c r="G1516" t="str">
        <f>TRIM(Procurement_Raw!G1516)</f>
        <v>INV-2025-01515</v>
      </c>
      <c r="H1516" s="77">
        <f>Procurement_Raw!H1516</f>
        <v>41</v>
      </c>
      <c r="I1516" s="124">
        <f>Procurement_Raw!I1516</f>
        <v>90.78</v>
      </c>
      <c r="J1516" s="125">
        <f>IF(Procurement_Raw!J1516="","",Procurement_Raw!J1516)</f>
        <v>3721.84</v>
      </c>
      <c r="K1516" s="77">
        <f>Procurement_Raw!K1516</f>
        <v>60</v>
      </c>
      <c r="L1516" t="str">
        <f>Procurement_Raw!L1516</f>
        <v>Procurement Portal</v>
      </c>
      <c r="M1516" t="str">
        <f>Procurement_Raw!O1516</f>
        <v>Y</v>
      </c>
      <c r="N1516" t="str">
        <f>IF(E1516="","Missing supplier",IF(B1516="","Missing site",IF(J1516="","Missing spend",IF(COUNTIFS($G$2:G1516,G1516,$E$2:E1516,E1516,$J$2:J1516,J1516)&gt;1,"Duplicate invoice",IF(COUNTIF($G$2:$G$1801,G1516)&gt;1,"Duplicate ID - review",IF(AND(P1516&lt;&gt;"Unmapped",P1516&lt;&gt;F1516),"Category mismatch","OK"))))))</f>
        <v>OK</v>
      </c>
      <c r="O1516" s="125">
        <f t="shared" si="69"/>
        <v>3721.84</v>
      </c>
      <c r="P1516" t="str">
        <f>IF(E1516="","Unmapped",IFERROR(INDEX(Supplier_Lookup!$B$2:$B$25,MATCH(E1516,Supplier_Lookup!$A$2:$A$25,0)),"Unmapped"))</f>
        <v>Vehicle &amp; Fuel</v>
      </c>
      <c r="Q1516" s="76">
        <f>IFERROR(INDEX(Category_Targets!$B$2:$B$9,MATCH(F1516,Category_Targets!$A$2:$A$9,0)),0)</f>
        <v>0.05</v>
      </c>
      <c r="R1516" s="125">
        <f t="shared" si="70"/>
        <v>186.09200000000001</v>
      </c>
      <c r="S1516" s="78">
        <f t="shared" si="71"/>
        <v>45962</v>
      </c>
      <c r="T1516" t="str">
        <f>IFERROR(VLOOKUP(B1516,Sites!$A$2:$D$21,4,FALSE()),"Unknown")</f>
        <v>Leicester</v>
      </c>
      <c r="U1516" t="str">
        <f>IF(N1516="OK","",COUNTIF($N$2:N1516,"&lt;&gt;OK"))</f>
        <v/>
      </c>
      <c r="V1516">
        <f>IF(OR(NOT(EXACT(E1516,TRIM(Procurement_Raw!E1516))),NOT(EXACT(F1516,TRIM(Procurement_Raw!F1516)))),1,0)</f>
        <v>0</v>
      </c>
    </row>
    <row r="1517" spans="1:22" ht="15" customHeight="1" x14ac:dyDescent="0.25">
      <c r="A1517" s="123">
        <f>Procurement_Raw!A1517</f>
        <v>45969</v>
      </c>
      <c r="B1517" t="str">
        <f>TRIM(Procurement_Raw!B1517)</f>
        <v>S012</v>
      </c>
      <c r="C1517" t="str">
        <f>Procurement_Raw!C1517</f>
        <v>Bristol Care &amp; Education Centre</v>
      </c>
      <c r="D1517" t="str">
        <f>Procurement_Raw!D1517</f>
        <v>South</v>
      </c>
      <c r="E1517" t="str">
        <f>IF(TRIM(Procurement_Raw!E1517)="","",IFERROR(INDEX(Supplier_Lookup!$A$2:$A$25,MATCH(TRIM(Procurement_Raw!E1517),Supplier_Lookup!$A$2:$A$25,0)),TRIM(Procurement_Raw!E1517)))</f>
        <v>FleetFuel</v>
      </c>
      <c r="F1517" t="str">
        <f>IFERROR(INDEX(Category_Targets!$A$2:$A$9,MATCH(TRIM(Procurement_Raw!F1517),Category_Targets!$A$2:$A$9,0)),"Unmapped")</f>
        <v>Vehicle &amp; Fuel</v>
      </c>
      <c r="G1517" t="str">
        <f>TRIM(Procurement_Raw!G1517)</f>
        <v>INV-2025-01516</v>
      </c>
      <c r="H1517" s="77">
        <f>Procurement_Raw!H1517</f>
        <v>75</v>
      </c>
      <c r="I1517" s="124">
        <f>Procurement_Raw!I1517</f>
        <v>88.85</v>
      </c>
      <c r="J1517" s="125">
        <f>IF(Procurement_Raw!J1517="","",Procurement_Raw!J1517)</f>
        <v>6663.52</v>
      </c>
      <c r="K1517" s="77">
        <f>Procurement_Raw!K1517</f>
        <v>45</v>
      </c>
      <c r="L1517" t="str">
        <f>Procurement_Raw!L1517</f>
        <v>Procurement Portal</v>
      </c>
      <c r="M1517" t="str">
        <f>Procurement_Raw!O1517</f>
        <v>Y</v>
      </c>
      <c r="N1517" t="str">
        <f>IF(E1517="","Missing supplier",IF(B1517="","Missing site",IF(J1517="","Missing spend",IF(COUNTIFS($G$2:G1517,G1517,$E$2:E1517,E1517,$J$2:J1517,J1517)&gt;1,"Duplicate invoice",IF(COUNTIF($G$2:$G$1801,G1517)&gt;1,"Duplicate ID - review",IF(AND(P1517&lt;&gt;"Unmapped",P1517&lt;&gt;F1517),"Category mismatch","OK"))))))</f>
        <v>OK</v>
      </c>
      <c r="O1517" s="125">
        <f t="shared" si="69"/>
        <v>6663.52</v>
      </c>
      <c r="P1517" t="str">
        <f>IF(E1517="","Unmapped",IFERROR(INDEX(Supplier_Lookup!$B$2:$B$25,MATCH(E1517,Supplier_Lookup!$A$2:$A$25,0)),"Unmapped"))</f>
        <v>Vehicle &amp; Fuel</v>
      </c>
      <c r="Q1517" s="76">
        <f>IFERROR(INDEX(Category_Targets!$B$2:$B$9,MATCH(F1517,Category_Targets!$A$2:$A$9,0)),0)</f>
        <v>0.05</v>
      </c>
      <c r="R1517" s="125">
        <f t="shared" si="70"/>
        <v>333.17600000000004</v>
      </c>
      <c r="S1517" s="78">
        <f t="shared" si="71"/>
        <v>45962</v>
      </c>
      <c r="T1517" t="str">
        <f>IFERROR(VLOOKUP(B1517,Sites!$A$2:$D$21,4,FALSE()),"Unknown")</f>
        <v>Bristol</v>
      </c>
      <c r="U1517" t="str">
        <f>IF(N1517="OK","",COUNTIF($N$2:N1517,"&lt;&gt;OK"))</f>
        <v/>
      </c>
      <c r="V1517">
        <f>IF(OR(NOT(EXACT(E1517,TRIM(Procurement_Raw!E1517))),NOT(EXACT(F1517,TRIM(Procurement_Raw!F1517)))),1,0)</f>
        <v>0</v>
      </c>
    </row>
    <row r="1518" spans="1:22" ht="15" customHeight="1" x14ac:dyDescent="0.25">
      <c r="A1518" s="123">
        <f>Procurement_Raw!A1518</f>
        <v>45958</v>
      </c>
      <c r="B1518" t="str">
        <f>TRIM(Procurement_Raw!B1518)</f>
        <v>S005</v>
      </c>
      <c r="C1518" t="str">
        <f>Procurement_Raw!C1518</f>
        <v>Sheffield Care &amp; Education Centre</v>
      </c>
      <c r="D1518" t="str">
        <f>Procurement_Raw!D1518</f>
        <v>North</v>
      </c>
      <c r="E1518" t="str">
        <f>IF(TRIM(Procurement_Raw!E1518)="","",IFERROR(INDEX(Supplier_Lookup!$A$2:$A$25,MATCH(TRIM(Procurement_Raw!E1518),Supplier_Lookup!$A$2:$A$25,0)),TRIM(Procurement_Raw!E1518)))</f>
        <v>PowerDirect</v>
      </c>
      <c r="F1518" t="str">
        <f>IFERROR(INDEX(Category_Targets!$A$2:$A$9,MATCH(TRIM(Procurement_Raw!F1518),Category_Targets!$A$2:$A$9,0)),"Unmapped")</f>
        <v>Utilities</v>
      </c>
      <c r="G1518" t="str">
        <f>TRIM(Procurement_Raw!G1518)</f>
        <v>INV-2025-01517</v>
      </c>
      <c r="H1518" s="77">
        <f>Procurement_Raw!H1518</f>
        <v>2</v>
      </c>
      <c r="I1518" s="124">
        <f>Procurement_Raw!I1518</f>
        <v>574.71</v>
      </c>
      <c r="J1518" s="125">
        <f>IF(Procurement_Raw!J1518="","",Procurement_Raw!J1518)</f>
        <v>1149.4100000000001</v>
      </c>
      <c r="K1518" s="77">
        <f>Procurement_Raw!K1518</f>
        <v>30</v>
      </c>
      <c r="L1518" t="str">
        <f>Procurement_Raw!L1518</f>
        <v>ERP</v>
      </c>
      <c r="M1518" t="str">
        <f>Procurement_Raw!O1518</f>
        <v>N</v>
      </c>
      <c r="N1518" t="str">
        <f>IF(E1518="","Missing supplier",IF(B1518="","Missing site",IF(J1518="","Missing spend",IF(COUNTIFS($G$2:G1518,G1518,$E$2:E1518,E1518,$J$2:J1518,J1518)&gt;1,"Duplicate invoice",IF(COUNTIF($G$2:$G$1801,G1518)&gt;1,"Duplicate ID - review",IF(AND(P1518&lt;&gt;"Unmapped",P1518&lt;&gt;F1518),"Category mismatch","OK"))))))</f>
        <v>OK</v>
      </c>
      <c r="O1518" s="125">
        <f t="shared" si="69"/>
        <v>1149.4100000000001</v>
      </c>
      <c r="P1518" t="str">
        <f>IF(E1518="","Unmapped",IFERROR(INDEX(Supplier_Lookup!$B$2:$B$25,MATCH(E1518,Supplier_Lookup!$A$2:$A$25,0)),"Unmapped"))</f>
        <v>Utilities</v>
      </c>
      <c r="Q1518" s="76">
        <f>IFERROR(INDEX(Category_Targets!$B$2:$B$9,MATCH(F1518,Category_Targets!$A$2:$A$9,0)),0)</f>
        <v>0.03</v>
      </c>
      <c r="R1518" s="125">
        <f t="shared" si="70"/>
        <v>34.482300000000002</v>
      </c>
      <c r="S1518" s="78">
        <f t="shared" si="71"/>
        <v>45931</v>
      </c>
      <c r="T1518" t="str">
        <f>IFERROR(VLOOKUP(B1518,Sites!$A$2:$D$21,4,FALSE()),"Unknown")</f>
        <v>Sheffield</v>
      </c>
      <c r="U1518" t="str">
        <f>IF(N1518="OK","",COUNTIF($N$2:N1518,"&lt;&gt;OK"))</f>
        <v/>
      </c>
      <c r="V1518">
        <f>IF(OR(NOT(EXACT(E1518,TRIM(Procurement_Raw!E1518))),NOT(EXACT(F1518,TRIM(Procurement_Raw!F1518)))),1,0)</f>
        <v>0</v>
      </c>
    </row>
    <row r="1519" spans="1:22" ht="15" customHeight="1" x14ac:dyDescent="0.25">
      <c r="A1519" s="123">
        <f>Procurement_Raw!A1519</f>
        <v>45779</v>
      </c>
      <c r="B1519" t="str">
        <f>TRIM(Procurement_Raw!B1519)</f>
        <v>S019</v>
      </c>
      <c r="C1519" t="str">
        <f>Procurement_Raw!C1519</f>
        <v>Wrexham Care &amp; Education Centre</v>
      </c>
      <c r="D1519" t="str">
        <f>Procurement_Raw!D1519</f>
        <v>Wales</v>
      </c>
      <c r="E1519" t="str">
        <f>IF(TRIM(Procurement_Raw!E1519)="","",IFERROR(INDEX(Supplier_Lookup!$A$2:$A$25,MATCH(TRIM(Procurement_Raw!E1519),Supplier_Lookup!$A$2:$A$25,0)),TRIM(Procurement_Raw!E1519)))</f>
        <v>NourishCo</v>
      </c>
      <c r="F1519" t="str">
        <f>IFERROR(INDEX(Category_Targets!$A$2:$A$9,MATCH(TRIM(Procurement_Raw!F1519),Category_Targets!$A$2:$A$9,0)),"Unmapped")</f>
        <v>Food &amp; Catering</v>
      </c>
      <c r="G1519" t="str">
        <f>TRIM(Procurement_Raw!G1519)</f>
        <v>INV-2025-01518</v>
      </c>
      <c r="H1519" s="77">
        <f>Procurement_Raw!H1519</f>
        <v>55</v>
      </c>
      <c r="I1519" s="124">
        <f>Procurement_Raw!I1519</f>
        <v>91.96</v>
      </c>
      <c r="J1519" s="125">
        <f>IF(Procurement_Raw!J1519="","",Procurement_Raw!J1519)</f>
        <v>5057.7</v>
      </c>
      <c r="K1519" s="77">
        <f>Procurement_Raw!K1519</f>
        <v>30</v>
      </c>
      <c r="L1519" t="str">
        <f>Procurement_Raw!L1519</f>
        <v>Legacy Spend File</v>
      </c>
      <c r="M1519" t="str">
        <f>Procurement_Raw!O1519</f>
        <v>N</v>
      </c>
      <c r="N1519" t="str">
        <f>IF(E1519="","Missing supplier",IF(B1519="","Missing site",IF(J1519="","Missing spend",IF(COUNTIFS($G$2:G1519,G1519,$E$2:E1519,E1519,$J$2:J1519,J1519)&gt;1,"Duplicate invoice",IF(COUNTIF($G$2:$G$1801,G1519)&gt;1,"Duplicate ID - review",IF(AND(P1519&lt;&gt;"Unmapped",P1519&lt;&gt;F1519),"Category mismatch","OK"))))))</f>
        <v>OK</v>
      </c>
      <c r="O1519" s="125">
        <f t="shared" si="69"/>
        <v>5057.7</v>
      </c>
      <c r="P1519" t="str">
        <f>IF(E1519="","Unmapped",IFERROR(INDEX(Supplier_Lookup!$B$2:$B$25,MATCH(E1519,Supplier_Lookup!$A$2:$A$25,0)),"Unmapped"))</f>
        <v>Food &amp; Catering</v>
      </c>
      <c r="Q1519" s="76">
        <f>IFERROR(INDEX(Category_Targets!$B$2:$B$9,MATCH(F1519,Category_Targets!$A$2:$A$9,0)),0)</f>
        <v>0.04</v>
      </c>
      <c r="R1519" s="125">
        <f t="shared" si="70"/>
        <v>202.30799999999999</v>
      </c>
      <c r="S1519" s="78">
        <f t="shared" si="71"/>
        <v>45778</v>
      </c>
      <c r="T1519" t="str">
        <f>IFERROR(VLOOKUP(B1519,Sites!$A$2:$D$21,4,FALSE()),"Unknown")</f>
        <v>Wrexham</v>
      </c>
      <c r="U1519" t="str">
        <f>IF(N1519="OK","",COUNTIF($N$2:N1519,"&lt;&gt;OK"))</f>
        <v/>
      </c>
      <c r="V1519">
        <f>IF(OR(NOT(EXACT(E1519,TRIM(Procurement_Raw!E1519))),NOT(EXACT(F1519,TRIM(Procurement_Raw!F1519)))),1,0)</f>
        <v>0</v>
      </c>
    </row>
    <row r="1520" spans="1:22" ht="15" customHeight="1" x14ac:dyDescent="0.25">
      <c r="A1520" s="123">
        <f>Procurement_Raw!A1520</f>
        <v>45849</v>
      </c>
      <c r="B1520" t="str">
        <f>TRIM(Procurement_Raw!B1520)</f>
        <v>S012</v>
      </c>
      <c r="C1520" t="str">
        <f>Procurement_Raw!C1520</f>
        <v>Bristol Care &amp; Education Centre</v>
      </c>
      <c r="D1520" t="str">
        <f>Procurement_Raw!D1520</f>
        <v>South</v>
      </c>
      <c r="E1520" t="str">
        <f>IF(TRIM(Procurement_Raw!E1520)="","",IFERROR(INDEX(Supplier_Lookup!$A$2:$A$25,MATCH(TRIM(Procurement_Raw!E1520),Supplier_Lookup!$A$2:$A$25,0)),TRIM(Procurement_Raw!E1520)))</f>
        <v>MediSure</v>
      </c>
      <c r="F1520" t="str">
        <f>IFERROR(INDEX(Category_Targets!$A$2:$A$9,MATCH(TRIM(Procurement_Raw!F1520),Category_Targets!$A$2:$A$9,0)),"Unmapped")</f>
        <v>Medical Supplies</v>
      </c>
      <c r="G1520" t="str">
        <f>TRIM(Procurement_Raw!G1520)</f>
        <v>INV-2025-01519</v>
      </c>
      <c r="H1520" s="77">
        <f>Procurement_Raw!H1520</f>
        <v>64</v>
      </c>
      <c r="I1520" s="124">
        <f>Procurement_Raw!I1520</f>
        <v>68.319999999999993</v>
      </c>
      <c r="J1520" s="125">
        <f>IF(Procurement_Raw!J1520="","",Procurement_Raw!J1520)</f>
        <v>4372.42</v>
      </c>
      <c r="K1520" s="77">
        <f>Procurement_Raw!K1520</f>
        <v>45</v>
      </c>
      <c r="L1520" t="str">
        <f>Procurement_Raw!L1520</f>
        <v>ERP</v>
      </c>
      <c r="M1520" t="str">
        <f>Procurement_Raw!O1520</f>
        <v>Y</v>
      </c>
      <c r="N1520" t="str">
        <f>IF(E1520="","Missing supplier",IF(B1520="","Missing site",IF(J1520="","Missing spend",IF(COUNTIFS($G$2:G1520,G1520,$E$2:E1520,E1520,$J$2:J1520,J1520)&gt;1,"Duplicate invoice",IF(COUNTIF($G$2:$G$1801,G1520)&gt;1,"Duplicate ID - review",IF(AND(P1520&lt;&gt;"Unmapped",P1520&lt;&gt;F1520),"Category mismatch","OK"))))))</f>
        <v>OK</v>
      </c>
      <c r="O1520" s="125">
        <f t="shared" si="69"/>
        <v>4372.42</v>
      </c>
      <c r="P1520" t="str">
        <f>IF(E1520="","Unmapped",IFERROR(INDEX(Supplier_Lookup!$B$2:$B$25,MATCH(E1520,Supplier_Lookup!$A$2:$A$25,0)),"Unmapped"))</f>
        <v>Medical Supplies</v>
      </c>
      <c r="Q1520" s="76">
        <f>IFERROR(INDEX(Category_Targets!$B$2:$B$9,MATCH(F1520,Category_Targets!$A$2:$A$9,0)),0)</f>
        <v>0.06</v>
      </c>
      <c r="R1520" s="125">
        <f t="shared" si="70"/>
        <v>262.34519999999998</v>
      </c>
      <c r="S1520" s="78">
        <f t="shared" si="71"/>
        <v>45839</v>
      </c>
      <c r="T1520" t="str">
        <f>IFERROR(VLOOKUP(B1520,Sites!$A$2:$D$21,4,FALSE()),"Unknown")</f>
        <v>Bristol</v>
      </c>
      <c r="U1520" t="str">
        <f>IF(N1520="OK","",COUNTIF($N$2:N1520,"&lt;&gt;OK"))</f>
        <v/>
      </c>
      <c r="V1520">
        <f>IF(OR(NOT(EXACT(E1520,TRIM(Procurement_Raw!E1520))),NOT(EXACT(F1520,TRIM(Procurement_Raw!F1520)))),1,0)</f>
        <v>0</v>
      </c>
    </row>
    <row r="1521" spans="1:22" ht="15" customHeight="1" x14ac:dyDescent="0.25">
      <c r="A1521" s="123">
        <f>Procurement_Raw!A1521</f>
        <v>45986</v>
      </c>
      <c r="B1521" t="str">
        <f>TRIM(Procurement_Raw!B1521)</f>
        <v>S003</v>
      </c>
      <c r="C1521" t="str">
        <f>Procurement_Raw!C1521</f>
        <v>Leeds Care &amp; Education Centre</v>
      </c>
      <c r="D1521" t="str">
        <f>Procurement_Raw!D1521</f>
        <v>North</v>
      </c>
      <c r="E1521" t="str">
        <f>IF(TRIM(Procurement_Raw!E1521)="","",IFERROR(INDEX(Supplier_Lookup!$A$2:$A$25,MATCH(TRIM(Procurement_Raw!E1521),Supplier_Lookup!$A$2:$A$25,0)),TRIM(Procurement_Raw!E1521)))</f>
        <v>HealthStaffing</v>
      </c>
      <c r="F1521" t="str">
        <f>IFERROR(INDEX(Category_Targets!$A$2:$A$9,MATCH(TRIM(Procurement_Raw!F1521),Category_Targets!$A$2:$A$9,0)),"Unmapped")</f>
        <v>Agency Labour</v>
      </c>
      <c r="G1521" t="str">
        <f>TRIM(Procurement_Raw!G1521)</f>
        <v>INV-2025-01520</v>
      </c>
      <c r="H1521" s="77">
        <f>Procurement_Raw!H1521</f>
        <v>5</v>
      </c>
      <c r="I1521" s="124">
        <f>Procurement_Raw!I1521</f>
        <v>831.75</v>
      </c>
      <c r="J1521" s="125">
        <f>IF(Procurement_Raw!J1521="","",Procurement_Raw!J1521)</f>
        <v>4158.76</v>
      </c>
      <c r="K1521" s="77">
        <f>Procurement_Raw!K1521</f>
        <v>30</v>
      </c>
      <c r="L1521" t="str">
        <f>Procurement_Raw!L1521</f>
        <v>Legacy Spend File</v>
      </c>
      <c r="M1521" t="str">
        <f>Procurement_Raw!O1521</f>
        <v>N</v>
      </c>
      <c r="N1521" t="str">
        <f>IF(E1521="","Missing supplier",IF(B1521="","Missing site",IF(J1521="","Missing spend",IF(COUNTIFS($G$2:G1521,G1521,$E$2:E1521,E1521,$J$2:J1521,J1521)&gt;1,"Duplicate invoice",IF(COUNTIF($G$2:$G$1801,G1521)&gt;1,"Duplicate ID - review",IF(AND(P1521&lt;&gt;"Unmapped",P1521&lt;&gt;F1521),"Category mismatch","OK"))))))</f>
        <v>OK</v>
      </c>
      <c r="O1521" s="125">
        <f t="shared" si="69"/>
        <v>4158.76</v>
      </c>
      <c r="P1521" t="str">
        <f>IF(E1521="","Unmapped",IFERROR(INDEX(Supplier_Lookup!$B$2:$B$25,MATCH(E1521,Supplier_Lookup!$A$2:$A$25,0)),"Unmapped"))</f>
        <v>Agency Labour</v>
      </c>
      <c r="Q1521" s="76">
        <f>IFERROR(INDEX(Category_Targets!$B$2:$B$9,MATCH(F1521,Category_Targets!$A$2:$A$9,0)),0)</f>
        <v>7.0000000000000007E-2</v>
      </c>
      <c r="R1521" s="125">
        <f t="shared" si="70"/>
        <v>291.11320000000006</v>
      </c>
      <c r="S1521" s="78">
        <f t="shared" si="71"/>
        <v>45962</v>
      </c>
      <c r="T1521" t="str">
        <f>IFERROR(VLOOKUP(B1521,Sites!$A$2:$D$21,4,FALSE()),"Unknown")</f>
        <v>Leeds</v>
      </c>
      <c r="U1521" t="str">
        <f>IF(N1521="OK","",COUNTIF($N$2:N1521,"&lt;&gt;OK"))</f>
        <v/>
      </c>
      <c r="V1521">
        <f>IF(OR(NOT(EXACT(E1521,TRIM(Procurement_Raw!E1521))),NOT(EXACT(F1521,TRIM(Procurement_Raw!F1521)))),1,0)</f>
        <v>0</v>
      </c>
    </row>
    <row r="1522" spans="1:22" ht="15" customHeight="1" x14ac:dyDescent="0.25">
      <c r="A1522" s="123">
        <f>Procurement_Raw!A1522</f>
        <v>45826</v>
      </c>
      <c r="B1522" t="str">
        <f>TRIM(Procurement_Raw!B1522)</f>
        <v>S009</v>
      </c>
      <c r="C1522" t="str">
        <f>Procurement_Raw!C1522</f>
        <v>Derby Care &amp; Education Centre</v>
      </c>
      <c r="D1522" t="str">
        <f>Procurement_Raw!D1522</f>
        <v>Midlands</v>
      </c>
      <c r="E1522" t="str">
        <f>IF(TRIM(Procurement_Raw!E1522)="","",IFERROR(INDEX(Supplier_Lookup!$A$2:$A$25,MATCH(TRIM(Procurement_Raw!E1522),Supplier_Lookup!$A$2:$A$25,0)),TRIM(Procurement_Raw!E1522)))</f>
        <v>PrintCo</v>
      </c>
      <c r="F1522" t="str">
        <f>IFERROR(INDEX(Category_Targets!$A$2:$A$9,MATCH(TRIM(Procurement_Raw!F1522),Category_Targets!$A$2:$A$9,0)),"Unmapped")</f>
        <v>Office &amp; Training</v>
      </c>
      <c r="G1522" t="str">
        <f>TRIM(Procurement_Raw!G1522)</f>
        <v>INV-2025-01521</v>
      </c>
      <c r="H1522" s="77">
        <f>Procurement_Raw!H1522</f>
        <v>18</v>
      </c>
      <c r="I1522" s="124">
        <f>Procurement_Raw!I1522</f>
        <v>146.80000000000001</v>
      </c>
      <c r="J1522" s="125">
        <f>IF(Procurement_Raw!J1522="","",Procurement_Raw!J1522)</f>
        <v>2642.36</v>
      </c>
      <c r="K1522" s="77">
        <f>Procurement_Raw!K1522</f>
        <v>45</v>
      </c>
      <c r="L1522" t="str">
        <f>Procurement_Raw!L1522</f>
        <v>Procurement Portal</v>
      </c>
      <c r="M1522" t="str">
        <f>Procurement_Raw!O1522</f>
        <v>N</v>
      </c>
      <c r="N1522" t="str">
        <f>IF(E1522="","Missing supplier",IF(B1522="","Missing site",IF(J1522="","Missing spend",IF(COUNTIFS($G$2:G1522,G1522,$E$2:E1522,E1522,$J$2:J1522,J1522)&gt;1,"Duplicate invoice",IF(COUNTIF($G$2:$G$1801,G1522)&gt;1,"Duplicate ID - review",IF(AND(P1522&lt;&gt;"Unmapped",P1522&lt;&gt;F1522),"Category mismatch","OK"))))))</f>
        <v>OK</v>
      </c>
      <c r="O1522" s="125">
        <f t="shared" si="69"/>
        <v>2642.36</v>
      </c>
      <c r="P1522" t="str">
        <f>IF(E1522="","Unmapped",IFERROR(INDEX(Supplier_Lookup!$B$2:$B$25,MATCH(E1522,Supplier_Lookup!$A$2:$A$25,0)),"Unmapped"))</f>
        <v>Office &amp; Training</v>
      </c>
      <c r="Q1522" s="76">
        <f>IFERROR(INDEX(Category_Targets!$B$2:$B$9,MATCH(F1522,Category_Targets!$A$2:$A$9,0)),0)</f>
        <v>0.04</v>
      </c>
      <c r="R1522" s="125">
        <f t="shared" si="70"/>
        <v>105.6944</v>
      </c>
      <c r="S1522" s="78">
        <f t="shared" si="71"/>
        <v>45809</v>
      </c>
      <c r="T1522" t="str">
        <f>IFERROR(VLOOKUP(B1522,Sites!$A$2:$D$21,4,FALSE()),"Unknown")</f>
        <v>Derby</v>
      </c>
      <c r="U1522" t="str">
        <f>IF(N1522="OK","",COUNTIF($N$2:N1522,"&lt;&gt;OK"))</f>
        <v/>
      </c>
      <c r="V1522">
        <f>IF(OR(NOT(EXACT(E1522,TRIM(Procurement_Raw!E1522))),NOT(EXACT(F1522,TRIM(Procurement_Raw!F1522)))),1,0)</f>
        <v>0</v>
      </c>
    </row>
    <row r="1523" spans="1:22" ht="15" customHeight="1" x14ac:dyDescent="0.25">
      <c r="A1523" s="123">
        <f>Procurement_Raw!A1523</f>
        <v>45870</v>
      </c>
      <c r="B1523" t="str">
        <f>TRIM(Procurement_Raw!B1523)</f>
        <v>S012</v>
      </c>
      <c r="C1523" t="str">
        <f>Procurement_Raw!C1523</f>
        <v>Bristol Care &amp; Education Centre</v>
      </c>
      <c r="D1523" t="str">
        <f>Procurement_Raw!D1523</f>
        <v>South</v>
      </c>
      <c r="E1523" t="str">
        <f>IF(TRIM(Procurement_Raw!E1523)="","",IFERROR(INDEX(Supplier_Lookup!$A$2:$A$25,MATCH(TRIM(Procurement_Raw!E1523),Supplier_Lookup!$A$2:$A$25,0)),TRIM(Procurement_Raw!E1523)))</f>
        <v>ClinEquip</v>
      </c>
      <c r="F1523" t="str">
        <f>IFERROR(INDEX(Category_Targets!$A$2:$A$9,MATCH(TRIM(Procurement_Raw!F1523),Category_Targets!$A$2:$A$9,0)),"Unmapped")</f>
        <v>Medical Supplies</v>
      </c>
      <c r="G1523" t="str">
        <f>TRIM(Procurement_Raw!G1523)</f>
        <v>INV-2025-01522</v>
      </c>
      <c r="H1523" s="77">
        <f>Procurement_Raw!H1523</f>
        <v>37</v>
      </c>
      <c r="I1523" s="124">
        <f>Procurement_Raw!I1523</f>
        <v>165.28</v>
      </c>
      <c r="J1523" s="125">
        <f>IF(Procurement_Raw!J1523="","",Procurement_Raw!J1523)</f>
        <v>6115.39</v>
      </c>
      <c r="K1523" s="77">
        <f>Procurement_Raw!K1523</f>
        <v>30</v>
      </c>
      <c r="L1523" t="str">
        <f>Procurement_Raw!L1523</f>
        <v>ERP</v>
      </c>
      <c r="M1523" t="str">
        <f>Procurement_Raw!O1523</f>
        <v>N</v>
      </c>
      <c r="N1523" t="str">
        <f>IF(E1523="","Missing supplier",IF(B1523="","Missing site",IF(J1523="","Missing spend",IF(COUNTIFS($G$2:G1523,G1523,$E$2:E1523,E1523,$J$2:J1523,J1523)&gt;1,"Duplicate invoice",IF(COUNTIF($G$2:$G$1801,G1523)&gt;1,"Duplicate ID - review",IF(AND(P1523&lt;&gt;"Unmapped",P1523&lt;&gt;F1523),"Category mismatch","OK"))))))</f>
        <v>OK</v>
      </c>
      <c r="O1523" s="125">
        <f t="shared" si="69"/>
        <v>6115.39</v>
      </c>
      <c r="P1523" t="str">
        <f>IF(E1523="","Unmapped",IFERROR(INDEX(Supplier_Lookup!$B$2:$B$25,MATCH(E1523,Supplier_Lookup!$A$2:$A$25,0)),"Unmapped"))</f>
        <v>Medical Supplies</v>
      </c>
      <c r="Q1523" s="76">
        <f>IFERROR(INDEX(Category_Targets!$B$2:$B$9,MATCH(F1523,Category_Targets!$A$2:$A$9,0)),0)</f>
        <v>0.06</v>
      </c>
      <c r="R1523" s="125">
        <f t="shared" si="70"/>
        <v>366.92340000000002</v>
      </c>
      <c r="S1523" s="78">
        <f t="shared" si="71"/>
        <v>45870</v>
      </c>
      <c r="T1523" t="str">
        <f>IFERROR(VLOOKUP(B1523,Sites!$A$2:$D$21,4,FALSE()),"Unknown")</f>
        <v>Bristol</v>
      </c>
      <c r="U1523" t="str">
        <f>IF(N1523="OK","",COUNTIF($N$2:N1523,"&lt;&gt;OK"))</f>
        <v/>
      </c>
      <c r="V1523">
        <f>IF(OR(NOT(EXACT(E1523,TRIM(Procurement_Raw!E1523))),NOT(EXACT(F1523,TRIM(Procurement_Raw!F1523)))),1,0)</f>
        <v>0</v>
      </c>
    </row>
    <row r="1524" spans="1:22" ht="15" customHeight="1" x14ac:dyDescent="0.25">
      <c r="A1524" s="123">
        <f>Procurement_Raw!A1524</f>
        <v>45782</v>
      </c>
      <c r="B1524" t="str">
        <f>TRIM(Procurement_Raw!B1524)</f>
        <v>S017</v>
      </c>
      <c r="C1524" t="str">
        <f>Procurement_Raw!C1524</f>
        <v>Swansea Care &amp; Education Centre</v>
      </c>
      <c r="D1524" t="str">
        <f>Procurement_Raw!D1524</f>
        <v>Wales</v>
      </c>
      <c r="E1524" t="str">
        <f>IF(TRIM(Procurement_Raw!E1524)="","",IFERROR(INDEX(Supplier_Lookup!$A$2:$A$25,MATCH(TRIM(Procurement_Raw!E1524),Supplier_Lookup!$A$2:$A$25,0)),TRIM(Procurement_Raw!E1524)))</f>
        <v>RoadReady</v>
      </c>
      <c r="F1524" t="str">
        <f>IFERROR(INDEX(Category_Targets!$A$2:$A$9,MATCH(TRIM(Procurement_Raw!F1524),Category_Targets!$A$2:$A$9,0)),"Unmapped")</f>
        <v>Vehicle &amp; Fuel</v>
      </c>
      <c r="G1524" t="str">
        <f>TRIM(Procurement_Raw!G1524)</f>
        <v>INV-2025-01523</v>
      </c>
      <c r="H1524" s="77">
        <f>Procurement_Raw!H1524</f>
        <v>27</v>
      </c>
      <c r="I1524" s="124">
        <f>Procurement_Raw!I1524</f>
        <v>83.87</v>
      </c>
      <c r="J1524" s="125">
        <f>IF(Procurement_Raw!J1524="","",Procurement_Raw!J1524)</f>
        <v>2264.59</v>
      </c>
      <c r="K1524" s="77">
        <f>Procurement_Raw!K1524</f>
        <v>60</v>
      </c>
      <c r="L1524" t="str">
        <f>Procurement_Raw!L1524</f>
        <v>ERP</v>
      </c>
      <c r="M1524" t="str">
        <f>Procurement_Raw!O1524</f>
        <v>N</v>
      </c>
      <c r="N1524" t="str">
        <f>IF(E1524="","Missing supplier",IF(B1524="","Missing site",IF(J1524="","Missing spend",IF(COUNTIFS($G$2:G1524,G1524,$E$2:E1524,E1524,$J$2:J1524,J1524)&gt;1,"Duplicate invoice",IF(COUNTIF($G$2:$G$1801,G1524)&gt;1,"Duplicate ID - review",IF(AND(P1524&lt;&gt;"Unmapped",P1524&lt;&gt;F1524),"Category mismatch","OK"))))))</f>
        <v>OK</v>
      </c>
      <c r="O1524" s="125">
        <f t="shared" si="69"/>
        <v>2264.59</v>
      </c>
      <c r="P1524" t="str">
        <f>IF(E1524="","Unmapped",IFERROR(INDEX(Supplier_Lookup!$B$2:$B$25,MATCH(E1524,Supplier_Lookup!$A$2:$A$25,0)),"Unmapped"))</f>
        <v>Vehicle &amp; Fuel</v>
      </c>
      <c r="Q1524" s="76">
        <f>IFERROR(INDEX(Category_Targets!$B$2:$B$9,MATCH(F1524,Category_Targets!$A$2:$A$9,0)),0)</f>
        <v>0.05</v>
      </c>
      <c r="R1524" s="125">
        <f t="shared" si="70"/>
        <v>113.22950000000002</v>
      </c>
      <c r="S1524" s="78">
        <f t="shared" si="71"/>
        <v>45778</v>
      </c>
      <c r="T1524" t="str">
        <f>IFERROR(VLOOKUP(B1524,Sites!$A$2:$D$21,4,FALSE()),"Unknown")</f>
        <v>Swansea</v>
      </c>
      <c r="U1524" t="str">
        <f>IF(N1524="OK","",COUNTIF($N$2:N1524,"&lt;&gt;OK"))</f>
        <v/>
      </c>
      <c r="V1524">
        <f>IF(OR(NOT(EXACT(E1524,TRIM(Procurement_Raw!E1524))),NOT(EXACT(F1524,TRIM(Procurement_Raw!F1524)))),1,0)</f>
        <v>0</v>
      </c>
    </row>
    <row r="1525" spans="1:22" ht="15" customHeight="1" x14ac:dyDescent="0.25">
      <c r="A1525" s="123">
        <f>Procurement_Raw!A1525</f>
        <v>46014</v>
      </c>
      <c r="B1525" t="str">
        <f>TRIM(Procurement_Raw!B1525)</f>
        <v>S010</v>
      </c>
      <c r="C1525" t="str">
        <f>Procurement_Raw!C1525</f>
        <v>Coventry Care &amp; Education Centre</v>
      </c>
      <c r="D1525" t="str">
        <f>Procurement_Raw!D1525</f>
        <v>Midlands</v>
      </c>
      <c r="E1525" t="str">
        <f>IF(TRIM(Procurement_Raw!E1525)="","",IFERROR(INDEX(Supplier_Lookup!$A$2:$A$25,MATCH(TRIM(Procurement_Raw!E1525),Supplier_Lookup!$A$2:$A$25,0)),TRIM(Procurement_Raw!E1525)))</f>
        <v>PowerDirect</v>
      </c>
      <c r="F1525" t="str">
        <f>IFERROR(INDEX(Category_Targets!$A$2:$A$9,MATCH(TRIM(Procurement_Raw!F1525),Category_Targets!$A$2:$A$9,0)),"Unmapped")</f>
        <v>Utilities</v>
      </c>
      <c r="G1525" t="str">
        <f>TRIM(Procurement_Raw!G1525)</f>
        <v>INV-2025-01524</v>
      </c>
      <c r="H1525" s="77">
        <f>Procurement_Raw!H1525</f>
        <v>29</v>
      </c>
      <c r="I1525" s="124">
        <f>Procurement_Raw!I1525</f>
        <v>147.49</v>
      </c>
      <c r="J1525" s="125">
        <f>IF(Procurement_Raw!J1525="","",Procurement_Raw!J1525)</f>
        <v>4277.25</v>
      </c>
      <c r="K1525" s="77">
        <f>Procurement_Raw!K1525</f>
        <v>60</v>
      </c>
      <c r="L1525" t="str">
        <f>Procurement_Raw!L1525</f>
        <v>Procurement Portal</v>
      </c>
      <c r="M1525" t="str">
        <f>Procurement_Raw!O1525</f>
        <v>N</v>
      </c>
      <c r="N1525" t="str">
        <f>IF(E1525="","Missing supplier",IF(B1525="","Missing site",IF(J1525="","Missing spend",IF(COUNTIFS($G$2:G1525,G1525,$E$2:E1525,E1525,$J$2:J1525,J1525)&gt;1,"Duplicate invoice",IF(COUNTIF($G$2:$G$1801,G1525)&gt;1,"Duplicate ID - review",IF(AND(P1525&lt;&gt;"Unmapped",P1525&lt;&gt;F1525),"Category mismatch","OK"))))))</f>
        <v>OK</v>
      </c>
      <c r="O1525" s="125">
        <f t="shared" si="69"/>
        <v>4277.25</v>
      </c>
      <c r="P1525" t="str">
        <f>IF(E1525="","Unmapped",IFERROR(INDEX(Supplier_Lookup!$B$2:$B$25,MATCH(E1525,Supplier_Lookup!$A$2:$A$25,0)),"Unmapped"))</f>
        <v>Utilities</v>
      </c>
      <c r="Q1525" s="76">
        <f>IFERROR(INDEX(Category_Targets!$B$2:$B$9,MATCH(F1525,Category_Targets!$A$2:$A$9,0)),0)</f>
        <v>0.03</v>
      </c>
      <c r="R1525" s="125">
        <f t="shared" si="70"/>
        <v>128.3175</v>
      </c>
      <c r="S1525" s="78">
        <f t="shared" si="71"/>
        <v>45992</v>
      </c>
      <c r="T1525" t="str">
        <f>IFERROR(VLOOKUP(B1525,Sites!$A$2:$D$21,4,FALSE()),"Unknown")</f>
        <v>Coventry</v>
      </c>
      <c r="U1525" t="str">
        <f>IF(N1525="OK","",COUNTIF($N$2:N1525,"&lt;&gt;OK"))</f>
        <v/>
      </c>
      <c r="V1525">
        <f>IF(OR(NOT(EXACT(E1525,TRIM(Procurement_Raw!E1525))),NOT(EXACT(F1525,TRIM(Procurement_Raw!F1525)))),1,0)</f>
        <v>0</v>
      </c>
    </row>
    <row r="1526" spans="1:22" ht="15" customHeight="1" x14ac:dyDescent="0.25">
      <c r="A1526" s="123">
        <f>Procurement_Raw!A1526</f>
        <v>45884</v>
      </c>
      <c r="B1526" t="str">
        <f>TRIM(Procurement_Raw!B1526)</f>
        <v>S010</v>
      </c>
      <c r="C1526" t="str">
        <f>Procurement_Raw!C1526</f>
        <v>Coventry Care &amp; Education Centre</v>
      </c>
      <c r="D1526" t="str">
        <f>Procurement_Raw!D1526</f>
        <v>Midlands</v>
      </c>
      <c r="E1526" t="str">
        <f>IF(TRIM(Procurement_Raw!E1526)="","",IFERROR(INDEX(Supplier_Lookup!$A$2:$A$25,MATCH(TRIM(Procurement_Raw!E1526),Supplier_Lookup!$A$2:$A$25,0)),TRIM(Procurement_Raw!E1526)))</f>
        <v>FleetFuel</v>
      </c>
      <c r="F1526" t="str">
        <f>IFERROR(INDEX(Category_Targets!$A$2:$A$9,MATCH(TRIM(Procurement_Raw!F1526),Category_Targets!$A$2:$A$9,0)),"Unmapped")</f>
        <v>Vehicle &amp; Fuel</v>
      </c>
      <c r="G1526" t="str">
        <f>TRIM(Procurement_Raw!G1526)</f>
        <v>INV-2025-01525</v>
      </c>
      <c r="H1526" s="77">
        <f>Procurement_Raw!H1526</f>
        <v>1</v>
      </c>
      <c r="I1526" s="124">
        <f>Procurement_Raw!I1526</f>
        <v>77.41</v>
      </c>
      <c r="J1526" s="125">
        <f>IF(Procurement_Raw!J1526="","",Procurement_Raw!J1526)</f>
        <v>77.41</v>
      </c>
      <c r="K1526" s="77">
        <f>Procurement_Raw!K1526</f>
        <v>30</v>
      </c>
      <c r="L1526" t="str">
        <f>Procurement_Raw!L1526</f>
        <v>Procurement Portal</v>
      </c>
      <c r="M1526" t="str">
        <f>Procurement_Raw!O1526</f>
        <v>Y</v>
      </c>
      <c r="N1526" t="str">
        <f>IF(E1526="","Missing supplier",IF(B1526="","Missing site",IF(J1526="","Missing spend",IF(COUNTIFS($G$2:G1526,G1526,$E$2:E1526,E1526,$J$2:J1526,J1526)&gt;1,"Duplicate invoice",IF(COUNTIF($G$2:$G$1801,G1526)&gt;1,"Duplicate ID - review",IF(AND(P1526&lt;&gt;"Unmapped",P1526&lt;&gt;F1526),"Category mismatch","OK"))))))</f>
        <v>OK</v>
      </c>
      <c r="O1526" s="125">
        <f t="shared" si="69"/>
        <v>77.41</v>
      </c>
      <c r="P1526" t="str">
        <f>IF(E1526="","Unmapped",IFERROR(INDEX(Supplier_Lookup!$B$2:$B$25,MATCH(E1526,Supplier_Lookup!$A$2:$A$25,0)),"Unmapped"))</f>
        <v>Vehicle &amp; Fuel</v>
      </c>
      <c r="Q1526" s="76">
        <f>IFERROR(INDEX(Category_Targets!$B$2:$B$9,MATCH(F1526,Category_Targets!$A$2:$A$9,0)),0)</f>
        <v>0.05</v>
      </c>
      <c r="R1526" s="125">
        <f t="shared" si="70"/>
        <v>3.8704999999999998</v>
      </c>
      <c r="S1526" s="78">
        <f t="shared" si="71"/>
        <v>45870</v>
      </c>
      <c r="T1526" t="str">
        <f>IFERROR(VLOOKUP(B1526,Sites!$A$2:$D$21,4,FALSE()),"Unknown")</f>
        <v>Coventry</v>
      </c>
      <c r="U1526" t="str">
        <f>IF(N1526="OK","",COUNTIF($N$2:N1526,"&lt;&gt;OK"))</f>
        <v/>
      </c>
      <c r="V1526">
        <f>IF(OR(NOT(EXACT(E1526,TRIM(Procurement_Raw!E1526))),NOT(EXACT(F1526,TRIM(Procurement_Raw!F1526)))),1,0)</f>
        <v>0</v>
      </c>
    </row>
    <row r="1527" spans="1:22" ht="15" customHeight="1" x14ac:dyDescent="0.25">
      <c r="A1527" s="123">
        <f>Procurement_Raw!A1527</f>
        <v>45982</v>
      </c>
      <c r="B1527" t="str">
        <f>TRIM(Procurement_Raw!B1527)</f>
        <v>S005</v>
      </c>
      <c r="C1527" t="str">
        <f>Procurement_Raw!C1527</f>
        <v>Sheffield Care &amp; Education Centre</v>
      </c>
      <c r="D1527" t="str">
        <f>Procurement_Raw!D1527</f>
        <v>North</v>
      </c>
      <c r="E1527" t="str">
        <f>IF(TRIM(Procurement_Raw!E1527)="","",IFERROR(INDEX(Supplier_Lookup!$A$2:$A$25,MATCH(TRIM(Procurement_Raw!E1527),Supplier_Lookup!$A$2:$A$25,0)),TRIM(Procurement_Raw!E1527)))</f>
        <v>UK Energy Partners</v>
      </c>
      <c r="F1527" t="str">
        <f>IFERROR(INDEX(Category_Targets!$A$2:$A$9,MATCH(TRIM(Procurement_Raw!F1527),Category_Targets!$A$2:$A$9,0)),"Unmapped")</f>
        <v>Utilities</v>
      </c>
      <c r="G1527" t="str">
        <f>TRIM(Procurement_Raw!G1527)</f>
        <v>INV-2025-01526</v>
      </c>
      <c r="H1527" s="77">
        <f>Procurement_Raw!H1527</f>
        <v>19</v>
      </c>
      <c r="I1527" s="124">
        <f>Procurement_Raw!I1527</f>
        <v>454.99</v>
      </c>
      <c r="J1527" s="125">
        <f>IF(Procurement_Raw!J1527="","",Procurement_Raw!J1527)</f>
        <v>8644.7900000000009</v>
      </c>
      <c r="K1527" s="77">
        <f>Procurement_Raw!K1527</f>
        <v>30</v>
      </c>
      <c r="L1527" t="str">
        <f>Procurement_Raw!L1527</f>
        <v>ERP</v>
      </c>
      <c r="M1527" t="str">
        <f>Procurement_Raw!O1527</f>
        <v>N</v>
      </c>
      <c r="N1527" t="str">
        <f>IF(E1527="","Missing supplier",IF(B1527="","Missing site",IF(J1527="","Missing spend",IF(COUNTIFS($G$2:G1527,G1527,$E$2:E1527,E1527,$J$2:J1527,J1527)&gt;1,"Duplicate invoice",IF(COUNTIF($G$2:$G$1801,G1527)&gt;1,"Duplicate ID - review",IF(AND(P1527&lt;&gt;"Unmapped",P1527&lt;&gt;F1527),"Category mismatch","OK"))))))</f>
        <v>OK</v>
      </c>
      <c r="O1527" s="125">
        <f t="shared" si="69"/>
        <v>8644.7900000000009</v>
      </c>
      <c r="P1527" t="str">
        <f>IF(E1527="","Unmapped",IFERROR(INDEX(Supplier_Lookup!$B$2:$B$25,MATCH(E1527,Supplier_Lookup!$A$2:$A$25,0)),"Unmapped"))</f>
        <v>Utilities</v>
      </c>
      <c r="Q1527" s="76">
        <f>IFERROR(INDEX(Category_Targets!$B$2:$B$9,MATCH(F1527,Category_Targets!$A$2:$A$9,0)),0)</f>
        <v>0.03</v>
      </c>
      <c r="R1527" s="125">
        <f t="shared" si="70"/>
        <v>259.34370000000001</v>
      </c>
      <c r="S1527" s="78">
        <f t="shared" si="71"/>
        <v>45962</v>
      </c>
      <c r="T1527" t="str">
        <f>IFERROR(VLOOKUP(B1527,Sites!$A$2:$D$21,4,FALSE()),"Unknown")</f>
        <v>Sheffield</v>
      </c>
      <c r="U1527" t="str">
        <f>IF(N1527="OK","",COUNTIF($N$2:N1527,"&lt;&gt;OK"))</f>
        <v/>
      </c>
      <c r="V1527">
        <f>IF(OR(NOT(EXACT(E1527,TRIM(Procurement_Raw!E1527))),NOT(EXACT(F1527,TRIM(Procurement_Raw!F1527)))),1,0)</f>
        <v>0</v>
      </c>
    </row>
    <row r="1528" spans="1:22" ht="15" customHeight="1" x14ac:dyDescent="0.25">
      <c r="A1528" s="123">
        <f>Procurement_Raw!A1528</f>
        <v>45939</v>
      </c>
      <c r="B1528" t="str">
        <f>TRIM(Procurement_Raw!B1528)</f>
        <v>S010</v>
      </c>
      <c r="C1528" t="str">
        <f>Procurement_Raw!C1528</f>
        <v>Coventry Care &amp; Education Centre</v>
      </c>
      <c r="D1528" t="str">
        <f>Procurement_Raw!D1528</f>
        <v>Midlands</v>
      </c>
      <c r="E1528" t="str">
        <f>IF(TRIM(Procurement_Raw!E1528)="","",IFERROR(INDEX(Supplier_Lookup!$A$2:$A$25,MATCH(TRIM(Procurement_Raw!E1528),Supplier_Lookup!$A$2:$A$25,0)),TRIM(Procurement_Raw!E1528)))</f>
        <v>BuildCare</v>
      </c>
      <c r="F1528" t="str">
        <f>IFERROR(INDEX(Category_Targets!$A$2:$A$9,MATCH(TRIM(Procurement_Raw!F1528),Category_Targets!$A$2:$A$9,0)),"Unmapped")</f>
        <v>Facilities</v>
      </c>
      <c r="G1528" t="str">
        <f>TRIM(Procurement_Raw!G1528)</f>
        <v>INV-2025-01527</v>
      </c>
      <c r="H1528" s="77">
        <f>Procurement_Raw!H1528</f>
        <v>27</v>
      </c>
      <c r="I1528" s="124">
        <f>Procurement_Raw!I1528</f>
        <v>507.49</v>
      </c>
      <c r="J1528" s="125">
        <f>IF(Procurement_Raw!J1528="","",Procurement_Raw!J1528)</f>
        <v>13702.26</v>
      </c>
      <c r="K1528" s="77">
        <f>Procurement_Raw!K1528</f>
        <v>30</v>
      </c>
      <c r="L1528" t="str">
        <f>Procurement_Raw!L1528</f>
        <v>Legacy Spend File</v>
      </c>
      <c r="M1528" t="str">
        <f>Procurement_Raw!O1528</f>
        <v>N</v>
      </c>
      <c r="N1528" t="str">
        <f>IF(E1528="","Missing supplier",IF(B1528="","Missing site",IF(J1528="","Missing spend",IF(COUNTIFS($G$2:G1528,G1528,$E$2:E1528,E1528,$J$2:J1528,J1528)&gt;1,"Duplicate invoice",IF(COUNTIF($G$2:$G$1801,G1528)&gt;1,"Duplicate ID - review",IF(AND(P1528&lt;&gt;"Unmapped",P1528&lt;&gt;F1528),"Category mismatch","OK"))))))</f>
        <v>OK</v>
      </c>
      <c r="O1528" s="125">
        <f t="shared" si="69"/>
        <v>13702.26</v>
      </c>
      <c r="P1528" t="str">
        <f>IF(E1528="","Unmapped",IFERROR(INDEX(Supplier_Lookup!$B$2:$B$25,MATCH(E1528,Supplier_Lookup!$A$2:$A$25,0)),"Unmapped"))</f>
        <v>Facilities</v>
      </c>
      <c r="Q1528" s="76">
        <f>IFERROR(INDEX(Category_Targets!$B$2:$B$9,MATCH(F1528,Category_Targets!$A$2:$A$9,0)),0)</f>
        <v>0.05</v>
      </c>
      <c r="R1528" s="125">
        <f t="shared" si="70"/>
        <v>685.11300000000006</v>
      </c>
      <c r="S1528" s="78">
        <f t="shared" si="71"/>
        <v>45931</v>
      </c>
      <c r="T1528" t="str">
        <f>IFERROR(VLOOKUP(B1528,Sites!$A$2:$D$21,4,FALSE()),"Unknown")</f>
        <v>Coventry</v>
      </c>
      <c r="U1528" t="str">
        <f>IF(N1528="OK","",COUNTIF($N$2:N1528,"&lt;&gt;OK"))</f>
        <v/>
      </c>
      <c r="V1528">
        <f>IF(OR(NOT(EXACT(E1528,TRIM(Procurement_Raw!E1528))),NOT(EXACT(F1528,TRIM(Procurement_Raw!F1528)))),1,0)</f>
        <v>0</v>
      </c>
    </row>
    <row r="1529" spans="1:22" ht="15" customHeight="1" x14ac:dyDescent="0.25">
      <c r="A1529" s="123">
        <f>Procurement_Raw!A1529</f>
        <v>45897</v>
      </c>
      <c r="B1529" t="str">
        <f>TRIM(Procurement_Raw!B1529)</f>
        <v>S006</v>
      </c>
      <c r="C1529" t="str">
        <f>Procurement_Raw!C1529</f>
        <v>Birmingham Care &amp; Education Centre</v>
      </c>
      <c r="D1529" t="str">
        <f>Procurement_Raw!D1529</f>
        <v>Midlands</v>
      </c>
      <c r="E1529" t="str">
        <f>IF(TRIM(Procurement_Raw!E1529)="","",IFERROR(INDEX(Supplier_Lookup!$A$2:$A$25,MATCH(TRIM(Procurement_Raw!E1529),Supplier_Lookup!$A$2:$A$25,0)),TRIM(Procurement_Raw!E1529)))</f>
        <v>NurseLink</v>
      </c>
      <c r="F1529" t="str">
        <f>IFERROR(INDEX(Category_Targets!$A$2:$A$9,MATCH(TRIM(Procurement_Raw!F1529),Category_Targets!$A$2:$A$9,0)),"Unmapped")</f>
        <v>Agency Labour</v>
      </c>
      <c r="G1529" t="str">
        <f>TRIM(Procurement_Raw!G1529)</f>
        <v>INV-2025-01528</v>
      </c>
      <c r="H1529" s="77">
        <f>Procurement_Raw!H1529</f>
        <v>40</v>
      </c>
      <c r="I1529" s="124">
        <f>Procurement_Raw!I1529</f>
        <v>701.04</v>
      </c>
      <c r="J1529" s="125">
        <f>IF(Procurement_Raw!J1529="","",Procurement_Raw!J1529)</f>
        <v>28041.64</v>
      </c>
      <c r="K1529" s="77">
        <f>Procurement_Raw!K1529</f>
        <v>30</v>
      </c>
      <c r="L1529" t="str">
        <f>Procurement_Raw!L1529</f>
        <v>Legacy Spend File</v>
      </c>
      <c r="M1529" t="str">
        <f>Procurement_Raw!O1529</f>
        <v>N</v>
      </c>
      <c r="N1529" t="str">
        <f>IF(E1529="","Missing supplier",IF(B1529="","Missing site",IF(J1529="","Missing spend",IF(COUNTIFS($G$2:G1529,G1529,$E$2:E1529,E1529,$J$2:J1529,J1529)&gt;1,"Duplicate invoice",IF(COUNTIF($G$2:$G$1801,G1529)&gt;1,"Duplicate ID - review",IF(AND(P1529&lt;&gt;"Unmapped",P1529&lt;&gt;F1529),"Category mismatch","OK"))))))</f>
        <v>OK</v>
      </c>
      <c r="O1529" s="125">
        <f t="shared" si="69"/>
        <v>28041.64</v>
      </c>
      <c r="P1529" t="str">
        <f>IF(E1529="","Unmapped",IFERROR(INDEX(Supplier_Lookup!$B$2:$B$25,MATCH(E1529,Supplier_Lookup!$A$2:$A$25,0)),"Unmapped"))</f>
        <v>Agency Labour</v>
      </c>
      <c r="Q1529" s="76">
        <f>IFERROR(INDEX(Category_Targets!$B$2:$B$9,MATCH(F1529,Category_Targets!$A$2:$A$9,0)),0)</f>
        <v>7.0000000000000007E-2</v>
      </c>
      <c r="R1529" s="125">
        <f t="shared" si="70"/>
        <v>1962.9148000000002</v>
      </c>
      <c r="S1529" s="78">
        <f t="shared" si="71"/>
        <v>45870</v>
      </c>
      <c r="T1529" t="str">
        <f>IFERROR(VLOOKUP(B1529,Sites!$A$2:$D$21,4,FALSE()),"Unknown")</f>
        <v>Birmingham</v>
      </c>
      <c r="U1529" t="str">
        <f>IF(N1529="OK","",COUNTIF($N$2:N1529,"&lt;&gt;OK"))</f>
        <v/>
      </c>
      <c r="V1529">
        <f>IF(OR(NOT(EXACT(E1529,TRIM(Procurement_Raw!E1529))),NOT(EXACT(F1529,TRIM(Procurement_Raw!F1529)))),1,0)</f>
        <v>0</v>
      </c>
    </row>
    <row r="1530" spans="1:22" ht="15" customHeight="1" x14ac:dyDescent="0.25">
      <c r="A1530" s="123">
        <f>Procurement_Raw!A1530</f>
        <v>45748</v>
      </c>
      <c r="B1530" t="str">
        <f>TRIM(Procurement_Raw!B1530)</f>
        <v>S001</v>
      </c>
      <c r="C1530" t="str">
        <f>Procurement_Raw!C1530</f>
        <v>Preston Care &amp; Education Centre</v>
      </c>
      <c r="D1530" t="str">
        <f>Procurement_Raw!D1530</f>
        <v>North</v>
      </c>
      <c r="E1530" t="str">
        <f>IF(TRIM(Procurement_Raw!E1530)="","",IFERROR(INDEX(Supplier_Lookup!$A$2:$A$25,MATCH(TRIM(Procurement_Raw!E1530),Supplier_Lookup!$A$2:$A$25,0)),TRIM(Procurement_Raw!E1530)))</f>
        <v>WaterGrid</v>
      </c>
      <c r="F1530" t="str">
        <f>IFERROR(INDEX(Category_Targets!$A$2:$A$9,MATCH(TRIM(Procurement_Raw!F1530),Category_Targets!$A$2:$A$9,0)),"Unmapped")</f>
        <v>Utilities</v>
      </c>
      <c r="G1530" t="str">
        <f>TRIM(Procurement_Raw!G1530)</f>
        <v>INV-2025-01529</v>
      </c>
      <c r="H1530" s="77">
        <f>Procurement_Raw!H1530</f>
        <v>78</v>
      </c>
      <c r="I1530" s="124">
        <f>Procurement_Raw!I1530</f>
        <v>191.06</v>
      </c>
      <c r="J1530" s="125">
        <f>IF(Procurement_Raw!J1530="","",Procurement_Raw!J1530)</f>
        <v>14902.77</v>
      </c>
      <c r="K1530" s="77">
        <f>Procurement_Raw!K1530</f>
        <v>30</v>
      </c>
      <c r="L1530" t="str">
        <f>Procurement_Raw!L1530</f>
        <v>Procurement Portal</v>
      </c>
      <c r="M1530" t="str">
        <f>Procurement_Raw!O1530</f>
        <v>N</v>
      </c>
      <c r="N1530" t="str">
        <f>IF(E1530="","Missing supplier",IF(B1530="","Missing site",IF(J1530="","Missing spend",IF(COUNTIFS($G$2:G1530,G1530,$E$2:E1530,E1530,$J$2:J1530,J1530)&gt;1,"Duplicate invoice",IF(COUNTIF($G$2:$G$1801,G1530)&gt;1,"Duplicate ID - review",IF(AND(P1530&lt;&gt;"Unmapped",P1530&lt;&gt;F1530),"Category mismatch","OK"))))))</f>
        <v>OK</v>
      </c>
      <c r="O1530" s="125">
        <f t="shared" si="69"/>
        <v>14902.77</v>
      </c>
      <c r="P1530" t="str">
        <f>IF(E1530="","Unmapped",IFERROR(INDEX(Supplier_Lookup!$B$2:$B$25,MATCH(E1530,Supplier_Lookup!$A$2:$A$25,0)),"Unmapped"))</f>
        <v>Utilities</v>
      </c>
      <c r="Q1530" s="76">
        <f>IFERROR(INDEX(Category_Targets!$B$2:$B$9,MATCH(F1530,Category_Targets!$A$2:$A$9,0)),0)</f>
        <v>0.03</v>
      </c>
      <c r="R1530" s="125">
        <f t="shared" si="70"/>
        <v>447.0831</v>
      </c>
      <c r="S1530" s="78">
        <f t="shared" si="71"/>
        <v>45748</v>
      </c>
      <c r="T1530" t="str">
        <f>IFERROR(VLOOKUP(B1530,Sites!$A$2:$D$21,4,FALSE()),"Unknown")</f>
        <v>Preston</v>
      </c>
      <c r="U1530" t="str">
        <f>IF(N1530="OK","",COUNTIF($N$2:N1530,"&lt;&gt;OK"))</f>
        <v/>
      </c>
      <c r="V1530">
        <f>IF(OR(NOT(EXACT(E1530,TRIM(Procurement_Raw!E1530))),NOT(EXACT(F1530,TRIM(Procurement_Raw!F1530)))),1,0)</f>
        <v>0</v>
      </c>
    </row>
    <row r="1531" spans="1:22" ht="15" customHeight="1" x14ac:dyDescent="0.25">
      <c r="A1531" s="123">
        <f>Procurement_Raw!A1531</f>
        <v>45761</v>
      </c>
      <c r="B1531" t="str">
        <f>TRIM(Procurement_Raw!B1531)</f>
        <v>S009</v>
      </c>
      <c r="C1531" t="str">
        <f>Procurement_Raw!C1531</f>
        <v>Derby Care &amp; Education Centre</v>
      </c>
      <c r="D1531" t="str">
        <f>Procurement_Raw!D1531</f>
        <v>Midlands</v>
      </c>
      <c r="E1531" t="str">
        <f>IF(TRIM(Procurement_Raw!E1531)="","",IFERROR(INDEX(Supplier_Lookup!$A$2:$A$25,MATCH(TRIM(Procurement_Raw!E1531),Supplier_Lookup!$A$2:$A$25,0)),TRIM(Procurement_Raw!E1531)))</f>
        <v>PrintCo</v>
      </c>
      <c r="F1531" t="str">
        <f>IFERROR(INDEX(Category_Targets!$A$2:$A$9,MATCH(TRIM(Procurement_Raw!F1531),Category_Targets!$A$2:$A$9,0)),"Unmapped")</f>
        <v>Office &amp; Training</v>
      </c>
      <c r="G1531" t="str">
        <f>TRIM(Procurement_Raw!G1531)</f>
        <v>INV-2025-01530</v>
      </c>
      <c r="H1531" s="77">
        <f>Procurement_Raw!H1531</f>
        <v>35</v>
      </c>
      <c r="I1531" s="124">
        <f>Procurement_Raw!I1531</f>
        <v>40.520000000000003</v>
      </c>
      <c r="J1531" s="125">
        <f>IF(Procurement_Raw!J1531="","",Procurement_Raw!J1531)</f>
        <v>1418.06</v>
      </c>
      <c r="K1531" s="77">
        <f>Procurement_Raw!K1531</f>
        <v>45</v>
      </c>
      <c r="L1531" t="str">
        <f>Procurement_Raw!L1531</f>
        <v>ERP</v>
      </c>
      <c r="M1531" t="str">
        <f>Procurement_Raw!O1531</f>
        <v>N</v>
      </c>
      <c r="N1531" t="str">
        <f>IF(E1531="","Missing supplier",IF(B1531="","Missing site",IF(J1531="","Missing spend",IF(COUNTIFS($G$2:G1531,G1531,$E$2:E1531,E1531,$J$2:J1531,J1531)&gt;1,"Duplicate invoice",IF(COUNTIF($G$2:$G$1801,G1531)&gt;1,"Duplicate ID - review",IF(AND(P1531&lt;&gt;"Unmapped",P1531&lt;&gt;F1531),"Category mismatch","OK"))))))</f>
        <v>OK</v>
      </c>
      <c r="O1531" s="125">
        <f t="shared" si="69"/>
        <v>1418.06</v>
      </c>
      <c r="P1531" t="str">
        <f>IF(E1531="","Unmapped",IFERROR(INDEX(Supplier_Lookup!$B$2:$B$25,MATCH(E1531,Supplier_Lookup!$A$2:$A$25,0)),"Unmapped"))</f>
        <v>Office &amp; Training</v>
      </c>
      <c r="Q1531" s="76">
        <f>IFERROR(INDEX(Category_Targets!$B$2:$B$9,MATCH(F1531,Category_Targets!$A$2:$A$9,0)),0)</f>
        <v>0.04</v>
      </c>
      <c r="R1531" s="125">
        <f t="shared" si="70"/>
        <v>56.7224</v>
      </c>
      <c r="S1531" s="78">
        <f t="shared" si="71"/>
        <v>45748</v>
      </c>
      <c r="T1531" t="str">
        <f>IFERROR(VLOOKUP(B1531,Sites!$A$2:$D$21,4,FALSE()),"Unknown")</f>
        <v>Derby</v>
      </c>
      <c r="U1531" t="str">
        <f>IF(N1531="OK","",COUNTIF($N$2:N1531,"&lt;&gt;OK"))</f>
        <v/>
      </c>
      <c r="V1531">
        <f>IF(OR(NOT(EXACT(E1531,TRIM(Procurement_Raw!E1531))),NOT(EXACT(F1531,TRIM(Procurement_Raw!F1531)))),1,0)</f>
        <v>0</v>
      </c>
    </row>
    <row r="1532" spans="1:22" ht="15" customHeight="1" x14ac:dyDescent="0.25">
      <c r="A1532" s="123">
        <f>Procurement_Raw!A1532</f>
        <v>45743</v>
      </c>
      <c r="B1532" t="str">
        <f>TRIM(Procurement_Raw!B1532)</f>
        <v>S008</v>
      </c>
      <c r="C1532" t="str">
        <f>Procurement_Raw!C1532</f>
        <v>Leicester Care &amp; Education Centre</v>
      </c>
      <c r="D1532" t="str">
        <f>Procurement_Raw!D1532</f>
        <v>Midlands</v>
      </c>
      <c r="E1532" t="str">
        <f>IF(TRIM(Procurement_Raw!E1532)="","",IFERROR(INDEX(Supplier_Lookup!$A$2:$A$25,MATCH(TRIM(Procurement_Raw!E1532),Supplier_Lookup!$A$2:$A$25,0)),TRIM(Procurement_Raw!E1532)))</f>
        <v>CareTemps</v>
      </c>
      <c r="F1532" t="str">
        <f>IFERROR(INDEX(Category_Targets!$A$2:$A$9,MATCH(TRIM(Procurement_Raw!F1532),Category_Targets!$A$2:$A$9,0)),"Unmapped")</f>
        <v>Agency Labour</v>
      </c>
      <c r="G1532" t="str">
        <f>TRIM(Procurement_Raw!G1532)</f>
        <v>INV-2025-01531</v>
      </c>
      <c r="H1532" s="77">
        <f>Procurement_Raw!H1532</f>
        <v>61</v>
      </c>
      <c r="I1532" s="124">
        <f>Procurement_Raw!I1532</f>
        <v>324.17</v>
      </c>
      <c r="J1532" s="125">
        <f>IF(Procurement_Raw!J1532="","",Procurement_Raw!J1532)</f>
        <v>19774.41</v>
      </c>
      <c r="K1532" s="77">
        <f>Procurement_Raw!K1532</f>
        <v>45</v>
      </c>
      <c r="L1532" t="str">
        <f>Procurement_Raw!L1532</f>
        <v>Procurement Portal</v>
      </c>
      <c r="M1532" t="str">
        <f>Procurement_Raw!O1532</f>
        <v>N</v>
      </c>
      <c r="N1532" t="str">
        <f>IF(E1532="","Missing supplier",IF(B1532="","Missing site",IF(J1532="","Missing spend",IF(COUNTIFS($G$2:G1532,G1532,$E$2:E1532,E1532,$J$2:J1532,J1532)&gt;1,"Duplicate invoice",IF(COUNTIF($G$2:$G$1801,G1532)&gt;1,"Duplicate ID - review",IF(AND(P1532&lt;&gt;"Unmapped",P1532&lt;&gt;F1532),"Category mismatch","OK"))))))</f>
        <v>OK</v>
      </c>
      <c r="O1532" s="125">
        <f t="shared" si="69"/>
        <v>19774.41</v>
      </c>
      <c r="P1532" t="str">
        <f>IF(E1532="","Unmapped",IFERROR(INDEX(Supplier_Lookup!$B$2:$B$25,MATCH(E1532,Supplier_Lookup!$A$2:$A$25,0)),"Unmapped"))</f>
        <v>Agency Labour</v>
      </c>
      <c r="Q1532" s="76">
        <f>IFERROR(INDEX(Category_Targets!$B$2:$B$9,MATCH(F1532,Category_Targets!$A$2:$A$9,0)),0)</f>
        <v>7.0000000000000007E-2</v>
      </c>
      <c r="R1532" s="125">
        <f t="shared" si="70"/>
        <v>1384.2087000000001</v>
      </c>
      <c r="S1532" s="78">
        <f t="shared" si="71"/>
        <v>45717</v>
      </c>
      <c r="T1532" t="str">
        <f>IFERROR(VLOOKUP(B1532,Sites!$A$2:$D$21,4,FALSE()),"Unknown")</f>
        <v>Leicester</v>
      </c>
      <c r="U1532" t="str">
        <f>IF(N1532="OK","",COUNTIF($N$2:N1532,"&lt;&gt;OK"))</f>
        <v/>
      </c>
      <c r="V1532">
        <f>IF(OR(NOT(EXACT(E1532,TRIM(Procurement_Raw!E1532))),NOT(EXACT(F1532,TRIM(Procurement_Raw!F1532)))),1,0)</f>
        <v>0</v>
      </c>
    </row>
    <row r="1533" spans="1:22" ht="15" customHeight="1" x14ac:dyDescent="0.25">
      <c r="A1533" s="123">
        <f>Procurement_Raw!A1533</f>
        <v>45904</v>
      </c>
      <c r="B1533" t="str">
        <f>TRIM(Procurement_Raw!B1533)</f>
        <v>S020</v>
      </c>
      <c r="C1533" t="str">
        <f>Procurement_Raw!C1533</f>
        <v>Bangor Care &amp; Education Centre</v>
      </c>
      <c r="D1533" t="str">
        <f>Procurement_Raw!D1533</f>
        <v>Wales</v>
      </c>
      <c r="E1533" t="str">
        <f>IF(TRIM(Procurement_Raw!E1533)="","",IFERROR(INDEX(Supplier_Lookup!$A$2:$A$25,MATCH(TRIM(Procurement_Raw!E1533),Supplier_Lookup!$A$2:$A$25,0)),TRIM(Procurement_Raw!E1533)))</f>
        <v>HealthStaffing</v>
      </c>
      <c r="F1533" t="str">
        <f>IFERROR(INDEX(Category_Targets!$A$2:$A$9,MATCH(TRIM(Procurement_Raw!F1533),Category_Targets!$A$2:$A$9,0)),"Unmapped")</f>
        <v>Agency Labour</v>
      </c>
      <c r="G1533" t="str">
        <f>TRIM(Procurement_Raw!G1533)</f>
        <v>INV-2025-01532</v>
      </c>
      <c r="H1533" s="77">
        <f>Procurement_Raw!H1533</f>
        <v>3</v>
      </c>
      <c r="I1533" s="124">
        <f>Procurement_Raw!I1533</f>
        <v>113.42</v>
      </c>
      <c r="J1533" s="125">
        <f>IF(Procurement_Raw!J1533="","",Procurement_Raw!J1533)</f>
        <v>340.27</v>
      </c>
      <c r="K1533" s="77">
        <f>Procurement_Raw!K1533</f>
        <v>45</v>
      </c>
      <c r="L1533" t="str">
        <f>Procurement_Raw!L1533</f>
        <v>Procurement Portal</v>
      </c>
      <c r="M1533" t="str">
        <f>Procurement_Raw!O1533</f>
        <v>N</v>
      </c>
      <c r="N1533" t="str">
        <f>IF(E1533="","Missing supplier",IF(B1533="","Missing site",IF(J1533="","Missing spend",IF(COUNTIFS($G$2:G1533,G1533,$E$2:E1533,E1533,$J$2:J1533,J1533)&gt;1,"Duplicate invoice",IF(COUNTIF($G$2:$G$1801,G1533)&gt;1,"Duplicate ID - review",IF(AND(P1533&lt;&gt;"Unmapped",P1533&lt;&gt;F1533),"Category mismatch","OK"))))))</f>
        <v>OK</v>
      </c>
      <c r="O1533" s="125">
        <f t="shared" si="69"/>
        <v>340.27</v>
      </c>
      <c r="P1533" t="str">
        <f>IF(E1533="","Unmapped",IFERROR(INDEX(Supplier_Lookup!$B$2:$B$25,MATCH(E1533,Supplier_Lookup!$A$2:$A$25,0)),"Unmapped"))</f>
        <v>Agency Labour</v>
      </c>
      <c r="Q1533" s="76">
        <f>IFERROR(INDEX(Category_Targets!$B$2:$B$9,MATCH(F1533,Category_Targets!$A$2:$A$9,0)),0)</f>
        <v>7.0000000000000007E-2</v>
      </c>
      <c r="R1533" s="125">
        <f t="shared" si="70"/>
        <v>23.818899999999999</v>
      </c>
      <c r="S1533" s="78">
        <f t="shared" si="71"/>
        <v>45901</v>
      </c>
      <c r="T1533" t="str">
        <f>IFERROR(VLOOKUP(B1533,Sites!$A$2:$D$21,4,FALSE()),"Unknown")</f>
        <v>Bangor</v>
      </c>
      <c r="U1533" t="str">
        <f>IF(N1533="OK","",COUNTIF($N$2:N1533,"&lt;&gt;OK"))</f>
        <v/>
      </c>
      <c r="V1533">
        <f>IF(OR(NOT(EXACT(E1533,TRIM(Procurement_Raw!E1533))),NOT(EXACT(F1533,TRIM(Procurement_Raw!F1533)))),1,0)</f>
        <v>0</v>
      </c>
    </row>
    <row r="1534" spans="1:22" ht="15" customHeight="1" x14ac:dyDescent="0.25">
      <c r="A1534" s="123">
        <f>Procurement_Raw!A1534</f>
        <v>45933</v>
      </c>
      <c r="B1534" t="str">
        <f>TRIM(Procurement_Raw!B1534)</f>
        <v>S018</v>
      </c>
      <c r="C1534" t="str">
        <f>Procurement_Raw!C1534</f>
        <v>Newport Care &amp; Education Centre</v>
      </c>
      <c r="D1534" t="str">
        <f>Procurement_Raw!D1534</f>
        <v>Wales</v>
      </c>
      <c r="E1534" t="str">
        <f>IF(TRIM(Procurement_Raw!E1534)="","",IFERROR(INDEX(Supplier_Lookup!$A$2:$A$25,MATCH(TRIM(Procurement_Raw!E1534),Supplier_Lookup!$A$2:$A$25,0)),TRIM(Procurement_Raw!E1534)))</f>
        <v>NetServe</v>
      </c>
      <c r="F1534" t="str">
        <f>IFERROR(INDEX(Category_Targets!$A$2:$A$9,MATCH(TRIM(Procurement_Raw!F1534),Category_Targets!$A$2:$A$9,0)),"Unmapped")</f>
        <v>IT &amp; Telecoms</v>
      </c>
      <c r="G1534" t="str">
        <f>TRIM(Procurement_Raw!G1534)</f>
        <v>INV-2025-01533</v>
      </c>
      <c r="H1534" s="77">
        <f>Procurement_Raw!H1534</f>
        <v>20</v>
      </c>
      <c r="I1534" s="124">
        <f>Procurement_Raw!I1534</f>
        <v>262.79000000000002</v>
      </c>
      <c r="J1534" s="125">
        <f>IF(Procurement_Raw!J1534="","",Procurement_Raw!J1534)</f>
        <v>5255.88</v>
      </c>
      <c r="K1534" s="77">
        <f>Procurement_Raw!K1534</f>
        <v>60</v>
      </c>
      <c r="L1534" t="str">
        <f>Procurement_Raw!L1534</f>
        <v>Legacy Spend File</v>
      </c>
      <c r="M1534" t="str">
        <f>Procurement_Raw!O1534</f>
        <v>N</v>
      </c>
      <c r="N1534" t="str">
        <f>IF(E1534="","Missing supplier",IF(B1534="","Missing site",IF(J1534="","Missing spend",IF(COUNTIFS($G$2:G1534,G1534,$E$2:E1534,E1534,$J$2:J1534,J1534)&gt;1,"Duplicate invoice",IF(COUNTIF($G$2:$G$1801,G1534)&gt;1,"Duplicate ID - review",IF(AND(P1534&lt;&gt;"Unmapped",P1534&lt;&gt;F1534),"Category mismatch","OK"))))))</f>
        <v>OK</v>
      </c>
      <c r="O1534" s="125">
        <f t="shared" si="69"/>
        <v>5255.88</v>
      </c>
      <c r="P1534" t="str">
        <f>IF(E1534="","Unmapped",IFERROR(INDEX(Supplier_Lookup!$B$2:$B$25,MATCH(E1534,Supplier_Lookup!$A$2:$A$25,0)),"Unmapped"))</f>
        <v>IT &amp; Telecoms</v>
      </c>
      <c r="Q1534" s="76">
        <f>IFERROR(INDEX(Category_Targets!$B$2:$B$9,MATCH(F1534,Category_Targets!$A$2:$A$9,0)),0)</f>
        <v>0.08</v>
      </c>
      <c r="R1534" s="125">
        <f t="shared" si="70"/>
        <v>420.47040000000004</v>
      </c>
      <c r="S1534" s="78">
        <f t="shared" si="71"/>
        <v>45931</v>
      </c>
      <c r="T1534" t="str">
        <f>IFERROR(VLOOKUP(B1534,Sites!$A$2:$D$21,4,FALSE()),"Unknown")</f>
        <v>Newport</v>
      </c>
      <c r="U1534" t="str">
        <f>IF(N1534="OK","",COUNTIF($N$2:N1534,"&lt;&gt;OK"))</f>
        <v/>
      </c>
      <c r="V1534">
        <f>IF(OR(NOT(EXACT(E1534,TRIM(Procurement_Raw!E1534))),NOT(EXACT(F1534,TRIM(Procurement_Raw!F1534)))),1,0)</f>
        <v>0</v>
      </c>
    </row>
    <row r="1535" spans="1:22" ht="15" customHeight="1" x14ac:dyDescent="0.25">
      <c r="A1535" s="123">
        <f>Procurement_Raw!A1535</f>
        <v>45895</v>
      </c>
      <c r="B1535" t="str">
        <f>TRIM(Procurement_Raw!B1535)</f>
        <v>S017</v>
      </c>
      <c r="C1535" t="str">
        <f>Procurement_Raw!C1535</f>
        <v>Swansea Care &amp; Education Centre</v>
      </c>
      <c r="D1535" t="str">
        <f>Procurement_Raw!D1535</f>
        <v>Wales</v>
      </c>
      <c r="E1535" t="str">
        <f>IF(TRIM(Procurement_Raw!E1535)="","",IFERROR(INDEX(Supplier_Lookup!$A$2:$A$25,MATCH(TRIM(Procurement_Raw!E1535),Supplier_Lookup!$A$2:$A$25,0)),TRIM(Procurement_Raw!E1535)))</f>
        <v>TeleCare IT</v>
      </c>
      <c r="F1535" t="str">
        <f>IFERROR(INDEX(Category_Targets!$A$2:$A$9,MATCH(TRIM(Procurement_Raw!F1535),Category_Targets!$A$2:$A$9,0)),"Unmapped")</f>
        <v>IT &amp; Telecoms</v>
      </c>
      <c r="G1535" t="str">
        <f>TRIM(Procurement_Raw!G1535)</f>
        <v>INV-2025-01534</v>
      </c>
      <c r="H1535" s="77">
        <f>Procurement_Raw!H1535</f>
        <v>40</v>
      </c>
      <c r="I1535" s="124">
        <f>Procurement_Raw!I1535</f>
        <v>202.85</v>
      </c>
      <c r="J1535" s="125">
        <f>IF(Procurement_Raw!J1535="","",Procurement_Raw!J1535)</f>
        <v>8113.83</v>
      </c>
      <c r="K1535" s="77">
        <f>Procurement_Raw!K1535</f>
        <v>45</v>
      </c>
      <c r="L1535" t="str">
        <f>Procurement_Raw!L1535</f>
        <v>Procurement Portal</v>
      </c>
      <c r="M1535" t="str">
        <f>Procurement_Raw!O1535</f>
        <v>N</v>
      </c>
      <c r="N1535" t="str">
        <f>IF(E1535="","Missing supplier",IF(B1535="","Missing site",IF(J1535="","Missing spend",IF(COUNTIFS($G$2:G1535,G1535,$E$2:E1535,E1535,$J$2:J1535,J1535)&gt;1,"Duplicate invoice",IF(COUNTIF($G$2:$G$1801,G1535)&gt;1,"Duplicate ID - review",IF(AND(P1535&lt;&gt;"Unmapped",P1535&lt;&gt;F1535),"Category mismatch","OK"))))))</f>
        <v>OK</v>
      </c>
      <c r="O1535" s="125">
        <f t="shared" si="69"/>
        <v>8113.83</v>
      </c>
      <c r="P1535" t="str">
        <f>IF(E1535="","Unmapped",IFERROR(INDEX(Supplier_Lookup!$B$2:$B$25,MATCH(E1535,Supplier_Lookup!$A$2:$A$25,0)),"Unmapped"))</f>
        <v>IT &amp; Telecoms</v>
      </c>
      <c r="Q1535" s="76">
        <f>IFERROR(INDEX(Category_Targets!$B$2:$B$9,MATCH(F1535,Category_Targets!$A$2:$A$9,0)),0)</f>
        <v>0.08</v>
      </c>
      <c r="R1535" s="125">
        <f t="shared" si="70"/>
        <v>649.10640000000001</v>
      </c>
      <c r="S1535" s="78">
        <f t="shared" si="71"/>
        <v>45870</v>
      </c>
      <c r="T1535" t="str">
        <f>IFERROR(VLOOKUP(B1535,Sites!$A$2:$D$21,4,FALSE()),"Unknown")</f>
        <v>Swansea</v>
      </c>
      <c r="U1535" t="str">
        <f>IF(N1535="OK","",COUNTIF($N$2:N1535,"&lt;&gt;OK"))</f>
        <v/>
      </c>
      <c r="V1535">
        <f>IF(OR(NOT(EXACT(E1535,TRIM(Procurement_Raw!E1535))),NOT(EXACT(F1535,TRIM(Procurement_Raw!F1535)))),1,0)</f>
        <v>0</v>
      </c>
    </row>
    <row r="1536" spans="1:22" ht="15" customHeight="1" x14ac:dyDescent="0.25">
      <c r="A1536" s="123">
        <f>Procurement_Raw!A1536</f>
        <v>45828</v>
      </c>
      <c r="B1536" t="str">
        <f>TRIM(Procurement_Raw!B1536)</f>
        <v>S015</v>
      </c>
      <c r="C1536" t="str">
        <f>Procurement_Raw!C1536</f>
        <v>Brighton Care &amp; Education Centre</v>
      </c>
      <c r="D1536" t="str">
        <f>Procurement_Raw!D1536</f>
        <v>South</v>
      </c>
      <c r="E1536" t="str">
        <f>IF(TRIM(Procurement_Raw!E1536)="","",IFERROR(INDEX(Supplier_Lookup!$A$2:$A$25,MATCH(TRIM(Procurement_Raw!E1536),Supplier_Lookup!$A$2:$A$25,0)),TRIM(Procurement_Raw!E1536)))</f>
        <v>OfficePlus</v>
      </c>
      <c r="F1536" t="str">
        <f>IFERROR(INDEX(Category_Targets!$A$2:$A$9,MATCH(TRIM(Procurement_Raw!F1536),Category_Targets!$A$2:$A$9,0)),"Unmapped")</f>
        <v>Office &amp; Training</v>
      </c>
      <c r="G1536" t="str">
        <f>TRIM(Procurement_Raw!G1536)</f>
        <v>INV-2025-01535</v>
      </c>
      <c r="H1536" s="77">
        <f>Procurement_Raw!H1536</f>
        <v>18</v>
      </c>
      <c r="I1536" s="124">
        <f>Procurement_Raw!I1536</f>
        <v>58.04</v>
      </c>
      <c r="J1536" s="125">
        <f>IF(Procurement_Raw!J1536="","",Procurement_Raw!J1536)</f>
        <v>1044.76</v>
      </c>
      <c r="K1536" s="77">
        <f>Procurement_Raw!K1536</f>
        <v>60</v>
      </c>
      <c r="L1536" t="str">
        <f>Procurement_Raw!L1536</f>
        <v>Procurement Portal</v>
      </c>
      <c r="M1536" t="str">
        <f>Procurement_Raw!O1536</f>
        <v>N</v>
      </c>
      <c r="N1536" t="str">
        <f>IF(E1536="","Missing supplier",IF(B1536="","Missing site",IF(J1536="","Missing spend",IF(COUNTIFS($G$2:G1536,G1536,$E$2:E1536,E1536,$J$2:J1536,J1536)&gt;1,"Duplicate invoice",IF(COUNTIF($G$2:$G$1801,G1536)&gt;1,"Duplicate ID - review",IF(AND(P1536&lt;&gt;"Unmapped",P1536&lt;&gt;F1536),"Category mismatch","OK"))))))</f>
        <v>OK</v>
      </c>
      <c r="O1536" s="125">
        <f t="shared" si="69"/>
        <v>1044.76</v>
      </c>
      <c r="P1536" t="str">
        <f>IF(E1536="","Unmapped",IFERROR(INDEX(Supplier_Lookup!$B$2:$B$25,MATCH(E1536,Supplier_Lookup!$A$2:$A$25,0)),"Unmapped"))</f>
        <v>Office &amp; Training</v>
      </c>
      <c r="Q1536" s="76">
        <f>IFERROR(INDEX(Category_Targets!$B$2:$B$9,MATCH(F1536,Category_Targets!$A$2:$A$9,0)),0)</f>
        <v>0.04</v>
      </c>
      <c r="R1536" s="125">
        <f t="shared" si="70"/>
        <v>41.790399999999998</v>
      </c>
      <c r="S1536" s="78">
        <f t="shared" si="71"/>
        <v>45809</v>
      </c>
      <c r="T1536" t="str">
        <f>IFERROR(VLOOKUP(B1536,Sites!$A$2:$D$21,4,FALSE()),"Unknown")</f>
        <v>Brighton</v>
      </c>
      <c r="U1536" t="str">
        <f>IF(N1536="OK","",COUNTIF($N$2:N1536,"&lt;&gt;OK"))</f>
        <v/>
      </c>
      <c r="V1536">
        <f>IF(OR(NOT(EXACT(E1536,TRIM(Procurement_Raw!E1536))),NOT(EXACT(F1536,TRIM(Procurement_Raw!F1536)))),1,0)</f>
        <v>0</v>
      </c>
    </row>
    <row r="1537" spans="1:22" ht="15" customHeight="1" x14ac:dyDescent="0.25">
      <c r="A1537" s="123">
        <f>Procurement_Raw!A1537</f>
        <v>45660</v>
      </c>
      <c r="B1537" t="str">
        <f>TRIM(Procurement_Raw!B1537)</f>
        <v>S004</v>
      </c>
      <c r="C1537" t="str">
        <f>Procurement_Raw!C1537</f>
        <v>Newcastle Care &amp; Education Centre</v>
      </c>
      <c r="D1537" t="str">
        <f>Procurement_Raw!D1537</f>
        <v>North</v>
      </c>
      <c r="E1537" t="str">
        <f>IF(TRIM(Procurement_Raw!E1537)="","",IFERROR(INDEX(Supplier_Lookup!$A$2:$A$25,MATCH(TRIM(Procurement_Raw!E1537),Supplier_Lookup!$A$2:$A$25,0)),TRIM(Procurement_Raw!E1537)))</f>
        <v>CleanWorks</v>
      </c>
      <c r="F1537" t="str">
        <f>IFERROR(INDEX(Category_Targets!$A$2:$A$9,MATCH(TRIM(Procurement_Raw!F1537),Category_Targets!$A$2:$A$9,0)),"Unmapped")</f>
        <v>Facilities</v>
      </c>
      <c r="G1537" t="str">
        <f>TRIM(Procurement_Raw!G1537)</f>
        <v>INV-2025-01536</v>
      </c>
      <c r="H1537" s="77">
        <f>Procurement_Raw!H1537</f>
        <v>2</v>
      </c>
      <c r="I1537" s="124">
        <f>Procurement_Raw!I1537</f>
        <v>74.88</v>
      </c>
      <c r="J1537" s="125">
        <f>IF(Procurement_Raw!J1537="","",Procurement_Raw!J1537)</f>
        <v>149.76</v>
      </c>
      <c r="K1537" s="77">
        <f>Procurement_Raw!K1537</f>
        <v>60</v>
      </c>
      <c r="L1537" t="str">
        <f>Procurement_Raw!L1537</f>
        <v>Legacy Spend File</v>
      </c>
      <c r="M1537" t="str">
        <f>Procurement_Raw!O1537</f>
        <v>Y</v>
      </c>
      <c r="N1537" t="str">
        <f>IF(E1537="","Missing supplier",IF(B1537="","Missing site",IF(J1537="","Missing spend",IF(COUNTIFS($G$2:G1537,G1537,$E$2:E1537,E1537,$J$2:J1537,J1537)&gt;1,"Duplicate invoice",IF(COUNTIF($G$2:$G$1801,G1537)&gt;1,"Duplicate ID - review",IF(AND(P1537&lt;&gt;"Unmapped",P1537&lt;&gt;F1537),"Category mismatch","OK"))))))</f>
        <v>OK</v>
      </c>
      <c r="O1537" s="125">
        <f t="shared" si="69"/>
        <v>149.76</v>
      </c>
      <c r="P1537" t="str">
        <f>IF(E1537="","Unmapped",IFERROR(INDEX(Supplier_Lookup!$B$2:$B$25,MATCH(E1537,Supplier_Lookup!$A$2:$A$25,0)),"Unmapped"))</f>
        <v>Facilities</v>
      </c>
      <c r="Q1537" s="76">
        <f>IFERROR(INDEX(Category_Targets!$B$2:$B$9,MATCH(F1537,Category_Targets!$A$2:$A$9,0)),0)</f>
        <v>0.05</v>
      </c>
      <c r="R1537" s="125">
        <f t="shared" si="70"/>
        <v>7.4879999999999995</v>
      </c>
      <c r="S1537" s="78">
        <f t="shared" si="71"/>
        <v>45658</v>
      </c>
      <c r="T1537" t="str">
        <f>IFERROR(VLOOKUP(B1537,Sites!$A$2:$D$21,4,FALSE()),"Unknown")</f>
        <v>Newcastle</v>
      </c>
      <c r="U1537" t="str">
        <f>IF(N1537="OK","",COUNTIF($N$2:N1537,"&lt;&gt;OK"))</f>
        <v/>
      </c>
      <c r="V1537">
        <f>IF(OR(NOT(EXACT(E1537,TRIM(Procurement_Raw!E1537))),NOT(EXACT(F1537,TRIM(Procurement_Raw!F1537)))),1,0)</f>
        <v>0</v>
      </c>
    </row>
    <row r="1538" spans="1:22" ht="15" customHeight="1" x14ac:dyDescent="0.25">
      <c r="A1538" s="123">
        <f>Procurement_Raw!A1538</f>
        <v>45865</v>
      </c>
      <c r="B1538" t="str">
        <f>TRIM(Procurement_Raw!B1538)</f>
        <v>S014</v>
      </c>
      <c r="C1538" t="str">
        <f>Procurement_Raw!C1538</f>
        <v>Southampton Care &amp; Education Centre</v>
      </c>
      <c r="D1538" t="str">
        <f>Procurement_Raw!D1538</f>
        <v>South</v>
      </c>
      <c r="E1538" t="str">
        <f>IF(TRIM(Procurement_Raw!E1538)="","",IFERROR(INDEX(Supplier_Lookup!$A$2:$A$25,MATCH(TRIM(Procurement_Raw!E1538),Supplier_Lookup!$A$2:$A$25,0)),TRIM(Procurement_Raw!E1538)))</f>
        <v>RoadReady</v>
      </c>
      <c r="F1538" t="str">
        <f>IFERROR(INDEX(Category_Targets!$A$2:$A$9,MATCH(TRIM(Procurement_Raw!F1538),Category_Targets!$A$2:$A$9,0)),"Unmapped")</f>
        <v>Vehicle &amp; Fuel</v>
      </c>
      <c r="G1538" t="str">
        <f>TRIM(Procurement_Raw!G1538)</f>
        <v>INV-2025-01537</v>
      </c>
      <c r="H1538" s="77">
        <f>Procurement_Raw!H1538</f>
        <v>54</v>
      </c>
      <c r="I1538" s="124">
        <f>Procurement_Raw!I1538</f>
        <v>126.01</v>
      </c>
      <c r="J1538" s="125">
        <f>IF(Procurement_Raw!J1538="","",Procurement_Raw!J1538)</f>
        <v>6804.51</v>
      </c>
      <c r="K1538" s="77">
        <f>Procurement_Raw!K1538</f>
        <v>45</v>
      </c>
      <c r="L1538" t="str">
        <f>Procurement_Raw!L1538</f>
        <v>Legacy Spend File</v>
      </c>
      <c r="M1538" t="str">
        <f>Procurement_Raw!O1538</f>
        <v>N</v>
      </c>
      <c r="N1538" t="str">
        <f>IF(E1538="","Missing supplier",IF(B1538="","Missing site",IF(J1538="","Missing spend",IF(COUNTIFS($G$2:G1538,G1538,$E$2:E1538,E1538,$J$2:J1538,J1538)&gt;1,"Duplicate invoice",IF(COUNTIF($G$2:$G$1801,G1538)&gt;1,"Duplicate ID - review",IF(AND(P1538&lt;&gt;"Unmapped",P1538&lt;&gt;F1538),"Category mismatch","OK"))))))</f>
        <v>OK</v>
      </c>
      <c r="O1538" s="125">
        <f t="shared" ref="O1538:O1601" si="72">IF(OR(N1538="Missing spend",N1538="Duplicate invoice"),0,J1538)</f>
        <v>6804.51</v>
      </c>
      <c r="P1538" t="str">
        <f>IF(E1538="","Unmapped",IFERROR(INDEX(Supplier_Lookup!$B$2:$B$25,MATCH(E1538,Supplier_Lookup!$A$2:$A$25,0)),"Unmapped"))</f>
        <v>Vehicle &amp; Fuel</v>
      </c>
      <c r="Q1538" s="76">
        <f>IFERROR(INDEX(Category_Targets!$B$2:$B$9,MATCH(F1538,Category_Targets!$A$2:$A$9,0)),0)</f>
        <v>0.05</v>
      </c>
      <c r="R1538" s="125">
        <f t="shared" ref="R1538:R1601" si="73">O1538*Q1538</f>
        <v>340.22550000000001</v>
      </c>
      <c r="S1538" s="78">
        <f t="shared" ref="S1538:S1601" si="74">DATE(YEAR(A1538),MONTH(A1538),1)</f>
        <v>45839</v>
      </c>
      <c r="T1538" t="str">
        <f>IFERROR(VLOOKUP(B1538,Sites!$A$2:$D$21,4,FALSE()),"Unknown")</f>
        <v>Southampton</v>
      </c>
      <c r="U1538" t="str">
        <f>IF(N1538="OK","",COUNTIF($N$2:N1538,"&lt;&gt;OK"))</f>
        <v/>
      </c>
      <c r="V1538">
        <f>IF(OR(NOT(EXACT(E1538,TRIM(Procurement_Raw!E1538))),NOT(EXACT(F1538,TRIM(Procurement_Raw!F1538)))),1,0)</f>
        <v>0</v>
      </c>
    </row>
    <row r="1539" spans="1:22" ht="15" customHeight="1" x14ac:dyDescent="0.25">
      <c r="A1539" s="123">
        <f>Procurement_Raw!A1539</f>
        <v>45815</v>
      </c>
      <c r="B1539" t="str">
        <f>TRIM(Procurement_Raw!B1539)</f>
        <v>S003</v>
      </c>
      <c r="C1539" t="str">
        <f>Procurement_Raw!C1539</f>
        <v>Leeds Care &amp; Education Centre</v>
      </c>
      <c r="D1539" t="str">
        <f>Procurement_Raw!D1539</f>
        <v>North</v>
      </c>
      <c r="E1539" t="str">
        <f>IF(TRIM(Procurement_Raw!E1539)="","",IFERROR(INDEX(Supplier_Lookup!$A$2:$A$25,MATCH(TRIM(Procurement_Raw!E1539),Supplier_Lookup!$A$2:$A$25,0)),TRIM(Procurement_Raw!E1539)))</f>
        <v>CareTemps</v>
      </c>
      <c r="F1539" t="str">
        <f>IFERROR(INDEX(Category_Targets!$A$2:$A$9,MATCH(TRIM(Procurement_Raw!F1539),Category_Targets!$A$2:$A$9,0)),"Unmapped")</f>
        <v>Agency Labour</v>
      </c>
      <c r="G1539" t="str">
        <f>TRIM(Procurement_Raw!G1539)</f>
        <v>INV-2025-01538</v>
      </c>
      <c r="H1539" s="77">
        <f>Procurement_Raw!H1539</f>
        <v>76</v>
      </c>
      <c r="I1539" s="124">
        <f>Procurement_Raw!I1539</f>
        <v>223.81</v>
      </c>
      <c r="J1539" s="125">
        <f>IF(Procurement_Raw!J1539="","",Procurement_Raw!J1539)</f>
        <v>17009.55</v>
      </c>
      <c r="K1539" s="77">
        <f>Procurement_Raw!K1539</f>
        <v>30</v>
      </c>
      <c r="L1539" t="str">
        <f>Procurement_Raw!L1539</f>
        <v>Procurement Portal</v>
      </c>
      <c r="M1539" t="str">
        <f>Procurement_Raw!O1539</f>
        <v>N</v>
      </c>
      <c r="N1539" t="str">
        <f>IF(E1539="","Missing supplier",IF(B1539="","Missing site",IF(J1539="","Missing spend",IF(COUNTIFS($G$2:G1539,G1539,$E$2:E1539,E1539,$J$2:J1539,J1539)&gt;1,"Duplicate invoice",IF(COUNTIF($G$2:$G$1801,G1539)&gt;1,"Duplicate ID - review",IF(AND(P1539&lt;&gt;"Unmapped",P1539&lt;&gt;F1539),"Category mismatch","OK"))))))</f>
        <v>OK</v>
      </c>
      <c r="O1539" s="125">
        <f t="shared" si="72"/>
        <v>17009.55</v>
      </c>
      <c r="P1539" t="str">
        <f>IF(E1539="","Unmapped",IFERROR(INDEX(Supplier_Lookup!$B$2:$B$25,MATCH(E1539,Supplier_Lookup!$A$2:$A$25,0)),"Unmapped"))</f>
        <v>Agency Labour</v>
      </c>
      <c r="Q1539" s="76">
        <f>IFERROR(INDEX(Category_Targets!$B$2:$B$9,MATCH(F1539,Category_Targets!$A$2:$A$9,0)),0)</f>
        <v>7.0000000000000007E-2</v>
      </c>
      <c r="R1539" s="125">
        <f t="shared" si="73"/>
        <v>1190.6685</v>
      </c>
      <c r="S1539" s="78">
        <f t="shared" si="74"/>
        <v>45809</v>
      </c>
      <c r="T1539" t="str">
        <f>IFERROR(VLOOKUP(B1539,Sites!$A$2:$D$21,4,FALSE()),"Unknown")</f>
        <v>Leeds</v>
      </c>
      <c r="U1539" t="str">
        <f>IF(N1539="OK","",COUNTIF($N$2:N1539,"&lt;&gt;OK"))</f>
        <v/>
      </c>
      <c r="V1539">
        <f>IF(OR(NOT(EXACT(E1539,TRIM(Procurement_Raw!E1539))),NOT(EXACT(F1539,TRIM(Procurement_Raw!F1539)))),1,0)</f>
        <v>0</v>
      </c>
    </row>
    <row r="1540" spans="1:22" ht="15" customHeight="1" x14ac:dyDescent="0.25">
      <c r="A1540" s="123">
        <f>Procurement_Raw!A1540</f>
        <v>45947</v>
      </c>
      <c r="B1540" t="str">
        <f>TRIM(Procurement_Raw!B1540)</f>
        <v>S014</v>
      </c>
      <c r="C1540" t="str">
        <f>Procurement_Raw!C1540</f>
        <v>Southampton Care &amp; Education Centre</v>
      </c>
      <c r="D1540" t="str">
        <f>Procurement_Raw!D1540</f>
        <v>South</v>
      </c>
      <c r="E1540" t="str">
        <f>IF(TRIM(Procurement_Raw!E1540)="","",IFERROR(INDEX(Supplier_Lookup!$A$2:$A$25,MATCH(TRIM(Procurement_Raw!E1540),Supplier_Lookup!$A$2:$A$25,0)),TRIM(Procurement_Raw!E1540)))</f>
        <v>NourishCo</v>
      </c>
      <c r="F1540" t="str">
        <f>IFERROR(INDEX(Category_Targets!$A$2:$A$9,MATCH(TRIM(Procurement_Raw!F1540),Category_Targets!$A$2:$A$9,0)),"Unmapped")</f>
        <v>Food &amp; Catering</v>
      </c>
      <c r="G1540" t="str">
        <f>TRIM(Procurement_Raw!G1540)</f>
        <v>INV-2025-01539</v>
      </c>
      <c r="H1540" s="77">
        <f>Procurement_Raw!H1540</f>
        <v>21</v>
      </c>
      <c r="I1540" s="124">
        <f>Procurement_Raw!I1540</f>
        <v>34.159999999999997</v>
      </c>
      <c r="J1540" s="125">
        <f>IF(Procurement_Raw!J1540="","",Procurement_Raw!J1540)</f>
        <v>717.27</v>
      </c>
      <c r="K1540" s="77">
        <f>Procurement_Raw!K1540</f>
        <v>30</v>
      </c>
      <c r="L1540" t="str">
        <f>Procurement_Raw!L1540</f>
        <v>Procurement Portal</v>
      </c>
      <c r="M1540" t="str">
        <f>Procurement_Raw!O1540</f>
        <v>N</v>
      </c>
      <c r="N1540" t="str">
        <f>IF(E1540="","Missing supplier",IF(B1540="","Missing site",IF(J1540="","Missing spend",IF(COUNTIFS($G$2:G1540,G1540,$E$2:E1540,E1540,$J$2:J1540,J1540)&gt;1,"Duplicate invoice",IF(COUNTIF($G$2:$G$1801,G1540)&gt;1,"Duplicate ID - review",IF(AND(P1540&lt;&gt;"Unmapped",P1540&lt;&gt;F1540),"Category mismatch","OK"))))))</f>
        <v>OK</v>
      </c>
      <c r="O1540" s="125">
        <f t="shared" si="72"/>
        <v>717.27</v>
      </c>
      <c r="P1540" t="str">
        <f>IF(E1540="","Unmapped",IFERROR(INDEX(Supplier_Lookup!$B$2:$B$25,MATCH(E1540,Supplier_Lookup!$A$2:$A$25,0)),"Unmapped"))</f>
        <v>Food &amp; Catering</v>
      </c>
      <c r="Q1540" s="76">
        <f>IFERROR(INDEX(Category_Targets!$B$2:$B$9,MATCH(F1540,Category_Targets!$A$2:$A$9,0)),0)</f>
        <v>0.04</v>
      </c>
      <c r="R1540" s="125">
        <f t="shared" si="73"/>
        <v>28.690799999999999</v>
      </c>
      <c r="S1540" s="78">
        <f t="shared" si="74"/>
        <v>45931</v>
      </c>
      <c r="T1540" t="str">
        <f>IFERROR(VLOOKUP(B1540,Sites!$A$2:$D$21,4,FALSE()),"Unknown")</f>
        <v>Southampton</v>
      </c>
      <c r="U1540" t="str">
        <f>IF(N1540="OK","",COUNTIF($N$2:N1540,"&lt;&gt;OK"))</f>
        <v/>
      </c>
      <c r="V1540">
        <f>IF(OR(NOT(EXACT(E1540,TRIM(Procurement_Raw!E1540))),NOT(EXACT(F1540,TRIM(Procurement_Raw!F1540)))),1,0)</f>
        <v>0</v>
      </c>
    </row>
    <row r="1541" spans="1:22" ht="15" customHeight="1" x14ac:dyDescent="0.25">
      <c r="A1541" s="123">
        <f>Procurement_Raw!A1541</f>
        <v>46021</v>
      </c>
      <c r="B1541" t="str">
        <f>TRIM(Procurement_Raw!B1541)</f>
        <v>S017</v>
      </c>
      <c r="C1541" t="str">
        <f>Procurement_Raw!C1541</f>
        <v>Swansea Care &amp; Education Centre</v>
      </c>
      <c r="D1541" t="str">
        <f>Procurement_Raw!D1541</f>
        <v>Wales</v>
      </c>
      <c r="E1541" t="str">
        <f>IF(TRIM(Procurement_Raw!E1541)="","",IFERROR(INDEX(Supplier_Lookup!$A$2:$A$25,MATCH(TRIM(Procurement_Raw!E1541),Supplier_Lookup!$A$2:$A$25,0)),TRIM(Procurement_Raw!E1541)))</f>
        <v>AutoCare</v>
      </c>
      <c r="F1541" t="str">
        <f>IFERROR(INDEX(Category_Targets!$A$2:$A$9,MATCH(TRIM(Procurement_Raw!F1541),Category_Targets!$A$2:$A$9,0)),"Unmapped")</f>
        <v>Vehicle &amp; Fuel</v>
      </c>
      <c r="G1541" t="str">
        <f>TRIM(Procurement_Raw!G1541)</f>
        <v>INV-2025-01540</v>
      </c>
      <c r="H1541" s="77">
        <f>Procurement_Raw!H1541</f>
        <v>63</v>
      </c>
      <c r="I1541" s="124">
        <f>Procurement_Raw!I1541</f>
        <v>19.57</v>
      </c>
      <c r="J1541" s="125">
        <f>IF(Procurement_Raw!J1541="","",Procurement_Raw!J1541)</f>
        <v>1233.08</v>
      </c>
      <c r="K1541" s="77">
        <f>Procurement_Raw!K1541</f>
        <v>60</v>
      </c>
      <c r="L1541" t="str">
        <f>Procurement_Raw!L1541</f>
        <v>Legacy Spend File</v>
      </c>
      <c r="M1541" t="str">
        <f>Procurement_Raw!O1541</f>
        <v>N</v>
      </c>
      <c r="N1541" t="str">
        <f>IF(E1541="","Missing supplier",IF(B1541="","Missing site",IF(J1541="","Missing spend",IF(COUNTIFS($G$2:G1541,G1541,$E$2:E1541,E1541,$J$2:J1541,J1541)&gt;1,"Duplicate invoice",IF(COUNTIF($G$2:$G$1801,G1541)&gt;1,"Duplicate ID - review",IF(AND(P1541&lt;&gt;"Unmapped",P1541&lt;&gt;F1541),"Category mismatch","OK"))))))</f>
        <v>OK</v>
      </c>
      <c r="O1541" s="125">
        <f t="shared" si="72"/>
        <v>1233.08</v>
      </c>
      <c r="P1541" t="str">
        <f>IF(E1541="","Unmapped",IFERROR(INDEX(Supplier_Lookup!$B$2:$B$25,MATCH(E1541,Supplier_Lookup!$A$2:$A$25,0)),"Unmapped"))</f>
        <v>Vehicle &amp; Fuel</v>
      </c>
      <c r="Q1541" s="76">
        <f>IFERROR(INDEX(Category_Targets!$B$2:$B$9,MATCH(F1541,Category_Targets!$A$2:$A$9,0)),0)</f>
        <v>0.05</v>
      </c>
      <c r="R1541" s="125">
        <f t="shared" si="73"/>
        <v>61.653999999999996</v>
      </c>
      <c r="S1541" s="78">
        <f t="shared" si="74"/>
        <v>45992</v>
      </c>
      <c r="T1541" t="str">
        <f>IFERROR(VLOOKUP(B1541,Sites!$A$2:$D$21,4,FALSE()),"Unknown")</f>
        <v>Swansea</v>
      </c>
      <c r="U1541" t="str">
        <f>IF(N1541="OK","",COUNTIF($N$2:N1541,"&lt;&gt;OK"))</f>
        <v/>
      </c>
      <c r="V1541">
        <f>IF(OR(NOT(EXACT(E1541,TRIM(Procurement_Raw!E1541))),NOT(EXACT(F1541,TRIM(Procurement_Raw!F1541)))),1,0)</f>
        <v>0</v>
      </c>
    </row>
    <row r="1542" spans="1:22" ht="15" customHeight="1" x14ac:dyDescent="0.25">
      <c r="A1542" s="123">
        <f>Procurement_Raw!A1542</f>
        <v>45855</v>
      </c>
      <c r="B1542" t="str">
        <f>TRIM(Procurement_Raw!B1542)</f>
        <v>S002</v>
      </c>
      <c r="C1542" t="str">
        <f>Procurement_Raw!C1542</f>
        <v>Manchester Care &amp; Education Centre</v>
      </c>
      <c r="D1542" t="str">
        <f>Procurement_Raw!D1542</f>
        <v>North</v>
      </c>
      <c r="E1542" t="str">
        <f>IF(TRIM(Procurement_Raw!E1542)="","",IFERROR(INDEX(Supplier_Lookup!$A$2:$A$25,MATCH(TRIM(Procurement_Raw!E1542),Supplier_Lookup!$A$2:$A$25,0)),TRIM(Procurement_Raw!E1542)))</f>
        <v>ClinEquip</v>
      </c>
      <c r="F1542" t="str">
        <f>IFERROR(INDEX(Category_Targets!$A$2:$A$9,MATCH(TRIM(Procurement_Raw!F1542),Category_Targets!$A$2:$A$9,0)),"Unmapped")</f>
        <v>Medical Supplies</v>
      </c>
      <c r="G1542" t="str">
        <f>TRIM(Procurement_Raw!G1542)</f>
        <v>INV-2025-01541</v>
      </c>
      <c r="H1542" s="77">
        <f>Procurement_Raw!H1542</f>
        <v>55</v>
      </c>
      <c r="I1542" s="124">
        <f>Procurement_Raw!I1542</f>
        <v>118.2</v>
      </c>
      <c r="J1542" s="125">
        <f>IF(Procurement_Raw!J1542="","",Procurement_Raw!J1542)</f>
        <v>6500.87</v>
      </c>
      <c r="K1542" s="77">
        <f>Procurement_Raw!K1542</f>
        <v>60</v>
      </c>
      <c r="L1542" t="str">
        <f>Procurement_Raw!L1542</f>
        <v>ERP</v>
      </c>
      <c r="M1542" t="str">
        <f>Procurement_Raw!O1542</f>
        <v>N</v>
      </c>
      <c r="N1542" t="str">
        <f>IF(E1542="","Missing supplier",IF(B1542="","Missing site",IF(J1542="","Missing spend",IF(COUNTIFS($G$2:G1542,G1542,$E$2:E1542,E1542,$J$2:J1542,J1542)&gt;1,"Duplicate invoice",IF(COUNTIF($G$2:$G$1801,G1542)&gt;1,"Duplicate ID - review",IF(AND(P1542&lt;&gt;"Unmapped",P1542&lt;&gt;F1542),"Category mismatch","OK"))))))</f>
        <v>OK</v>
      </c>
      <c r="O1542" s="125">
        <f t="shared" si="72"/>
        <v>6500.87</v>
      </c>
      <c r="P1542" t="str">
        <f>IF(E1542="","Unmapped",IFERROR(INDEX(Supplier_Lookup!$B$2:$B$25,MATCH(E1542,Supplier_Lookup!$A$2:$A$25,0)),"Unmapped"))</f>
        <v>Medical Supplies</v>
      </c>
      <c r="Q1542" s="76">
        <f>IFERROR(INDEX(Category_Targets!$B$2:$B$9,MATCH(F1542,Category_Targets!$A$2:$A$9,0)),0)</f>
        <v>0.06</v>
      </c>
      <c r="R1542" s="125">
        <f t="shared" si="73"/>
        <v>390.05219999999997</v>
      </c>
      <c r="S1542" s="78">
        <f t="shared" si="74"/>
        <v>45839</v>
      </c>
      <c r="T1542" t="str">
        <f>IFERROR(VLOOKUP(B1542,Sites!$A$2:$D$21,4,FALSE()),"Unknown")</f>
        <v>Manchester</v>
      </c>
      <c r="U1542" t="str">
        <f>IF(N1542="OK","",COUNTIF($N$2:N1542,"&lt;&gt;OK"))</f>
        <v/>
      </c>
      <c r="V1542">
        <f>IF(OR(NOT(EXACT(E1542,TRIM(Procurement_Raw!E1542))),NOT(EXACT(F1542,TRIM(Procurement_Raw!F1542)))),1,0)</f>
        <v>0</v>
      </c>
    </row>
    <row r="1543" spans="1:22" ht="15" customHeight="1" x14ac:dyDescent="0.25">
      <c r="A1543" s="123">
        <f>Procurement_Raw!A1543</f>
        <v>45843</v>
      </c>
      <c r="B1543" t="str">
        <f>TRIM(Procurement_Raw!B1543)</f>
        <v>S002</v>
      </c>
      <c r="C1543" t="str">
        <f>Procurement_Raw!C1543</f>
        <v>Manchester Care &amp; Education Centre</v>
      </c>
      <c r="D1543" t="str">
        <f>Procurement_Raw!D1543</f>
        <v>North</v>
      </c>
      <c r="E1543" t="str">
        <f>IF(TRIM(Procurement_Raw!E1543)="","",IFERROR(INDEX(Supplier_Lookup!$A$2:$A$25,MATCH(TRIM(Procurement_Raw!E1543),Supplier_Lookup!$A$2:$A$25,0)),TRIM(Procurement_Raw!E1543)))</f>
        <v>OfficePlus</v>
      </c>
      <c r="F1543" t="str">
        <f>IFERROR(INDEX(Category_Targets!$A$2:$A$9,MATCH(TRIM(Procurement_Raw!F1543),Category_Targets!$A$2:$A$9,0)),"Unmapped")</f>
        <v>Office &amp; Training</v>
      </c>
      <c r="G1543" t="str">
        <f>TRIM(Procurement_Raw!G1543)</f>
        <v>INV-2025-01542</v>
      </c>
      <c r="H1543" s="77">
        <f>Procurement_Raw!H1543</f>
        <v>4</v>
      </c>
      <c r="I1543" s="124">
        <f>Procurement_Raw!I1543</f>
        <v>198.79</v>
      </c>
      <c r="J1543" s="125">
        <f>IF(Procurement_Raw!J1543="","",Procurement_Raw!J1543)</f>
        <v>795.14</v>
      </c>
      <c r="K1543" s="77">
        <f>Procurement_Raw!K1543</f>
        <v>60</v>
      </c>
      <c r="L1543" t="str">
        <f>Procurement_Raw!L1543</f>
        <v>Legacy Spend File</v>
      </c>
      <c r="M1543" t="str">
        <f>Procurement_Raw!O1543</f>
        <v>N</v>
      </c>
      <c r="N1543" t="str">
        <f>IF(E1543="","Missing supplier",IF(B1543="","Missing site",IF(J1543="","Missing spend",IF(COUNTIFS($G$2:G1543,G1543,$E$2:E1543,E1543,$J$2:J1543,J1543)&gt;1,"Duplicate invoice",IF(COUNTIF($G$2:$G$1801,G1543)&gt;1,"Duplicate ID - review",IF(AND(P1543&lt;&gt;"Unmapped",P1543&lt;&gt;F1543),"Category mismatch","OK"))))))</f>
        <v>OK</v>
      </c>
      <c r="O1543" s="125">
        <f t="shared" si="72"/>
        <v>795.14</v>
      </c>
      <c r="P1543" t="str">
        <f>IF(E1543="","Unmapped",IFERROR(INDEX(Supplier_Lookup!$B$2:$B$25,MATCH(E1543,Supplier_Lookup!$A$2:$A$25,0)),"Unmapped"))</f>
        <v>Office &amp; Training</v>
      </c>
      <c r="Q1543" s="76">
        <f>IFERROR(INDEX(Category_Targets!$B$2:$B$9,MATCH(F1543,Category_Targets!$A$2:$A$9,0)),0)</f>
        <v>0.04</v>
      </c>
      <c r="R1543" s="125">
        <f t="shared" si="73"/>
        <v>31.805600000000002</v>
      </c>
      <c r="S1543" s="78">
        <f t="shared" si="74"/>
        <v>45839</v>
      </c>
      <c r="T1543" t="str">
        <f>IFERROR(VLOOKUP(B1543,Sites!$A$2:$D$21,4,FALSE()),"Unknown")</f>
        <v>Manchester</v>
      </c>
      <c r="U1543" t="str">
        <f>IF(N1543="OK","",COUNTIF($N$2:N1543,"&lt;&gt;OK"))</f>
        <v/>
      </c>
      <c r="V1543">
        <f>IF(OR(NOT(EXACT(E1543,TRIM(Procurement_Raw!E1543))),NOT(EXACT(F1543,TRIM(Procurement_Raw!F1543)))),1,0)</f>
        <v>0</v>
      </c>
    </row>
    <row r="1544" spans="1:22" ht="15" customHeight="1" x14ac:dyDescent="0.25">
      <c r="A1544" s="123">
        <f>Procurement_Raw!A1544</f>
        <v>45967</v>
      </c>
      <c r="B1544" t="str">
        <f>TRIM(Procurement_Raw!B1544)</f>
        <v>S016</v>
      </c>
      <c r="C1544" t="str">
        <f>Procurement_Raw!C1544</f>
        <v>Cardiff Care &amp; Education Centre</v>
      </c>
      <c r="D1544" t="str">
        <f>Procurement_Raw!D1544</f>
        <v>Wales</v>
      </c>
      <c r="E1544" t="str">
        <f>IF(TRIM(Procurement_Raw!E1544)="","",IFERROR(INDEX(Supplier_Lookup!$A$2:$A$25,MATCH(TRIM(Procurement_Raw!E1544),Supplier_Lookup!$A$2:$A$25,0)),TRIM(Procurement_Raw!E1544)))</f>
        <v>SafeGuard FM</v>
      </c>
      <c r="F1544" t="str">
        <f>IFERROR(INDEX(Category_Targets!$A$2:$A$9,MATCH(TRIM(Procurement_Raw!F1544),Category_Targets!$A$2:$A$9,0)),"Unmapped")</f>
        <v>Facilities</v>
      </c>
      <c r="G1544" t="str">
        <f>TRIM(Procurement_Raw!G1544)</f>
        <v>INV-2025-01543</v>
      </c>
      <c r="H1544" s="77">
        <f>Procurement_Raw!H1544</f>
        <v>59</v>
      </c>
      <c r="I1544" s="124">
        <f>Procurement_Raw!I1544</f>
        <v>448.83</v>
      </c>
      <c r="J1544" s="125">
        <f>IF(Procurement_Raw!J1544="","",Procurement_Raw!J1544)</f>
        <v>26481.11</v>
      </c>
      <c r="K1544" s="77">
        <f>Procurement_Raw!K1544</f>
        <v>60</v>
      </c>
      <c r="L1544" t="str">
        <f>Procurement_Raw!L1544</f>
        <v>ERP</v>
      </c>
      <c r="M1544" t="str">
        <f>Procurement_Raw!O1544</f>
        <v>N</v>
      </c>
      <c r="N1544" t="str">
        <f>IF(E1544="","Missing supplier",IF(B1544="","Missing site",IF(J1544="","Missing spend",IF(COUNTIFS($G$2:G1544,G1544,$E$2:E1544,E1544,$J$2:J1544,J1544)&gt;1,"Duplicate invoice",IF(COUNTIF($G$2:$G$1801,G1544)&gt;1,"Duplicate ID - review",IF(AND(P1544&lt;&gt;"Unmapped",P1544&lt;&gt;F1544),"Category mismatch","OK"))))))</f>
        <v>OK</v>
      </c>
      <c r="O1544" s="125">
        <f t="shared" si="72"/>
        <v>26481.11</v>
      </c>
      <c r="P1544" t="str">
        <f>IF(E1544="","Unmapped",IFERROR(INDEX(Supplier_Lookup!$B$2:$B$25,MATCH(E1544,Supplier_Lookup!$A$2:$A$25,0)),"Unmapped"))</f>
        <v>Facilities</v>
      </c>
      <c r="Q1544" s="76">
        <f>IFERROR(INDEX(Category_Targets!$B$2:$B$9,MATCH(F1544,Category_Targets!$A$2:$A$9,0)),0)</f>
        <v>0.05</v>
      </c>
      <c r="R1544" s="125">
        <f t="shared" si="73"/>
        <v>1324.0555000000002</v>
      </c>
      <c r="S1544" s="78">
        <f t="shared" si="74"/>
        <v>45962</v>
      </c>
      <c r="T1544" t="str">
        <f>IFERROR(VLOOKUP(B1544,Sites!$A$2:$D$21,4,FALSE()),"Unknown")</f>
        <v>Cardiff</v>
      </c>
      <c r="U1544" t="str">
        <f>IF(N1544="OK","",COUNTIF($N$2:N1544,"&lt;&gt;OK"))</f>
        <v/>
      </c>
      <c r="V1544">
        <f>IF(OR(NOT(EXACT(E1544,TRIM(Procurement_Raw!E1544))),NOT(EXACT(F1544,TRIM(Procurement_Raw!F1544)))),1,0)</f>
        <v>0</v>
      </c>
    </row>
    <row r="1545" spans="1:22" ht="15" customHeight="1" x14ac:dyDescent="0.25">
      <c r="A1545" s="123">
        <f>Procurement_Raw!A1545</f>
        <v>45954</v>
      </c>
      <c r="B1545" t="str">
        <f>TRIM(Procurement_Raw!B1545)</f>
        <v>S009</v>
      </c>
      <c r="C1545" t="str">
        <f>Procurement_Raw!C1545</f>
        <v>Derby Care &amp; Education Centre</v>
      </c>
      <c r="D1545" t="str">
        <f>Procurement_Raw!D1545</f>
        <v>Midlands</v>
      </c>
      <c r="E1545" t="str">
        <f>IF(TRIM(Procurement_Raw!E1545)="","",IFERROR(INDEX(Supplier_Lookup!$A$2:$A$25,MATCH(TRIM(Procurement_Raw!E1545),Supplier_Lookup!$A$2:$A$25,0)),TRIM(Procurement_Raw!E1545)))</f>
        <v>PowerDirect</v>
      </c>
      <c r="F1545" t="str">
        <f>IFERROR(INDEX(Category_Targets!$A$2:$A$9,MATCH(TRIM(Procurement_Raw!F1545),Category_Targets!$A$2:$A$9,0)),"Unmapped")</f>
        <v>Utilities</v>
      </c>
      <c r="G1545" t="str">
        <f>TRIM(Procurement_Raw!G1545)</f>
        <v>INV-2025-01544</v>
      </c>
      <c r="H1545" s="77">
        <f>Procurement_Raw!H1545</f>
        <v>21</v>
      </c>
      <c r="I1545" s="124">
        <f>Procurement_Raw!I1545</f>
        <v>194.43</v>
      </c>
      <c r="J1545" s="125">
        <f>IF(Procurement_Raw!J1545="","",Procurement_Raw!J1545)</f>
        <v>4082.97</v>
      </c>
      <c r="K1545" s="77">
        <f>Procurement_Raw!K1545</f>
        <v>30</v>
      </c>
      <c r="L1545" t="str">
        <f>Procurement_Raw!L1545</f>
        <v>ERP</v>
      </c>
      <c r="M1545" t="str">
        <f>Procurement_Raw!O1545</f>
        <v>N</v>
      </c>
      <c r="N1545" t="str">
        <f>IF(E1545="","Missing supplier",IF(B1545="","Missing site",IF(J1545="","Missing spend",IF(COUNTIFS($G$2:G1545,G1545,$E$2:E1545,E1545,$J$2:J1545,J1545)&gt;1,"Duplicate invoice",IF(COUNTIF($G$2:$G$1801,G1545)&gt;1,"Duplicate ID - review",IF(AND(P1545&lt;&gt;"Unmapped",P1545&lt;&gt;F1545),"Category mismatch","OK"))))))</f>
        <v>OK</v>
      </c>
      <c r="O1545" s="125">
        <f t="shared" si="72"/>
        <v>4082.97</v>
      </c>
      <c r="P1545" t="str">
        <f>IF(E1545="","Unmapped",IFERROR(INDEX(Supplier_Lookup!$B$2:$B$25,MATCH(E1545,Supplier_Lookup!$A$2:$A$25,0)),"Unmapped"))</f>
        <v>Utilities</v>
      </c>
      <c r="Q1545" s="76">
        <f>IFERROR(INDEX(Category_Targets!$B$2:$B$9,MATCH(F1545,Category_Targets!$A$2:$A$9,0)),0)</f>
        <v>0.03</v>
      </c>
      <c r="R1545" s="125">
        <f t="shared" si="73"/>
        <v>122.48909999999999</v>
      </c>
      <c r="S1545" s="78">
        <f t="shared" si="74"/>
        <v>45931</v>
      </c>
      <c r="T1545" t="str">
        <f>IFERROR(VLOOKUP(B1545,Sites!$A$2:$D$21,4,FALSE()),"Unknown")</f>
        <v>Derby</v>
      </c>
      <c r="U1545" t="str">
        <f>IF(N1545="OK","",COUNTIF($N$2:N1545,"&lt;&gt;OK"))</f>
        <v/>
      </c>
      <c r="V1545">
        <f>IF(OR(NOT(EXACT(E1545,TRIM(Procurement_Raw!E1545))),NOT(EXACT(F1545,TRIM(Procurement_Raw!F1545)))),1,0)</f>
        <v>0</v>
      </c>
    </row>
    <row r="1546" spans="1:22" ht="15" customHeight="1" x14ac:dyDescent="0.25">
      <c r="A1546" s="123">
        <f>Procurement_Raw!A1546</f>
        <v>46019</v>
      </c>
      <c r="B1546" t="str">
        <f>TRIM(Procurement_Raw!B1546)</f>
        <v>S009</v>
      </c>
      <c r="C1546" t="str">
        <f>Procurement_Raw!C1546</f>
        <v>Derby Care &amp; Education Centre</v>
      </c>
      <c r="D1546" t="str">
        <f>Procurement_Raw!D1546</f>
        <v>Midlands</v>
      </c>
      <c r="E1546" t="str">
        <f>IF(TRIM(Procurement_Raw!E1546)="","",IFERROR(INDEX(Supplier_Lookup!$A$2:$A$25,MATCH(TRIM(Procurement_Raw!E1546),Supplier_Lookup!$A$2:$A$25,0)),TRIM(Procurement_Raw!E1546)))</f>
        <v>CareTemps</v>
      </c>
      <c r="F1546" t="str">
        <f>IFERROR(INDEX(Category_Targets!$A$2:$A$9,MATCH(TRIM(Procurement_Raw!F1546),Category_Targets!$A$2:$A$9,0)),"Unmapped")</f>
        <v>Agency Labour</v>
      </c>
      <c r="G1546" t="str">
        <f>TRIM(Procurement_Raw!G1546)</f>
        <v>INV-2025-01545</v>
      </c>
      <c r="H1546" s="77">
        <f>Procurement_Raw!H1546</f>
        <v>76</v>
      </c>
      <c r="I1546" s="124">
        <f>Procurement_Raw!I1546</f>
        <v>215.41</v>
      </c>
      <c r="J1546" s="125">
        <f>IF(Procurement_Raw!J1546="","",Procurement_Raw!J1546)</f>
        <v>16371.53</v>
      </c>
      <c r="K1546" s="77">
        <f>Procurement_Raw!K1546</f>
        <v>30</v>
      </c>
      <c r="L1546" t="str">
        <f>Procurement_Raw!L1546</f>
        <v>Legacy Spend File</v>
      </c>
      <c r="M1546" t="str">
        <f>Procurement_Raw!O1546</f>
        <v>N</v>
      </c>
      <c r="N1546" t="str">
        <f>IF(E1546="","Missing supplier",IF(B1546="","Missing site",IF(J1546="","Missing spend",IF(COUNTIFS($G$2:G1546,G1546,$E$2:E1546,E1546,$J$2:J1546,J1546)&gt;1,"Duplicate invoice",IF(COUNTIF($G$2:$G$1801,G1546)&gt;1,"Duplicate ID - review",IF(AND(P1546&lt;&gt;"Unmapped",P1546&lt;&gt;F1546),"Category mismatch","OK"))))))</f>
        <v>OK</v>
      </c>
      <c r="O1546" s="125">
        <f t="shared" si="72"/>
        <v>16371.53</v>
      </c>
      <c r="P1546" t="str">
        <f>IF(E1546="","Unmapped",IFERROR(INDEX(Supplier_Lookup!$B$2:$B$25,MATCH(E1546,Supplier_Lookup!$A$2:$A$25,0)),"Unmapped"))</f>
        <v>Agency Labour</v>
      </c>
      <c r="Q1546" s="76">
        <f>IFERROR(INDEX(Category_Targets!$B$2:$B$9,MATCH(F1546,Category_Targets!$A$2:$A$9,0)),0)</f>
        <v>7.0000000000000007E-2</v>
      </c>
      <c r="R1546" s="125">
        <f t="shared" si="73"/>
        <v>1146.0071000000003</v>
      </c>
      <c r="S1546" s="78">
        <f t="shared" si="74"/>
        <v>45992</v>
      </c>
      <c r="T1546" t="str">
        <f>IFERROR(VLOOKUP(B1546,Sites!$A$2:$D$21,4,FALSE()),"Unknown")</f>
        <v>Derby</v>
      </c>
      <c r="U1546" t="str">
        <f>IF(N1546="OK","",COUNTIF($N$2:N1546,"&lt;&gt;OK"))</f>
        <v/>
      </c>
      <c r="V1546">
        <f>IF(OR(NOT(EXACT(E1546,TRIM(Procurement_Raw!E1546))),NOT(EXACT(F1546,TRIM(Procurement_Raw!F1546)))),1,0)</f>
        <v>0</v>
      </c>
    </row>
    <row r="1547" spans="1:22" ht="15" customHeight="1" x14ac:dyDescent="0.25">
      <c r="A1547" s="123">
        <f>Procurement_Raw!A1547</f>
        <v>45876</v>
      </c>
      <c r="B1547" t="str">
        <f>TRIM(Procurement_Raw!B1547)</f>
        <v>S002</v>
      </c>
      <c r="C1547" t="str">
        <f>Procurement_Raw!C1547</f>
        <v>Manchester Care &amp; Education Centre</v>
      </c>
      <c r="D1547" t="str">
        <f>Procurement_Raw!D1547</f>
        <v>North</v>
      </c>
      <c r="E1547" t="str">
        <f>IF(TRIM(Procurement_Raw!E1547)="","",IFERROR(INDEX(Supplier_Lookup!$A$2:$A$25,MATCH(TRIM(Procurement_Raw!E1547),Supplier_Lookup!$A$2:$A$25,0)),TRIM(Procurement_Raw!E1547)))</f>
        <v>HealthStaffing</v>
      </c>
      <c r="F1547" t="str">
        <f>IFERROR(INDEX(Category_Targets!$A$2:$A$9,MATCH(TRIM(Procurement_Raw!F1547),Category_Targets!$A$2:$A$9,0)),"Unmapped")</f>
        <v>Agency Labour</v>
      </c>
      <c r="G1547" t="str">
        <f>TRIM(Procurement_Raw!G1547)</f>
        <v>INV-2025-01546</v>
      </c>
      <c r="H1547" s="77">
        <f>Procurement_Raw!H1547</f>
        <v>33</v>
      </c>
      <c r="I1547" s="124">
        <f>Procurement_Raw!I1547</f>
        <v>388.23</v>
      </c>
      <c r="J1547" s="125">
        <f>IF(Procurement_Raw!J1547="","",Procurement_Raw!J1547)</f>
        <v>12811.72</v>
      </c>
      <c r="K1547" s="77">
        <f>Procurement_Raw!K1547</f>
        <v>60</v>
      </c>
      <c r="L1547" t="str">
        <f>Procurement_Raw!L1547</f>
        <v>Procurement Portal</v>
      </c>
      <c r="M1547" t="str">
        <f>Procurement_Raw!O1547</f>
        <v>N</v>
      </c>
      <c r="N1547" t="str">
        <f>IF(E1547="","Missing supplier",IF(B1547="","Missing site",IF(J1547="","Missing spend",IF(COUNTIFS($G$2:G1547,G1547,$E$2:E1547,E1547,$J$2:J1547,J1547)&gt;1,"Duplicate invoice",IF(COUNTIF($G$2:$G$1801,G1547)&gt;1,"Duplicate ID - review",IF(AND(P1547&lt;&gt;"Unmapped",P1547&lt;&gt;F1547),"Category mismatch","OK"))))))</f>
        <v>OK</v>
      </c>
      <c r="O1547" s="125">
        <f t="shared" si="72"/>
        <v>12811.72</v>
      </c>
      <c r="P1547" t="str">
        <f>IF(E1547="","Unmapped",IFERROR(INDEX(Supplier_Lookup!$B$2:$B$25,MATCH(E1547,Supplier_Lookup!$A$2:$A$25,0)),"Unmapped"))</f>
        <v>Agency Labour</v>
      </c>
      <c r="Q1547" s="76">
        <f>IFERROR(INDEX(Category_Targets!$B$2:$B$9,MATCH(F1547,Category_Targets!$A$2:$A$9,0)),0)</f>
        <v>7.0000000000000007E-2</v>
      </c>
      <c r="R1547" s="125">
        <f t="shared" si="73"/>
        <v>896.82040000000006</v>
      </c>
      <c r="S1547" s="78">
        <f t="shared" si="74"/>
        <v>45870</v>
      </c>
      <c r="T1547" t="str">
        <f>IFERROR(VLOOKUP(B1547,Sites!$A$2:$D$21,4,FALSE()),"Unknown")</f>
        <v>Manchester</v>
      </c>
      <c r="U1547" t="str">
        <f>IF(N1547="OK","",COUNTIF($N$2:N1547,"&lt;&gt;OK"))</f>
        <v/>
      </c>
      <c r="V1547">
        <f>IF(OR(NOT(EXACT(E1547,TRIM(Procurement_Raw!E1547))),NOT(EXACT(F1547,TRIM(Procurement_Raw!F1547)))),1,0)</f>
        <v>0</v>
      </c>
    </row>
    <row r="1548" spans="1:22" ht="15" customHeight="1" x14ac:dyDescent="0.25">
      <c r="A1548" s="123">
        <f>Procurement_Raw!A1548</f>
        <v>45815</v>
      </c>
      <c r="B1548" t="str">
        <f>TRIM(Procurement_Raw!B1548)</f>
        <v>S003</v>
      </c>
      <c r="C1548" t="str">
        <f>Procurement_Raw!C1548</f>
        <v>Leeds Care &amp; Education Centre</v>
      </c>
      <c r="D1548" t="str">
        <f>Procurement_Raw!D1548</f>
        <v>North</v>
      </c>
      <c r="E1548" t="str">
        <f>IF(TRIM(Procurement_Raw!E1548)="","",IFERROR(INDEX(Supplier_Lookup!$A$2:$A$25,MATCH(TRIM(Procurement_Raw!E1548),Supplier_Lookup!$A$2:$A$25,0)),TRIM(Procurement_Raw!E1548)))</f>
        <v>NurseLink</v>
      </c>
      <c r="F1548" t="str">
        <f>IFERROR(INDEX(Category_Targets!$A$2:$A$9,MATCH(TRIM(Procurement_Raw!F1548),Category_Targets!$A$2:$A$9,0)),"Unmapped")</f>
        <v>Agency Labour</v>
      </c>
      <c r="G1548" t="str">
        <f>TRIM(Procurement_Raw!G1548)</f>
        <v>INV-2025-01547</v>
      </c>
      <c r="H1548" s="77">
        <f>Procurement_Raw!H1548</f>
        <v>53</v>
      </c>
      <c r="I1548" s="124">
        <f>Procurement_Raw!I1548</f>
        <v>173.24</v>
      </c>
      <c r="J1548" s="125">
        <f>IF(Procurement_Raw!J1548="","",Procurement_Raw!J1548)</f>
        <v>9181.65</v>
      </c>
      <c r="K1548" s="77">
        <f>Procurement_Raw!K1548</f>
        <v>60</v>
      </c>
      <c r="L1548" t="str">
        <f>Procurement_Raw!L1548</f>
        <v>ERP</v>
      </c>
      <c r="M1548" t="str">
        <f>Procurement_Raw!O1548</f>
        <v>N</v>
      </c>
      <c r="N1548" t="str">
        <f>IF(E1548="","Missing supplier",IF(B1548="","Missing site",IF(J1548="","Missing spend",IF(COUNTIFS($G$2:G1548,G1548,$E$2:E1548,E1548,$J$2:J1548,J1548)&gt;1,"Duplicate invoice",IF(COUNTIF($G$2:$G$1801,G1548)&gt;1,"Duplicate ID - review",IF(AND(P1548&lt;&gt;"Unmapped",P1548&lt;&gt;F1548),"Category mismatch","OK"))))))</f>
        <v>OK</v>
      </c>
      <c r="O1548" s="125">
        <f t="shared" si="72"/>
        <v>9181.65</v>
      </c>
      <c r="P1548" t="str">
        <f>IF(E1548="","Unmapped",IFERROR(INDEX(Supplier_Lookup!$B$2:$B$25,MATCH(E1548,Supplier_Lookup!$A$2:$A$25,0)),"Unmapped"))</f>
        <v>Agency Labour</v>
      </c>
      <c r="Q1548" s="76">
        <f>IFERROR(INDEX(Category_Targets!$B$2:$B$9,MATCH(F1548,Category_Targets!$A$2:$A$9,0)),0)</f>
        <v>7.0000000000000007E-2</v>
      </c>
      <c r="R1548" s="125">
        <f t="shared" si="73"/>
        <v>642.71550000000002</v>
      </c>
      <c r="S1548" s="78">
        <f t="shared" si="74"/>
        <v>45809</v>
      </c>
      <c r="T1548" t="str">
        <f>IFERROR(VLOOKUP(B1548,Sites!$A$2:$D$21,4,FALSE()),"Unknown")</f>
        <v>Leeds</v>
      </c>
      <c r="U1548" t="str">
        <f>IF(N1548="OK","",COUNTIF($N$2:N1548,"&lt;&gt;OK"))</f>
        <v/>
      </c>
      <c r="V1548">
        <f>IF(OR(NOT(EXACT(E1548,TRIM(Procurement_Raw!E1548))),NOT(EXACT(F1548,TRIM(Procurement_Raw!F1548)))),1,0)</f>
        <v>0</v>
      </c>
    </row>
    <row r="1549" spans="1:22" ht="15" customHeight="1" x14ac:dyDescent="0.25">
      <c r="A1549" s="123">
        <f>Procurement_Raw!A1549</f>
        <v>45795</v>
      </c>
      <c r="B1549" t="str">
        <f>TRIM(Procurement_Raw!B1549)</f>
        <v>S010</v>
      </c>
      <c r="C1549" t="str">
        <f>Procurement_Raw!C1549</f>
        <v>Coventry Care &amp; Education Centre</v>
      </c>
      <c r="D1549" t="str">
        <f>Procurement_Raw!D1549</f>
        <v>Midlands</v>
      </c>
      <c r="E1549" t="str">
        <f>IF(TRIM(Procurement_Raw!E1549)="","",IFERROR(INDEX(Supplier_Lookup!$A$2:$A$25,MATCH(TRIM(Procurement_Raw!E1549),Supplier_Lookup!$A$2:$A$25,0)),TRIM(Procurement_Raw!E1549)))</f>
        <v>FleetFuel</v>
      </c>
      <c r="F1549" t="str">
        <f>IFERROR(INDEX(Category_Targets!$A$2:$A$9,MATCH(TRIM(Procurement_Raw!F1549),Category_Targets!$A$2:$A$9,0)),"Unmapped")</f>
        <v>Vehicle &amp; Fuel</v>
      </c>
      <c r="G1549" t="str">
        <f>TRIM(Procurement_Raw!G1549)</f>
        <v>INV-2025-01548</v>
      </c>
      <c r="H1549" s="77">
        <f>Procurement_Raw!H1549</f>
        <v>27</v>
      </c>
      <c r="I1549" s="124">
        <f>Procurement_Raw!I1549</f>
        <v>112.15</v>
      </c>
      <c r="J1549" s="125">
        <f>IF(Procurement_Raw!J1549="","",Procurement_Raw!J1549)</f>
        <v>3028.13</v>
      </c>
      <c r="K1549" s="77">
        <f>Procurement_Raw!K1549</f>
        <v>60</v>
      </c>
      <c r="L1549" t="str">
        <f>Procurement_Raw!L1549</f>
        <v>Procurement Portal</v>
      </c>
      <c r="M1549" t="str">
        <f>Procurement_Raw!O1549</f>
        <v>Y</v>
      </c>
      <c r="N1549" t="str">
        <f>IF(E1549="","Missing supplier",IF(B1549="","Missing site",IF(J1549="","Missing spend",IF(COUNTIFS($G$2:G1549,G1549,$E$2:E1549,E1549,$J$2:J1549,J1549)&gt;1,"Duplicate invoice",IF(COUNTIF($G$2:$G$1801,G1549)&gt;1,"Duplicate ID - review",IF(AND(P1549&lt;&gt;"Unmapped",P1549&lt;&gt;F1549),"Category mismatch","OK"))))))</f>
        <v>OK</v>
      </c>
      <c r="O1549" s="125">
        <f t="shared" si="72"/>
        <v>3028.13</v>
      </c>
      <c r="P1549" t="str">
        <f>IF(E1549="","Unmapped",IFERROR(INDEX(Supplier_Lookup!$B$2:$B$25,MATCH(E1549,Supplier_Lookup!$A$2:$A$25,0)),"Unmapped"))</f>
        <v>Vehicle &amp; Fuel</v>
      </c>
      <c r="Q1549" s="76">
        <f>IFERROR(INDEX(Category_Targets!$B$2:$B$9,MATCH(F1549,Category_Targets!$A$2:$A$9,0)),0)</f>
        <v>0.05</v>
      </c>
      <c r="R1549" s="125">
        <f t="shared" si="73"/>
        <v>151.40650000000002</v>
      </c>
      <c r="S1549" s="78">
        <f t="shared" si="74"/>
        <v>45778</v>
      </c>
      <c r="T1549" t="str">
        <f>IFERROR(VLOOKUP(B1549,Sites!$A$2:$D$21,4,FALSE()),"Unknown")</f>
        <v>Coventry</v>
      </c>
      <c r="U1549" t="str">
        <f>IF(N1549="OK","",COUNTIF($N$2:N1549,"&lt;&gt;OK"))</f>
        <v/>
      </c>
      <c r="V1549">
        <f>IF(OR(NOT(EXACT(E1549,TRIM(Procurement_Raw!E1549))),NOT(EXACT(F1549,TRIM(Procurement_Raw!F1549)))),1,0)</f>
        <v>0</v>
      </c>
    </row>
    <row r="1550" spans="1:22" ht="15" customHeight="1" x14ac:dyDescent="0.25">
      <c r="A1550" s="123">
        <f>Procurement_Raw!A1550</f>
        <v>45744</v>
      </c>
      <c r="B1550" t="str">
        <f>TRIM(Procurement_Raw!B1550)</f>
        <v>S010</v>
      </c>
      <c r="C1550" t="str">
        <f>Procurement_Raw!C1550</f>
        <v>Coventry Care &amp; Education Centre</v>
      </c>
      <c r="D1550" t="str">
        <f>Procurement_Raw!D1550</f>
        <v>Midlands</v>
      </c>
      <c r="E1550" t="str">
        <f>IF(TRIM(Procurement_Raw!E1550)="","",IFERROR(INDEX(Supplier_Lookup!$A$2:$A$25,MATCH(TRIM(Procurement_Raw!E1550),Supplier_Lookup!$A$2:$A$25,0)),TRIM(Procurement_Raw!E1550)))</f>
        <v>CloudLink</v>
      </c>
      <c r="F1550" t="str">
        <f>IFERROR(INDEX(Category_Targets!$A$2:$A$9,MATCH(TRIM(Procurement_Raw!F1550),Category_Targets!$A$2:$A$9,0)),"Unmapped")</f>
        <v>IT &amp; Telecoms</v>
      </c>
      <c r="G1550" t="str">
        <f>TRIM(Procurement_Raw!G1550)</f>
        <v>INV-2025-01549</v>
      </c>
      <c r="H1550" s="77">
        <f>Procurement_Raw!H1550</f>
        <v>63</v>
      </c>
      <c r="I1550" s="124">
        <f>Procurement_Raw!I1550</f>
        <v>335.28</v>
      </c>
      <c r="J1550" s="125">
        <f>IF(Procurement_Raw!J1550="","",Procurement_Raw!J1550)</f>
        <v>21122.76</v>
      </c>
      <c r="K1550" s="77">
        <f>Procurement_Raw!K1550</f>
        <v>30</v>
      </c>
      <c r="L1550" t="str">
        <f>Procurement_Raw!L1550</f>
        <v>ERP</v>
      </c>
      <c r="M1550" t="str">
        <f>Procurement_Raw!O1550</f>
        <v>Y</v>
      </c>
      <c r="N1550" t="str">
        <f>IF(E1550="","Missing supplier",IF(B1550="","Missing site",IF(J1550="","Missing spend",IF(COUNTIFS($G$2:G1550,G1550,$E$2:E1550,E1550,$J$2:J1550,J1550)&gt;1,"Duplicate invoice",IF(COUNTIF($G$2:$G$1801,G1550)&gt;1,"Duplicate ID - review",IF(AND(P1550&lt;&gt;"Unmapped",P1550&lt;&gt;F1550),"Category mismatch","OK"))))))</f>
        <v>OK</v>
      </c>
      <c r="O1550" s="125">
        <f t="shared" si="72"/>
        <v>21122.76</v>
      </c>
      <c r="P1550" t="str">
        <f>IF(E1550="","Unmapped",IFERROR(INDEX(Supplier_Lookup!$B$2:$B$25,MATCH(E1550,Supplier_Lookup!$A$2:$A$25,0)),"Unmapped"))</f>
        <v>IT &amp; Telecoms</v>
      </c>
      <c r="Q1550" s="76">
        <f>IFERROR(INDEX(Category_Targets!$B$2:$B$9,MATCH(F1550,Category_Targets!$A$2:$A$9,0)),0)</f>
        <v>0.08</v>
      </c>
      <c r="R1550" s="125">
        <f t="shared" si="73"/>
        <v>1689.8208</v>
      </c>
      <c r="S1550" s="78">
        <f t="shared" si="74"/>
        <v>45717</v>
      </c>
      <c r="T1550" t="str">
        <f>IFERROR(VLOOKUP(B1550,Sites!$A$2:$D$21,4,FALSE()),"Unknown")</f>
        <v>Coventry</v>
      </c>
      <c r="U1550" t="str">
        <f>IF(N1550="OK","",COUNTIF($N$2:N1550,"&lt;&gt;OK"))</f>
        <v/>
      </c>
      <c r="V1550">
        <f>IF(OR(NOT(EXACT(E1550,TRIM(Procurement_Raw!E1550))),NOT(EXACT(F1550,TRIM(Procurement_Raw!F1550)))),1,0)</f>
        <v>0</v>
      </c>
    </row>
    <row r="1551" spans="1:22" ht="15" customHeight="1" x14ac:dyDescent="0.25">
      <c r="A1551" s="123">
        <f>Procurement_Raw!A1551</f>
        <v>45871</v>
      </c>
      <c r="B1551" t="str">
        <f>TRIM(Procurement_Raw!B1551)</f>
        <v>S004</v>
      </c>
      <c r="C1551" t="str">
        <f>Procurement_Raw!C1551</f>
        <v>Newcastle Care &amp; Education Centre</v>
      </c>
      <c r="D1551" t="str">
        <f>Procurement_Raw!D1551</f>
        <v>North</v>
      </c>
      <c r="E1551" t="str">
        <f>IF(TRIM(Procurement_Raw!E1551)="","",IFERROR(INDEX(Supplier_Lookup!$A$2:$A$25,MATCH(TRIM(Procurement_Raw!E1551),Supplier_Lookup!$A$2:$A$25,0)),TRIM(Procurement_Raw!E1551)))</f>
        <v>NurseLink</v>
      </c>
      <c r="F1551" t="str">
        <f>IFERROR(INDEX(Category_Targets!$A$2:$A$9,MATCH(TRIM(Procurement_Raw!F1551),Category_Targets!$A$2:$A$9,0)),"Unmapped")</f>
        <v>Agency Labour</v>
      </c>
      <c r="G1551" t="str">
        <f>TRIM(Procurement_Raw!G1551)</f>
        <v>INV-2025-01550</v>
      </c>
      <c r="H1551" s="77">
        <f>Procurement_Raw!H1551</f>
        <v>37</v>
      </c>
      <c r="I1551" s="124">
        <f>Procurement_Raw!I1551</f>
        <v>589.1</v>
      </c>
      <c r="J1551" s="125">
        <f>IF(Procurement_Raw!J1551="","",Procurement_Raw!J1551)</f>
        <v>21796.7</v>
      </c>
      <c r="K1551" s="77">
        <f>Procurement_Raw!K1551</f>
        <v>60</v>
      </c>
      <c r="L1551" t="str">
        <f>Procurement_Raw!L1551</f>
        <v>Procurement Portal</v>
      </c>
      <c r="M1551" t="str">
        <f>Procurement_Raw!O1551</f>
        <v>N</v>
      </c>
      <c r="N1551" t="str">
        <f>IF(E1551="","Missing supplier",IF(B1551="","Missing site",IF(J1551="","Missing spend",IF(COUNTIFS($G$2:G1551,G1551,$E$2:E1551,E1551,$J$2:J1551,J1551)&gt;1,"Duplicate invoice",IF(COUNTIF($G$2:$G$1801,G1551)&gt;1,"Duplicate ID - review",IF(AND(P1551&lt;&gt;"Unmapped",P1551&lt;&gt;F1551),"Category mismatch","OK"))))))</f>
        <v>OK</v>
      </c>
      <c r="O1551" s="125">
        <f t="shared" si="72"/>
        <v>21796.7</v>
      </c>
      <c r="P1551" t="str">
        <f>IF(E1551="","Unmapped",IFERROR(INDEX(Supplier_Lookup!$B$2:$B$25,MATCH(E1551,Supplier_Lookup!$A$2:$A$25,0)),"Unmapped"))</f>
        <v>Agency Labour</v>
      </c>
      <c r="Q1551" s="76">
        <f>IFERROR(INDEX(Category_Targets!$B$2:$B$9,MATCH(F1551,Category_Targets!$A$2:$A$9,0)),0)</f>
        <v>7.0000000000000007E-2</v>
      </c>
      <c r="R1551" s="125">
        <f t="shared" si="73"/>
        <v>1525.7690000000002</v>
      </c>
      <c r="S1551" s="78">
        <f t="shared" si="74"/>
        <v>45870</v>
      </c>
      <c r="T1551" t="str">
        <f>IFERROR(VLOOKUP(B1551,Sites!$A$2:$D$21,4,FALSE()),"Unknown")</f>
        <v>Newcastle</v>
      </c>
      <c r="U1551" t="str">
        <f>IF(N1551="OK","",COUNTIF($N$2:N1551,"&lt;&gt;OK"))</f>
        <v/>
      </c>
      <c r="V1551">
        <f>IF(OR(NOT(EXACT(E1551,TRIM(Procurement_Raw!E1551))),NOT(EXACT(F1551,TRIM(Procurement_Raw!F1551)))),1,0)</f>
        <v>0</v>
      </c>
    </row>
    <row r="1552" spans="1:22" ht="15" customHeight="1" x14ac:dyDescent="0.25">
      <c r="A1552" s="123">
        <f>Procurement_Raw!A1552</f>
        <v>45753</v>
      </c>
      <c r="B1552" t="str">
        <f>TRIM(Procurement_Raw!B1552)</f>
        <v>S009</v>
      </c>
      <c r="C1552" t="str">
        <f>Procurement_Raw!C1552</f>
        <v>Derby Care &amp; Education Centre</v>
      </c>
      <c r="D1552" t="str">
        <f>Procurement_Raw!D1552</f>
        <v>Midlands</v>
      </c>
      <c r="E1552" t="str">
        <f>IF(TRIM(Procurement_Raw!E1552)="","",IFERROR(INDEX(Supplier_Lookup!$A$2:$A$25,MATCH(TRIM(Procurement_Raw!E1552),Supplier_Lookup!$A$2:$A$25,0)),TRIM(Procurement_Raw!E1552)))</f>
        <v>SafeGuard FM</v>
      </c>
      <c r="F1552" t="str">
        <f>IFERROR(INDEX(Category_Targets!$A$2:$A$9,MATCH(TRIM(Procurement_Raw!F1552),Category_Targets!$A$2:$A$9,0)),"Unmapped")</f>
        <v>Facilities</v>
      </c>
      <c r="G1552" t="str">
        <f>TRIM(Procurement_Raw!G1552)</f>
        <v>INV-2025-01551</v>
      </c>
      <c r="H1552" s="77">
        <f>Procurement_Raw!H1552</f>
        <v>18</v>
      </c>
      <c r="I1552" s="124">
        <f>Procurement_Raw!I1552</f>
        <v>170.35</v>
      </c>
      <c r="J1552" s="125">
        <f>IF(Procurement_Raw!J1552="","",Procurement_Raw!J1552)</f>
        <v>3066.35</v>
      </c>
      <c r="K1552" s="77">
        <f>Procurement_Raw!K1552</f>
        <v>30</v>
      </c>
      <c r="L1552" t="str">
        <f>Procurement_Raw!L1552</f>
        <v>Procurement Portal</v>
      </c>
      <c r="M1552" t="str">
        <f>Procurement_Raw!O1552</f>
        <v>N</v>
      </c>
      <c r="N1552" t="str">
        <f>IF(E1552="","Missing supplier",IF(B1552="","Missing site",IF(J1552="","Missing spend",IF(COUNTIFS($G$2:G1552,G1552,$E$2:E1552,E1552,$J$2:J1552,J1552)&gt;1,"Duplicate invoice",IF(COUNTIF($G$2:$G$1801,G1552)&gt;1,"Duplicate ID - review",IF(AND(P1552&lt;&gt;"Unmapped",P1552&lt;&gt;F1552),"Category mismatch","OK"))))))</f>
        <v>OK</v>
      </c>
      <c r="O1552" s="125">
        <f t="shared" si="72"/>
        <v>3066.35</v>
      </c>
      <c r="P1552" t="str">
        <f>IF(E1552="","Unmapped",IFERROR(INDEX(Supplier_Lookup!$B$2:$B$25,MATCH(E1552,Supplier_Lookup!$A$2:$A$25,0)),"Unmapped"))</f>
        <v>Facilities</v>
      </c>
      <c r="Q1552" s="76">
        <f>IFERROR(INDEX(Category_Targets!$B$2:$B$9,MATCH(F1552,Category_Targets!$A$2:$A$9,0)),0)</f>
        <v>0.05</v>
      </c>
      <c r="R1552" s="125">
        <f t="shared" si="73"/>
        <v>153.3175</v>
      </c>
      <c r="S1552" s="78">
        <f t="shared" si="74"/>
        <v>45748</v>
      </c>
      <c r="T1552" t="str">
        <f>IFERROR(VLOOKUP(B1552,Sites!$A$2:$D$21,4,FALSE()),"Unknown")</f>
        <v>Derby</v>
      </c>
      <c r="U1552" t="str">
        <f>IF(N1552="OK","",COUNTIF($N$2:N1552,"&lt;&gt;OK"))</f>
        <v/>
      </c>
      <c r="V1552">
        <f>IF(OR(NOT(EXACT(E1552,TRIM(Procurement_Raw!E1552))),NOT(EXACT(F1552,TRIM(Procurement_Raw!F1552)))),1,0)</f>
        <v>0</v>
      </c>
    </row>
    <row r="1553" spans="1:22" ht="15" customHeight="1" x14ac:dyDescent="0.25">
      <c r="A1553" s="123">
        <f>Procurement_Raw!A1553</f>
        <v>45948</v>
      </c>
      <c r="B1553" t="str">
        <f>TRIM(Procurement_Raw!B1553)</f>
        <v>S008</v>
      </c>
      <c r="C1553" t="str">
        <f>Procurement_Raw!C1553</f>
        <v>Leicester Care &amp; Education Centre</v>
      </c>
      <c r="D1553" t="str">
        <f>Procurement_Raw!D1553</f>
        <v>Midlands</v>
      </c>
      <c r="E1553" t="str">
        <f>IF(TRIM(Procurement_Raw!E1553)="","",IFERROR(INDEX(Supplier_Lookup!$A$2:$A$25,MATCH(TRIM(Procurement_Raw!E1553),Supplier_Lookup!$A$2:$A$25,0)),TRIM(Procurement_Raw!E1553)))</f>
        <v>NourishCo</v>
      </c>
      <c r="F1553" t="str">
        <f>IFERROR(INDEX(Category_Targets!$A$2:$A$9,MATCH(TRIM(Procurement_Raw!F1553),Category_Targets!$A$2:$A$9,0)),"Unmapped")</f>
        <v>Food &amp; Catering</v>
      </c>
      <c r="G1553" t="str">
        <f>TRIM(Procurement_Raw!G1553)</f>
        <v>INV-2025-01552</v>
      </c>
      <c r="H1553" s="77">
        <f>Procurement_Raw!H1553</f>
        <v>28</v>
      </c>
      <c r="I1553" s="124">
        <f>Procurement_Raw!I1553</f>
        <v>58.11</v>
      </c>
      <c r="J1553" s="125">
        <f>IF(Procurement_Raw!J1553="","",Procurement_Raw!J1553)</f>
        <v>1627.13</v>
      </c>
      <c r="K1553" s="77">
        <f>Procurement_Raw!K1553</f>
        <v>30</v>
      </c>
      <c r="L1553" t="str">
        <f>Procurement_Raw!L1553</f>
        <v>ERP</v>
      </c>
      <c r="M1553" t="str">
        <f>Procurement_Raw!O1553</f>
        <v>N</v>
      </c>
      <c r="N1553" t="str">
        <f>IF(E1553="","Missing supplier",IF(B1553="","Missing site",IF(J1553="","Missing spend",IF(COUNTIFS($G$2:G1553,G1553,$E$2:E1553,E1553,$J$2:J1553,J1553)&gt;1,"Duplicate invoice",IF(COUNTIF($G$2:$G$1801,G1553)&gt;1,"Duplicate ID - review",IF(AND(P1553&lt;&gt;"Unmapped",P1553&lt;&gt;F1553),"Category mismatch","OK"))))))</f>
        <v>OK</v>
      </c>
      <c r="O1553" s="125">
        <f t="shared" si="72"/>
        <v>1627.13</v>
      </c>
      <c r="P1553" t="str">
        <f>IF(E1553="","Unmapped",IFERROR(INDEX(Supplier_Lookup!$B$2:$B$25,MATCH(E1553,Supplier_Lookup!$A$2:$A$25,0)),"Unmapped"))</f>
        <v>Food &amp; Catering</v>
      </c>
      <c r="Q1553" s="76">
        <f>IFERROR(INDEX(Category_Targets!$B$2:$B$9,MATCH(F1553,Category_Targets!$A$2:$A$9,0)),0)</f>
        <v>0.04</v>
      </c>
      <c r="R1553" s="125">
        <f t="shared" si="73"/>
        <v>65.0852</v>
      </c>
      <c r="S1553" s="78">
        <f t="shared" si="74"/>
        <v>45931</v>
      </c>
      <c r="T1553" t="str">
        <f>IFERROR(VLOOKUP(B1553,Sites!$A$2:$D$21,4,FALSE()),"Unknown")</f>
        <v>Leicester</v>
      </c>
      <c r="U1553" t="str">
        <f>IF(N1553="OK","",COUNTIF($N$2:N1553,"&lt;&gt;OK"))</f>
        <v/>
      </c>
      <c r="V1553">
        <f>IF(OR(NOT(EXACT(E1553,TRIM(Procurement_Raw!E1553))),NOT(EXACT(F1553,TRIM(Procurement_Raw!F1553)))),1,0)</f>
        <v>0</v>
      </c>
    </row>
    <row r="1554" spans="1:22" ht="15" customHeight="1" x14ac:dyDescent="0.25">
      <c r="A1554" s="123">
        <f>Procurement_Raw!A1554</f>
        <v>45790</v>
      </c>
      <c r="B1554" t="str">
        <f>TRIM(Procurement_Raw!B1554)</f>
        <v>S007</v>
      </c>
      <c r="C1554" t="str">
        <f>Procurement_Raw!C1554</f>
        <v>Nottingham Care &amp; Education Centre</v>
      </c>
      <c r="D1554" t="str">
        <f>Procurement_Raw!D1554</f>
        <v>Midlands</v>
      </c>
      <c r="E1554" t="str">
        <f>IF(TRIM(Procurement_Raw!E1554)="","",IFERROR(INDEX(Supplier_Lookup!$A$2:$A$25,MATCH(TRIM(Procurement_Raw!E1554),Supplier_Lookup!$A$2:$A$25,0)),TRIM(Procurement_Raw!E1554)))</f>
        <v>CleanWorks</v>
      </c>
      <c r="F1554" t="str">
        <f>IFERROR(INDEX(Category_Targets!$A$2:$A$9,MATCH(TRIM(Procurement_Raw!F1554),Category_Targets!$A$2:$A$9,0)),"Unmapped")</f>
        <v>Facilities</v>
      </c>
      <c r="G1554" t="str">
        <f>TRIM(Procurement_Raw!G1554)</f>
        <v>INV-2025-01553</v>
      </c>
      <c r="H1554" s="77">
        <f>Procurement_Raw!H1554</f>
        <v>53</v>
      </c>
      <c r="I1554" s="124">
        <f>Procurement_Raw!I1554</f>
        <v>111.06</v>
      </c>
      <c r="J1554" s="125">
        <f>IF(Procurement_Raw!J1554="","",Procurement_Raw!J1554)</f>
        <v>5886.16</v>
      </c>
      <c r="K1554" s="77">
        <f>Procurement_Raw!K1554</f>
        <v>45</v>
      </c>
      <c r="L1554" t="str">
        <f>Procurement_Raw!L1554</f>
        <v>Legacy Spend File</v>
      </c>
      <c r="M1554" t="str">
        <f>Procurement_Raw!O1554</f>
        <v>Y</v>
      </c>
      <c r="N1554" t="str">
        <f>IF(E1554="","Missing supplier",IF(B1554="","Missing site",IF(J1554="","Missing spend",IF(COUNTIFS($G$2:G1554,G1554,$E$2:E1554,E1554,$J$2:J1554,J1554)&gt;1,"Duplicate invoice",IF(COUNTIF($G$2:$G$1801,G1554)&gt;1,"Duplicate ID - review",IF(AND(P1554&lt;&gt;"Unmapped",P1554&lt;&gt;F1554),"Category mismatch","OK"))))))</f>
        <v>OK</v>
      </c>
      <c r="O1554" s="125">
        <f t="shared" si="72"/>
        <v>5886.16</v>
      </c>
      <c r="P1554" t="str">
        <f>IF(E1554="","Unmapped",IFERROR(INDEX(Supplier_Lookup!$B$2:$B$25,MATCH(E1554,Supplier_Lookup!$A$2:$A$25,0)),"Unmapped"))</f>
        <v>Facilities</v>
      </c>
      <c r="Q1554" s="76">
        <f>IFERROR(INDEX(Category_Targets!$B$2:$B$9,MATCH(F1554,Category_Targets!$A$2:$A$9,0)),0)</f>
        <v>0.05</v>
      </c>
      <c r="R1554" s="125">
        <f t="shared" si="73"/>
        <v>294.30799999999999</v>
      </c>
      <c r="S1554" s="78">
        <f t="shared" si="74"/>
        <v>45778</v>
      </c>
      <c r="T1554" t="str">
        <f>IFERROR(VLOOKUP(B1554,Sites!$A$2:$D$21,4,FALSE()),"Unknown")</f>
        <v>Nottingham</v>
      </c>
      <c r="U1554" t="str">
        <f>IF(N1554="OK","",COUNTIF($N$2:N1554,"&lt;&gt;OK"))</f>
        <v/>
      </c>
      <c r="V1554">
        <f>IF(OR(NOT(EXACT(E1554,TRIM(Procurement_Raw!E1554))),NOT(EXACT(F1554,TRIM(Procurement_Raw!F1554)))),1,0)</f>
        <v>0</v>
      </c>
    </row>
    <row r="1555" spans="1:22" ht="15" customHeight="1" x14ac:dyDescent="0.25">
      <c r="A1555" s="123">
        <f>Procurement_Raw!A1555</f>
        <v>45743</v>
      </c>
      <c r="B1555" t="str">
        <f>TRIM(Procurement_Raw!B1555)</f>
        <v>S015</v>
      </c>
      <c r="C1555" t="str">
        <f>Procurement_Raw!C1555</f>
        <v>Brighton Care &amp; Education Centre</v>
      </c>
      <c r="D1555" t="str">
        <f>Procurement_Raw!D1555</f>
        <v>South</v>
      </c>
      <c r="E1555" t="str">
        <f>IF(TRIM(Procurement_Raw!E1555)="","",IFERROR(INDEX(Supplier_Lookup!$A$2:$A$25,MATCH(TRIM(Procurement_Raw!E1555),Supplier_Lookup!$A$2:$A$25,0)),TRIM(Procurement_Raw!E1555)))</f>
        <v>KitchenPro</v>
      </c>
      <c r="F1555" t="str">
        <f>IFERROR(INDEX(Category_Targets!$A$2:$A$9,MATCH(TRIM(Procurement_Raw!F1555),Category_Targets!$A$2:$A$9,0)),"Unmapped")</f>
        <v>Food &amp; Catering</v>
      </c>
      <c r="G1555" t="str">
        <f>TRIM(Procurement_Raw!G1555)</f>
        <v>INV-2025-01554</v>
      </c>
      <c r="H1555" s="77">
        <f>Procurement_Raw!H1555</f>
        <v>11</v>
      </c>
      <c r="I1555" s="124">
        <f>Procurement_Raw!I1555</f>
        <v>41.25</v>
      </c>
      <c r="J1555" s="125">
        <f>IF(Procurement_Raw!J1555="","",Procurement_Raw!J1555)</f>
        <v>453.73</v>
      </c>
      <c r="K1555" s="77">
        <f>Procurement_Raw!K1555</f>
        <v>45</v>
      </c>
      <c r="L1555" t="str">
        <f>Procurement_Raw!L1555</f>
        <v>ERP</v>
      </c>
      <c r="M1555" t="str">
        <f>Procurement_Raw!O1555</f>
        <v>N</v>
      </c>
      <c r="N1555" t="str">
        <f>IF(E1555="","Missing supplier",IF(B1555="","Missing site",IF(J1555="","Missing spend",IF(COUNTIFS($G$2:G1555,G1555,$E$2:E1555,E1555,$J$2:J1555,J1555)&gt;1,"Duplicate invoice",IF(COUNTIF($G$2:$G$1801,G1555)&gt;1,"Duplicate ID - review",IF(AND(P1555&lt;&gt;"Unmapped",P1555&lt;&gt;F1555),"Category mismatch","OK"))))))</f>
        <v>OK</v>
      </c>
      <c r="O1555" s="125">
        <f t="shared" si="72"/>
        <v>453.73</v>
      </c>
      <c r="P1555" t="str">
        <f>IF(E1555="","Unmapped",IFERROR(INDEX(Supplier_Lookup!$B$2:$B$25,MATCH(E1555,Supplier_Lookup!$A$2:$A$25,0)),"Unmapped"))</f>
        <v>Food &amp; Catering</v>
      </c>
      <c r="Q1555" s="76">
        <f>IFERROR(INDEX(Category_Targets!$B$2:$B$9,MATCH(F1555,Category_Targets!$A$2:$A$9,0)),0)</f>
        <v>0.04</v>
      </c>
      <c r="R1555" s="125">
        <f t="shared" si="73"/>
        <v>18.1492</v>
      </c>
      <c r="S1555" s="78">
        <f t="shared" si="74"/>
        <v>45717</v>
      </c>
      <c r="T1555" t="str">
        <f>IFERROR(VLOOKUP(B1555,Sites!$A$2:$D$21,4,FALSE()),"Unknown")</f>
        <v>Brighton</v>
      </c>
      <c r="U1555" t="str">
        <f>IF(N1555="OK","",COUNTIF($N$2:N1555,"&lt;&gt;OK"))</f>
        <v/>
      </c>
      <c r="V1555">
        <f>IF(OR(NOT(EXACT(E1555,TRIM(Procurement_Raw!E1555))),NOT(EXACT(F1555,TRIM(Procurement_Raw!F1555)))),1,0)</f>
        <v>0</v>
      </c>
    </row>
    <row r="1556" spans="1:22" ht="15" customHeight="1" x14ac:dyDescent="0.25">
      <c r="A1556" s="123">
        <f>Procurement_Raw!A1556</f>
        <v>45690</v>
      </c>
      <c r="B1556" t="str">
        <f>TRIM(Procurement_Raw!B1556)</f>
        <v>S001</v>
      </c>
      <c r="C1556" t="str">
        <f>Procurement_Raw!C1556</f>
        <v>Preston Care &amp; Education Centre</v>
      </c>
      <c r="D1556" t="str">
        <f>Procurement_Raw!D1556</f>
        <v>North</v>
      </c>
      <c r="E1556" t="str">
        <f>IF(TRIM(Procurement_Raw!E1556)="","",IFERROR(INDEX(Supplier_Lookup!$A$2:$A$25,MATCH(TRIM(Procurement_Raw!E1556),Supplier_Lookup!$A$2:$A$25,0)),TRIM(Procurement_Raw!E1556)))</f>
        <v>NourishCo</v>
      </c>
      <c r="F1556" t="str">
        <f>IFERROR(INDEX(Category_Targets!$A$2:$A$9,MATCH(TRIM(Procurement_Raw!F1556),Category_Targets!$A$2:$A$9,0)),"Unmapped")</f>
        <v>Food &amp; Catering</v>
      </c>
      <c r="G1556" t="str">
        <f>TRIM(Procurement_Raw!G1556)</f>
        <v>INV-2025-01555</v>
      </c>
      <c r="H1556" s="77">
        <f>Procurement_Raw!H1556</f>
        <v>44</v>
      </c>
      <c r="I1556" s="124">
        <f>Procurement_Raw!I1556</f>
        <v>57.39</v>
      </c>
      <c r="J1556" s="125">
        <f>IF(Procurement_Raw!J1556="","",Procurement_Raw!J1556)</f>
        <v>2525.04</v>
      </c>
      <c r="K1556" s="77">
        <f>Procurement_Raw!K1556</f>
        <v>30</v>
      </c>
      <c r="L1556" t="str">
        <f>Procurement_Raw!L1556</f>
        <v>Legacy Spend File</v>
      </c>
      <c r="M1556" t="str">
        <f>Procurement_Raw!O1556</f>
        <v>N</v>
      </c>
      <c r="N1556" t="str">
        <f>IF(E1556="","Missing supplier",IF(B1556="","Missing site",IF(J1556="","Missing spend",IF(COUNTIFS($G$2:G1556,G1556,$E$2:E1556,E1556,$J$2:J1556,J1556)&gt;1,"Duplicate invoice",IF(COUNTIF($G$2:$G$1801,G1556)&gt;1,"Duplicate ID - review",IF(AND(P1556&lt;&gt;"Unmapped",P1556&lt;&gt;F1556),"Category mismatch","OK"))))))</f>
        <v>OK</v>
      </c>
      <c r="O1556" s="125">
        <f t="shared" si="72"/>
        <v>2525.04</v>
      </c>
      <c r="P1556" t="str">
        <f>IF(E1556="","Unmapped",IFERROR(INDEX(Supplier_Lookup!$B$2:$B$25,MATCH(E1556,Supplier_Lookup!$A$2:$A$25,0)),"Unmapped"))</f>
        <v>Food &amp; Catering</v>
      </c>
      <c r="Q1556" s="76">
        <f>IFERROR(INDEX(Category_Targets!$B$2:$B$9,MATCH(F1556,Category_Targets!$A$2:$A$9,0)),0)</f>
        <v>0.04</v>
      </c>
      <c r="R1556" s="125">
        <f t="shared" si="73"/>
        <v>101.0016</v>
      </c>
      <c r="S1556" s="78">
        <f t="shared" si="74"/>
        <v>45689</v>
      </c>
      <c r="T1556" t="str">
        <f>IFERROR(VLOOKUP(B1556,Sites!$A$2:$D$21,4,FALSE()),"Unknown")</f>
        <v>Preston</v>
      </c>
      <c r="U1556" t="str">
        <f>IF(N1556="OK","",COUNTIF($N$2:N1556,"&lt;&gt;OK"))</f>
        <v/>
      </c>
      <c r="V1556">
        <f>IF(OR(NOT(EXACT(E1556,TRIM(Procurement_Raw!E1556))),NOT(EXACT(F1556,TRIM(Procurement_Raw!F1556)))),1,0)</f>
        <v>0</v>
      </c>
    </row>
    <row r="1557" spans="1:22" ht="15" customHeight="1" x14ac:dyDescent="0.25">
      <c r="A1557" s="123">
        <f>Procurement_Raw!A1557</f>
        <v>46002</v>
      </c>
      <c r="B1557" t="str">
        <f>TRIM(Procurement_Raw!B1557)</f>
        <v>S005</v>
      </c>
      <c r="C1557" t="str">
        <f>Procurement_Raw!C1557</f>
        <v>Sheffield Care &amp; Education Centre</v>
      </c>
      <c r="D1557" t="str">
        <f>Procurement_Raw!D1557</f>
        <v>North</v>
      </c>
      <c r="E1557" t="str">
        <f>IF(TRIM(Procurement_Raw!E1557)="","",IFERROR(INDEX(Supplier_Lookup!$A$2:$A$25,MATCH(TRIM(Procurement_Raw!E1557),Supplier_Lookup!$A$2:$A$25,0)),TRIM(Procurement_Raw!E1557)))</f>
        <v>LearnWell</v>
      </c>
      <c r="F1557" t="str">
        <f>IFERROR(INDEX(Category_Targets!$A$2:$A$9,MATCH(TRIM(Procurement_Raw!F1557),Category_Targets!$A$2:$A$9,0)),"Unmapped")</f>
        <v>Office &amp; Training</v>
      </c>
      <c r="G1557" t="str">
        <f>TRIM(Procurement_Raw!G1557)</f>
        <v>INV-2025-01556</v>
      </c>
      <c r="H1557" s="77">
        <f>Procurement_Raw!H1557</f>
        <v>13</v>
      </c>
      <c r="I1557" s="124">
        <f>Procurement_Raw!I1557</f>
        <v>91.79</v>
      </c>
      <c r="J1557" s="125">
        <f>IF(Procurement_Raw!J1557="","",Procurement_Raw!J1557)</f>
        <v>1193.31</v>
      </c>
      <c r="K1557" s="77">
        <f>Procurement_Raw!K1557</f>
        <v>30</v>
      </c>
      <c r="L1557" t="str">
        <f>Procurement_Raw!L1557</f>
        <v>ERP</v>
      </c>
      <c r="M1557" t="str">
        <f>Procurement_Raw!O1557</f>
        <v>N</v>
      </c>
      <c r="N1557" t="str">
        <f>IF(E1557="","Missing supplier",IF(B1557="","Missing site",IF(J1557="","Missing spend",IF(COUNTIFS($G$2:G1557,G1557,$E$2:E1557,E1557,$J$2:J1557,J1557)&gt;1,"Duplicate invoice",IF(COUNTIF($G$2:$G$1801,G1557)&gt;1,"Duplicate ID - review",IF(AND(P1557&lt;&gt;"Unmapped",P1557&lt;&gt;F1557),"Category mismatch","OK"))))))</f>
        <v>OK</v>
      </c>
      <c r="O1557" s="125">
        <f t="shared" si="72"/>
        <v>1193.31</v>
      </c>
      <c r="P1557" t="str">
        <f>IF(E1557="","Unmapped",IFERROR(INDEX(Supplier_Lookup!$B$2:$B$25,MATCH(E1557,Supplier_Lookup!$A$2:$A$25,0)),"Unmapped"))</f>
        <v>Office &amp; Training</v>
      </c>
      <c r="Q1557" s="76">
        <f>IFERROR(INDEX(Category_Targets!$B$2:$B$9,MATCH(F1557,Category_Targets!$A$2:$A$9,0)),0)</f>
        <v>0.04</v>
      </c>
      <c r="R1557" s="125">
        <f t="shared" si="73"/>
        <v>47.732399999999998</v>
      </c>
      <c r="S1557" s="78">
        <f t="shared" si="74"/>
        <v>45992</v>
      </c>
      <c r="T1557" t="str">
        <f>IFERROR(VLOOKUP(B1557,Sites!$A$2:$D$21,4,FALSE()),"Unknown")</f>
        <v>Sheffield</v>
      </c>
      <c r="U1557" t="str">
        <f>IF(N1557="OK","",COUNTIF($N$2:N1557,"&lt;&gt;OK"))</f>
        <v/>
      </c>
      <c r="V1557">
        <f>IF(OR(NOT(EXACT(E1557,TRIM(Procurement_Raw!E1557))),NOT(EXACT(F1557,TRIM(Procurement_Raw!F1557)))),1,0)</f>
        <v>0</v>
      </c>
    </row>
    <row r="1558" spans="1:22" ht="15" customHeight="1" x14ac:dyDescent="0.25">
      <c r="A1558" s="123">
        <f>Procurement_Raw!A1558</f>
        <v>45956</v>
      </c>
      <c r="B1558" t="str">
        <f>TRIM(Procurement_Raw!B1558)</f>
        <v>S015</v>
      </c>
      <c r="C1558" t="str">
        <f>Procurement_Raw!C1558</f>
        <v>Brighton Care &amp; Education Centre</v>
      </c>
      <c r="D1558" t="str">
        <f>Procurement_Raw!D1558</f>
        <v>South</v>
      </c>
      <c r="E1558" t="str">
        <f>IF(TRIM(Procurement_Raw!E1558)="","",IFERROR(INDEX(Supplier_Lookup!$A$2:$A$25,MATCH(TRIM(Procurement_Raw!E1558),Supplier_Lookup!$A$2:$A$25,0)),TRIM(Procurement_Raw!E1558)))</f>
        <v>ClinEquip</v>
      </c>
      <c r="F1558" t="str">
        <f>IFERROR(INDEX(Category_Targets!$A$2:$A$9,MATCH(TRIM(Procurement_Raw!F1558),Category_Targets!$A$2:$A$9,0)),"Unmapped")</f>
        <v>Medical Supplies</v>
      </c>
      <c r="G1558" t="str">
        <f>TRIM(Procurement_Raw!G1558)</f>
        <v>INV-2025-01557</v>
      </c>
      <c r="H1558" s="77">
        <f>Procurement_Raw!H1558</f>
        <v>6</v>
      </c>
      <c r="I1558" s="124">
        <f>Procurement_Raw!I1558</f>
        <v>198.34</v>
      </c>
      <c r="J1558" s="125">
        <f>IF(Procurement_Raw!J1558="","",Procurement_Raw!J1558)</f>
        <v>1190.02</v>
      </c>
      <c r="K1558" s="77">
        <f>Procurement_Raw!K1558</f>
        <v>30</v>
      </c>
      <c r="L1558" t="str">
        <f>Procurement_Raw!L1558</f>
        <v>ERP</v>
      </c>
      <c r="M1558" t="str">
        <f>Procurement_Raw!O1558</f>
        <v>N</v>
      </c>
      <c r="N1558" t="str">
        <f>IF(E1558="","Missing supplier",IF(B1558="","Missing site",IF(J1558="","Missing spend",IF(COUNTIFS($G$2:G1558,G1558,$E$2:E1558,E1558,$J$2:J1558,J1558)&gt;1,"Duplicate invoice",IF(COUNTIF($G$2:$G$1801,G1558)&gt;1,"Duplicate ID - review",IF(AND(P1558&lt;&gt;"Unmapped",P1558&lt;&gt;F1558),"Category mismatch","OK"))))))</f>
        <v>OK</v>
      </c>
      <c r="O1558" s="125">
        <f t="shared" si="72"/>
        <v>1190.02</v>
      </c>
      <c r="P1558" t="str">
        <f>IF(E1558="","Unmapped",IFERROR(INDEX(Supplier_Lookup!$B$2:$B$25,MATCH(E1558,Supplier_Lookup!$A$2:$A$25,0)),"Unmapped"))</f>
        <v>Medical Supplies</v>
      </c>
      <c r="Q1558" s="76">
        <f>IFERROR(INDEX(Category_Targets!$B$2:$B$9,MATCH(F1558,Category_Targets!$A$2:$A$9,0)),0)</f>
        <v>0.06</v>
      </c>
      <c r="R1558" s="125">
        <f t="shared" si="73"/>
        <v>71.401200000000003</v>
      </c>
      <c r="S1558" s="78">
        <f t="shared" si="74"/>
        <v>45931</v>
      </c>
      <c r="T1558" t="str">
        <f>IFERROR(VLOOKUP(B1558,Sites!$A$2:$D$21,4,FALSE()),"Unknown")</f>
        <v>Brighton</v>
      </c>
      <c r="U1558" t="str">
        <f>IF(N1558="OK","",COUNTIF($N$2:N1558,"&lt;&gt;OK"))</f>
        <v/>
      </c>
      <c r="V1558">
        <f>IF(OR(NOT(EXACT(E1558,TRIM(Procurement_Raw!E1558))),NOT(EXACT(F1558,TRIM(Procurement_Raw!F1558)))),1,0)</f>
        <v>0</v>
      </c>
    </row>
    <row r="1559" spans="1:22" ht="15" customHeight="1" x14ac:dyDescent="0.25">
      <c r="A1559" s="123">
        <f>Procurement_Raw!A1559</f>
        <v>45966</v>
      </c>
      <c r="B1559" t="str">
        <f>TRIM(Procurement_Raw!B1559)</f>
        <v>S020</v>
      </c>
      <c r="C1559" t="str">
        <f>Procurement_Raw!C1559</f>
        <v>Bangor Care &amp; Education Centre</v>
      </c>
      <c r="D1559" t="str">
        <f>Procurement_Raw!D1559</f>
        <v>Wales</v>
      </c>
      <c r="E1559" t="str">
        <f>IF(TRIM(Procurement_Raw!E1559)="","",IFERROR(INDEX(Supplier_Lookup!$A$2:$A$25,MATCH(TRIM(Procurement_Raw!E1559),Supplier_Lookup!$A$2:$A$25,0)),TRIM(Procurement_Raw!E1559)))</f>
        <v>CareMed</v>
      </c>
      <c r="F1559" t="str">
        <f>IFERROR(INDEX(Category_Targets!$A$2:$A$9,MATCH(TRIM(Procurement_Raw!F1559),Category_Targets!$A$2:$A$9,0)),"Unmapped")</f>
        <v>Medical Supplies</v>
      </c>
      <c r="G1559" t="str">
        <f>TRIM(Procurement_Raw!G1559)</f>
        <v>INV-2025-01558</v>
      </c>
      <c r="H1559" s="77">
        <f>Procurement_Raw!H1559</f>
        <v>67</v>
      </c>
      <c r="I1559" s="124">
        <f>Procurement_Raw!I1559</f>
        <v>77.150000000000006</v>
      </c>
      <c r="J1559" s="125">
        <f>IF(Procurement_Raw!J1559="","",Procurement_Raw!J1559)</f>
        <v>5169.01</v>
      </c>
      <c r="K1559" s="77">
        <f>Procurement_Raw!K1559</f>
        <v>45</v>
      </c>
      <c r="L1559" t="str">
        <f>Procurement_Raw!L1559</f>
        <v>Procurement Portal</v>
      </c>
      <c r="M1559" t="str">
        <f>Procurement_Raw!O1559</f>
        <v>N</v>
      </c>
      <c r="N1559" t="str">
        <f>IF(E1559="","Missing supplier",IF(B1559="","Missing site",IF(J1559="","Missing spend",IF(COUNTIFS($G$2:G1559,G1559,$E$2:E1559,E1559,$J$2:J1559,J1559)&gt;1,"Duplicate invoice",IF(COUNTIF($G$2:$G$1801,G1559)&gt;1,"Duplicate ID - review",IF(AND(P1559&lt;&gt;"Unmapped",P1559&lt;&gt;F1559),"Category mismatch","OK"))))))</f>
        <v>OK</v>
      </c>
      <c r="O1559" s="125">
        <f t="shared" si="72"/>
        <v>5169.01</v>
      </c>
      <c r="P1559" t="str">
        <f>IF(E1559="","Unmapped",IFERROR(INDEX(Supplier_Lookup!$B$2:$B$25,MATCH(E1559,Supplier_Lookup!$A$2:$A$25,0)),"Unmapped"))</f>
        <v>Medical Supplies</v>
      </c>
      <c r="Q1559" s="76">
        <f>IFERROR(INDEX(Category_Targets!$B$2:$B$9,MATCH(F1559,Category_Targets!$A$2:$A$9,0)),0)</f>
        <v>0.06</v>
      </c>
      <c r="R1559" s="125">
        <f t="shared" si="73"/>
        <v>310.14060000000001</v>
      </c>
      <c r="S1559" s="78">
        <f t="shared" si="74"/>
        <v>45962</v>
      </c>
      <c r="T1559" t="str">
        <f>IFERROR(VLOOKUP(B1559,Sites!$A$2:$D$21,4,FALSE()),"Unknown")</f>
        <v>Bangor</v>
      </c>
      <c r="U1559" t="str">
        <f>IF(N1559="OK","",COUNTIF($N$2:N1559,"&lt;&gt;OK"))</f>
        <v/>
      </c>
      <c r="V1559">
        <f>IF(OR(NOT(EXACT(E1559,TRIM(Procurement_Raw!E1559))),NOT(EXACT(F1559,TRIM(Procurement_Raw!F1559)))),1,0)</f>
        <v>0</v>
      </c>
    </row>
    <row r="1560" spans="1:22" ht="15" customHeight="1" x14ac:dyDescent="0.25">
      <c r="A1560" s="123">
        <f>Procurement_Raw!A1560</f>
        <v>45877</v>
      </c>
      <c r="B1560" t="str">
        <f>TRIM(Procurement_Raw!B1560)</f>
        <v>S008</v>
      </c>
      <c r="C1560" t="str">
        <f>Procurement_Raw!C1560</f>
        <v>Leicester Care &amp; Education Centre</v>
      </c>
      <c r="D1560" t="str">
        <f>Procurement_Raw!D1560</f>
        <v>Midlands</v>
      </c>
      <c r="E1560" t="str">
        <f>IF(TRIM(Procurement_Raw!E1560)="","",IFERROR(INDEX(Supplier_Lookup!$A$2:$A$25,MATCH(TRIM(Procurement_Raw!E1560),Supplier_Lookup!$A$2:$A$25,0)),TRIM(Procurement_Raw!E1560)))</f>
        <v>AutoCare</v>
      </c>
      <c r="F1560" t="str">
        <f>IFERROR(INDEX(Category_Targets!$A$2:$A$9,MATCH(TRIM(Procurement_Raw!F1560),Category_Targets!$A$2:$A$9,0)),"Unmapped")</f>
        <v>Vehicle &amp; Fuel</v>
      </c>
      <c r="G1560" t="str">
        <f>TRIM(Procurement_Raw!G1560)</f>
        <v>INV-2025-01559</v>
      </c>
      <c r="H1560" s="77">
        <f>Procurement_Raw!H1560</f>
        <v>44</v>
      </c>
      <c r="I1560" s="124">
        <f>Procurement_Raw!I1560</f>
        <v>215.91</v>
      </c>
      <c r="J1560" s="125">
        <f>IF(Procurement_Raw!J1560="","",Procurement_Raw!J1560)</f>
        <v>9499.98</v>
      </c>
      <c r="K1560" s="77">
        <f>Procurement_Raw!K1560</f>
        <v>45</v>
      </c>
      <c r="L1560" t="str">
        <f>Procurement_Raw!L1560</f>
        <v>Legacy Spend File</v>
      </c>
      <c r="M1560" t="str">
        <f>Procurement_Raw!O1560</f>
        <v>N</v>
      </c>
      <c r="N1560" t="str">
        <f>IF(E1560="","Missing supplier",IF(B1560="","Missing site",IF(J1560="","Missing spend",IF(COUNTIFS($G$2:G1560,G1560,$E$2:E1560,E1560,$J$2:J1560,J1560)&gt;1,"Duplicate invoice",IF(COUNTIF($G$2:$G$1801,G1560)&gt;1,"Duplicate ID - review",IF(AND(P1560&lt;&gt;"Unmapped",P1560&lt;&gt;F1560),"Category mismatch","OK"))))))</f>
        <v>OK</v>
      </c>
      <c r="O1560" s="125">
        <f t="shared" si="72"/>
        <v>9499.98</v>
      </c>
      <c r="P1560" t="str">
        <f>IF(E1560="","Unmapped",IFERROR(INDEX(Supplier_Lookup!$B$2:$B$25,MATCH(E1560,Supplier_Lookup!$A$2:$A$25,0)),"Unmapped"))</f>
        <v>Vehicle &amp; Fuel</v>
      </c>
      <c r="Q1560" s="76">
        <f>IFERROR(INDEX(Category_Targets!$B$2:$B$9,MATCH(F1560,Category_Targets!$A$2:$A$9,0)),0)</f>
        <v>0.05</v>
      </c>
      <c r="R1560" s="125">
        <f t="shared" si="73"/>
        <v>474.99900000000002</v>
      </c>
      <c r="S1560" s="78">
        <f t="shared" si="74"/>
        <v>45870</v>
      </c>
      <c r="T1560" t="str">
        <f>IFERROR(VLOOKUP(B1560,Sites!$A$2:$D$21,4,FALSE()),"Unknown")</f>
        <v>Leicester</v>
      </c>
      <c r="U1560" t="str">
        <f>IF(N1560="OK","",COUNTIF($N$2:N1560,"&lt;&gt;OK"))</f>
        <v/>
      </c>
      <c r="V1560">
        <f>IF(OR(NOT(EXACT(E1560,TRIM(Procurement_Raw!E1560))),NOT(EXACT(F1560,TRIM(Procurement_Raw!F1560)))),1,0)</f>
        <v>0</v>
      </c>
    </row>
    <row r="1561" spans="1:22" ht="15" customHeight="1" x14ac:dyDescent="0.25">
      <c r="A1561" s="123">
        <f>Procurement_Raw!A1561</f>
        <v>45842</v>
      </c>
      <c r="B1561" t="str">
        <f>TRIM(Procurement_Raw!B1561)</f>
        <v>S001</v>
      </c>
      <c r="C1561" t="str">
        <f>Procurement_Raw!C1561</f>
        <v>Preston Care &amp; Education Centre</v>
      </c>
      <c r="D1561" t="str">
        <f>Procurement_Raw!D1561</f>
        <v>North</v>
      </c>
      <c r="E1561" t="str">
        <f>IF(TRIM(Procurement_Raw!E1561)="","",IFERROR(INDEX(Supplier_Lookup!$A$2:$A$25,MATCH(TRIM(Procurement_Raw!E1561),Supplier_Lookup!$A$2:$A$25,0)),TRIM(Procurement_Raw!E1561)))</f>
        <v>FleetFuel</v>
      </c>
      <c r="F1561" t="str">
        <f>IFERROR(INDEX(Category_Targets!$A$2:$A$9,MATCH(TRIM(Procurement_Raw!F1561),Category_Targets!$A$2:$A$9,0)),"Unmapped")</f>
        <v>Vehicle &amp; Fuel</v>
      </c>
      <c r="G1561" t="str">
        <f>TRIM(Procurement_Raw!G1561)</f>
        <v>INV-2025-01560</v>
      </c>
      <c r="H1561" s="77">
        <f>Procurement_Raw!H1561</f>
        <v>52</v>
      </c>
      <c r="I1561" s="124">
        <f>Procurement_Raw!I1561</f>
        <v>81.84</v>
      </c>
      <c r="J1561" s="125">
        <f>IF(Procurement_Raw!J1561="","",Procurement_Raw!J1561)</f>
        <v>4255.6499999999996</v>
      </c>
      <c r="K1561" s="77">
        <f>Procurement_Raw!K1561</f>
        <v>45</v>
      </c>
      <c r="L1561" t="str">
        <f>Procurement_Raw!L1561</f>
        <v>Legacy Spend File</v>
      </c>
      <c r="M1561" t="str">
        <f>Procurement_Raw!O1561</f>
        <v>Y</v>
      </c>
      <c r="N1561" t="str">
        <f>IF(E1561="","Missing supplier",IF(B1561="","Missing site",IF(J1561="","Missing spend",IF(COUNTIFS($G$2:G1561,G1561,$E$2:E1561,E1561,$J$2:J1561,J1561)&gt;1,"Duplicate invoice",IF(COUNTIF($G$2:$G$1801,G1561)&gt;1,"Duplicate ID - review",IF(AND(P1561&lt;&gt;"Unmapped",P1561&lt;&gt;F1561),"Category mismatch","OK"))))))</f>
        <v>OK</v>
      </c>
      <c r="O1561" s="125">
        <f t="shared" si="72"/>
        <v>4255.6499999999996</v>
      </c>
      <c r="P1561" t="str">
        <f>IF(E1561="","Unmapped",IFERROR(INDEX(Supplier_Lookup!$B$2:$B$25,MATCH(E1561,Supplier_Lookup!$A$2:$A$25,0)),"Unmapped"))</f>
        <v>Vehicle &amp; Fuel</v>
      </c>
      <c r="Q1561" s="76">
        <f>IFERROR(INDEX(Category_Targets!$B$2:$B$9,MATCH(F1561,Category_Targets!$A$2:$A$9,0)),0)</f>
        <v>0.05</v>
      </c>
      <c r="R1561" s="125">
        <f t="shared" si="73"/>
        <v>212.7825</v>
      </c>
      <c r="S1561" s="78">
        <f t="shared" si="74"/>
        <v>45839</v>
      </c>
      <c r="T1561" t="str">
        <f>IFERROR(VLOOKUP(B1561,Sites!$A$2:$D$21,4,FALSE()),"Unknown")</f>
        <v>Preston</v>
      </c>
      <c r="U1561" t="str">
        <f>IF(N1561="OK","",COUNTIF($N$2:N1561,"&lt;&gt;OK"))</f>
        <v/>
      </c>
      <c r="V1561">
        <f>IF(OR(NOT(EXACT(E1561,TRIM(Procurement_Raw!E1561))),NOT(EXACT(F1561,TRIM(Procurement_Raw!F1561)))),1,0)</f>
        <v>0</v>
      </c>
    </row>
    <row r="1562" spans="1:22" ht="15" customHeight="1" x14ac:dyDescent="0.25">
      <c r="A1562" s="123">
        <f>Procurement_Raw!A1562</f>
        <v>45709</v>
      </c>
      <c r="B1562" t="str">
        <f>TRIM(Procurement_Raw!B1562)</f>
        <v>S005</v>
      </c>
      <c r="C1562" t="str">
        <f>Procurement_Raw!C1562</f>
        <v>Sheffield Care &amp; Education Centre</v>
      </c>
      <c r="D1562" t="str">
        <f>Procurement_Raw!D1562</f>
        <v>North</v>
      </c>
      <c r="E1562" t="str">
        <f>IF(TRIM(Procurement_Raw!E1562)="","",IFERROR(INDEX(Supplier_Lookup!$A$2:$A$25,MATCH(TRIM(Procurement_Raw!E1562),Supplier_Lookup!$A$2:$A$25,0)),TRIM(Procurement_Raw!E1562)))</f>
        <v>RoadReady</v>
      </c>
      <c r="F1562" t="str">
        <f>IFERROR(INDEX(Category_Targets!$A$2:$A$9,MATCH(TRIM(Procurement_Raw!F1562),Category_Targets!$A$2:$A$9,0)),"Unmapped")</f>
        <v>Vehicle &amp; Fuel</v>
      </c>
      <c r="G1562" t="str">
        <f>TRIM(Procurement_Raw!G1562)</f>
        <v>INV-2025-01561</v>
      </c>
      <c r="H1562" s="77">
        <f>Procurement_Raw!H1562</f>
        <v>1</v>
      </c>
      <c r="I1562" s="124">
        <f>Procurement_Raw!I1562</f>
        <v>93.89</v>
      </c>
      <c r="J1562" s="125">
        <f>IF(Procurement_Raw!J1562="","",Procurement_Raw!J1562)</f>
        <v>93.89</v>
      </c>
      <c r="K1562" s="77">
        <f>Procurement_Raw!K1562</f>
        <v>45</v>
      </c>
      <c r="L1562" t="str">
        <f>Procurement_Raw!L1562</f>
        <v>Legacy Spend File</v>
      </c>
      <c r="M1562" t="str">
        <f>Procurement_Raw!O1562</f>
        <v>N</v>
      </c>
      <c r="N1562" t="str">
        <f>IF(E1562="","Missing supplier",IF(B1562="","Missing site",IF(J1562="","Missing spend",IF(COUNTIFS($G$2:G1562,G1562,$E$2:E1562,E1562,$J$2:J1562,J1562)&gt;1,"Duplicate invoice",IF(COUNTIF($G$2:$G$1801,G1562)&gt;1,"Duplicate ID - review",IF(AND(P1562&lt;&gt;"Unmapped",P1562&lt;&gt;F1562),"Category mismatch","OK"))))))</f>
        <v>OK</v>
      </c>
      <c r="O1562" s="125">
        <f t="shared" si="72"/>
        <v>93.89</v>
      </c>
      <c r="P1562" t="str">
        <f>IF(E1562="","Unmapped",IFERROR(INDEX(Supplier_Lookup!$B$2:$B$25,MATCH(E1562,Supplier_Lookup!$A$2:$A$25,0)),"Unmapped"))</f>
        <v>Vehicle &amp; Fuel</v>
      </c>
      <c r="Q1562" s="76">
        <f>IFERROR(INDEX(Category_Targets!$B$2:$B$9,MATCH(F1562,Category_Targets!$A$2:$A$9,0)),0)</f>
        <v>0.05</v>
      </c>
      <c r="R1562" s="125">
        <f t="shared" si="73"/>
        <v>4.6945000000000006</v>
      </c>
      <c r="S1562" s="78">
        <f t="shared" si="74"/>
        <v>45689</v>
      </c>
      <c r="T1562" t="str">
        <f>IFERROR(VLOOKUP(B1562,Sites!$A$2:$D$21,4,FALSE()),"Unknown")</f>
        <v>Sheffield</v>
      </c>
      <c r="U1562" t="str">
        <f>IF(N1562="OK","",COUNTIF($N$2:N1562,"&lt;&gt;OK"))</f>
        <v/>
      </c>
      <c r="V1562">
        <f>IF(OR(NOT(EXACT(E1562,TRIM(Procurement_Raw!E1562))),NOT(EXACT(F1562,TRIM(Procurement_Raw!F1562)))),1,0)</f>
        <v>0</v>
      </c>
    </row>
    <row r="1563" spans="1:22" ht="15" customHeight="1" x14ac:dyDescent="0.25">
      <c r="A1563" s="123">
        <f>Procurement_Raw!A1563</f>
        <v>45966</v>
      </c>
      <c r="B1563" t="str">
        <f>TRIM(Procurement_Raw!B1563)</f>
        <v>S014</v>
      </c>
      <c r="C1563" t="str">
        <f>Procurement_Raw!C1563</f>
        <v>Southampton Care &amp; Education Centre</v>
      </c>
      <c r="D1563" t="str">
        <f>Procurement_Raw!D1563</f>
        <v>South</v>
      </c>
      <c r="E1563" t="str">
        <f>IF(TRIM(Procurement_Raw!E1563)="","",IFERROR(INDEX(Supplier_Lookup!$A$2:$A$25,MATCH(TRIM(Procurement_Raw!E1563),Supplier_Lookup!$A$2:$A$25,0)),TRIM(Procurement_Raw!E1563)))</f>
        <v>CleanWorks</v>
      </c>
      <c r="F1563" t="str">
        <f>IFERROR(INDEX(Category_Targets!$A$2:$A$9,MATCH(TRIM(Procurement_Raw!F1563),Category_Targets!$A$2:$A$9,0)),"Unmapped")</f>
        <v>Facilities</v>
      </c>
      <c r="G1563" t="str">
        <f>TRIM(Procurement_Raw!G1563)</f>
        <v>INV-2025-01562</v>
      </c>
      <c r="H1563" s="77">
        <f>Procurement_Raw!H1563</f>
        <v>16</v>
      </c>
      <c r="I1563" s="124">
        <f>Procurement_Raw!I1563</f>
        <v>119.34</v>
      </c>
      <c r="J1563" s="125">
        <f>IF(Procurement_Raw!J1563="","",Procurement_Raw!J1563)</f>
        <v>1909.47</v>
      </c>
      <c r="K1563" s="77">
        <f>Procurement_Raw!K1563</f>
        <v>60</v>
      </c>
      <c r="L1563" t="str">
        <f>Procurement_Raw!L1563</f>
        <v>Procurement Portal</v>
      </c>
      <c r="M1563" t="str">
        <f>Procurement_Raw!O1563</f>
        <v>Y</v>
      </c>
      <c r="N1563" t="str">
        <f>IF(E1563="","Missing supplier",IF(B1563="","Missing site",IF(J1563="","Missing spend",IF(COUNTIFS($G$2:G1563,G1563,$E$2:E1563,E1563,$J$2:J1563,J1563)&gt;1,"Duplicate invoice",IF(COUNTIF($G$2:$G$1801,G1563)&gt;1,"Duplicate ID - review",IF(AND(P1563&lt;&gt;"Unmapped",P1563&lt;&gt;F1563),"Category mismatch","OK"))))))</f>
        <v>OK</v>
      </c>
      <c r="O1563" s="125">
        <f t="shared" si="72"/>
        <v>1909.47</v>
      </c>
      <c r="P1563" t="str">
        <f>IF(E1563="","Unmapped",IFERROR(INDEX(Supplier_Lookup!$B$2:$B$25,MATCH(E1563,Supplier_Lookup!$A$2:$A$25,0)),"Unmapped"))</f>
        <v>Facilities</v>
      </c>
      <c r="Q1563" s="76">
        <f>IFERROR(INDEX(Category_Targets!$B$2:$B$9,MATCH(F1563,Category_Targets!$A$2:$A$9,0)),0)</f>
        <v>0.05</v>
      </c>
      <c r="R1563" s="125">
        <f t="shared" si="73"/>
        <v>95.473500000000001</v>
      </c>
      <c r="S1563" s="78">
        <f t="shared" si="74"/>
        <v>45962</v>
      </c>
      <c r="T1563" t="str">
        <f>IFERROR(VLOOKUP(B1563,Sites!$A$2:$D$21,4,FALSE()),"Unknown")</f>
        <v>Southampton</v>
      </c>
      <c r="U1563" t="str">
        <f>IF(N1563="OK","",COUNTIF($N$2:N1563,"&lt;&gt;OK"))</f>
        <v/>
      </c>
      <c r="V1563">
        <f>IF(OR(NOT(EXACT(E1563,TRIM(Procurement_Raw!E1563))),NOT(EXACT(F1563,TRIM(Procurement_Raw!F1563)))),1,0)</f>
        <v>0</v>
      </c>
    </row>
    <row r="1564" spans="1:22" ht="15" customHeight="1" x14ac:dyDescent="0.25">
      <c r="A1564" s="123">
        <f>Procurement_Raw!A1564</f>
        <v>45889</v>
      </c>
      <c r="B1564" t="str">
        <f>TRIM(Procurement_Raw!B1564)</f>
        <v>S009</v>
      </c>
      <c r="C1564" t="str">
        <f>Procurement_Raw!C1564</f>
        <v>Derby Care &amp; Education Centre</v>
      </c>
      <c r="D1564" t="str">
        <f>Procurement_Raw!D1564</f>
        <v>Midlands</v>
      </c>
      <c r="E1564" t="str">
        <f>IF(TRIM(Procurement_Raw!E1564)="","",IFERROR(INDEX(Supplier_Lookup!$A$2:$A$25,MATCH(TRIM(Procurement_Raw!E1564),Supplier_Lookup!$A$2:$A$25,0)),TRIM(Procurement_Raw!E1564)))</f>
        <v>WaterGrid</v>
      </c>
      <c r="F1564" t="str">
        <f>IFERROR(INDEX(Category_Targets!$A$2:$A$9,MATCH(TRIM(Procurement_Raw!F1564),Category_Targets!$A$2:$A$9,0)),"Unmapped")</f>
        <v>Utilities</v>
      </c>
      <c r="G1564" t="str">
        <f>TRIM(Procurement_Raw!G1564)</f>
        <v>INV-2025-01563</v>
      </c>
      <c r="H1564" s="77">
        <f>Procurement_Raw!H1564</f>
        <v>80</v>
      </c>
      <c r="I1564" s="124">
        <f>Procurement_Raw!I1564</f>
        <v>65.900000000000006</v>
      </c>
      <c r="J1564" s="125">
        <f>IF(Procurement_Raw!J1564="","",Procurement_Raw!J1564)</f>
        <v>5271.95</v>
      </c>
      <c r="K1564" s="77">
        <f>Procurement_Raw!K1564</f>
        <v>60</v>
      </c>
      <c r="L1564" t="str">
        <f>Procurement_Raw!L1564</f>
        <v>Legacy Spend File</v>
      </c>
      <c r="M1564" t="str">
        <f>Procurement_Raw!O1564</f>
        <v>N</v>
      </c>
      <c r="N1564" t="str">
        <f>IF(E1564="","Missing supplier",IF(B1564="","Missing site",IF(J1564="","Missing spend",IF(COUNTIFS($G$2:G1564,G1564,$E$2:E1564,E1564,$J$2:J1564,J1564)&gt;1,"Duplicate invoice",IF(COUNTIF($G$2:$G$1801,G1564)&gt;1,"Duplicate ID - review",IF(AND(P1564&lt;&gt;"Unmapped",P1564&lt;&gt;F1564),"Category mismatch","OK"))))))</f>
        <v>OK</v>
      </c>
      <c r="O1564" s="125">
        <f t="shared" si="72"/>
        <v>5271.95</v>
      </c>
      <c r="P1564" t="str">
        <f>IF(E1564="","Unmapped",IFERROR(INDEX(Supplier_Lookup!$B$2:$B$25,MATCH(E1564,Supplier_Lookup!$A$2:$A$25,0)),"Unmapped"))</f>
        <v>Utilities</v>
      </c>
      <c r="Q1564" s="76">
        <f>IFERROR(INDEX(Category_Targets!$B$2:$B$9,MATCH(F1564,Category_Targets!$A$2:$A$9,0)),0)</f>
        <v>0.03</v>
      </c>
      <c r="R1564" s="125">
        <f t="shared" si="73"/>
        <v>158.15849999999998</v>
      </c>
      <c r="S1564" s="78">
        <f t="shared" si="74"/>
        <v>45870</v>
      </c>
      <c r="T1564" t="str">
        <f>IFERROR(VLOOKUP(B1564,Sites!$A$2:$D$21,4,FALSE()),"Unknown")</f>
        <v>Derby</v>
      </c>
      <c r="U1564" t="str">
        <f>IF(N1564="OK","",COUNTIF($N$2:N1564,"&lt;&gt;OK"))</f>
        <v/>
      </c>
      <c r="V1564">
        <f>IF(OR(NOT(EXACT(E1564,TRIM(Procurement_Raw!E1564))),NOT(EXACT(F1564,TRIM(Procurement_Raw!F1564)))),1,0)</f>
        <v>0</v>
      </c>
    </row>
    <row r="1565" spans="1:22" ht="15" customHeight="1" x14ac:dyDescent="0.25">
      <c r="A1565" s="123">
        <f>Procurement_Raw!A1565</f>
        <v>45754</v>
      </c>
      <c r="B1565" t="str">
        <f>TRIM(Procurement_Raw!B1565)</f>
        <v>S007</v>
      </c>
      <c r="C1565" t="str">
        <f>Procurement_Raw!C1565</f>
        <v>Nottingham Care &amp; Education Centre</v>
      </c>
      <c r="D1565" t="str">
        <f>Procurement_Raw!D1565</f>
        <v>Midlands</v>
      </c>
      <c r="E1565" t="str">
        <f>IF(TRIM(Procurement_Raw!E1565)="","",IFERROR(INDEX(Supplier_Lookup!$A$2:$A$25,MATCH(TRIM(Procurement_Raw!E1565),Supplier_Lookup!$A$2:$A$25,0)),TRIM(Procurement_Raw!E1565)))</f>
        <v>NurseLink</v>
      </c>
      <c r="F1565" t="str">
        <f>IFERROR(INDEX(Category_Targets!$A$2:$A$9,MATCH(TRIM(Procurement_Raw!F1565),Category_Targets!$A$2:$A$9,0)),"Unmapped")</f>
        <v>Agency Labour</v>
      </c>
      <c r="G1565" t="str">
        <f>TRIM(Procurement_Raw!G1565)</f>
        <v>INV-2025-01564</v>
      </c>
      <c r="H1565" s="77">
        <f>Procurement_Raw!H1565</f>
        <v>1</v>
      </c>
      <c r="I1565" s="124">
        <f>Procurement_Raw!I1565</f>
        <v>487.85</v>
      </c>
      <c r="J1565" s="125">
        <f>IF(Procurement_Raw!J1565="","",Procurement_Raw!J1565)</f>
        <v>487.85</v>
      </c>
      <c r="K1565" s="77">
        <f>Procurement_Raw!K1565</f>
        <v>60</v>
      </c>
      <c r="L1565" t="str">
        <f>Procurement_Raw!L1565</f>
        <v>Procurement Portal</v>
      </c>
      <c r="M1565" t="str">
        <f>Procurement_Raw!O1565</f>
        <v>N</v>
      </c>
      <c r="N1565" t="str">
        <f>IF(E1565="","Missing supplier",IF(B1565="","Missing site",IF(J1565="","Missing spend",IF(COUNTIFS($G$2:G1565,G1565,$E$2:E1565,E1565,$J$2:J1565,J1565)&gt;1,"Duplicate invoice",IF(COUNTIF($G$2:$G$1801,G1565)&gt;1,"Duplicate ID - review",IF(AND(P1565&lt;&gt;"Unmapped",P1565&lt;&gt;F1565),"Category mismatch","OK"))))))</f>
        <v>OK</v>
      </c>
      <c r="O1565" s="125">
        <f t="shared" si="72"/>
        <v>487.85</v>
      </c>
      <c r="P1565" t="str">
        <f>IF(E1565="","Unmapped",IFERROR(INDEX(Supplier_Lookup!$B$2:$B$25,MATCH(E1565,Supplier_Lookup!$A$2:$A$25,0)),"Unmapped"))</f>
        <v>Agency Labour</v>
      </c>
      <c r="Q1565" s="76">
        <f>IFERROR(INDEX(Category_Targets!$B$2:$B$9,MATCH(F1565,Category_Targets!$A$2:$A$9,0)),0)</f>
        <v>7.0000000000000007E-2</v>
      </c>
      <c r="R1565" s="125">
        <f t="shared" si="73"/>
        <v>34.149500000000003</v>
      </c>
      <c r="S1565" s="78">
        <f t="shared" si="74"/>
        <v>45748</v>
      </c>
      <c r="T1565" t="str">
        <f>IFERROR(VLOOKUP(B1565,Sites!$A$2:$D$21,4,FALSE()),"Unknown")</f>
        <v>Nottingham</v>
      </c>
      <c r="U1565" t="str">
        <f>IF(N1565="OK","",COUNTIF($N$2:N1565,"&lt;&gt;OK"))</f>
        <v/>
      </c>
      <c r="V1565">
        <f>IF(OR(NOT(EXACT(E1565,TRIM(Procurement_Raw!E1565))),NOT(EXACT(F1565,TRIM(Procurement_Raw!F1565)))),1,0)</f>
        <v>0</v>
      </c>
    </row>
    <row r="1566" spans="1:22" ht="15" customHeight="1" x14ac:dyDescent="0.25">
      <c r="A1566" s="123">
        <f>Procurement_Raw!A1566</f>
        <v>45824</v>
      </c>
      <c r="B1566" t="str">
        <f>TRIM(Procurement_Raw!B1566)</f>
        <v>S004</v>
      </c>
      <c r="C1566" t="str">
        <f>Procurement_Raw!C1566</f>
        <v>Newcastle Care &amp; Education Centre</v>
      </c>
      <c r="D1566" t="str">
        <f>Procurement_Raw!D1566</f>
        <v>North</v>
      </c>
      <c r="E1566" t="str">
        <f>IF(TRIM(Procurement_Raw!E1566)="","",IFERROR(INDEX(Supplier_Lookup!$A$2:$A$25,MATCH(TRIM(Procurement_Raw!E1566),Supplier_Lookup!$A$2:$A$25,0)),TRIM(Procurement_Raw!E1566)))</f>
        <v>FleetFuel</v>
      </c>
      <c r="F1566" t="str">
        <f>IFERROR(INDEX(Category_Targets!$A$2:$A$9,MATCH(TRIM(Procurement_Raw!F1566),Category_Targets!$A$2:$A$9,0)),"Unmapped")</f>
        <v>Vehicle &amp; Fuel</v>
      </c>
      <c r="G1566" t="str">
        <f>TRIM(Procurement_Raw!G1566)</f>
        <v>INV-2025-01565</v>
      </c>
      <c r="H1566" s="77">
        <f>Procurement_Raw!H1566</f>
        <v>57</v>
      </c>
      <c r="I1566" s="124">
        <f>Procurement_Raw!I1566</f>
        <v>142.47</v>
      </c>
      <c r="J1566" s="125">
        <f>IF(Procurement_Raw!J1566="","",Procurement_Raw!J1566)</f>
        <v>8120.87</v>
      </c>
      <c r="K1566" s="77">
        <f>Procurement_Raw!K1566</f>
        <v>30</v>
      </c>
      <c r="L1566" t="str">
        <f>Procurement_Raw!L1566</f>
        <v>Legacy Spend File</v>
      </c>
      <c r="M1566" t="str">
        <f>Procurement_Raw!O1566</f>
        <v>Y</v>
      </c>
      <c r="N1566" t="str">
        <f>IF(E1566="","Missing supplier",IF(B1566="","Missing site",IF(J1566="","Missing spend",IF(COUNTIFS($G$2:G1566,G1566,$E$2:E1566,E1566,$J$2:J1566,J1566)&gt;1,"Duplicate invoice",IF(COUNTIF($G$2:$G$1801,G1566)&gt;1,"Duplicate ID - review",IF(AND(P1566&lt;&gt;"Unmapped",P1566&lt;&gt;F1566),"Category mismatch","OK"))))))</f>
        <v>OK</v>
      </c>
      <c r="O1566" s="125">
        <f t="shared" si="72"/>
        <v>8120.87</v>
      </c>
      <c r="P1566" t="str">
        <f>IF(E1566="","Unmapped",IFERROR(INDEX(Supplier_Lookup!$B$2:$B$25,MATCH(E1566,Supplier_Lookup!$A$2:$A$25,0)),"Unmapped"))</f>
        <v>Vehicle &amp; Fuel</v>
      </c>
      <c r="Q1566" s="76">
        <f>IFERROR(INDEX(Category_Targets!$B$2:$B$9,MATCH(F1566,Category_Targets!$A$2:$A$9,0)),0)</f>
        <v>0.05</v>
      </c>
      <c r="R1566" s="125">
        <f t="shared" si="73"/>
        <v>406.04349999999999</v>
      </c>
      <c r="S1566" s="78">
        <f t="shared" si="74"/>
        <v>45809</v>
      </c>
      <c r="T1566" t="str">
        <f>IFERROR(VLOOKUP(B1566,Sites!$A$2:$D$21,4,FALSE()),"Unknown")</f>
        <v>Newcastle</v>
      </c>
      <c r="U1566" t="str">
        <f>IF(N1566="OK","",COUNTIF($N$2:N1566,"&lt;&gt;OK"))</f>
        <v/>
      </c>
      <c r="V1566">
        <f>IF(OR(NOT(EXACT(E1566,TRIM(Procurement_Raw!E1566))),NOT(EXACT(F1566,TRIM(Procurement_Raw!F1566)))),1,0)</f>
        <v>0</v>
      </c>
    </row>
    <row r="1567" spans="1:22" ht="15" customHeight="1" x14ac:dyDescent="0.25">
      <c r="A1567" s="123">
        <f>Procurement_Raw!A1567</f>
        <v>45971</v>
      </c>
      <c r="B1567" t="str">
        <f>TRIM(Procurement_Raw!B1567)</f>
        <v>S003</v>
      </c>
      <c r="C1567" t="str">
        <f>Procurement_Raw!C1567</f>
        <v>Leeds Care &amp; Education Centre</v>
      </c>
      <c r="D1567" t="str">
        <f>Procurement_Raw!D1567</f>
        <v>North</v>
      </c>
      <c r="E1567" t="str">
        <f>IF(TRIM(Procurement_Raw!E1567)="","",IFERROR(INDEX(Supplier_Lookup!$A$2:$A$25,MATCH(TRIM(Procurement_Raw!E1567),Supplier_Lookup!$A$2:$A$25,0)),TRIM(Procurement_Raw!E1567)))</f>
        <v>NurseLink</v>
      </c>
      <c r="F1567" t="str">
        <f>IFERROR(INDEX(Category_Targets!$A$2:$A$9,MATCH(TRIM(Procurement_Raw!F1567),Category_Targets!$A$2:$A$9,0)),"Unmapped")</f>
        <v>Agency Labour</v>
      </c>
      <c r="G1567" t="str">
        <f>TRIM(Procurement_Raw!G1567)</f>
        <v>INV-2025-01566</v>
      </c>
      <c r="H1567" s="77">
        <f>Procurement_Raw!H1567</f>
        <v>11</v>
      </c>
      <c r="I1567" s="124">
        <f>Procurement_Raw!I1567</f>
        <v>256.99</v>
      </c>
      <c r="J1567" s="125">
        <f>IF(Procurement_Raw!J1567="","",Procurement_Raw!J1567)</f>
        <v>2826.93</v>
      </c>
      <c r="K1567" s="77">
        <f>Procurement_Raw!K1567</f>
        <v>45</v>
      </c>
      <c r="L1567" t="str">
        <f>Procurement_Raw!L1567</f>
        <v>Procurement Portal</v>
      </c>
      <c r="M1567" t="str">
        <f>Procurement_Raw!O1567</f>
        <v>N</v>
      </c>
      <c r="N1567" t="str">
        <f>IF(E1567="","Missing supplier",IF(B1567="","Missing site",IF(J1567="","Missing spend",IF(COUNTIFS($G$2:G1567,G1567,$E$2:E1567,E1567,$J$2:J1567,J1567)&gt;1,"Duplicate invoice",IF(COUNTIF($G$2:$G$1801,G1567)&gt;1,"Duplicate ID - review",IF(AND(P1567&lt;&gt;"Unmapped",P1567&lt;&gt;F1567),"Category mismatch","OK"))))))</f>
        <v>OK</v>
      </c>
      <c r="O1567" s="125">
        <f t="shared" si="72"/>
        <v>2826.93</v>
      </c>
      <c r="P1567" t="str">
        <f>IF(E1567="","Unmapped",IFERROR(INDEX(Supplier_Lookup!$B$2:$B$25,MATCH(E1567,Supplier_Lookup!$A$2:$A$25,0)),"Unmapped"))</f>
        <v>Agency Labour</v>
      </c>
      <c r="Q1567" s="76">
        <f>IFERROR(INDEX(Category_Targets!$B$2:$B$9,MATCH(F1567,Category_Targets!$A$2:$A$9,0)),0)</f>
        <v>7.0000000000000007E-2</v>
      </c>
      <c r="R1567" s="125">
        <f t="shared" si="73"/>
        <v>197.88509999999999</v>
      </c>
      <c r="S1567" s="78">
        <f t="shared" si="74"/>
        <v>45962</v>
      </c>
      <c r="T1567" t="str">
        <f>IFERROR(VLOOKUP(B1567,Sites!$A$2:$D$21,4,FALSE()),"Unknown")</f>
        <v>Leeds</v>
      </c>
      <c r="U1567" t="str">
        <f>IF(N1567="OK","",COUNTIF($N$2:N1567,"&lt;&gt;OK"))</f>
        <v/>
      </c>
      <c r="V1567">
        <f>IF(OR(NOT(EXACT(E1567,TRIM(Procurement_Raw!E1567))),NOT(EXACT(F1567,TRIM(Procurement_Raw!F1567)))),1,0)</f>
        <v>0</v>
      </c>
    </row>
    <row r="1568" spans="1:22" ht="15" customHeight="1" x14ac:dyDescent="0.25">
      <c r="A1568" s="123">
        <f>Procurement_Raw!A1568</f>
        <v>45855</v>
      </c>
      <c r="B1568" t="str">
        <f>TRIM(Procurement_Raw!B1568)</f>
        <v>S014</v>
      </c>
      <c r="C1568" t="str">
        <f>Procurement_Raw!C1568</f>
        <v>Southampton Care &amp; Education Centre</v>
      </c>
      <c r="D1568" t="str">
        <f>Procurement_Raw!D1568</f>
        <v>South</v>
      </c>
      <c r="E1568" t="str">
        <f>IF(TRIM(Procurement_Raw!E1568)="","",IFERROR(INDEX(Supplier_Lookup!$A$2:$A$25,MATCH(TRIM(Procurement_Raw!E1568),Supplier_Lookup!$A$2:$A$25,0)),TRIM(Procurement_Raw!E1568)))</f>
        <v>KitchenPro</v>
      </c>
      <c r="F1568" t="str">
        <f>IFERROR(INDEX(Category_Targets!$A$2:$A$9,MATCH(TRIM(Procurement_Raw!F1568),Category_Targets!$A$2:$A$9,0)),"Unmapped")</f>
        <v>Food &amp; Catering</v>
      </c>
      <c r="G1568" t="str">
        <f>TRIM(Procurement_Raw!G1568)</f>
        <v>INV-2025-01567</v>
      </c>
      <c r="H1568" s="77">
        <f>Procurement_Raw!H1568</f>
        <v>38</v>
      </c>
      <c r="I1568" s="124">
        <f>Procurement_Raw!I1568</f>
        <v>67.44</v>
      </c>
      <c r="J1568" s="125">
        <f>IF(Procurement_Raw!J1568="","",Procurement_Raw!J1568)</f>
        <v>2562.6999999999998</v>
      </c>
      <c r="K1568" s="77">
        <f>Procurement_Raw!K1568</f>
        <v>60</v>
      </c>
      <c r="L1568" t="str">
        <f>Procurement_Raw!L1568</f>
        <v>ERP</v>
      </c>
      <c r="M1568" t="str">
        <f>Procurement_Raw!O1568</f>
        <v>N</v>
      </c>
      <c r="N1568" t="str">
        <f>IF(E1568="","Missing supplier",IF(B1568="","Missing site",IF(J1568="","Missing spend",IF(COUNTIFS($G$2:G1568,G1568,$E$2:E1568,E1568,$J$2:J1568,J1568)&gt;1,"Duplicate invoice",IF(COUNTIF($G$2:$G$1801,G1568)&gt;1,"Duplicate ID - review",IF(AND(P1568&lt;&gt;"Unmapped",P1568&lt;&gt;F1568),"Category mismatch","OK"))))))</f>
        <v>OK</v>
      </c>
      <c r="O1568" s="125">
        <f t="shared" si="72"/>
        <v>2562.6999999999998</v>
      </c>
      <c r="P1568" t="str">
        <f>IF(E1568="","Unmapped",IFERROR(INDEX(Supplier_Lookup!$B$2:$B$25,MATCH(E1568,Supplier_Lookup!$A$2:$A$25,0)),"Unmapped"))</f>
        <v>Food &amp; Catering</v>
      </c>
      <c r="Q1568" s="76">
        <f>IFERROR(INDEX(Category_Targets!$B$2:$B$9,MATCH(F1568,Category_Targets!$A$2:$A$9,0)),0)</f>
        <v>0.04</v>
      </c>
      <c r="R1568" s="125">
        <f t="shared" si="73"/>
        <v>102.508</v>
      </c>
      <c r="S1568" s="78">
        <f t="shared" si="74"/>
        <v>45839</v>
      </c>
      <c r="T1568" t="str">
        <f>IFERROR(VLOOKUP(B1568,Sites!$A$2:$D$21,4,FALSE()),"Unknown")</f>
        <v>Southampton</v>
      </c>
      <c r="U1568" t="str">
        <f>IF(N1568="OK","",COUNTIF($N$2:N1568,"&lt;&gt;OK"))</f>
        <v/>
      </c>
      <c r="V1568">
        <f>IF(OR(NOT(EXACT(E1568,TRIM(Procurement_Raw!E1568))),NOT(EXACT(F1568,TRIM(Procurement_Raw!F1568)))),1,0)</f>
        <v>0</v>
      </c>
    </row>
    <row r="1569" spans="1:22" ht="15" customHeight="1" x14ac:dyDescent="0.25">
      <c r="A1569" s="123">
        <f>Procurement_Raw!A1569</f>
        <v>45950</v>
      </c>
      <c r="B1569" t="str">
        <f>TRIM(Procurement_Raw!B1569)</f>
        <v>S010</v>
      </c>
      <c r="C1569" t="str">
        <f>Procurement_Raw!C1569</f>
        <v>Coventry Care &amp; Education Centre</v>
      </c>
      <c r="D1569" t="str">
        <f>Procurement_Raw!D1569</f>
        <v>Midlands</v>
      </c>
      <c r="E1569" t="str">
        <f>IF(TRIM(Procurement_Raw!E1569)="","",IFERROR(INDEX(Supplier_Lookup!$A$2:$A$25,MATCH(TRIM(Procurement_Raw!E1569),Supplier_Lookup!$A$2:$A$25,0)),TRIM(Procurement_Raw!E1569)))</f>
        <v>BuildCare</v>
      </c>
      <c r="F1569" t="str">
        <f>IFERROR(INDEX(Category_Targets!$A$2:$A$9,MATCH(TRIM(Procurement_Raw!F1569),Category_Targets!$A$2:$A$9,0)),"Unmapped")</f>
        <v>Facilities</v>
      </c>
      <c r="G1569" t="str">
        <f>TRIM(Procurement_Raw!G1569)</f>
        <v>INV-2025-01568</v>
      </c>
      <c r="H1569" s="77">
        <f>Procurement_Raw!H1569</f>
        <v>65</v>
      </c>
      <c r="I1569" s="124">
        <f>Procurement_Raw!I1569</f>
        <v>239.06</v>
      </c>
      <c r="J1569" s="125">
        <f>IF(Procurement_Raw!J1569="","",Procurement_Raw!J1569)</f>
        <v>15539.04</v>
      </c>
      <c r="K1569" s="77">
        <f>Procurement_Raw!K1569</f>
        <v>30</v>
      </c>
      <c r="L1569" t="str">
        <f>Procurement_Raw!L1569</f>
        <v>ERP</v>
      </c>
      <c r="M1569" t="str">
        <f>Procurement_Raw!O1569</f>
        <v>N</v>
      </c>
      <c r="N1569" t="str">
        <f>IF(E1569="","Missing supplier",IF(B1569="","Missing site",IF(J1569="","Missing spend",IF(COUNTIFS($G$2:G1569,G1569,$E$2:E1569,E1569,$J$2:J1569,J1569)&gt;1,"Duplicate invoice",IF(COUNTIF($G$2:$G$1801,G1569)&gt;1,"Duplicate ID - review",IF(AND(P1569&lt;&gt;"Unmapped",P1569&lt;&gt;F1569),"Category mismatch","OK"))))))</f>
        <v>OK</v>
      </c>
      <c r="O1569" s="125">
        <f t="shared" si="72"/>
        <v>15539.04</v>
      </c>
      <c r="P1569" t="str">
        <f>IF(E1569="","Unmapped",IFERROR(INDEX(Supplier_Lookup!$B$2:$B$25,MATCH(E1569,Supplier_Lookup!$A$2:$A$25,0)),"Unmapped"))</f>
        <v>Facilities</v>
      </c>
      <c r="Q1569" s="76">
        <f>IFERROR(INDEX(Category_Targets!$B$2:$B$9,MATCH(F1569,Category_Targets!$A$2:$A$9,0)),0)</f>
        <v>0.05</v>
      </c>
      <c r="R1569" s="125">
        <f t="shared" si="73"/>
        <v>776.95200000000011</v>
      </c>
      <c r="S1569" s="78">
        <f t="shared" si="74"/>
        <v>45931</v>
      </c>
      <c r="T1569" t="str">
        <f>IFERROR(VLOOKUP(B1569,Sites!$A$2:$D$21,4,FALSE()),"Unknown")</f>
        <v>Coventry</v>
      </c>
      <c r="U1569" t="str">
        <f>IF(N1569="OK","",COUNTIF($N$2:N1569,"&lt;&gt;OK"))</f>
        <v/>
      </c>
      <c r="V1569">
        <f>IF(OR(NOT(EXACT(E1569,TRIM(Procurement_Raw!E1569))),NOT(EXACT(F1569,TRIM(Procurement_Raw!F1569)))),1,0)</f>
        <v>0</v>
      </c>
    </row>
    <row r="1570" spans="1:22" ht="15" customHeight="1" x14ac:dyDescent="0.25">
      <c r="A1570" s="123">
        <f>Procurement_Raw!A1570</f>
        <v>46002</v>
      </c>
      <c r="B1570" t="str">
        <f>TRIM(Procurement_Raw!B1570)</f>
        <v>S017</v>
      </c>
      <c r="C1570" t="str">
        <f>Procurement_Raw!C1570</f>
        <v>Swansea Care &amp; Education Centre</v>
      </c>
      <c r="D1570" t="str">
        <f>Procurement_Raw!D1570</f>
        <v>Wales</v>
      </c>
      <c r="E1570" t="str">
        <f>IF(TRIM(Procurement_Raw!E1570)="","",IFERROR(INDEX(Supplier_Lookup!$A$2:$A$25,MATCH(TRIM(Procurement_Raw!E1570),Supplier_Lookup!$A$2:$A$25,0)),TRIM(Procurement_Raw!E1570)))</f>
        <v>NourishCo</v>
      </c>
      <c r="F1570" t="str">
        <f>IFERROR(INDEX(Category_Targets!$A$2:$A$9,MATCH(TRIM(Procurement_Raw!F1570),Category_Targets!$A$2:$A$9,0)),"Unmapped")</f>
        <v>Food &amp; Catering</v>
      </c>
      <c r="G1570" t="str">
        <f>TRIM(Procurement_Raw!G1570)</f>
        <v>INV-2025-01569</v>
      </c>
      <c r="H1570" s="77">
        <f>Procurement_Raw!H1570</f>
        <v>71</v>
      </c>
      <c r="I1570" s="124">
        <f>Procurement_Raw!I1570</f>
        <v>27.52</v>
      </c>
      <c r="J1570" s="125">
        <f>IF(Procurement_Raw!J1570="","",Procurement_Raw!J1570)</f>
        <v>1954.06</v>
      </c>
      <c r="K1570" s="77">
        <f>Procurement_Raw!K1570</f>
        <v>45</v>
      </c>
      <c r="L1570" t="str">
        <f>Procurement_Raw!L1570</f>
        <v>ERP</v>
      </c>
      <c r="M1570" t="str">
        <f>Procurement_Raw!O1570</f>
        <v>N</v>
      </c>
      <c r="N1570" t="str">
        <f>IF(E1570="","Missing supplier",IF(B1570="","Missing site",IF(J1570="","Missing spend",IF(COUNTIFS($G$2:G1570,G1570,$E$2:E1570,E1570,$J$2:J1570,J1570)&gt;1,"Duplicate invoice",IF(COUNTIF($G$2:$G$1801,G1570)&gt;1,"Duplicate ID - review",IF(AND(P1570&lt;&gt;"Unmapped",P1570&lt;&gt;F1570),"Category mismatch","OK"))))))</f>
        <v>OK</v>
      </c>
      <c r="O1570" s="125">
        <f t="shared" si="72"/>
        <v>1954.06</v>
      </c>
      <c r="P1570" t="str">
        <f>IF(E1570="","Unmapped",IFERROR(INDEX(Supplier_Lookup!$B$2:$B$25,MATCH(E1570,Supplier_Lookup!$A$2:$A$25,0)),"Unmapped"))</f>
        <v>Food &amp; Catering</v>
      </c>
      <c r="Q1570" s="76">
        <f>IFERROR(INDEX(Category_Targets!$B$2:$B$9,MATCH(F1570,Category_Targets!$A$2:$A$9,0)),0)</f>
        <v>0.04</v>
      </c>
      <c r="R1570" s="125">
        <f t="shared" si="73"/>
        <v>78.162400000000005</v>
      </c>
      <c r="S1570" s="78">
        <f t="shared" si="74"/>
        <v>45992</v>
      </c>
      <c r="T1570" t="str">
        <f>IFERROR(VLOOKUP(B1570,Sites!$A$2:$D$21,4,FALSE()),"Unknown")</f>
        <v>Swansea</v>
      </c>
      <c r="U1570" t="str">
        <f>IF(N1570="OK","",COUNTIF($N$2:N1570,"&lt;&gt;OK"))</f>
        <v/>
      </c>
      <c r="V1570">
        <f>IF(OR(NOT(EXACT(E1570,TRIM(Procurement_Raw!E1570))),NOT(EXACT(F1570,TRIM(Procurement_Raw!F1570)))),1,0)</f>
        <v>0</v>
      </c>
    </row>
    <row r="1571" spans="1:22" ht="15" customHeight="1" x14ac:dyDescent="0.25">
      <c r="A1571" s="123">
        <f>Procurement_Raw!A1571</f>
        <v>45997</v>
      </c>
      <c r="B1571" t="str">
        <f>TRIM(Procurement_Raw!B1571)</f>
        <v>S019</v>
      </c>
      <c r="C1571" t="str">
        <f>Procurement_Raw!C1571</f>
        <v>Wrexham Care &amp; Education Centre</v>
      </c>
      <c r="D1571" t="str">
        <f>Procurement_Raw!D1571</f>
        <v>Wales</v>
      </c>
      <c r="E1571" t="str">
        <f>IF(TRIM(Procurement_Raw!E1571)="","",IFERROR(INDEX(Supplier_Lookup!$A$2:$A$25,MATCH(TRIM(Procurement_Raw!E1571),Supplier_Lookup!$A$2:$A$25,0)),TRIM(Procurement_Raw!E1571)))</f>
        <v>NourishCo</v>
      </c>
      <c r="F1571" t="str">
        <f>IFERROR(INDEX(Category_Targets!$A$2:$A$9,MATCH(TRIM(Procurement_Raw!F1571),Category_Targets!$A$2:$A$9,0)),"Unmapped")</f>
        <v>Food &amp; Catering</v>
      </c>
      <c r="G1571" t="str">
        <f>TRIM(Procurement_Raw!G1571)</f>
        <v>INV-2025-01570</v>
      </c>
      <c r="H1571" s="77">
        <f>Procurement_Raw!H1571</f>
        <v>70</v>
      </c>
      <c r="I1571" s="124">
        <f>Procurement_Raw!I1571</f>
        <v>48.59</v>
      </c>
      <c r="J1571" s="125">
        <f>IF(Procurement_Raw!J1571="","",Procurement_Raw!J1571)</f>
        <v>3401.27</v>
      </c>
      <c r="K1571" s="77">
        <f>Procurement_Raw!K1571</f>
        <v>30</v>
      </c>
      <c r="L1571" t="str">
        <f>Procurement_Raw!L1571</f>
        <v>ERP</v>
      </c>
      <c r="M1571" t="str">
        <f>Procurement_Raw!O1571</f>
        <v>N</v>
      </c>
      <c r="N1571" t="str">
        <f>IF(E1571="","Missing supplier",IF(B1571="","Missing site",IF(J1571="","Missing spend",IF(COUNTIFS($G$2:G1571,G1571,$E$2:E1571,E1571,$J$2:J1571,J1571)&gt;1,"Duplicate invoice",IF(COUNTIF($G$2:$G$1801,G1571)&gt;1,"Duplicate ID - review",IF(AND(P1571&lt;&gt;"Unmapped",P1571&lt;&gt;F1571),"Category mismatch","OK"))))))</f>
        <v>OK</v>
      </c>
      <c r="O1571" s="125">
        <f t="shared" si="72"/>
        <v>3401.27</v>
      </c>
      <c r="P1571" t="str">
        <f>IF(E1571="","Unmapped",IFERROR(INDEX(Supplier_Lookup!$B$2:$B$25,MATCH(E1571,Supplier_Lookup!$A$2:$A$25,0)),"Unmapped"))</f>
        <v>Food &amp; Catering</v>
      </c>
      <c r="Q1571" s="76">
        <f>IFERROR(INDEX(Category_Targets!$B$2:$B$9,MATCH(F1571,Category_Targets!$A$2:$A$9,0)),0)</f>
        <v>0.04</v>
      </c>
      <c r="R1571" s="125">
        <f t="shared" si="73"/>
        <v>136.05080000000001</v>
      </c>
      <c r="S1571" s="78">
        <f t="shared" si="74"/>
        <v>45992</v>
      </c>
      <c r="T1571" t="str">
        <f>IFERROR(VLOOKUP(B1571,Sites!$A$2:$D$21,4,FALSE()),"Unknown")</f>
        <v>Wrexham</v>
      </c>
      <c r="U1571" t="str">
        <f>IF(N1571="OK","",COUNTIF($N$2:N1571,"&lt;&gt;OK"))</f>
        <v/>
      </c>
      <c r="V1571">
        <f>IF(OR(NOT(EXACT(E1571,TRIM(Procurement_Raw!E1571))),NOT(EXACT(F1571,TRIM(Procurement_Raw!F1571)))),1,0)</f>
        <v>0</v>
      </c>
    </row>
    <row r="1572" spans="1:22" ht="15" customHeight="1" x14ac:dyDescent="0.25">
      <c r="A1572" s="123">
        <f>Procurement_Raw!A1572</f>
        <v>46016</v>
      </c>
      <c r="B1572" t="str">
        <f>TRIM(Procurement_Raw!B1572)</f>
        <v>S020</v>
      </c>
      <c r="C1572" t="str">
        <f>Procurement_Raw!C1572</f>
        <v>Bangor Care &amp; Education Centre</v>
      </c>
      <c r="D1572" t="str">
        <f>Procurement_Raw!D1572</f>
        <v>Wales</v>
      </c>
      <c r="E1572" t="str">
        <f>IF(TRIM(Procurement_Raw!E1572)="","",IFERROR(INDEX(Supplier_Lookup!$A$2:$A$25,MATCH(TRIM(Procurement_Raw!E1572),Supplier_Lookup!$A$2:$A$25,0)),TRIM(Procurement_Raw!E1572)))</f>
        <v>BuildCare</v>
      </c>
      <c r="F1572" t="str">
        <f>IFERROR(INDEX(Category_Targets!$A$2:$A$9,MATCH(TRIM(Procurement_Raw!F1572),Category_Targets!$A$2:$A$9,0)),"Unmapped")</f>
        <v>Facilities</v>
      </c>
      <c r="G1572" t="str">
        <f>TRIM(Procurement_Raw!G1572)</f>
        <v>INV-2025-01571</v>
      </c>
      <c r="H1572" s="77">
        <f>Procurement_Raw!H1572</f>
        <v>12</v>
      </c>
      <c r="I1572" s="124">
        <f>Procurement_Raw!I1572</f>
        <v>278.61</v>
      </c>
      <c r="J1572" s="125">
        <f>IF(Procurement_Raw!J1572="","",Procurement_Raw!J1572)</f>
        <v>3343.28</v>
      </c>
      <c r="K1572" s="77">
        <f>Procurement_Raw!K1572</f>
        <v>30</v>
      </c>
      <c r="L1572" t="str">
        <f>Procurement_Raw!L1572</f>
        <v>Procurement Portal</v>
      </c>
      <c r="M1572" t="str">
        <f>Procurement_Raw!O1572</f>
        <v>N</v>
      </c>
      <c r="N1572" t="str">
        <f>IF(E1572="","Missing supplier",IF(B1572="","Missing site",IF(J1572="","Missing spend",IF(COUNTIFS($G$2:G1572,G1572,$E$2:E1572,E1572,$J$2:J1572,J1572)&gt;1,"Duplicate invoice",IF(COUNTIF($G$2:$G$1801,G1572)&gt;1,"Duplicate ID - review",IF(AND(P1572&lt;&gt;"Unmapped",P1572&lt;&gt;F1572),"Category mismatch","OK"))))))</f>
        <v>OK</v>
      </c>
      <c r="O1572" s="125">
        <f t="shared" si="72"/>
        <v>3343.28</v>
      </c>
      <c r="P1572" t="str">
        <f>IF(E1572="","Unmapped",IFERROR(INDEX(Supplier_Lookup!$B$2:$B$25,MATCH(E1572,Supplier_Lookup!$A$2:$A$25,0)),"Unmapped"))</f>
        <v>Facilities</v>
      </c>
      <c r="Q1572" s="76">
        <f>IFERROR(INDEX(Category_Targets!$B$2:$B$9,MATCH(F1572,Category_Targets!$A$2:$A$9,0)),0)</f>
        <v>0.05</v>
      </c>
      <c r="R1572" s="125">
        <f t="shared" si="73"/>
        <v>167.16400000000002</v>
      </c>
      <c r="S1572" s="78">
        <f t="shared" si="74"/>
        <v>45992</v>
      </c>
      <c r="T1572" t="str">
        <f>IFERROR(VLOOKUP(B1572,Sites!$A$2:$D$21,4,FALSE()),"Unknown")</f>
        <v>Bangor</v>
      </c>
      <c r="U1572" t="str">
        <f>IF(N1572="OK","",COUNTIF($N$2:N1572,"&lt;&gt;OK"))</f>
        <v/>
      </c>
      <c r="V1572">
        <f>IF(OR(NOT(EXACT(E1572,TRIM(Procurement_Raw!E1572))),NOT(EXACT(F1572,TRIM(Procurement_Raw!F1572)))),1,0)</f>
        <v>0</v>
      </c>
    </row>
    <row r="1573" spans="1:22" ht="15" customHeight="1" x14ac:dyDescent="0.25">
      <c r="A1573" s="123">
        <f>Procurement_Raw!A1573</f>
        <v>45825</v>
      </c>
      <c r="B1573" t="str">
        <f>TRIM(Procurement_Raw!B1573)</f>
        <v>S008</v>
      </c>
      <c r="C1573" t="str">
        <f>Procurement_Raw!C1573</f>
        <v>Leicester Care &amp; Education Centre</v>
      </c>
      <c r="D1573" t="str">
        <f>Procurement_Raw!D1573</f>
        <v>Midlands</v>
      </c>
      <c r="E1573" t="str">
        <f>IF(TRIM(Procurement_Raw!E1573)="","",IFERROR(INDEX(Supplier_Lookup!$A$2:$A$25,MATCH(TRIM(Procurement_Raw!E1573),Supplier_Lookup!$A$2:$A$25,0)),TRIM(Procurement_Raw!E1573)))</f>
        <v>MediSure</v>
      </c>
      <c r="F1573" t="str">
        <f>IFERROR(INDEX(Category_Targets!$A$2:$A$9,MATCH(TRIM(Procurement_Raw!F1573),Category_Targets!$A$2:$A$9,0)),"Unmapped")</f>
        <v>Medical Supplies</v>
      </c>
      <c r="G1573" t="str">
        <f>TRIM(Procurement_Raw!G1573)</f>
        <v>INV-2025-01572</v>
      </c>
      <c r="H1573" s="77">
        <f>Procurement_Raw!H1573</f>
        <v>50</v>
      </c>
      <c r="I1573" s="124">
        <f>Procurement_Raw!I1573</f>
        <v>60.2</v>
      </c>
      <c r="J1573" s="125">
        <f>IF(Procurement_Raw!J1573="","",Procurement_Raw!J1573)</f>
        <v>3009.88</v>
      </c>
      <c r="K1573" s="77">
        <f>Procurement_Raw!K1573</f>
        <v>45</v>
      </c>
      <c r="L1573" t="str">
        <f>Procurement_Raw!L1573</f>
        <v>ERP</v>
      </c>
      <c r="M1573" t="str">
        <f>Procurement_Raw!O1573</f>
        <v>Y</v>
      </c>
      <c r="N1573" t="str">
        <f>IF(E1573="","Missing supplier",IF(B1573="","Missing site",IF(J1573="","Missing spend",IF(COUNTIFS($G$2:G1573,G1573,$E$2:E1573,E1573,$J$2:J1573,J1573)&gt;1,"Duplicate invoice",IF(COUNTIF($G$2:$G$1801,G1573)&gt;1,"Duplicate ID - review",IF(AND(P1573&lt;&gt;"Unmapped",P1573&lt;&gt;F1573),"Category mismatch","OK"))))))</f>
        <v>OK</v>
      </c>
      <c r="O1573" s="125">
        <f t="shared" si="72"/>
        <v>3009.88</v>
      </c>
      <c r="P1573" t="str">
        <f>IF(E1573="","Unmapped",IFERROR(INDEX(Supplier_Lookup!$B$2:$B$25,MATCH(E1573,Supplier_Lookup!$A$2:$A$25,0)),"Unmapped"))</f>
        <v>Medical Supplies</v>
      </c>
      <c r="Q1573" s="76">
        <f>IFERROR(INDEX(Category_Targets!$B$2:$B$9,MATCH(F1573,Category_Targets!$A$2:$A$9,0)),0)</f>
        <v>0.06</v>
      </c>
      <c r="R1573" s="125">
        <f t="shared" si="73"/>
        <v>180.59280000000001</v>
      </c>
      <c r="S1573" s="78">
        <f t="shared" si="74"/>
        <v>45809</v>
      </c>
      <c r="T1573" t="str">
        <f>IFERROR(VLOOKUP(B1573,Sites!$A$2:$D$21,4,FALSE()),"Unknown")</f>
        <v>Leicester</v>
      </c>
      <c r="U1573" t="str">
        <f>IF(N1573="OK","",COUNTIF($N$2:N1573,"&lt;&gt;OK"))</f>
        <v/>
      </c>
      <c r="V1573">
        <f>IF(OR(NOT(EXACT(E1573,TRIM(Procurement_Raw!E1573))),NOT(EXACT(F1573,TRIM(Procurement_Raw!F1573)))),1,0)</f>
        <v>0</v>
      </c>
    </row>
    <row r="1574" spans="1:22" ht="15" customHeight="1" x14ac:dyDescent="0.25">
      <c r="A1574" s="123">
        <f>Procurement_Raw!A1574</f>
        <v>45901</v>
      </c>
      <c r="B1574" t="str">
        <f>TRIM(Procurement_Raw!B1574)</f>
        <v>S019</v>
      </c>
      <c r="C1574" t="str">
        <f>Procurement_Raw!C1574</f>
        <v>Wrexham Care &amp; Education Centre</v>
      </c>
      <c r="D1574" t="str">
        <f>Procurement_Raw!D1574</f>
        <v>Wales</v>
      </c>
      <c r="E1574" t="str">
        <f>IF(TRIM(Procurement_Raw!E1574)="","",IFERROR(INDEX(Supplier_Lookup!$A$2:$A$25,MATCH(TRIM(Procurement_Raw!E1574),Supplier_Lookup!$A$2:$A$25,0)),TRIM(Procurement_Raw!E1574)))</f>
        <v>NetServe</v>
      </c>
      <c r="F1574" t="str">
        <f>IFERROR(INDEX(Category_Targets!$A$2:$A$9,MATCH(TRIM(Procurement_Raw!F1574),Category_Targets!$A$2:$A$9,0)),"Unmapped")</f>
        <v>IT &amp; Telecoms</v>
      </c>
      <c r="G1574" t="str">
        <f>TRIM(Procurement_Raw!G1574)</f>
        <v>INV-2025-01573</v>
      </c>
      <c r="H1574" s="77">
        <f>Procurement_Raw!H1574</f>
        <v>16</v>
      </c>
      <c r="I1574" s="124">
        <f>Procurement_Raw!I1574</f>
        <v>258.55</v>
      </c>
      <c r="J1574" s="125">
        <f>IF(Procurement_Raw!J1574="","",Procurement_Raw!J1574)</f>
        <v>4136.78</v>
      </c>
      <c r="K1574" s="77">
        <f>Procurement_Raw!K1574</f>
        <v>60</v>
      </c>
      <c r="L1574" t="str">
        <f>Procurement_Raw!L1574</f>
        <v>ERP</v>
      </c>
      <c r="M1574" t="str">
        <f>Procurement_Raw!O1574</f>
        <v>N</v>
      </c>
      <c r="N1574" t="str">
        <f>IF(E1574="","Missing supplier",IF(B1574="","Missing site",IF(J1574="","Missing spend",IF(COUNTIFS($G$2:G1574,G1574,$E$2:E1574,E1574,$J$2:J1574,J1574)&gt;1,"Duplicate invoice",IF(COUNTIF($G$2:$G$1801,G1574)&gt;1,"Duplicate ID - review",IF(AND(P1574&lt;&gt;"Unmapped",P1574&lt;&gt;F1574),"Category mismatch","OK"))))))</f>
        <v>OK</v>
      </c>
      <c r="O1574" s="125">
        <f t="shared" si="72"/>
        <v>4136.78</v>
      </c>
      <c r="P1574" t="str">
        <f>IF(E1574="","Unmapped",IFERROR(INDEX(Supplier_Lookup!$B$2:$B$25,MATCH(E1574,Supplier_Lookup!$A$2:$A$25,0)),"Unmapped"))</f>
        <v>IT &amp; Telecoms</v>
      </c>
      <c r="Q1574" s="76">
        <f>IFERROR(INDEX(Category_Targets!$B$2:$B$9,MATCH(F1574,Category_Targets!$A$2:$A$9,0)),0)</f>
        <v>0.08</v>
      </c>
      <c r="R1574" s="125">
        <f t="shared" si="73"/>
        <v>330.94239999999996</v>
      </c>
      <c r="S1574" s="78">
        <f t="shared" si="74"/>
        <v>45901</v>
      </c>
      <c r="T1574" t="str">
        <f>IFERROR(VLOOKUP(B1574,Sites!$A$2:$D$21,4,FALSE()),"Unknown")</f>
        <v>Wrexham</v>
      </c>
      <c r="U1574" t="str">
        <f>IF(N1574="OK","",COUNTIF($N$2:N1574,"&lt;&gt;OK"))</f>
        <v/>
      </c>
      <c r="V1574">
        <f>IF(OR(NOT(EXACT(E1574,TRIM(Procurement_Raw!E1574))),NOT(EXACT(F1574,TRIM(Procurement_Raw!F1574)))),1,0)</f>
        <v>0</v>
      </c>
    </row>
    <row r="1575" spans="1:22" ht="15" customHeight="1" x14ac:dyDescent="0.25">
      <c r="A1575" s="123">
        <f>Procurement_Raw!A1575</f>
        <v>46012</v>
      </c>
      <c r="B1575" t="str">
        <f>TRIM(Procurement_Raw!B1575)</f>
        <v>S019</v>
      </c>
      <c r="C1575" t="str">
        <f>Procurement_Raw!C1575</f>
        <v>Wrexham Care &amp; Education Centre</v>
      </c>
      <c r="D1575" t="str">
        <f>Procurement_Raw!D1575</f>
        <v>Wales</v>
      </c>
      <c r="E1575" t="str">
        <f>IF(TRIM(Procurement_Raw!E1575)="","",IFERROR(INDEX(Supplier_Lookup!$A$2:$A$25,MATCH(TRIM(Procurement_Raw!E1575),Supplier_Lookup!$A$2:$A$25,0)),TRIM(Procurement_Raw!E1575)))</f>
        <v>OfficePlus</v>
      </c>
      <c r="F1575" t="str">
        <f>IFERROR(INDEX(Category_Targets!$A$2:$A$9,MATCH(TRIM(Procurement_Raw!F1575),Category_Targets!$A$2:$A$9,0)),"Unmapped")</f>
        <v>Office &amp; Training</v>
      </c>
      <c r="G1575" t="str">
        <f>TRIM(Procurement_Raw!G1575)</f>
        <v>INV-2025-01574</v>
      </c>
      <c r="H1575" s="77">
        <f>Procurement_Raw!H1575</f>
        <v>43</v>
      </c>
      <c r="I1575" s="124">
        <f>Procurement_Raw!I1575</f>
        <v>35.57</v>
      </c>
      <c r="J1575" s="125">
        <f>IF(Procurement_Raw!J1575="","",Procurement_Raw!J1575)</f>
        <v>1529.3</v>
      </c>
      <c r="K1575" s="77">
        <f>Procurement_Raw!K1575</f>
        <v>30</v>
      </c>
      <c r="L1575" t="str">
        <f>Procurement_Raw!L1575</f>
        <v>Legacy Spend File</v>
      </c>
      <c r="M1575" t="str">
        <f>Procurement_Raw!O1575</f>
        <v>N</v>
      </c>
      <c r="N1575" t="str">
        <f>IF(E1575="","Missing supplier",IF(B1575="","Missing site",IF(J1575="","Missing spend",IF(COUNTIFS($G$2:G1575,G1575,$E$2:E1575,E1575,$J$2:J1575,J1575)&gt;1,"Duplicate invoice",IF(COUNTIF($G$2:$G$1801,G1575)&gt;1,"Duplicate ID - review",IF(AND(P1575&lt;&gt;"Unmapped",P1575&lt;&gt;F1575),"Category mismatch","OK"))))))</f>
        <v>OK</v>
      </c>
      <c r="O1575" s="125">
        <f t="shared" si="72"/>
        <v>1529.3</v>
      </c>
      <c r="P1575" t="str">
        <f>IF(E1575="","Unmapped",IFERROR(INDEX(Supplier_Lookup!$B$2:$B$25,MATCH(E1575,Supplier_Lookup!$A$2:$A$25,0)),"Unmapped"))</f>
        <v>Office &amp; Training</v>
      </c>
      <c r="Q1575" s="76">
        <f>IFERROR(INDEX(Category_Targets!$B$2:$B$9,MATCH(F1575,Category_Targets!$A$2:$A$9,0)),0)</f>
        <v>0.04</v>
      </c>
      <c r="R1575" s="125">
        <f t="shared" si="73"/>
        <v>61.171999999999997</v>
      </c>
      <c r="S1575" s="78">
        <f t="shared" si="74"/>
        <v>45992</v>
      </c>
      <c r="T1575" t="str">
        <f>IFERROR(VLOOKUP(B1575,Sites!$A$2:$D$21,4,FALSE()),"Unknown")</f>
        <v>Wrexham</v>
      </c>
      <c r="U1575" t="str">
        <f>IF(N1575="OK","",COUNTIF($N$2:N1575,"&lt;&gt;OK"))</f>
        <v/>
      </c>
      <c r="V1575">
        <f>IF(OR(NOT(EXACT(E1575,TRIM(Procurement_Raw!E1575))),NOT(EXACT(F1575,TRIM(Procurement_Raw!F1575)))),1,0)</f>
        <v>0</v>
      </c>
    </row>
    <row r="1576" spans="1:22" ht="15" customHeight="1" x14ac:dyDescent="0.25">
      <c r="A1576" s="123">
        <f>Procurement_Raw!A1576</f>
        <v>45833</v>
      </c>
      <c r="B1576" t="str">
        <f>TRIM(Procurement_Raw!B1576)</f>
        <v>S019</v>
      </c>
      <c r="C1576" t="str">
        <f>Procurement_Raw!C1576</f>
        <v>Wrexham Care &amp; Education Centre</v>
      </c>
      <c r="D1576" t="str">
        <f>Procurement_Raw!D1576</f>
        <v>Wales</v>
      </c>
      <c r="E1576" t="str">
        <f>IF(TRIM(Procurement_Raw!E1576)="","",IFERROR(INDEX(Supplier_Lookup!$A$2:$A$25,MATCH(TRIM(Procurement_Raw!E1576),Supplier_Lookup!$A$2:$A$25,0)),TRIM(Procurement_Raw!E1576)))</f>
        <v>KitchenPro</v>
      </c>
      <c r="F1576" t="str">
        <f>IFERROR(INDEX(Category_Targets!$A$2:$A$9,MATCH(TRIM(Procurement_Raw!F1576),Category_Targets!$A$2:$A$9,0)),"Unmapped")</f>
        <v>Food &amp; Catering</v>
      </c>
      <c r="G1576" t="str">
        <f>TRIM(Procurement_Raw!G1576)</f>
        <v>INV-2025-01575</v>
      </c>
      <c r="H1576" s="77">
        <f>Procurement_Raw!H1576</f>
        <v>49</v>
      </c>
      <c r="I1576" s="124">
        <f>Procurement_Raw!I1576</f>
        <v>84.01</v>
      </c>
      <c r="J1576" s="125">
        <f>IF(Procurement_Raw!J1576="","",Procurement_Raw!J1576)</f>
        <v>4116.4399999999996</v>
      </c>
      <c r="K1576" s="77">
        <f>Procurement_Raw!K1576</f>
        <v>60</v>
      </c>
      <c r="L1576" t="str">
        <f>Procurement_Raw!L1576</f>
        <v>Legacy Spend File</v>
      </c>
      <c r="M1576" t="str">
        <f>Procurement_Raw!O1576</f>
        <v>N</v>
      </c>
      <c r="N1576" t="str">
        <f>IF(E1576="","Missing supplier",IF(B1576="","Missing site",IF(J1576="","Missing spend",IF(COUNTIFS($G$2:G1576,G1576,$E$2:E1576,E1576,$J$2:J1576,J1576)&gt;1,"Duplicate invoice",IF(COUNTIF($G$2:$G$1801,G1576)&gt;1,"Duplicate ID - review",IF(AND(P1576&lt;&gt;"Unmapped",P1576&lt;&gt;F1576),"Category mismatch","OK"))))))</f>
        <v>OK</v>
      </c>
      <c r="O1576" s="125">
        <f t="shared" si="72"/>
        <v>4116.4399999999996</v>
      </c>
      <c r="P1576" t="str">
        <f>IF(E1576="","Unmapped",IFERROR(INDEX(Supplier_Lookup!$B$2:$B$25,MATCH(E1576,Supplier_Lookup!$A$2:$A$25,0)),"Unmapped"))</f>
        <v>Food &amp; Catering</v>
      </c>
      <c r="Q1576" s="76">
        <f>IFERROR(INDEX(Category_Targets!$B$2:$B$9,MATCH(F1576,Category_Targets!$A$2:$A$9,0)),0)</f>
        <v>0.04</v>
      </c>
      <c r="R1576" s="125">
        <f t="shared" si="73"/>
        <v>164.65759999999997</v>
      </c>
      <c r="S1576" s="78">
        <f t="shared" si="74"/>
        <v>45809</v>
      </c>
      <c r="T1576" t="str">
        <f>IFERROR(VLOOKUP(B1576,Sites!$A$2:$D$21,4,FALSE()),"Unknown")</f>
        <v>Wrexham</v>
      </c>
      <c r="U1576" t="str">
        <f>IF(N1576="OK","",COUNTIF($N$2:N1576,"&lt;&gt;OK"))</f>
        <v/>
      </c>
      <c r="V1576">
        <f>IF(OR(NOT(EXACT(E1576,TRIM(Procurement_Raw!E1576))),NOT(EXACT(F1576,TRIM(Procurement_Raw!F1576)))),1,0)</f>
        <v>0</v>
      </c>
    </row>
    <row r="1577" spans="1:22" ht="15" customHeight="1" x14ac:dyDescent="0.25">
      <c r="A1577" s="123">
        <f>Procurement_Raw!A1577</f>
        <v>45986</v>
      </c>
      <c r="B1577" t="str">
        <f>TRIM(Procurement_Raw!B1577)</f>
        <v>S013</v>
      </c>
      <c r="C1577" t="str">
        <f>Procurement_Raw!C1577</f>
        <v>Reading Care &amp; Education Centre</v>
      </c>
      <c r="D1577" t="str">
        <f>Procurement_Raw!D1577</f>
        <v>South</v>
      </c>
      <c r="E1577" t="str">
        <f>IF(TRIM(Procurement_Raw!E1577)="","",IFERROR(INDEX(Supplier_Lookup!$A$2:$A$25,MATCH(TRIM(Procurement_Raw!E1577),Supplier_Lookup!$A$2:$A$25,0)),TRIM(Procurement_Raw!E1577)))</f>
        <v>NurseLink</v>
      </c>
      <c r="F1577" t="str">
        <f>IFERROR(INDEX(Category_Targets!$A$2:$A$9,MATCH(TRIM(Procurement_Raw!F1577),Category_Targets!$A$2:$A$9,0)),"Unmapped")</f>
        <v>Agency Labour</v>
      </c>
      <c r="G1577" t="str">
        <f>TRIM(Procurement_Raw!G1577)</f>
        <v>INV-2025-01576</v>
      </c>
      <c r="H1577" s="77">
        <f>Procurement_Raw!H1577</f>
        <v>72</v>
      </c>
      <c r="I1577" s="124">
        <f>Procurement_Raw!I1577</f>
        <v>294.18</v>
      </c>
      <c r="J1577" s="125">
        <f>IF(Procurement_Raw!J1577="","",Procurement_Raw!J1577)</f>
        <v>21180.7</v>
      </c>
      <c r="K1577" s="77">
        <f>Procurement_Raw!K1577</f>
        <v>45</v>
      </c>
      <c r="L1577" t="str">
        <f>Procurement_Raw!L1577</f>
        <v>ERP</v>
      </c>
      <c r="M1577" t="str">
        <f>Procurement_Raw!O1577</f>
        <v>N</v>
      </c>
      <c r="N1577" t="str">
        <f>IF(E1577="","Missing supplier",IF(B1577="","Missing site",IF(J1577="","Missing spend",IF(COUNTIFS($G$2:G1577,G1577,$E$2:E1577,E1577,$J$2:J1577,J1577)&gt;1,"Duplicate invoice",IF(COUNTIF($G$2:$G$1801,G1577)&gt;1,"Duplicate ID - review",IF(AND(P1577&lt;&gt;"Unmapped",P1577&lt;&gt;F1577),"Category mismatch","OK"))))))</f>
        <v>OK</v>
      </c>
      <c r="O1577" s="125">
        <f t="shared" si="72"/>
        <v>21180.7</v>
      </c>
      <c r="P1577" t="str">
        <f>IF(E1577="","Unmapped",IFERROR(INDEX(Supplier_Lookup!$B$2:$B$25,MATCH(E1577,Supplier_Lookup!$A$2:$A$25,0)),"Unmapped"))</f>
        <v>Agency Labour</v>
      </c>
      <c r="Q1577" s="76">
        <f>IFERROR(INDEX(Category_Targets!$B$2:$B$9,MATCH(F1577,Category_Targets!$A$2:$A$9,0)),0)</f>
        <v>7.0000000000000007E-2</v>
      </c>
      <c r="R1577" s="125">
        <f t="shared" si="73"/>
        <v>1482.6490000000001</v>
      </c>
      <c r="S1577" s="78">
        <f t="shared" si="74"/>
        <v>45962</v>
      </c>
      <c r="T1577" t="str">
        <f>IFERROR(VLOOKUP(B1577,Sites!$A$2:$D$21,4,FALSE()),"Unknown")</f>
        <v>Reading</v>
      </c>
      <c r="U1577" t="str">
        <f>IF(N1577="OK","",COUNTIF($N$2:N1577,"&lt;&gt;OK"))</f>
        <v/>
      </c>
      <c r="V1577">
        <f>IF(OR(NOT(EXACT(E1577,TRIM(Procurement_Raw!E1577))),NOT(EXACT(F1577,TRIM(Procurement_Raw!F1577)))),1,0)</f>
        <v>0</v>
      </c>
    </row>
    <row r="1578" spans="1:22" ht="15" customHeight="1" x14ac:dyDescent="0.25">
      <c r="A1578" s="123">
        <f>Procurement_Raw!A1578</f>
        <v>45806</v>
      </c>
      <c r="B1578" t="str">
        <f>TRIM(Procurement_Raw!B1578)</f>
        <v>S020</v>
      </c>
      <c r="C1578" t="str">
        <f>Procurement_Raw!C1578</f>
        <v>Bangor Care &amp; Education Centre</v>
      </c>
      <c r="D1578" t="str">
        <f>Procurement_Raw!D1578</f>
        <v>Wales</v>
      </c>
      <c r="E1578" t="str">
        <f>IF(TRIM(Procurement_Raw!E1578)="","",IFERROR(INDEX(Supplier_Lookup!$A$2:$A$25,MATCH(TRIM(Procurement_Raw!E1578),Supplier_Lookup!$A$2:$A$25,0)),TRIM(Procurement_Raw!E1578)))</f>
        <v>CloudLink</v>
      </c>
      <c r="F1578" t="str">
        <f>IFERROR(INDEX(Category_Targets!$A$2:$A$9,MATCH(TRIM(Procurement_Raw!F1578),Category_Targets!$A$2:$A$9,0)),"Unmapped")</f>
        <v>IT &amp; Telecoms</v>
      </c>
      <c r="G1578" t="str">
        <f>TRIM(Procurement_Raw!G1578)</f>
        <v>INV-2025-01577</v>
      </c>
      <c r="H1578" s="77">
        <f>Procurement_Raw!H1578</f>
        <v>12</v>
      </c>
      <c r="I1578" s="124">
        <f>Procurement_Raw!I1578</f>
        <v>90.5</v>
      </c>
      <c r="J1578" s="125">
        <f>IF(Procurement_Raw!J1578="","",Procurement_Raw!J1578)</f>
        <v>1085.95</v>
      </c>
      <c r="K1578" s="77">
        <f>Procurement_Raw!K1578</f>
        <v>30</v>
      </c>
      <c r="L1578" t="str">
        <f>Procurement_Raw!L1578</f>
        <v>ERP</v>
      </c>
      <c r="M1578" t="str">
        <f>Procurement_Raw!O1578</f>
        <v>Y</v>
      </c>
      <c r="N1578" t="str">
        <f>IF(E1578="","Missing supplier",IF(B1578="","Missing site",IF(J1578="","Missing spend",IF(COUNTIFS($G$2:G1578,G1578,$E$2:E1578,E1578,$J$2:J1578,J1578)&gt;1,"Duplicate invoice",IF(COUNTIF($G$2:$G$1801,G1578)&gt;1,"Duplicate ID - review",IF(AND(P1578&lt;&gt;"Unmapped",P1578&lt;&gt;F1578),"Category mismatch","OK"))))))</f>
        <v>OK</v>
      </c>
      <c r="O1578" s="125">
        <f t="shared" si="72"/>
        <v>1085.95</v>
      </c>
      <c r="P1578" t="str">
        <f>IF(E1578="","Unmapped",IFERROR(INDEX(Supplier_Lookup!$B$2:$B$25,MATCH(E1578,Supplier_Lookup!$A$2:$A$25,0)),"Unmapped"))</f>
        <v>IT &amp; Telecoms</v>
      </c>
      <c r="Q1578" s="76">
        <f>IFERROR(INDEX(Category_Targets!$B$2:$B$9,MATCH(F1578,Category_Targets!$A$2:$A$9,0)),0)</f>
        <v>0.08</v>
      </c>
      <c r="R1578" s="125">
        <f t="shared" si="73"/>
        <v>86.876000000000005</v>
      </c>
      <c r="S1578" s="78">
        <f t="shared" si="74"/>
        <v>45778</v>
      </c>
      <c r="T1578" t="str">
        <f>IFERROR(VLOOKUP(B1578,Sites!$A$2:$D$21,4,FALSE()),"Unknown")</f>
        <v>Bangor</v>
      </c>
      <c r="U1578" t="str">
        <f>IF(N1578="OK","",COUNTIF($N$2:N1578,"&lt;&gt;OK"))</f>
        <v/>
      </c>
      <c r="V1578">
        <f>IF(OR(NOT(EXACT(E1578,TRIM(Procurement_Raw!E1578))),NOT(EXACT(F1578,TRIM(Procurement_Raw!F1578)))),1,0)</f>
        <v>0</v>
      </c>
    </row>
    <row r="1579" spans="1:22" ht="15" customHeight="1" x14ac:dyDescent="0.25">
      <c r="A1579" s="123">
        <f>Procurement_Raw!A1579</f>
        <v>45717</v>
      </c>
      <c r="B1579" t="str">
        <f>TRIM(Procurement_Raw!B1579)</f>
        <v>S016</v>
      </c>
      <c r="C1579" t="str">
        <f>Procurement_Raw!C1579</f>
        <v>Cardiff Care &amp; Education Centre</v>
      </c>
      <c r="D1579" t="str">
        <f>Procurement_Raw!D1579</f>
        <v>Wales</v>
      </c>
      <c r="E1579" t="str">
        <f>IF(TRIM(Procurement_Raw!E1579)="","",IFERROR(INDEX(Supplier_Lookup!$A$2:$A$25,MATCH(TRIM(Procurement_Raw!E1579),Supplier_Lookup!$A$2:$A$25,0)),TRIM(Procurement_Raw!E1579)))</f>
        <v>PowerDirect</v>
      </c>
      <c r="F1579" t="str">
        <f>IFERROR(INDEX(Category_Targets!$A$2:$A$9,MATCH(TRIM(Procurement_Raw!F1579),Category_Targets!$A$2:$A$9,0)),"Unmapped")</f>
        <v>Utilities</v>
      </c>
      <c r="G1579" t="str">
        <f>TRIM(Procurement_Raw!G1579)</f>
        <v>INV-2025-01578</v>
      </c>
      <c r="H1579" s="77">
        <f>Procurement_Raw!H1579</f>
        <v>74</v>
      </c>
      <c r="I1579" s="124">
        <f>Procurement_Raw!I1579</f>
        <v>474.41</v>
      </c>
      <c r="J1579" s="125">
        <f>IF(Procurement_Raw!J1579="","",Procurement_Raw!J1579)</f>
        <v>35106.19</v>
      </c>
      <c r="K1579" s="77">
        <f>Procurement_Raw!K1579</f>
        <v>45</v>
      </c>
      <c r="L1579" t="str">
        <f>Procurement_Raw!L1579</f>
        <v>ERP</v>
      </c>
      <c r="M1579" t="str">
        <f>Procurement_Raw!O1579</f>
        <v>N</v>
      </c>
      <c r="N1579" t="str">
        <f>IF(E1579="","Missing supplier",IF(B1579="","Missing site",IF(J1579="","Missing spend",IF(COUNTIFS($G$2:G1579,G1579,$E$2:E1579,E1579,$J$2:J1579,J1579)&gt;1,"Duplicate invoice",IF(COUNTIF($G$2:$G$1801,G1579)&gt;1,"Duplicate ID - review",IF(AND(P1579&lt;&gt;"Unmapped",P1579&lt;&gt;F1579),"Category mismatch","OK"))))))</f>
        <v>OK</v>
      </c>
      <c r="O1579" s="125">
        <f t="shared" si="72"/>
        <v>35106.19</v>
      </c>
      <c r="P1579" t="str">
        <f>IF(E1579="","Unmapped",IFERROR(INDEX(Supplier_Lookup!$B$2:$B$25,MATCH(E1579,Supplier_Lookup!$A$2:$A$25,0)),"Unmapped"))</f>
        <v>Utilities</v>
      </c>
      <c r="Q1579" s="76">
        <f>IFERROR(INDEX(Category_Targets!$B$2:$B$9,MATCH(F1579,Category_Targets!$A$2:$A$9,0)),0)</f>
        <v>0.03</v>
      </c>
      <c r="R1579" s="125">
        <f t="shared" si="73"/>
        <v>1053.1857</v>
      </c>
      <c r="S1579" s="78">
        <f t="shared" si="74"/>
        <v>45717</v>
      </c>
      <c r="T1579" t="str">
        <f>IFERROR(VLOOKUP(B1579,Sites!$A$2:$D$21,4,FALSE()),"Unknown")</f>
        <v>Cardiff</v>
      </c>
      <c r="U1579" t="str">
        <f>IF(N1579="OK","",COUNTIF($N$2:N1579,"&lt;&gt;OK"))</f>
        <v/>
      </c>
      <c r="V1579">
        <f>IF(OR(NOT(EXACT(E1579,TRIM(Procurement_Raw!E1579))),NOT(EXACT(F1579,TRIM(Procurement_Raw!F1579)))),1,0)</f>
        <v>0</v>
      </c>
    </row>
    <row r="1580" spans="1:22" ht="15" customHeight="1" x14ac:dyDescent="0.25">
      <c r="A1580" s="123">
        <f>Procurement_Raw!A1580</f>
        <v>45658</v>
      </c>
      <c r="B1580" t="str">
        <f>TRIM(Procurement_Raw!B1580)</f>
        <v>S002</v>
      </c>
      <c r="C1580" t="str">
        <f>Procurement_Raw!C1580</f>
        <v>Manchester Care &amp; Education Centre</v>
      </c>
      <c r="D1580" t="str">
        <f>Procurement_Raw!D1580</f>
        <v>North</v>
      </c>
      <c r="E1580" t="str">
        <f>IF(TRIM(Procurement_Raw!E1580)="","",IFERROR(INDEX(Supplier_Lookup!$A$2:$A$25,MATCH(TRIM(Procurement_Raw!E1580),Supplier_Lookup!$A$2:$A$25,0)),TRIM(Procurement_Raw!E1580)))</f>
        <v>NurseLink</v>
      </c>
      <c r="F1580" t="str">
        <f>IFERROR(INDEX(Category_Targets!$A$2:$A$9,MATCH(TRIM(Procurement_Raw!F1580),Category_Targets!$A$2:$A$9,0)),"Unmapped")</f>
        <v>Agency Labour</v>
      </c>
      <c r="G1580" t="str">
        <f>TRIM(Procurement_Raw!G1580)</f>
        <v>INV-2025-01579</v>
      </c>
      <c r="H1580" s="77">
        <f>Procurement_Raw!H1580</f>
        <v>40</v>
      </c>
      <c r="I1580" s="124">
        <f>Procurement_Raw!I1580</f>
        <v>200.29</v>
      </c>
      <c r="J1580" s="125">
        <f>IF(Procurement_Raw!J1580="","",Procurement_Raw!J1580)</f>
        <v>8011.53</v>
      </c>
      <c r="K1580" s="77">
        <f>Procurement_Raw!K1580</f>
        <v>30</v>
      </c>
      <c r="L1580" t="str">
        <f>Procurement_Raw!L1580</f>
        <v>Legacy Spend File</v>
      </c>
      <c r="M1580" t="str">
        <f>Procurement_Raw!O1580</f>
        <v>N</v>
      </c>
      <c r="N1580" t="str">
        <f>IF(E1580="","Missing supplier",IF(B1580="","Missing site",IF(J1580="","Missing spend",IF(COUNTIFS($G$2:G1580,G1580,$E$2:E1580,E1580,$J$2:J1580,J1580)&gt;1,"Duplicate invoice",IF(COUNTIF($G$2:$G$1801,G1580)&gt;1,"Duplicate ID - review",IF(AND(P1580&lt;&gt;"Unmapped",P1580&lt;&gt;F1580),"Category mismatch","OK"))))))</f>
        <v>OK</v>
      </c>
      <c r="O1580" s="125">
        <f t="shared" si="72"/>
        <v>8011.53</v>
      </c>
      <c r="P1580" t="str">
        <f>IF(E1580="","Unmapped",IFERROR(INDEX(Supplier_Lookup!$B$2:$B$25,MATCH(E1580,Supplier_Lookup!$A$2:$A$25,0)),"Unmapped"))</f>
        <v>Agency Labour</v>
      </c>
      <c r="Q1580" s="76">
        <f>IFERROR(INDEX(Category_Targets!$B$2:$B$9,MATCH(F1580,Category_Targets!$A$2:$A$9,0)),0)</f>
        <v>7.0000000000000007E-2</v>
      </c>
      <c r="R1580" s="125">
        <f t="shared" si="73"/>
        <v>560.80709999999999</v>
      </c>
      <c r="S1580" s="78">
        <f t="shared" si="74"/>
        <v>45658</v>
      </c>
      <c r="T1580" t="str">
        <f>IFERROR(VLOOKUP(B1580,Sites!$A$2:$D$21,4,FALSE()),"Unknown")</f>
        <v>Manchester</v>
      </c>
      <c r="U1580" t="str">
        <f>IF(N1580="OK","",COUNTIF($N$2:N1580,"&lt;&gt;OK"))</f>
        <v/>
      </c>
      <c r="V1580">
        <f>IF(OR(NOT(EXACT(E1580,TRIM(Procurement_Raw!E1580))),NOT(EXACT(F1580,TRIM(Procurement_Raw!F1580)))),1,0)</f>
        <v>0</v>
      </c>
    </row>
    <row r="1581" spans="1:22" ht="15" customHeight="1" x14ac:dyDescent="0.25">
      <c r="A1581" s="123">
        <f>Procurement_Raw!A1581</f>
        <v>45874</v>
      </c>
      <c r="B1581" t="str">
        <f>TRIM(Procurement_Raw!B1581)</f>
        <v>S008</v>
      </c>
      <c r="C1581" t="str">
        <f>Procurement_Raw!C1581</f>
        <v>Leicester Care &amp; Education Centre</v>
      </c>
      <c r="D1581" t="str">
        <f>Procurement_Raw!D1581</f>
        <v>Midlands</v>
      </c>
      <c r="E1581" t="str">
        <f>IF(TRIM(Procurement_Raw!E1581)="","",IFERROR(INDEX(Supplier_Lookup!$A$2:$A$25,MATCH(TRIM(Procurement_Raw!E1581),Supplier_Lookup!$A$2:$A$25,0)),TRIM(Procurement_Raw!E1581)))</f>
        <v>WaterGrid</v>
      </c>
      <c r="F1581" t="str">
        <f>IFERROR(INDEX(Category_Targets!$A$2:$A$9,MATCH(TRIM(Procurement_Raw!F1581),Category_Targets!$A$2:$A$9,0)),"Unmapped")</f>
        <v>Utilities</v>
      </c>
      <c r="G1581" t="str">
        <f>TRIM(Procurement_Raw!G1581)</f>
        <v>INV-2025-01580</v>
      </c>
      <c r="H1581" s="77">
        <f>Procurement_Raw!H1581</f>
        <v>41</v>
      </c>
      <c r="I1581" s="124">
        <f>Procurement_Raw!I1581</f>
        <v>160.1</v>
      </c>
      <c r="J1581" s="125">
        <f>IF(Procurement_Raw!J1581="","",Procurement_Raw!J1581)</f>
        <v>6564.25</v>
      </c>
      <c r="K1581" s="77">
        <f>Procurement_Raw!K1581</f>
        <v>45</v>
      </c>
      <c r="L1581" t="str">
        <f>Procurement_Raw!L1581</f>
        <v>Legacy Spend File</v>
      </c>
      <c r="M1581" t="str">
        <f>Procurement_Raw!O1581</f>
        <v>N</v>
      </c>
      <c r="N1581" t="str">
        <f>IF(E1581="","Missing supplier",IF(B1581="","Missing site",IF(J1581="","Missing spend",IF(COUNTIFS($G$2:G1581,G1581,$E$2:E1581,E1581,$J$2:J1581,J1581)&gt;1,"Duplicate invoice",IF(COUNTIF($G$2:$G$1801,G1581)&gt;1,"Duplicate ID - review",IF(AND(P1581&lt;&gt;"Unmapped",P1581&lt;&gt;F1581),"Category mismatch","OK"))))))</f>
        <v>OK</v>
      </c>
      <c r="O1581" s="125">
        <f t="shared" si="72"/>
        <v>6564.25</v>
      </c>
      <c r="P1581" t="str">
        <f>IF(E1581="","Unmapped",IFERROR(INDEX(Supplier_Lookup!$B$2:$B$25,MATCH(E1581,Supplier_Lookup!$A$2:$A$25,0)),"Unmapped"))</f>
        <v>Utilities</v>
      </c>
      <c r="Q1581" s="76">
        <f>IFERROR(INDEX(Category_Targets!$B$2:$B$9,MATCH(F1581,Category_Targets!$A$2:$A$9,0)),0)</f>
        <v>0.03</v>
      </c>
      <c r="R1581" s="125">
        <f t="shared" si="73"/>
        <v>196.92749999999998</v>
      </c>
      <c r="S1581" s="78">
        <f t="shared" si="74"/>
        <v>45870</v>
      </c>
      <c r="T1581" t="str">
        <f>IFERROR(VLOOKUP(B1581,Sites!$A$2:$D$21,4,FALSE()),"Unknown")</f>
        <v>Leicester</v>
      </c>
      <c r="U1581" t="str">
        <f>IF(N1581="OK","",COUNTIF($N$2:N1581,"&lt;&gt;OK"))</f>
        <v/>
      </c>
      <c r="V1581">
        <f>IF(OR(NOT(EXACT(E1581,TRIM(Procurement_Raw!E1581))),NOT(EXACT(F1581,TRIM(Procurement_Raw!F1581)))),1,0)</f>
        <v>0</v>
      </c>
    </row>
    <row r="1582" spans="1:22" ht="15" customHeight="1" x14ac:dyDescent="0.25">
      <c r="A1582" s="123">
        <f>Procurement_Raw!A1582</f>
        <v>45860</v>
      </c>
      <c r="B1582" t="str">
        <f>TRIM(Procurement_Raw!B1582)</f>
        <v>S012</v>
      </c>
      <c r="C1582" t="str">
        <f>Procurement_Raw!C1582</f>
        <v>Bristol Care &amp; Education Centre</v>
      </c>
      <c r="D1582" t="str">
        <f>Procurement_Raw!D1582</f>
        <v>South</v>
      </c>
      <c r="E1582" t="str">
        <f>IF(TRIM(Procurement_Raw!E1582)="","",IFERROR(INDEX(Supplier_Lookup!$A$2:$A$25,MATCH(TRIM(Procurement_Raw!E1582),Supplier_Lookup!$A$2:$A$25,0)),TRIM(Procurement_Raw!E1582)))</f>
        <v>UK Energy Partners</v>
      </c>
      <c r="F1582" t="str">
        <f>IFERROR(INDEX(Category_Targets!$A$2:$A$9,MATCH(TRIM(Procurement_Raw!F1582),Category_Targets!$A$2:$A$9,0)),"Unmapped")</f>
        <v>Utilities</v>
      </c>
      <c r="G1582" t="str">
        <f>TRIM(Procurement_Raw!G1582)</f>
        <v>INV-2025-01581</v>
      </c>
      <c r="H1582" s="77">
        <f>Procurement_Raw!H1582</f>
        <v>2</v>
      </c>
      <c r="I1582" s="124">
        <f>Procurement_Raw!I1582</f>
        <v>279.16000000000003</v>
      </c>
      <c r="J1582" s="125">
        <f>IF(Procurement_Raw!J1582="","",Procurement_Raw!J1582)</f>
        <v>558.30999999999995</v>
      </c>
      <c r="K1582" s="77">
        <f>Procurement_Raw!K1582</f>
        <v>60</v>
      </c>
      <c r="L1582" t="str">
        <f>Procurement_Raw!L1582</f>
        <v>Procurement Portal</v>
      </c>
      <c r="M1582" t="str">
        <f>Procurement_Raw!O1582</f>
        <v>N</v>
      </c>
      <c r="N1582" t="str">
        <f>IF(E1582="","Missing supplier",IF(B1582="","Missing site",IF(J1582="","Missing spend",IF(COUNTIFS($G$2:G1582,G1582,$E$2:E1582,E1582,$J$2:J1582,J1582)&gt;1,"Duplicate invoice",IF(COUNTIF($G$2:$G$1801,G1582)&gt;1,"Duplicate ID - review",IF(AND(P1582&lt;&gt;"Unmapped",P1582&lt;&gt;F1582),"Category mismatch","OK"))))))</f>
        <v>OK</v>
      </c>
      <c r="O1582" s="125">
        <f t="shared" si="72"/>
        <v>558.30999999999995</v>
      </c>
      <c r="P1582" t="str">
        <f>IF(E1582="","Unmapped",IFERROR(INDEX(Supplier_Lookup!$B$2:$B$25,MATCH(E1582,Supplier_Lookup!$A$2:$A$25,0)),"Unmapped"))</f>
        <v>Utilities</v>
      </c>
      <c r="Q1582" s="76">
        <f>IFERROR(INDEX(Category_Targets!$B$2:$B$9,MATCH(F1582,Category_Targets!$A$2:$A$9,0)),0)</f>
        <v>0.03</v>
      </c>
      <c r="R1582" s="125">
        <f t="shared" si="73"/>
        <v>16.749299999999998</v>
      </c>
      <c r="S1582" s="78">
        <f t="shared" si="74"/>
        <v>45839</v>
      </c>
      <c r="T1582" t="str">
        <f>IFERROR(VLOOKUP(B1582,Sites!$A$2:$D$21,4,FALSE()),"Unknown")</f>
        <v>Bristol</v>
      </c>
      <c r="U1582" t="str">
        <f>IF(N1582="OK","",COUNTIF($N$2:N1582,"&lt;&gt;OK"))</f>
        <v/>
      </c>
      <c r="V1582">
        <f>IF(OR(NOT(EXACT(E1582,TRIM(Procurement_Raw!E1582))),NOT(EXACT(F1582,TRIM(Procurement_Raw!F1582)))),1,0)</f>
        <v>0</v>
      </c>
    </row>
    <row r="1583" spans="1:22" ht="15" customHeight="1" x14ac:dyDescent="0.25">
      <c r="A1583" s="123">
        <f>Procurement_Raw!A1583</f>
        <v>45770</v>
      </c>
      <c r="B1583" t="str">
        <f>TRIM(Procurement_Raw!B1583)</f>
        <v>S020</v>
      </c>
      <c r="C1583" t="str">
        <f>Procurement_Raw!C1583</f>
        <v>Bangor Care &amp; Education Centre</v>
      </c>
      <c r="D1583" t="str">
        <f>Procurement_Raw!D1583</f>
        <v>Wales</v>
      </c>
      <c r="E1583" t="str">
        <f>IF(TRIM(Procurement_Raw!E1583)="","",IFERROR(INDEX(Supplier_Lookup!$A$2:$A$25,MATCH(TRIM(Procurement_Raw!E1583),Supplier_Lookup!$A$2:$A$25,0)),TRIM(Procurement_Raw!E1583)))</f>
        <v>SafeGuard FM</v>
      </c>
      <c r="F1583" t="str">
        <f>IFERROR(INDEX(Category_Targets!$A$2:$A$9,MATCH(TRIM(Procurement_Raw!F1583),Category_Targets!$A$2:$A$9,0)),"Unmapped")</f>
        <v>Facilities</v>
      </c>
      <c r="G1583" t="str">
        <f>TRIM(Procurement_Raw!G1583)</f>
        <v>INV-2025-01582</v>
      </c>
      <c r="H1583" s="77">
        <f>Procurement_Raw!H1583</f>
        <v>64</v>
      </c>
      <c r="I1583" s="124">
        <f>Procurement_Raw!I1583</f>
        <v>338.56</v>
      </c>
      <c r="J1583" s="125">
        <f>IF(Procurement_Raw!J1583="","",Procurement_Raw!J1583)</f>
        <v>21667.97</v>
      </c>
      <c r="K1583" s="77">
        <f>Procurement_Raw!K1583</f>
        <v>60</v>
      </c>
      <c r="L1583" t="str">
        <f>Procurement_Raw!L1583</f>
        <v>Procurement Portal</v>
      </c>
      <c r="M1583" t="str">
        <f>Procurement_Raw!O1583</f>
        <v>N</v>
      </c>
      <c r="N1583" t="str">
        <f>IF(E1583="","Missing supplier",IF(B1583="","Missing site",IF(J1583="","Missing spend",IF(COUNTIFS($G$2:G1583,G1583,$E$2:E1583,E1583,$J$2:J1583,J1583)&gt;1,"Duplicate invoice",IF(COUNTIF($G$2:$G$1801,G1583)&gt;1,"Duplicate ID - review",IF(AND(P1583&lt;&gt;"Unmapped",P1583&lt;&gt;F1583),"Category mismatch","OK"))))))</f>
        <v>OK</v>
      </c>
      <c r="O1583" s="125">
        <f t="shared" si="72"/>
        <v>21667.97</v>
      </c>
      <c r="P1583" t="str">
        <f>IF(E1583="","Unmapped",IFERROR(INDEX(Supplier_Lookup!$B$2:$B$25,MATCH(E1583,Supplier_Lookup!$A$2:$A$25,0)),"Unmapped"))</f>
        <v>Facilities</v>
      </c>
      <c r="Q1583" s="76">
        <f>IFERROR(INDEX(Category_Targets!$B$2:$B$9,MATCH(F1583,Category_Targets!$A$2:$A$9,0)),0)</f>
        <v>0.05</v>
      </c>
      <c r="R1583" s="125">
        <f t="shared" si="73"/>
        <v>1083.3985</v>
      </c>
      <c r="S1583" s="78">
        <f t="shared" si="74"/>
        <v>45748</v>
      </c>
      <c r="T1583" t="str">
        <f>IFERROR(VLOOKUP(B1583,Sites!$A$2:$D$21,4,FALSE()),"Unknown")</f>
        <v>Bangor</v>
      </c>
      <c r="U1583" t="str">
        <f>IF(N1583="OK","",COUNTIF($N$2:N1583,"&lt;&gt;OK"))</f>
        <v/>
      </c>
      <c r="V1583">
        <f>IF(OR(NOT(EXACT(E1583,TRIM(Procurement_Raw!E1583))),NOT(EXACT(F1583,TRIM(Procurement_Raw!F1583)))),1,0)</f>
        <v>0</v>
      </c>
    </row>
    <row r="1584" spans="1:22" ht="15" customHeight="1" x14ac:dyDescent="0.25">
      <c r="A1584" s="123">
        <f>Procurement_Raw!A1584</f>
        <v>45998</v>
      </c>
      <c r="B1584" t="str">
        <f>TRIM(Procurement_Raw!B1584)</f>
        <v>S015</v>
      </c>
      <c r="C1584" t="str">
        <f>Procurement_Raw!C1584</f>
        <v>Brighton Care &amp; Education Centre</v>
      </c>
      <c r="D1584" t="str">
        <f>Procurement_Raw!D1584</f>
        <v>South</v>
      </c>
      <c r="E1584" t="str">
        <f>IF(TRIM(Procurement_Raw!E1584)="","",IFERROR(INDEX(Supplier_Lookup!$A$2:$A$25,MATCH(TRIM(Procurement_Raw!E1584),Supplier_Lookup!$A$2:$A$25,0)),TRIM(Procurement_Raw!E1584)))</f>
        <v>CloudLink</v>
      </c>
      <c r="F1584" t="str">
        <f>IFERROR(INDEX(Category_Targets!$A$2:$A$9,MATCH(TRIM(Procurement_Raw!F1584),Category_Targets!$A$2:$A$9,0)),"Unmapped")</f>
        <v>IT &amp; Telecoms</v>
      </c>
      <c r="G1584" t="str">
        <f>TRIM(Procurement_Raw!G1584)</f>
        <v>INV-2025-01583</v>
      </c>
      <c r="H1584" s="77">
        <f>Procurement_Raw!H1584</f>
        <v>5</v>
      </c>
      <c r="I1584" s="124">
        <f>Procurement_Raw!I1584</f>
        <v>125.83</v>
      </c>
      <c r="J1584" s="125">
        <f>IF(Procurement_Raw!J1584="","",Procurement_Raw!J1584)</f>
        <v>629.15</v>
      </c>
      <c r="K1584" s="77">
        <f>Procurement_Raw!K1584</f>
        <v>60</v>
      </c>
      <c r="L1584" t="str">
        <f>Procurement_Raw!L1584</f>
        <v>Procurement Portal</v>
      </c>
      <c r="M1584" t="str">
        <f>Procurement_Raw!O1584</f>
        <v>Y</v>
      </c>
      <c r="N1584" t="str">
        <f>IF(E1584="","Missing supplier",IF(B1584="","Missing site",IF(J1584="","Missing spend",IF(COUNTIFS($G$2:G1584,G1584,$E$2:E1584,E1584,$J$2:J1584,J1584)&gt;1,"Duplicate invoice",IF(COUNTIF($G$2:$G$1801,G1584)&gt;1,"Duplicate ID - review",IF(AND(P1584&lt;&gt;"Unmapped",P1584&lt;&gt;F1584),"Category mismatch","OK"))))))</f>
        <v>OK</v>
      </c>
      <c r="O1584" s="125">
        <f t="shared" si="72"/>
        <v>629.15</v>
      </c>
      <c r="P1584" t="str">
        <f>IF(E1584="","Unmapped",IFERROR(INDEX(Supplier_Lookup!$B$2:$B$25,MATCH(E1584,Supplier_Lookup!$A$2:$A$25,0)),"Unmapped"))</f>
        <v>IT &amp; Telecoms</v>
      </c>
      <c r="Q1584" s="76">
        <f>IFERROR(INDEX(Category_Targets!$B$2:$B$9,MATCH(F1584,Category_Targets!$A$2:$A$9,0)),0)</f>
        <v>0.08</v>
      </c>
      <c r="R1584" s="125">
        <f t="shared" si="73"/>
        <v>50.332000000000001</v>
      </c>
      <c r="S1584" s="78">
        <f t="shared" si="74"/>
        <v>45992</v>
      </c>
      <c r="T1584" t="str">
        <f>IFERROR(VLOOKUP(B1584,Sites!$A$2:$D$21,4,FALSE()),"Unknown")</f>
        <v>Brighton</v>
      </c>
      <c r="U1584" t="str">
        <f>IF(N1584="OK","",COUNTIF($N$2:N1584,"&lt;&gt;OK"))</f>
        <v/>
      </c>
      <c r="V1584">
        <f>IF(OR(NOT(EXACT(E1584,TRIM(Procurement_Raw!E1584))),NOT(EXACT(F1584,TRIM(Procurement_Raw!F1584)))),1,0)</f>
        <v>0</v>
      </c>
    </row>
    <row r="1585" spans="1:22" ht="15" customHeight="1" x14ac:dyDescent="0.25">
      <c r="A1585" s="123">
        <f>Procurement_Raw!A1585</f>
        <v>46019</v>
      </c>
      <c r="B1585" t="str">
        <f>TRIM(Procurement_Raw!B1585)</f>
        <v>S007</v>
      </c>
      <c r="C1585" t="str">
        <f>Procurement_Raw!C1585</f>
        <v>Nottingham Care &amp; Education Centre</v>
      </c>
      <c r="D1585" t="str">
        <f>Procurement_Raw!D1585</f>
        <v>Midlands</v>
      </c>
      <c r="E1585" t="str">
        <f>IF(TRIM(Procurement_Raw!E1585)="","",IFERROR(INDEX(Supplier_Lookup!$A$2:$A$25,MATCH(TRIM(Procurement_Raw!E1585),Supplier_Lookup!$A$2:$A$25,0)),TRIM(Procurement_Raw!E1585)))</f>
        <v>NourishCo</v>
      </c>
      <c r="F1585" t="str">
        <f>IFERROR(INDEX(Category_Targets!$A$2:$A$9,MATCH(TRIM(Procurement_Raw!F1585),Category_Targets!$A$2:$A$9,0)),"Unmapped")</f>
        <v>Food &amp; Catering</v>
      </c>
      <c r="G1585" t="str">
        <f>TRIM(Procurement_Raw!G1585)</f>
        <v>INV-2025-01584</v>
      </c>
      <c r="H1585" s="77">
        <f>Procurement_Raw!H1585</f>
        <v>74</v>
      </c>
      <c r="I1585" s="124">
        <f>Procurement_Raw!I1585</f>
        <v>67.239999999999995</v>
      </c>
      <c r="J1585" s="125">
        <f>IF(Procurement_Raw!J1585="","",Procurement_Raw!J1585)</f>
        <v>4975.97</v>
      </c>
      <c r="K1585" s="77">
        <f>Procurement_Raw!K1585</f>
        <v>45</v>
      </c>
      <c r="L1585" t="str">
        <f>Procurement_Raw!L1585</f>
        <v>Legacy Spend File</v>
      </c>
      <c r="M1585" t="str">
        <f>Procurement_Raw!O1585</f>
        <v>N</v>
      </c>
      <c r="N1585" t="str">
        <f>IF(E1585="","Missing supplier",IF(B1585="","Missing site",IF(J1585="","Missing spend",IF(COUNTIFS($G$2:G1585,G1585,$E$2:E1585,E1585,$J$2:J1585,J1585)&gt;1,"Duplicate invoice",IF(COUNTIF($G$2:$G$1801,G1585)&gt;1,"Duplicate ID - review",IF(AND(P1585&lt;&gt;"Unmapped",P1585&lt;&gt;F1585),"Category mismatch","OK"))))))</f>
        <v>OK</v>
      </c>
      <c r="O1585" s="125">
        <f t="shared" si="72"/>
        <v>4975.97</v>
      </c>
      <c r="P1585" t="str">
        <f>IF(E1585="","Unmapped",IFERROR(INDEX(Supplier_Lookup!$B$2:$B$25,MATCH(E1585,Supplier_Lookup!$A$2:$A$25,0)),"Unmapped"))</f>
        <v>Food &amp; Catering</v>
      </c>
      <c r="Q1585" s="76">
        <f>IFERROR(INDEX(Category_Targets!$B$2:$B$9,MATCH(F1585,Category_Targets!$A$2:$A$9,0)),0)</f>
        <v>0.04</v>
      </c>
      <c r="R1585" s="125">
        <f t="shared" si="73"/>
        <v>199.03880000000001</v>
      </c>
      <c r="S1585" s="78">
        <f t="shared" si="74"/>
        <v>45992</v>
      </c>
      <c r="T1585" t="str">
        <f>IFERROR(VLOOKUP(B1585,Sites!$A$2:$D$21,4,FALSE()),"Unknown")</f>
        <v>Nottingham</v>
      </c>
      <c r="U1585" t="str">
        <f>IF(N1585="OK","",COUNTIF($N$2:N1585,"&lt;&gt;OK"))</f>
        <v/>
      </c>
      <c r="V1585">
        <f>IF(OR(NOT(EXACT(E1585,TRIM(Procurement_Raw!E1585))),NOT(EXACT(F1585,TRIM(Procurement_Raw!F1585)))),1,0)</f>
        <v>0</v>
      </c>
    </row>
    <row r="1586" spans="1:22" ht="15" customHeight="1" x14ac:dyDescent="0.25">
      <c r="A1586" s="123">
        <f>Procurement_Raw!A1586</f>
        <v>46018</v>
      </c>
      <c r="B1586" t="str">
        <f>TRIM(Procurement_Raw!B1586)</f>
        <v>S020</v>
      </c>
      <c r="C1586" t="str">
        <f>Procurement_Raw!C1586</f>
        <v>Bangor Care &amp; Education Centre</v>
      </c>
      <c r="D1586" t="str">
        <f>Procurement_Raw!D1586</f>
        <v>Wales</v>
      </c>
      <c r="E1586" t="str">
        <f>IF(TRIM(Procurement_Raw!E1586)="","",IFERROR(INDEX(Supplier_Lookup!$A$2:$A$25,MATCH(TRIM(Procurement_Raw!E1586),Supplier_Lookup!$A$2:$A$25,0)),TRIM(Procurement_Raw!E1586)))</f>
        <v>LearnWell</v>
      </c>
      <c r="F1586" t="str">
        <f>IFERROR(INDEX(Category_Targets!$A$2:$A$9,MATCH(TRIM(Procurement_Raw!F1586),Category_Targets!$A$2:$A$9,0)),"Unmapped")</f>
        <v>Office &amp; Training</v>
      </c>
      <c r="G1586" t="str">
        <f>TRIM(Procurement_Raw!G1586)</f>
        <v>INV-2025-01585</v>
      </c>
      <c r="H1586" s="77">
        <f>Procurement_Raw!H1586</f>
        <v>49</v>
      </c>
      <c r="I1586" s="124">
        <f>Procurement_Raw!I1586</f>
        <v>94.95</v>
      </c>
      <c r="J1586" s="125">
        <f>IF(Procurement_Raw!J1586="","",Procurement_Raw!J1586)</f>
        <v>4652.49</v>
      </c>
      <c r="K1586" s="77">
        <f>Procurement_Raw!K1586</f>
        <v>30</v>
      </c>
      <c r="L1586" t="str">
        <f>Procurement_Raw!L1586</f>
        <v>Procurement Portal</v>
      </c>
      <c r="M1586" t="str">
        <f>Procurement_Raw!O1586</f>
        <v>N</v>
      </c>
      <c r="N1586" t="str">
        <f>IF(E1586="","Missing supplier",IF(B1586="","Missing site",IF(J1586="","Missing spend",IF(COUNTIFS($G$2:G1586,G1586,$E$2:E1586,E1586,$J$2:J1586,J1586)&gt;1,"Duplicate invoice",IF(COUNTIF($G$2:$G$1801,G1586)&gt;1,"Duplicate ID - review",IF(AND(P1586&lt;&gt;"Unmapped",P1586&lt;&gt;F1586),"Category mismatch","OK"))))))</f>
        <v>OK</v>
      </c>
      <c r="O1586" s="125">
        <f t="shared" si="72"/>
        <v>4652.49</v>
      </c>
      <c r="P1586" t="str">
        <f>IF(E1586="","Unmapped",IFERROR(INDEX(Supplier_Lookup!$B$2:$B$25,MATCH(E1586,Supplier_Lookup!$A$2:$A$25,0)),"Unmapped"))</f>
        <v>Office &amp; Training</v>
      </c>
      <c r="Q1586" s="76">
        <f>IFERROR(INDEX(Category_Targets!$B$2:$B$9,MATCH(F1586,Category_Targets!$A$2:$A$9,0)),0)</f>
        <v>0.04</v>
      </c>
      <c r="R1586" s="125">
        <f t="shared" si="73"/>
        <v>186.09959999999998</v>
      </c>
      <c r="S1586" s="78">
        <f t="shared" si="74"/>
        <v>45992</v>
      </c>
      <c r="T1586" t="str">
        <f>IFERROR(VLOOKUP(B1586,Sites!$A$2:$D$21,4,FALSE()),"Unknown")</f>
        <v>Bangor</v>
      </c>
      <c r="U1586" t="str">
        <f>IF(N1586="OK","",COUNTIF($N$2:N1586,"&lt;&gt;OK"))</f>
        <v/>
      </c>
      <c r="V1586">
        <f>IF(OR(NOT(EXACT(E1586,TRIM(Procurement_Raw!E1586))),NOT(EXACT(F1586,TRIM(Procurement_Raw!F1586)))),1,0)</f>
        <v>0</v>
      </c>
    </row>
    <row r="1587" spans="1:22" ht="15" customHeight="1" x14ac:dyDescent="0.25">
      <c r="A1587" s="123">
        <f>Procurement_Raw!A1587</f>
        <v>45773</v>
      </c>
      <c r="B1587" t="str">
        <f>TRIM(Procurement_Raw!B1587)</f>
        <v>S019</v>
      </c>
      <c r="C1587" t="str">
        <f>Procurement_Raw!C1587</f>
        <v>Wrexham Care &amp; Education Centre</v>
      </c>
      <c r="D1587" t="str">
        <f>Procurement_Raw!D1587</f>
        <v>Wales</v>
      </c>
      <c r="E1587" t="str">
        <f>IF(TRIM(Procurement_Raw!E1587)="","",IFERROR(INDEX(Supplier_Lookup!$A$2:$A$25,MATCH(TRIM(Procurement_Raw!E1587),Supplier_Lookup!$A$2:$A$25,0)),TRIM(Procurement_Raw!E1587)))</f>
        <v>PowerDirect</v>
      </c>
      <c r="F1587" t="str">
        <f>IFERROR(INDEX(Category_Targets!$A$2:$A$9,MATCH(TRIM(Procurement_Raw!F1587),Category_Targets!$A$2:$A$9,0)),"Unmapped")</f>
        <v>Utilities</v>
      </c>
      <c r="G1587" t="str">
        <f>TRIM(Procurement_Raw!G1587)</f>
        <v>INV-2025-01586</v>
      </c>
      <c r="H1587" s="77">
        <f>Procurement_Raw!H1587</f>
        <v>7</v>
      </c>
      <c r="I1587" s="124">
        <f>Procurement_Raw!I1587</f>
        <v>366.01</v>
      </c>
      <c r="J1587" s="125">
        <f>IF(Procurement_Raw!J1587="","",Procurement_Raw!J1587)</f>
        <v>2562.09</v>
      </c>
      <c r="K1587" s="77">
        <f>Procurement_Raw!K1587</f>
        <v>30</v>
      </c>
      <c r="L1587" t="str">
        <f>Procurement_Raw!L1587</f>
        <v>Procurement Portal</v>
      </c>
      <c r="M1587" t="str">
        <f>Procurement_Raw!O1587</f>
        <v>N</v>
      </c>
      <c r="N1587" t="str">
        <f>IF(E1587="","Missing supplier",IF(B1587="","Missing site",IF(J1587="","Missing spend",IF(COUNTIFS($G$2:G1587,G1587,$E$2:E1587,E1587,$J$2:J1587,J1587)&gt;1,"Duplicate invoice",IF(COUNTIF($G$2:$G$1801,G1587)&gt;1,"Duplicate ID - review",IF(AND(P1587&lt;&gt;"Unmapped",P1587&lt;&gt;F1587),"Category mismatch","OK"))))))</f>
        <v>OK</v>
      </c>
      <c r="O1587" s="125">
        <f t="shared" si="72"/>
        <v>2562.09</v>
      </c>
      <c r="P1587" t="str">
        <f>IF(E1587="","Unmapped",IFERROR(INDEX(Supplier_Lookup!$B$2:$B$25,MATCH(E1587,Supplier_Lookup!$A$2:$A$25,0)),"Unmapped"))</f>
        <v>Utilities</v>
      </c>
      <c r="Q1587" s="76">
        <f>IFERROR(INDEX(Category_Targets!$B$2:$B$9,MATCH(F1587,Category_Targets!$A$2:$A$9,0)),0)</f>
        <v>0.03</v>
      </c>
      <c r="R1587" s="125">
        <f t="shared" si="73"/>
        <v>76.862700000000004</v>
      </c>
      <c r="S1587" s="78">
        <f t="shared" si="74"/>
        <v>45748</v>
      </c>
      <c r="T1587" t="str">
        <f>IFERROR(VLOOKUP(B1587,Sites!$A$2:$D$21,4,FALSE()),"Unknown")</f>
        <v>Wrexham</v>
      </c>
      <c r="U1587" t="str">
        <f>IF(N1587="OK","",COUNTIF($N$2:N1587,"&lt;&gt;OK"))</f>
        <v/>
      </c>
      <c r="V1587">
        <f>IF(OR(NOT(EXACT(E1587,TRIM(Procurement_Raw!E1587))),NOT(EXACT(F1587,TRIM(Procurement_Raw!F1587)))),1,0)</f>
        <v>0</v>
      </c>
    </row>
    <row r="1588" spans="1:22" ht="15" customHeight="1" x14ac:dyDescent="0.25">
      <c r="A1588" s="123">
        <f>Procurement_Raw!A1588</f>
        <v>45995</v>
      </c>
      <c r="B1588" t="str">
        <f>TRIM(Procurement_Raw!B1588)</f>
        <v>S020</v>
      </c>
      <c r="C1588" t="str">
        <f>Procurement_Raw!C1588</f>
        <v>Bangor Care &amp; Education Centre</v>
      </c>
      <c r="D1588" t="str">
        <f>Procurement_Raw!D1588</f>
        <v>Wales</v>
      </c>
      <c r="E1588" t="str">
        <f>IF(TRIM(Procurement_Raw!E1588)="","",IFERROR(INDEX(Supplier_Lookup!$A$2:$A$25,MATCH(TRIM(Procurement_Raw!E1588),Supplier_Lookup!$A$2:$A$25,0)),TRIM(Procurement_Raw!E1588)))</f>
        <v>CareTemps</v>
      </c>
      <c r="F1588" t="str">
        <f>IFERROR(INDEX(Category_Targets!$A$2:$A$9,MATCH(TRIM(Procurement_Raw!F1588),Category_Targets!$A$2:$A$9,0)),"Unmapped")</f>
        <v>Agency Labour</v>
      </c>
      <c r="G1588" t="str">
        <f>TRIM(Procurement_Raw!G1588)</f>
        <v>INV-2025-01587</v>
      </c>
      <c r="H1588" s="77">
        <f>Procurement_Raw!H1588</f>
        <v>21</v>
      </c>
      <c r="I1588" s="124">
        <f>Procurement_Raw!I1588</f>
        <v>330.57</v>
      </c>
      <c r="J1588" s="125">
        <f>IF(Procurement_Raw!J1588="","",Procurement_Raw!J1588)</f>
        <v>6942.02</v>
      </c>
      <c r="K1588" s="77">
        <f>Procurement_Raw!K1588</f>
        <v>30</v>
      </c>
      <c r="L1588" t="str">
        <f>Procurement_Raw!L1588</f>
        <v>Legacy Spend File</v>
      </c>
      <c r="M1588" t="str">
        <f>Procurement_Raw!O1588</f>
        <v>N</v>
      </c>
      <c r="N1588" t="str">
        <f>IF(E1588="","Missing supplier",IF(B1588="","Missing site",IF(J1588="","Missing spend",IF(COUNTIFS($G$2:G1588,G1588,$E$2:E1588,E1588,$J$2:J1588,J1588)&gt;1,"Duplicate invoice",IF(COUNTIF($G$2:$G$1801,G1588)&gt;1,"Duplicate ID - review",IF(AND(P1588&lt;&gt;"Unmapped",P1588&lt;&gt;F1588),"Category mismatch","OK"))))))</f>
        <v>OK</v>
      </c>
      <c r="O1588" s="125">
        <f t="shared" si="72"/>
        <v>6942.02</v>
      </c>
      <c r="P1588" t="str">
        <f>IF(E1588="","Unmapped",IFERROR(INDEX(Supplier_Lookup!$B$2:$B$25,MATCH(E1588,Supplier_Lookup!$A$2:$A$25,0)),"Unmapped"))</f>
        <v>Agency Labour</v>
      </c>
      <c r="Q1588" s="76">
        <f>IFERROR(INDEX(Category_Targets!$B$2:$B$9,MATCH(F1588,Category_Targets!$A$2:$A$9,0)),0)</f>
        <v>7.0000000000000007E-2</v>
      </c>
      <c r="R1588" s="125">
        <f t="shared" si="73"/>
        <v>485.9414000000001</v>
      </c>
      <c r="S1588" s="78">
        <f t="shared" si="74"/>
        <v>45992</v>
      </c>
      <c r="T1588" t="str">
        <f>IFERROR(VLOOKUP(B1588,Sites!$A$2:$D$21,4,FALSE()),"Unknown")</f>
        <v>Bangor</v>
      </c>
      <c r="U1588" t="str">
        <f>IF(N1588="OK","",COUNTIF($N$2:N1588,"&lt;&gt;OK"))</f>
        <v/>
      </c>
      <c r="V1588">
        <f>IF(OR(NOT(EXACT(E1588,TRIM(Procurement_Raw!E1588))),NOT(EXACT(F1588,TRIM(Procurement_Raw!F1588)))),1,0)</f>
        <v>0</v>
      </c>
    </row>
    <row r="1589" spans="1:22" ht="15" customHeight="1" x14ac:dyDescent="0.25">
      <c r="A1589" s="123">
        <f>Procurement_Raw!A1589</f>
        <v>46005</v>
      </c>
      <c r="B1589" t="str">
        <f>TRIM(Procurement_Raw!B1589)</f>
        <v>S020</v>
      </c>
      <c r="C1589" t="str">
        <f>Procurement_Raw!C1589</f>
        <v>Bangor Care &amp; Education Centre</v>
      </c>
      <c r="D1589" t="str">
        <f>Procurement_Raw!D1589</f>
        <v>Wales</v>
      </c>
      <c r="E1589" t="str">
        <f>IF(TRIM(Procurement_Raw!E1589)="","",IFERROR(INDEX(Supplier_Lookup!$A$2:$A$25,MATCH(TRIM(Procurement_Raw!E1589),Supplier_Lookup!$A$2:$A$25,0)),TRIM(Procurement_Raw!E1589)))</f>
        <v>RoadReady</v>
      </c>
      <c r="F1589" t="str">
        <f>IFERROR(INDEX(Category_Targets!$A$2:$A$9,MATCH(TRIM(Procurement_Raw!F1589),Category_Targets!$A$2:$A$9,0)),"Unmapped")</f>
        <v>Vehicle &amp; Fuel</v>
      </c>
      <c r="G1589" t="str">
        <f>TRIM(Procurement_Raw!G1589)</f>
        <v>INV-2025-01588</v>
      </c>
      <c r="H1589" s="77">
        <f>Procurement_Raw!H1589</f>
        <v>61</v>
      </c>
      <c r="I1589" s="124">
        <f>Procurement_Raw!I1589</f>
        <v>77.63</v>
      </c>
      <c r="J1589" s="125">
        <f>IF(Procurement_Raw!J1589="","",Procurement_Raw!J1589)</f>
        <v>4735.7</v>
      </c>
      <c r="K1589" s="77">
        <f>Procurement_Raw!K1589</f>
        <v>45</v>
      </c>
      <c r="L1589" t="str">
        <f>Procurement_Raw!L1589</f>
        <v>Procurement Portal</v>
      </c>
      <c r="M1589" t="str">
        <f>Procurement_Raw!O1589</f>
        <v>N</v>
      </c>
      <c r="N1589" t="str">
        <f>IF(E1589="","Missing supplier",IF(B1589="","Missing site",IF(J1589="","Missing spend",IF(COUNTIFS($G$2:G1589,G1589,$E$2:E1589,E1589,$J$2:J1589,J1589)&gt;1,"Duplicate invoice",IF(COUNTIF($G$2:$G$1801,G1589)&gt;1,"Duplicate ID - review",IF(AND(P1589&lt;&gt;"Unmapped",P1589&lt;&gt;F1589),"Category mismatch","OK"))))))</f>
        <v>OK</v>
      </c>
      <c r="O1589" s="125">
        <f t="shared" si="72"/>
        <v>4735.7</v>
      </c>
      <c r="P1589" t="str">
        <f>IF(E1589="","Unmapped",IFERROR(INDEX(Supplier_Lookup!$B$2:$B$25,MATCH(E1589,Supplier_Lookup!$A$2:$A$25,0)),"Unmapped"))</f>
        <v>Vehicle &amp; Fuel</v>
      </c>
      <c r="Q1589" s="76">
        <f>IFERROR(INDEX(Category_Targets!$B$2:$B$9,MATCH(F1589,Category_Targets!$A$2:$A$9,0)),0)</f>
        <v>0.05</v>
      </c>
      <c r="R1589" s="125">
        <f t="shared" si="73"/>
        <v>236.785</v>
      </c>
      <c r="S1589" s="78">
        <f t="shared" si="74"/>
        <v>45992</v>
      </c>
      <c r="T1589" t="str">
        <f>IFERROR(VLOOKUP(B1589,Sites!$A$2:$D$21,4,FALSE()),"Unknown")</f>
        <v>Bangor</v>
      </c>
      <c r="U1589" t="str">
        <f>IF(N1589="OK","",COUNTIF($N$2:N1589,"&lt;&gt;OK"))</f>
        <v/>
      </c>
      <c r="V1589">
        <f>IF(OR(NOT(EXACT(E1589,TRIM(Procurement_Raw!E1589))),NOT(EXACT(F1589,TRIM(Procurement_Raw!F1589)))),1,0)</f>
        <v>0</v>
      </c>
    </row>
    <row r="1590" spans="1:22" ht="15" customHeight="1" x14ac:dyDescent="0.25">
      <c r="A1590" s="123">
        <f>Procurement_Raw!A1590</f>
        <v>45802</v>
      </c>
      <c r="B1590" t="str">
        <f>TRIM(Procurement_Raw!B1590)</f>
        <v>S012</v>
      </c>
      <c r="C1590" t="str">
        <f>Procurement_Raw!C1590</f>
        <v>Bristol Care &amp; Education Centre</v>
      </c>
      <c r="D1590" t="str">
        <f>Procurement_Raw!D1590</f>
        <v>South</v>
      </c>
      <c r="E1590" t="str">
        <f>IF(TRIM(Procurement_Raw!E1590)="","",IFERROR(INDEX(Supplier_Lookup!$A$2:$A$25,MATCH(TRIM(Procurement_Raw!E1590),Supplier_Lookup!$A$2:$A$25,0)),TRIM(Procurement_Raw!E1590)))</f>
        <v>KitchenPro</v>
      </c>
      <c r="F1590" t="str">
        <f>IFERROR(INDEX(Category_Targets!$A$2:$A$9,MATCH(TRIM(Procurement_Raw!F1590),Category_Targets!$A$2:$A$9,0)),"Unmapped")</f>
        <v>Food &amp; Catering</v>
      </c>
      <c r="G1590" t="str">
        <f>TRIM(Procurement_Raw!G1590)</f>
        <v>INV-2025-01589</v>
      </c>
      <c r="H1590" s="77">
        <f>Procurement_Raw!H1590</f>
        <v>37</v>
      </c>
      <c r="I1590" s="124">
        <f>Procurement_Raw!I1590</f>
        <v>41.23</v>
      </c>
      <c r="J1590" s="125">
        <f>IF(Procurement_Raw!J1590="","",Procurement_Raw!J1590)</f>
        <v>1525.58</v>
      </c>
      <c r="K1590" s="77">
        <f>Procurement_Raw!K1590</f>
        <v>60</v>
      </c>
      <c r="L1590" t="str">
        <f>Procurement_Raw!L1590</f>
        <v>ERP</v>
      </c>
      <c r="M1590" t="str">
        <f>Procurement_Raw!O1590</f>
        <v>N</v>
      </c>
      <c r="N1590" t="str">
        <f>IF(E1590="","Missing supplier",IF(B1590="","Missing site",IF(J1590="","Missing spend",IF(COUNTIFS($G$2:G1590,G1590,$E$2:E1590,E1590,$J$2:J1590,J1590)&gt;1,"Duplicate invoice",IF(COUNTIF($G$2:$G$1801,G1590)&gt;1,"Duplicate ID - review",IF(AND(P1590&lt;&gt;"Unmapped",P1590&lt;&gt;F1590),"Category mismatch","OK"))))))</f>
        <v>OK</v>
      </c>
      <c r="O1590" s="125">
        <f t="shared" si="72"/>
        <v>1525.58</v>
      </c>
      <c r="P1590" t="str">
        <f>IF(E1590="","Unmapped",IFERROR(INDEX(Supplier_Lookup!$B$2:$B$25,MATCH(E1590,Supplier_Lookup!$A$2:$A$25,0)),"Unmapped"))</f>
        <v>Food &amp; Catering</v>
      </c>
      <c r="Q1590" s="76">
        <f>IFERROR(INDEX(Category_Targets!$B$2:$B$9,MATCH(F1590,Category_Targets!$A$2:$A$9,0)),0)</f>
        <v>0.04</v>
      </c>
      <c r="R1590" s="125">
        <f t="shared" si="73"/>
        <v>61.023199999999996</v>
      </c>
      <c r="S1590" s="78">
        <f t="shared" si="74"/>
        <v>45778</v>
      </c>
      <c r="T1590" t="str">
        <f>IFERROR(VLOOKUP(B1590,Sites!$A$2:$D$21,4,FALSE()),"Unknown")</f>
        <v>Bristol</v>
      </c>
      <c r="U1590" t="str">
        <f>IF(N1590="OK","",COUNTIF($N$2:N1590,"&lt;&gt;OK"))</f>
        <v/>
      </c>
      <c r="V1590">
        <f>IF(OR(NOT(EXACT(E1590,TRIM(Procurement_Raw!E1590))),NOT(EXACT(F1590,TRIM(Procurement_Raw!F1590)))),1,0)</f>
        <v>0</v>
      </c>
    </row>
    <row r="1591" spans="1:22" ht="15" customHeight="1" x14ac:dyDescent="0.25">
      <c r="A1591" s="123">
        <f>Procurement_Raw!A1591</f>
        <v>45725</v>
      </c>
      <c r="B1591" t="str">
        <f>TRIM(Procurement_Raw!B1591)</f>
        <v>S016</v>
      </c>
      <c r="C1591" t="str">
        <f>Procurement_Raw!C1591</f>
        <v>Cardiff Care &amp; Education Centre</v>
      </c>
      <c r="D1591" t="str">
        <f>Procurement_Raw!D1591</f>
        <v>Wales</v>
      </c>
      <c r="E1591" t="str">
        <f>IF(TRIM(Procurement_Raw!E1591)="","",IFERROR(INDEX(Supplier_Lookup!$A$2:$A$25,MATCH(TRIM(Procurement_Raw!E1591),Supplier_Lookup!$A$2:$A$25,0)),TRIM(Procurement_Raw!E1591)))</f>
        <v>HealthStaffing</v>
      </c>
      <c r="F1591" t="str">
        <f>IFERROR(INDEX(Category_Targets!$A$2:$A$9,MATCH(TRIM(Procurement_Raw!F1591),Category_Targets!$A$2:$A$9,0)),"Unmapped")</f>
        <v>Agency Labour</v>
      </c>
      <c r="G1591" t="str">
        <f>TRIM(Procurement_Raw!G1591)</f>
        <v>INV-2025-01590</v>
      </c>
      <c r="H1591" s="77">
        <f>Procurement_Raw!H1591</f>
        <v>42</v>
      </c>
      <c r="I1591" s="124">
        <f>Procurement_Raw!I1591</f>
        <v>314.56</v>
      </c>
      <c r="J1591" s="125">
        <f>IF(Procurement_Raw!J1591="","",Procurement_Raw!J1591)</f>
        <v>13211.35</v>
      </c>
      <c r="K1591" s="77">
        <f>Procurement_Raw!K1591</f>
        <v>60</v>
      </c>
      <c r="L1591" t="str">
        <f>Procurement_Raw!L1591</f>
        <v>ERP</v>
      </c>
      <c r="M1591" t="str">
        <f>Procurement_Raw!O1591</f>
        <v>N</v>
      </c>
      <c r="N1591" t="str">
        <f>IF(E1591="","Missing supplier",IF(B1591="","Missing site",IF(J1591="","Missing spend",IF(COUNTIFS($G$2:G1591,G1591,$E$2:E1591,E1591,$J$2:J1591,J1591)&gt;1,"Duplicate invoice",IF(COUNTIF($G$2:$G$1801,G1591)&gt;1,"Duplicate ID - review",IF(AND(P1591&lt;&gt;"Unmapped",P1591&lt;&gt;F1591),"Category mismatch","OK"))))))</f>
        <v>OK</v>
      </c>
      <c r="O1591" s="125">
        <f t="shared" si="72"/>
        <v>13211.35</v>
      </c>
      <c r="P1591" t="str">
        <f>IF(E1591="","Unmapped",IFERROR(INDEX(Supplier_Lookup!$B$2:$B$25,MATCH(E1591,Supplier_Lookup!$A$2:$A$25,0)),"Unmapped"))</f>
        <v>Agency Labour</v>
      </c>
      <c r="Q1591" s="76">
        <f>IFERROR(INDEX(Category_Targets!$B$2:$B$9,MATCH(F1591,Category_Targets!$A$2:$A$9,0)),0)</f>
        <v>7.0000000000000007E-2</v>
      </c>
      <c r="R1591" s="125">
        <f t="shared" si="73"/>
        <v>924.79450000000008</v>
      </c>
      <c r="S1591" s="78">
        <f t="shared" si="74"/>
        <v>45717</v>
      </c>
      <c r="T1591" t="str">
        <f>IFERROR(VLOOKUP(B1591,Sites!$A$2:$D$21,4,FALSE()),"Unknown")</f>
        <v>Cardiff</v>
      </c>
      <c r="U1591" t="str">
        <f>IF(N1591="OK","",COUNTIF($N$2:N1591,"&lt;&gt;OK"))</f>
        <v/>
      </c>
      <c r="V1591">
        <f>IF(OR(NOT(EXACT(E1591,TRIM(Procurement_Raw!E1591))),NOT(EXACT(F1591,TRIM(Procurement_Raw!F1591)))),1,0)</f>
        <v>0</v>
      </c>
    </row>
    <row r="1592" spans="1:22" ht="15" customHeight="1" x14ac:dyDescent="0.25">
      <c r="A1592" s="123">
        <f>Procurement_Raw!A1592</f>
        <v>45993</v>
      </c>
      <c r="B1592" t="str">
        <f>TRIM(Procurement_Raw!B1592)</f>
        <v>S005</v>
      </c>
      <c r="C1592" t="str">
        <f>Procurement_Raw!C1592</f>
        <v>Sheffield Care &amp; Education Centre</v>
      </c>
      <c r="D1592" t="str">
        <f>Procurement_Raw!D1592</f>
        <v>North</v>
      </c>
      <c r="E1592" t="str">
        <f>IF(TRIM(Procurement_Raw!E1592)="","",IFERROR(INDEX(Supplier_Lookup!$A$2:$A$25,MATCH(TRIM(Procurement_Raw!E1592),Supplier_Lookup!$A$2:$A$25,0)),TRIM(Procurement_Raw!E1592)))</f>
        <v>TeleCare IT</v>
      </c>
      <c r="F1592" t="str">
        <f>IFERROR(INDEX(Category_Targets!$A$2:$A$9,MATCH(TRIM(Procurement_Raw!F1592),Category_Targets!$A$2:$A$9,0)),"Unmapped")</f>
        <v>IT &amp; Telecoms</v>
      </c>
      <c r="G1592" t="str">
        <f>TRIM(Procurement_Raw!G1592)</f>
        <v>INV-2025-01591</v>
      </c>
      <c r="H1592" s="77">
        <f>Procurement_Raw!H1592</f>
        <v>21</v>
      </c>
      <c r="I1592" s="124">
        <f>Procurement_Raw!I1592</f>
        <v>121.99</v>
      </c>
      <c r="J1592" s="125">
        <f>IF(Procurement_Raw!J1592="","",Procurement_Raw!J1592)</f>
        <v>2561.8200000000002</v>
      </c>
      <c r="K1592" s="77">
        <f>Procurement_Raw!K1592</f>
        <v>60</v>
      </c>
      <c r="L1592" t="str">
        <f>Procurement_Raw!L1592</f>
        <v>ERP</v>
      </c>
      <c r="M1592" t="str">
        <f>Procurement_Raw!O1592</f>
        <v>N</v>
      </c>
      <c r="N1592" t="str">
        <f>IF(E1592="","Missing supplier",IF(B1592="","Missing site",IF(J1592="","Missing spend",IF(COUNTIFS($G$2:G1592,G1592,$E$2:E1592,E1592,$J$2:J1592,J1592)&gt;1,"Duplicate invoice",IF(COUNTIF($G$2:$G$1801,G1592)&gt;1,"Duplicate ID - review",IF(AND(P1592&lt;&gt;"Unmapped",P1592&lt;&gt;F1592),"Category mismatch","OK"))))))</f>
        <v>OK</v>
      </c>
      <c r="O1592" s="125">
        <f t="shared" si="72"/>
        <v>2561.8200000000002</v>
      </c>
      <c r="P1592" t="str">
        <f>IF(E1592="","Unmapped",IFERROR(INDEX(Supplier_Lookup!$B$2:$B$25,MATCH(E1592,Supplier_Lookup!$A$2:$A$25,0)),"Unmapped"))</f>
        <v>IT &amp; Telecoms</v>
      </c>
      <c r="Q1592" s="76">
        <f>IFERROR(INDEX(Category_Targets!$B$2:$B$9,MATCH(F1592,Category_Targets!$A$2:$A$9,0)),0)</f>
        <v>0.08</v>
      </c>
      <c r="R1592" s="125">
        <f t="shared" si="73"/>
        <v>204.94560000000001</v>
      </c>
      <c r="S1592" s="78">
        <f t="shared" si="74"/>
        <v>45992</v>
      </c>
      <c r="T1592" t="str">
        <f>IFERROR(VLOOKUP(B1592,Sites!$A$2:$D$21,4,FALSE()),"Unknown")</f>
        <v>Sheffield</v>
      </c>
      <c r="U1592" t="str">
        <f>IF(N1592="OK","",COUNTIF($N$2:N1592,"&lt;&gt;OK"))</f>
        <v/>
      </c>
      <c r="V1592">
        <f>IF(OR(NOT(EXACT(E1592,TRIM(Procurement_Raw!E1592))),NOT(EXACT(F1592,TRIM(Procurement_Raw!F1592)))),1,0)</f>
        <v>0</v>
      </c>
    </row>
    <row r="1593" spans="1:22" ht="15" customHeight="1" x14ac:dyDescent="0.25">
      <c r="A1593" s="123">
        <f>Procurement_Raw!A1593</f>
        <v>45732</v>
      </c>
      <c r="B1593" t="str">
        <f>TRIM(Procurement_Raw!B1593)</f>
        <v>S009</v>
      </c>
      <c r="C1593" t="str">
        <f>Procurement_Raw!C1593</f>
        <v>Derby Care &amp; Education Centre</v>
      </c>
      <c r="D1593" t="str">
        <f>Procurement_Raw!D1593</f>
        <v>Midlands</v>
      </c>
      <c r="E1593" t="str">
        <f>IF(TRIM(Procurement_Raw!E1593)="","",IFERROR(INDEX(Supplier_Lookup!$A$2:$A$25,MATCH(TRIM(Procurement_Raw!E1593),Supplier_Lookup!$A$2:$A$25,0)),TRIM(Procurement_Raw!E1593)))</f>
        <v>LearnWell</v>
      </c>
      <c r="F1593" t="str">
        <f>IFERROR(INDEX(Category_Targets!$A$2:$A$9,MATCH(TRIM(Procurement_Raw!F1593),Category_Targets!$A$2:$A$9,0)),"Unmapped")</f>
        <v>Office &amp; Training</v>
      </c>
      <c r="G1593" t="str">
        <f>TRIM(Procurement_Raw!G1593)</f>
        <v>INV-2025-01592</v>
      </c>
      <c r="H1593" s="77">
        <f>Procurement_Raw!H1593</f>
        <v>27</v>
      </c>
      <c r="I1593" s="124">
        <f>Procurement_Raw!I1593</f>
        <v>15.04</v>
      </c>
      <c r="J1593" s="125">
        <f>IF(Procurement_Raw!J1593="","",Procurement_Raw!J1593)</f>
        <v>406.09</v>
      </c>
      <c r="K1593" s="77">
        <f>Procurement_Raw!K1593</f>
        <v>30</v>
      </c>
      <c r="L1593" t="str">
        <f>Procurement_Raw!L1593</f>
        <v>Legacy Spend File</v>
      </c>
      <c r="M1593" t="str">
        <f>Procurement_Raw!O1593</f>
        <v>N</v>
      </c>
      <c r="N1593" t="str">
        <f>IF(E1593="","Missing supplier",IF(B1593="","Missing site",IF(J1593="","Missing spend",IF(COUNTIFS($G$2:G1593,G1593,$E$2:E1593,E1593,$J$2:J1593,J1593)&gt;1,"Duplicate invoice",IF(COUNTIF($G$2:$G$1801,G1593)&gt;1,"Duplicate ID - review",IF(AND(P1593&lt;&gt;"Unmapped",P1593&lt;&gt;F1593),"Category mismatch","OK"))))))</f>
        <v>OK</v>
      </c>
      <c r="O1593" s="125">
        <f t="shared" si="72"/>
        <v>406.09</v>
      </c>
      <c r="P1593" t="str">
        <f>IF(E1593="","Unmapped",IFERROR(INDEX(Supplier_Lookup!$B$2:$B$25,MATCH(E1593,Supplier_Lookup!$A$2:$A$25,0)),"Unmapped"))</f>
        <v>Office &amp; Training</v>
      </c>
      <c r="Q1593" s="76">
        <f>IFERROR(INDEX(Category_Targets!$B$2:$B$9,MATCH(F1593,Category_Targets!$A$2:$A$9,0)),0)</f>
        <v>0.04</v>
      </c>
      <c r="R1593" s="125">
        <f t="shared" si="73"/>
        <v>16.243600000000001</v>
      </c>
      <c r="S1593" s="78">
        <f t="shared" si="74"/>
        <v>45717</v>
      </c>
      <c r="T1593" t="str">
        <f>IFERROR(VLOOKUP(B1593,Sites!$A$2:$D$21,4,FALSE()),"Unknown")</f>
        <v>Derby</v>
      </c>
      <c r="U1593" t="str">
        <f>IF(N1593="OK","",COUNTIF($N$2:N1593,"&lt;&gt;OK"))</f>
        <v/>
      </c>
      <c r="V1593">
        <f>IF(OR(NOT(EXACT(E1593,TRIM(Procurement_Raw!E1593))),NOT(EXACT(F1593,TRIM(Procurement_Raw!F1593)))),1,0)</f>
        <v>0</v>
      </c>
    </row>
    <row r="1594" spans="1:22" ht="15" customHeight="1" x14ac:dyDescent="0.25">
      <c r="A1594" s="123">
        <f>Procurement_Raw!A1594</f>
        <v>45952</v>
      </c>
      <c r="B1594" t="str">
        <f>TRIM(Procurement_Raw!B1594)</f>
        <v>S007</v>
      </c>
      <c r="C1594" t="str">
        <f>Procurement_Raw!C1594</f>
        <v>Nottingham Care &amp; Education Centre</v>
      </c>
      <c r="D1594" t="str">
        <f>Procurement_Raw!D1594</f>
        <v>Midlands</v>
      </c>
      <c r="E1594" t="str">
        <f>IF(TRIM(Procurement_Raw!E1594)="","",IFERROR(INDEX(Supplier_Lookup!$A$2:$A$25,MATCH(TRIM(Procurement_Raw!E1594),Supplier_Lookup!$A$2:$A$25,0)),TRIM(Procurement_Raw!E1594)))</f>
        <v>CareMed</v>
      </c>
      <c r="F1594" t="str">
        <f>IFERROR(INDEX(Category_Targets!$A$2:$A$9,MATCH(TRIM(Procurement_Raw!F1594),Category_Targets!$A$2:$A$9,0)),"Unmapped")</f>
        <v>Medical Supplies</v>
      </c>
      <c r="G1594" t="str">
        <f>TRIM(Procurement_Raw!G1594)</f>
        <v>INV-2025-01593</v>
      </c>
      <c r="H1594" s="77">
        <f>Procurement_Raw!H1594</f>
        <v>14</v>
      </c>
      <c r="I1594" s="124">
        <f>Procurement_Raw!I1594</f>
        <v>152.57</v>
      </c>
      <c r="J1594" s="125">
        <f>IF(Procurement_Raw!J1594="","",Procurement_Raw!J1594)</f>
        <v>2135.9299999999998</v>
      </c>
      <c r="K1594" s="77">
        <f>Procurement_Raw!K1594</f>
        <v>60</v>
      </c>
      <c r="L1594" t="str">
        <f>Procurement_Raw!L1594</f>
        <v>ERP</v>
      </c>
      <c r="M1594" t="str">
        <f>Procurement_Raw!O1594</f>
        <v>N</v>
      </c>
      <c r="N1594" t="str">
        <f>IF(E1594="","Missing supplier",IF(B1594="","Missing site",IF(J1594="","Missing spend",IF(COUNTIFS($G$2:G1594,G1594,$E$2:E1594,E1594,$J$2:J1594,J1594)&gt;1,"Duplicate invoice",IF(COUNTIF($G$2:$G$1801,G1594)&gt;1,"Duplicate ID - review",IF(AND(P1594&lt;&gt;"Unmapped",P1594&lt;&gt;F1594),"Category mismatch","OK"))))))</f>
        <v>OK</v>
      </c>
      <c r="O1594" s="125">
        <f t="shared" si="72"/>
        <v>2135.9299999999998</v>
      </c>
      <c r="P1594" t="str">
        <f>IF(E1594="","Unmapped",IFERROR(INDEX(Supplier_Lookup!$B$2:$B$25,MATCH(E1594,Supplier_Lookup!$A$2:$A$25,0)),"Unmapped"))</f>
        <v>Medical Supplies</v>
      </c>
      <c r="Q1594" s="76">
        <f>IFERROR(INDEX(Category_Targets!$B$2:$B$9,MATCH(F1594,Category_Targets!$A$2:$A$9,0)),0)</f>
        <v>0.06</v>
      </c>
      <c r="R1594" s="125">
        <f t="shared" si="73"/>
        <v>128.1558</v>
      </c>
      <c r="S1594" s="78">
        <f t="shared" si="74"/>
        <v>45931</v>
      </c>
      <c r="T1594" t="str">
        <f>IFERROR(VLOOKUP(B1594,Sites!$A$2:$D$21,4,FALSE()),"Unknown")</f>
        <v>Nottingham</v>
      </c>
      <c r="U1594" t="str">
        <f>IF(N1594="OK","",COUNTIF($N$2:N1594,"&lt;&gt;OK"))</f>
        <v/>
      </c>
      <c r="V1594">
        <f>IF(OR(NOT(EXACT(E1594,TRIM(Procurement_Raw!E1594))),NOT(EXACT(F1594,TRIM(Procurement_Raw!F1594)))),1,0)</f>
        <v>0</v>
      </c>
    </row>
    <row r="1595" spans="1:22" ht="15" customHeight="1" x14ac:dyDescent="0.25">
      <c r="A1595" s="123">
        <f>Procurement_Raw!A1595</f>
        <v>45744</v>
      </c>
      <c r="B1595" t="str">
        <f>TRIM(Procurement_Raw!B1595)</f>
        <v>S011</v>
      </c>
      <c r="C1595" t="str">
        <f>Procurement_Raw!C1595</f>
        <v>London Care &amp; Education Centre</v>
      </c>
      <c r="D1595" t="str">
        <f>Procurement_Raw!D1595</f>
        <v>South</v>
      </c>
      <c r="E1595" t="str">
        <f>IF(TRIM(Procurement_Raw!E1595)="","",IFERROR(INDEX(Supplier_Lookup!$A$2:$A$25,MATCH(TRIM(Procurement_Raw!E1595),Supplier_Lookup!$A$2:$A$25,0)),TRIM(Procurement_Raw!E1595)))</f>
        <v>NurseLink</v>
      </c>
      <c r="F1595" t="str">
        <f>IFERROR(INDEX(Category_Targets!$A$2:$A$9,MATCH(TRIM(Procurement_Raw!F1595),Category_Targets!$A$2:$A$9,0)),"Unmapped")</f>
        <v>Agency Labour</v>
      </c>
      <c r="G1595" t="str">
        <f>TRIM(Procurement_Raw!G1595)</f>
        <v>INV-2025-01594</v>
      </c>
      <c r="H1595" s="77">
        <f>Procurement_Raw!H1595</f>
        <v>8</v>
      </c>
      <c r="I1595" s="124">
        <f>Procurement_Raw!I1595</f>
        <v>493.22</v>
      </c>
      <c r="J1595" s="125">
        <f>IF(Procurement_Raw!J1595="","",Procurement_Raw!J1595)</f>
        <v>3945.73</v>
      </c>
      <c r="K1595" s="77">
        <f>Procurement_Raw!K1595</f>
        <v>30</v>
      </c>
      <c r="L1595" t="str">
        <f>Procurement_Raw!L1595</f>
        <v>Procurement Portal</v>
      </c>
      <c r="M1595" t="str">
        <f>Procurement_Raw!O1595</f>
        <v>N</v>
      </c>
      <c r="N1595" t="str">
        <f>IF(E1595="","Missing supplier",IF(B1595="","Missing site",IF(J1595="","Missing spend",IF(COUNTIFS($G$2:G1595,G1595,$E$2:E1595,E1595,$J$2:J1595,J1595)&gt;1,"Duplicate invoice",IF(COUNTIF($G$2:$G$1801,G1595)&gt;1,"Duplicate ID - review",IF(AND(P1595&lt;&gt;"Unmapped",P1595&lt;&gt;F1595),"Category mismatch","OK"))))))</f>
        <v>OK</v>
      </c>
      <c r="O1595" s="125">
        <f t="shared" si="72"/>
        <v>3945.73</v>
      </c>
      <c r="P1595" t="str">
        <f>IF(E1595="","Unmapped",IFERROR(INDEX(Supplier_Lookup!$B$2:$B$25,MATCH(E1595,Supplier_Lookup!$A$2:$A$25,0)),"Unmapped"))</f>
        <v>Agency Labour</v>
      </c>
      <c r="Q1595" s="76">
        <f>IFERROR(INDEX(Category_Targets!$B$2:$B$9,MATCH(F1595,Category_Targets!$A$2:$A$9,0)),0)</f>
        <v>7.0000000000000007E-2</v>
      </c>
      <c r="R1595" s="125">
        <f t="shared" si="73"/>
        <v>276.20110000000005</v>
      </c>
      <c r="S1595" s="78">
        <f t="shared" si="74"/>
        <v>45717</v>
      </c>
      <c r="T1595" t="str">
        <f>IFERROR(VLOOKUP(B1595,Sites!$A$2:$D$21,4,FALSE()),"Unknown")</f>
        <v>London</v>
      </c>
      <c r="U1595" t="str">
        <f>IF(N1595="OK","",COUNTIF($N$2:N1595,"&lt;&gt;OK"))</f>
        <v/>
      </c>
      <c r="V1595">
        <f>IF(OR(NOT(EXACT(E1595,TRIM(Procurement_Raw!E1595))),NOT(EXACT(F1595,TRIM(Procurement_Raw!F1595)))),1,0)</f>
        <v>0</v>
      </c>
    </row>
    <row r="1596" spans="1:22" ht="15" customHeight="1" x14ac:dyDescent="0.25">
      <c r="A1596" s="123">
        <f>Procurement_Raw!A1596</f>
        <v>45718</v>
      </c>
      <c r="B1596" t="str">
        <f>TRIM(Procurement_Raw!B1596)</f>
        <v>S014</v>
      </c>
      <c r="C1596" t="str">
        <f>Procurement_Raw!C1596</f>
        <v>Southampton Care &amp; Education Centre</v>
      </c>
      <c r="D1596" t="str">
        <f>Procurement_Raw!D1596</f>
        <v>South</v>
      </c>
      <c r="E1596" t="str">
        <f>IF(TRIM(Procurement_Raw!E1596)="","",IFERROR(INDEX(Supplier_Lookup!$A$2:$A$25,MATCH(TRIM(Procurement_Raw!E1596),Supplier_Lookup!$A$2:$A$25,0)),TRIM(Procurement_Raw!E1596)))</f>
        <v>CleanWorks</v>
      </c>
      <c r="F1596" t="str">
        <f>IFERROR(INDEX(Category_Targets!$A$2:$A$9,MATCH(TRIM(Procurement_Raw!F1596),Category_Targets!$A$2:$A$9,0)),"Unmapped")</f>
        <v>Facilities</v>
      </c>
      <c r="G1596" t="str">
        <f>TRIM(Procurement_Raw!G1596)</f>
        <v>INV-2025-01595</v>
      </c>
      <c r="H1596" s="77">
        <f>Procurement_Raw!H1596</f>
        <v>66</v>
      </c>
      <c r="I1596" s="124">
        <f>Procurement_Raw!I1596</f>
        <v>49.07</v>
      </c>
      <c r="J1596" s="125">
        <f>IF(Procurement_Raw!J1596="","",Procurement_Raw!J1596)</f>
        <v>3238.93</v>
      </c>
      <c r="K1596" s="77">
        <f>Procurement_Raw!K1596</f>
        <v>60</v>
      </c>
      <c r="L1596" t="str">
        <f>Procurement_Raw!L1596</f>
        <v>Procurement Portal</v>
      </c>
      <c r="M1596" t="str">
        <f>Procurement_Raw!O1596</f>
        <v>Y</v>
      </c>
      <c r="N1596" t="str">
        <f>IF(E1596="","Missing supplier",IF(B1596="","Missing site",IF(J1596="","Missing spend",IF(COUNTIFS($G$2:G1596,G1596,$E$2:E1596,E1596,$J$2:J1596,J1596)&gt;1,"Duplicate invoice",IF(COUNTIF($G$2:$G$1801,G1596)&gt;1,"Duplicate ID - review",IF(AND(P1596&lt;&gt;"Unmapped",P1596&lt;&gt;F1596),"Category mismatch","OK"))))))</f>
        <v>OK</v>
      </c>
      <c r="O1596" s="125">
        <f t="shared" si="72"/>
        <v>3238.93</v>
      </c>
      <c r="P1596" t="str">
        <f>IF(E1596="","Unmapped",IFERROR(INDEX(Supplier_Lookup!$B$2:$B$25,MATCH(E1596,Supplier_Lookup!$A$2:$A$25,0)),"Unmapped"))</f>
        <v>Facilities</v>
      </c>
      <c r="Q1596" s="76">
        <f>IFERROR(INDEX(Category_Targets!$B$2:$B$9,MATCH(F1596,Category_Targets!$A$2:$A$9,0)),0)</f>
        <v>0.05</v>
      </c>
      <c r="R1596" s="125">
        <f t="shared" si="73"/>
        <v>161.94650000000001</v>
      </c>
      <c r="S1596" s="78">
        <f t="shared" si="74"/>
        <v>45717</v>
      </c>
      <c r="T1596" t="str">
        <f>IFERROR(VLOOKUP(B1596,Sites!$A$2:$D$21,4,FALSE()),"Unknown")</f>
        <v>Southampton</v>
      </c>
      <c r="U1596" t="str">
        <f>IF(N1596="OK","",COUNTIF($N$2:N1596,"&lt;&gt;OK"))</f>
        <v/>
      </c>
      <c r="V1596">
        <f>IF(OR(NOT(EXACT(E1596,TRIM(Procurement_Raw!E1596))),NOT(EXACT(F1596,TRIM(Procurement_Raw!F1596)))),1,0)</f>
        <v>0</v>
      </c>
    </row>
    <row r="1597" spans="1:22" ht="15" customHeight="1" x14ac:dyDescent="0.25">
      <c r="A1597" s="123">
        <f>Procurement_Raw!A1597</f>
        <v>45979</v>
      </c>
      <c r="B1597" t="str">
        <f>TRIM(Procurement_Raw!B1597)</f>
        <v>S006</v>
      </c>
      <c r="C1597" t="str">
        <f>Procurement_Raw!C1597</f>
        <v>Birmingham Care &amp; Education Centre</v>
      </c>
      <c r="D1597" t="str">
        <f>Procurement_Raw!D1597</f>
        <v>Midlands</v>
      </c>
      <c r="E1597" t="str">
        <f>IF(TRIM(Procurement_Raw!E1597)="","",IFERROR(INDEX(Supplier_Lookup!$A$2:$A$25,MATCH(TRIM(Procurement_Raw!E1597),Supplier_Lookup!$A$2:$A$25,0)),TRIM(Procurement_Raw!E1597)))</f>
        <v>HealthStaffing</v>
      </c>
      <c r="F1597" t="str">
        <f>IFERROR(INDEX(Category_Targets!$A$2:$A$9,MATCH(TRIM(Procurement_Raw!F1597),Category_Targets!$A$2:$A$9,0)),"Unmapped")</f>
        <v>Agency Labour</v>
      </c>
      <c r="G1597" t="str">
        <f>TRIM(Procurement_Raw!G1597)</f>
        <v>INV-2025-01596</v>
      </c>
      <c r="H1597" s="77">
        <f>Procurement_Raw!H1597</f>
        <v>52</v>
      </c>
      <c r="I1597" s="124">
        <f>Procurement_Raw!I1597</f>
        <v>172.16</v>
      </c>
      <c r="J1597" s="125">
        <f>IF(Procurement_Raw!J1597="","",Procurement_Raw!J1597)</f>
        <v>8952.3799999999992</v>
      </c>
      <c r="K1597" s="77">
        <f>Procurement_Raw!K1597</f>
        <v>30</v>
      </c>
      <c r="L1597" t="str">
        <f>Procurement_Raw!L1597</f>
        <v>ERP</v>
      </c>
      <c r="M1597" t="str">
        <f>Procurement_Raw!O1597</f>
        <v>N</v>
      </c>
      <c r="N1597" t="str">
        <f>IF(E1597="","Missing supplier",IF(B1597="","Missing site",IF(J1597="","Missing spend",IF(COUNTIFS($G$2:G1597,G1597,$E$2:E1597,E1597,$J$2:J1597,J1597)&gt;1,"Duplicate invoice",IF(COUNTIF($G$2:$G$1801,G1597)&gt;1,"Duplicate ID - review",IF(AND(P1597&lt;&gt;"Unmapped",P1597&lt;&gt;F1597),"Category mismatch","OK"))))))</f>
        <v>OK</v>
      </c>
      <c r="O1597" s="125">
        <f t="shared" si="72"/>
        <v>8952.3799999999992</v>
      </c>
      <c r="P1597" t="str">
        <f>IF(E1597="","Unmapped",IFERROR(INDEX(Supplier_Lookup!$B$2:$B$25,MATCH(E1597,Supplier_Lookup!$A$2:$A$25,0)),"Unmapped"))</f>
        <v>Agency Labour</v>
      </c>
      <c r="Q1597" s="76">
        <f>IFERROR(INDEX(Category_Targets!$B$2:$B$9,MATCH(F1597,Category_Targets!$A$2:$A$9,0)),0)</f>
        <v>7.0000000000000007E-2</v>
      </c>
      <c r="R1597" s="125">
        <f t="shared" si="73"/>
        <v>626.66660000000002</v>
      </c>
      <c r="S1597" s="78">
        <f t="shared" si="74"/>
        <v>45962</v>
      </c>
      <c r="T1597" t="str">
        <f>IFERROR(VLOOKUP(B1597,Sites!$A$2:$D$21,4,FALSE()),"Unknown")</f>
        <v>Birmingham</v>
      </c>
      <c r="U1597" t="str">
        <f>IF(N1597="OK","",COUNTIF($N$2:N1597,"&lt;&gt;OK"))</f>
        <v/>
      </c>
      <c r="V1597">
        <f>IF(OR(NOT(EXACT(E1597,TRIM(Procurement_Raw!E1597))),NOT(EXACT(F1597,TRIM(Procurement_Raw!F1597)))),1,0)</f>
        <v>0</v>
      </c>
    </row>
    <row r="1598" spans="1:22" ht="15" customHeight="1" x14ac:dyDescent="0.25">
      <c r="A1598" s="123">
        <f>Procurement_Raw!A1598</f>
        <v>45908</v>
      </c>
      <c r="B1598" t="str">
        <f>TRIM(Procurement_Raw!B1598)</f>
        <v>S006</v>
      </c>
      <c r="C1598" t="str">
        <f>Procurement_Raw!C1598</f>
        <v>Birmingham Care &amp; Education Centre</v>
      </c>
      <c r="D1598" t="str">
        <f>Procurement_Raw!D1598</f>
        <v>Midlands</v>
      </c>
      <c r="E1598" t="str">
        <f>IF(TRIM(Procurement_Raw!E1598)="","",IFERROR(INDEX(Supplier_Lookup!$A$2:$A$25,MATCH(TRIM(Procurement_Raw!E1598),Supplier_Lookup!$A$2:$A$25,0)),TRIM(Procurement_Raw!E1598)))</f>
        <v>WaterGrid</v>
      </c>
      <c r="F1598" t="str">
        <f>IFERROR(INDEX(Category_Targets!$A$2:$A$9,MATCH(TRIM(Procurement_Raw!F1598),Category_Targets!$A$2:$A$9,0)),"Unmapped")</f>
        <v>Utilities</v>
      </c>
      <c r="G1598" t="str">
        <f>TRIM(Procurement_Raw!G1598)</f>
        <v>INV-2025-01597</v>
      </c>
      <c r="H1598" s="77">
        <f>Procurement_Raw!H1598</f>
        <v>39</v>
      </c>
      <c r="I1598" s="124">
        <f>Procurement_Raw!I1598</f>
        <v>351.42</v>
      </c>
      <c r="J1598" s="125">
        <f>IF(Procurement_Raw!J1598="","",Procurement_Raw!J1598)</f>
        <v>13705.57</v>
      </c>
      <c r="K1598" s="77">
        <f>Procurement_Raw!K1598</f>
        <v>60</v>
      </c>
      <c r="L1598" t="str">
        <f>Procurement_Raw!L1598</f>
        <v>Legacy Spend File</v>
      </c>
      <c r="M1598" t="str">
        <f>Procurement_Raw!O1598</f>
        <v>N</v>
      </c>
      <c r="N1598" t="str">
        <f>IF(E1598="","Missing supplier",IF(B1598="","Missing site",IF(J1598="","Missing spend",IF(COUNTIFS($G$2:G1598,G1598,$E$2:E1598,E1598,$J$2:J1598,J1598)&gt;1,"Duplicate invoice",IF(COUNTIF($G$2:$G$1801,G1598)&gt;1,"Duplicate ID - review",IF(AND(P1598&lt;&gt;"Unmapped",P1598&lt;&gt;F1598),"Category mismatch","OK"))))))</f>
        <v>OK</v>
      </c>
      <c r="O1598" s="125">
        <f t="shared" si="72"/>
        <v>13705.57</v>
      </c>
      <c r="P1598" t="str">
        <f>IF(E1598="","Unmapped",IFERROR(INDEX(Supplier_Lookup!$B$2:$B$25,MATCH(E1598,Supplier_Lookup!$A$2:$A$25,0)),"Unmapped"))</f>
        <v>Utilities</v>
      </c>
      <c r="Q1598" s="76">
        <f>IFERROR(INDEX(Category_Targets!$B$2:$B$9,MATCH(F1598,Category_Targets!$A$2:$A$9,0)),0)</f>
        <v>0.03</v>
      </c>
      <c r="R1598" s="125">
        <f t="shared" si="73"/>
        <v>411.16709999999995</v>
      </c>
      <c r="S1598" s="78">
        <f t="shared" si="74"/>
        <v>45901</v>
      </c>
      <c r="T1598" t="str">
        <f>IFERROR(VLOOKUP(B1598,Sites!$A$2:$D$21,4,FALSE()),"Unknown")</f>
        <v>Birmingham</v>
      </c>
      <c r="U1598" t="str">
        <f>IF(N1598="OK","",COUNTIF($N$2:N1598,"&lt;&gt;OK"))</f>
        <v/>
      </c>
      <c r="V1598">
        <f>IF(OR(NOT(EXACT(E1598,TRIM(Procurement_Raw!E1598))),NOT(EXACT(F1598,TRIM(Procurement_Raw!F1598)))),1,0)</f>
        <v>0</v>
      </c>
    </row>
    <row r="1599" spans="1:22" ht="15" customHeight="1" x14ac:dyDescent="0.25">
      <c r="A1599" s="123">
        <f>Procurement_Raw!A1599</f>
        <v>46001</v>
      </c>
      <c r="B1599" t="str">
        <f>TRIM(Procurement_Raw!B1599)</f>
        <v>S008</v>
      </c>
      <c r="C1599" t="str">
        <f>Procurement_Raw!C1599</f>
        <v>Leicester Care &amp; Education Centre</v>
      </c>
      <c r="D1599" t="str">
        <f>Procurement_Raw!D1599</f>
        <v>Midlands</v>
      </c>
      <c r="E1599" t="str">
        <f>IF(TRIM(Procurement_Raw!E1599)="","",IFERROR(INDEX(Supplier_Lookup!$A$2:$A$25,MATCH(TRIM(Procurement_Raw!E1599),Supplier_Lookup!$A$2:$A$25,0)),TRIM(Procurement_Raw!E1599)))</f>
        <v>NurseLink</v>
      </c>
      <c r="F1599" t="str">
        <f>IFERROR(INDEX(Category_Targets!$A$2:$A$9,MATCH(TRIM(Procurement_Raw!F1599),Category_Targets!$A$2:$A$9,0)),"Unmapped")</f>
        <v>Agency Labour</v>
      </c>
      <c r="G1599" t="str">
        <f>TRIM(Procurement_Raw!G1599)</f>
        <v>INV-2025-01598</v>
      </c>
      <c r="H1599" s="77">
        <f>Procurement_Raw!H1599</f>
        <v>12</v>
      </c>
      <c r="I1599" s="124">
        <f>Procurement_Raw!I1599</f>
        <v>930.2</v>
      </c>
      <c r="J1599" s="125">
        <f>IF(Procurement_Raw!J1599="","",Procurement_Raw!J1599)</f>
        <v>11162.46</v>
      </c>
      <c r="K1599" s="77">
        <f>Procurement_Raw!K1599</f>
        <v>45</v>
      </c>
      <c r="L1599" t="str">
        <f>Procurement_Raw!L1599</f>
        <v>Legacy Spend File</v>
      </c>
      <c r="M1599" t="str">
        <f>Procurement_Raw!O1599</f>
        <v>N</v>
      </c>
      <c r="N1599" t="str">
        <f>IF(E1599="","Missing supplier",IF(B1599="","Missing site",IF(J1599="","Missing spend",IF(COUNTIFS($G$2:G1599,G1599,$E$2:E1599,E1599,$J$2:J1599,J1599)&gt;1,"Duplicate invoice",IF(COUNTIF($G$2:$G$1801,G1599)&gt;1,"Duplicate ID - review",IF(AND(P1599&lt;&gt;"Unmapped",P1599&lt;&gt;F1599),"Category mismatch","OK"))))))</f>
        <v>OK</v>
      </c>
      <c r="O1599" s="125">
        <f t="shared" si="72"/>
        <v>11162.46</v>
      </c>
      <c r="P1599" t="str">
        <f>IF(E1599="","Unmapped",IFERROR(INDEX(Supplier_Lookup!$B$2:$B$25,MATCH(E1599,Supplier_Lookup!$A$2:$A$25,0)),"Unmapped"))</f>
        <v>Agency Labour</v>
      </c>
      <c r="Q1599" s="76">
        <f>IFERROR(INDEX(Category_Targets!$B$2:$B$9,MATCH(F1599,Category_Targets!$A$2:$A$9,0)),0)</f>
        <v>7.0000000000000007E-2</v>
      </c>
      <c r="R1599" s="125">
        <f t="shared" si="73"/>
        <v>781.37220000000002</v>
      </c>
      <c r="S1599" s="78">
        <f t="shared" si="74"/>
        <v>45992</v>
      </c>
      <c r="T1599" t="str">
        <f>IFERROR(VLOOKUP(B1599,Sites!$A$2:$D$21,4,FALSE()),"Unknown")</f>
        <v>Leicester</v>
      </c>
      <c r="U1599" t="str">
        <f>IF(N1599="OK","",COUNTIF($N$2:N1599,"&lt;&gt;OK"))</f>
        <v/>
      </c>
      <c r="V1599">
        <f>IF(OR(NOT(EXACT(E1599,TRIM(Procurement_Raw!E1599))),NOT(EXACT(F1599,TRIM(Procurement_Raw!F1599)))),1,0)</f>
        <v>0</v>
      </c>
    </row>
    <row r="1600" spans="1:22" ht="15" customHeight="1" x14ac:dyDescent="0.25">
      <c r="A1600" s="123">
        <f>Procurement_Raw!A1600</f>
        <v>45992</v>
      </c>
      <c r="B1600" t="str">
        <f>TRIM(Procurement_Raw!B1600)</f>
        <v>S013</v>
      </c>
      <c r="C1600" t="str">
        <f>Procurement_Raw!C1600</f>
        <v>Reading Care &amp; Education Centre</v>
      </c>
      <c r="D1600" t="str">
        <f>Procurement_Raw!D1600</f>
        <v>South</v>
      </c>
      <c r="E1600" t="str">
        <f>IF(TRIM(Procurement_Raw!E1600)="","",IFERROR(INDEX(Supplier_Lookup!$A$2:$A$25,MATCH(TRIM(Procurement_Raw!E1600),Supplier_Lookup!$A$2:$A$25,0)),TRIM(Procurement_Raw!E1600)))</f>
        <v>NetServe</v>
      </c>
      <c r="F1600" t="str">
        <f>IFERROR(INDEX(Category_Targets!$A$2:$A$9,MATCH(TRIM(Procurement_Raw!F1600),Category_Targets!$A$2:$A$9,0)),"Unmapped")</f>
        <v>IT &amp; Telecoms</v>
      </c>
      <c r="G1600" t="str">
        <f>TRIM(Procurement_Raw!G1600)</f>
        <v>INV-2025-01599</v>
      </c>
      <c r="H1600" s="77">
        <f>Procurement_Raw!H1600</f>
        <v>57</v>
      </c>
      <c r="I1600" s="124">
        <f>Procurement_Raw!I1600</f>
        <v>222.53</v>
      </c>
      <c r="J1600" s="125">
        <f>IF(Procurement_Raw!J1600="","",Procurement_Raw!J1600)</f>
        <v>12684.24</v>
      </c>
      <c r="K1600" s="77">
        <f>Procurement_Raw!K1600</f>
        <v>45</v>
      </c>
      <c r="L1600" t="str">
        <f>Procurement_Raw!L1600</f>
        <v>ERP</v>
      </c>
      <c r="M1600" t="str">
        <f>Procurement_Raw!O1600</f>
        <v>N</v>
      </c>
      <c r="N1600" t="str">
        <f>IF(E1600="","Missing supplier",IF(B1600="","Missing site",IF(J1600="","Missing spend",IF(COUNTIFS($G$2:G1600,G1600,$E$2:E1600,E1600,$J$2:J1600,J1600)&gt;1,"Duplicate invoice",IF(COUNTIF($G$2:$G$1801,G1600)&gt;1,"Duplicate ID - review",IF(AND(P1600&lt;&gt;"Unmapped",P1600&lt;&gt;F1600),"Category mismatch","OK"))))))</f>
        <v>OK</v>
      </c>
      <c r="O1600" s="125">
        <f t="shared" si="72"/>
        <v>12684.24</v>
      </c>
      <c r="P1600" t="str">
        <f>IF(E1600="","Unmapped",IFERROR(INDEX(Supplier_Lookup!$B$2:$B$25,MATCH(E1600,Supplier_Lookup!$A$2:$A$25,0)),"Unmapped"))</f>
        <v>IT &amp; Telecoms</v>
      </c>
      <c r="Q1600" s="76">
        <f>IFERROR(INDEX(Category_Targets!$B$2:$B$9,MATCH(F1600,Category_Targets!$A$2:$A$9,0)),0)</f>
        <v>0.08</v>
      </c>
      <c r="R1600" s="125">
        <f t="shared" si="73"/>
        <v>1014.7392</v>
      </c>
      <c r="S1600" s="78">
        <f t="shared" si="74"/>
        <v>45992</v>
      </c>
      <c r="T1600" t="str">
        <f>IFERROR(VLOOKUP(B1600,Sites!$A$2:$D$21,4,FALSE()),"Unknown")</f>
        <v>Reading</v>
      </c>
      <c r="U1600" t="str">
        <f>IF(N1600="OK","",COUNTIF($N$2:N1600,"&lt;&gt;OK"))</f>
        <v/>
      </c>
      <c r="V1600">
        <f>IF(OR(NOT(EXACT(E1600,TRIM(Procurement_Raw!E1600))),NOT(EXACT(F1600,TRIM(Procurement_Raw!F1600)))),1,0)</f>
        <v>0</v>
      </c>
    </row>
    <row r="1601" spans="1:22" ht="15" customHeight="1" x14ac:dyDescent="0.25">
      <c r="A1601" s="123">
        <f>Procurement_Raw!A1601</f>
        <v>45720</v>
      </c>
      <c r="B1601" t="str">
        <f>TRIM(Procurement_Raw!B1601)</f>
        <v>S006</v>
      </c>
      <c r="C1601" t="str">
        <f>Procurement_Raw!C1601</f>
        <v>Birmingham Care &amp; Education Centre</v>
      </c>
      <c r="D1601" t="str">
        <f>Procurement_Raw!D1601</f>
        <v>Midlands</v>
      </c>
      <c r="E1601" t="str">
        <f>IF(TRIM(Procurement_Raw!E1601)="","",IFERROR(INDEX(Supplier_Lookup!$A$2:$A$25,MATCH(TRIM(Procurement_Raw!E1601),Supplier_Lookup!$A$2:$A$25,0)),TRIM(Procurement_Raw!E1601)))</f>
        <v>FreshServe</v>
      </c>
      <c r="F1601" t="str">
        <f>IFERROR(INDEX(Category_Targets!$A$2:$A$9,MATCH(TRIM(Procurement_Raw!F1601),Category_Targets!$A$2:$A$9,0)),"Unmapped")</f>
        <v>Food &amp; Catering</v>
      </c>
      <c r="G1601" t="str">
        <f>TRIM(Procurement_Raw!G1601)</f>
        <v>INV-2025-01600</v>
      </c>
      <c r="H1601" s="77">
        <f>Procurement_Raw!H1601</f>
        <v>63</v>
      </c>
      <c r="I1601" s="124">
        <f>Procurement_Raw!I1601</f>
        <v>43.55</v>
      </c>
      <c r="J1601" s="125">
        <f>IF(Procurement_Raw!J1601="","",Procurement_Raw!J1601)</f>
        <v>2743.86</v>
      </c>
      <c r="K1601" s="77">
        <f>Procurement_Raw!K1601</f>
        <v>60</v>
      </c>
      <c r="L1601" t="str">
        <f>Procurement_Raw!L1601</f>
        <v>Legacy Spend File</v>
      </c>
      <c r="M1601" t="str">
        <f>Procurement_Raw!O1601</f>
        <v>Y</v>
      </c>
      <c r="N1601" t="str">
        <f>IF(E1601="","Missing supplier",IF(B1601="","Missing site",IF(J1601="","Missing spend",IF(COUNTIFS($G$2:G1601,G1601,$E$2:E1601,E1601,$J$2:J1601,J1601)&gt;1,"Duplicate invoice",IF(COUNTIF($G$2:$G$1801,G1601)&gt;1,"Duplicate ID - review",IF(AND(P1601&lt;&gt;"Unmapped",P1601&lt;&gt;F1601),"Category mismatch","OK"))))))</f>
        <v>OK</v>
      </c>
      <c r="O1601" s="125">
        <f t="shared" si="72"/>
        <v>2743.86</v>
      </c>
      <c r="P1601" t="str">
        <f>IF(E1601="","Unmapped",IFERROR(INDEX(Supplier_Lookup!$B$2:$B$25,MATCH(E1601,Supplier_Lookup!$A$2:$A$25,0)),"Unmapped"))</f>
        <v>Food &amp; Catering</v>
      </c>
      <c r="Q1601" s="76">
        <f>IFERROR(INDEX(Category_Targets!$B$2:$B$9,MATCH(F1601,Category_Targets!$A$2:$A$9,0)),0)</f>
        <v>0.04</v>
      </c>
      <c r="R1601" s="125">
        <f t="shared" si="73"/>
        <v>109.7544</v>
      </c>
      <c r="S1601" s="78">
        <f t="shared" si="74"/>
        <v>45717</v>
      </c>
      <c r="T1601" t="str">
        <f>IFERROR(VLOOKUP(B1601,Sites!$A$2:$D$21,4,FALSE()),"Unknown")</f>
        <v>Birmingham</v>
      </c>
      <c r="U1601" t="str">
        <f>IF(N1601="OK","",COUNTIF($N$2:N1601,"&lt;&gt;OK"))</f>
        <v/>
      </c>
      <c r="V1601">
        <f>IF(OR(NOT(EXACT(E1601,TRIM(Procurement_Raw!E1601))),NOT(EXACT(F1601,TRIM(Procurement_Raw!F1601)))),1,0)</f>
        <v>0</v>
      </c>
    </row>
    <row r="1602" spans="1:22" ht="15" customHeight="1" x14ac:dyDescent="0.25">
      <c r="A1602" s="123">
        <f>Procurement_Raw!A1602</f>
        <v>45958</v>
      </c>
      <c r="B1602" t="str">
        <f>TRIM(Procurement_Raw!B1602)</f>
        <v>S016</v>
      </c>
      <c r="C1602" t="str">
        <f>Procurement_Raw!C1602</f>
        <v>Cardiff Care &amp; Education Centre</v>
      </c>
      <c r="D1602" t="str">
        <f>Procurement_Raw!D1602</f>
        <v>Wales</v>
      </c>
      <c r="E1602" t="str">
        <f>IF(TRIM(Procurement_Raw!E1602)="","",IFERROR(INDEX(Supplier_Lookup!$A$2:$A$25,MATCH(TRIM(Procurement_Raw!E1602),Supplier_Lookup!$A$2:$A$25,0)),TRIM(Procurement_Raw!E1602)))</f>
        <v>UK Energy Partners</v>
      </c>
      <c r="F1602" t="str">
        <f>IFERROR(INDEX(Category_Targets!$A$2:$A$9,MATCH(TRIM(Procurement_Raw!F1602),Category_Targets!$A$2:$A$9,0)),"Unmapped")</f>
        <v>Utilities</v>
      </c>
      <c r="G1602" t="str">
        <f>TRIM(Procurement_Raw!G1602)</f>
        <v>INV-2025-01601</v>
      </c>
      <c r="H1602" s="77">
        <f>Procurement_Raw!H1602</f>
        <v>74</v>
      </c>
      <c r="I1602" s="124">
        <f>Procurement_Raw!I1602</f>
        <v>226.08</v>
      </c>
      <c r="J1602" s="125">
        <f>IF(Procurement_Raw!J1602="","",Procurement_Raw!J1602)</f>
        <v>16729.57</v>
      </c>
      <c r="K1602" s="77">
        <f>Procurement_Raw!K1602</f>
        <v>60</v>
      </c>
      <c r="L1602" t="str">
        <f>Procurement_Raw!L1602</f>
        <v>Procurement Portal</v>
      </c>
      <c r="M1602" t="str">
        <f>Procurement_Raw!O1602</f>
        <v>N</v>
      </c>
      <c r="N1602" t="str">
        <f>IF(E1602="","Missing supplier",IF(B1602="","Missing site",IF(J1602="","Missing spend",IF(COUNTIFS($G$2:G1602,G1602,$E$2:E1602,E1602,$J$2:J1602,J1602)&gt;1,"Duplicate invoice",IF(COUNTIF($G$2:$G$1801,G1602)&gt;1,"Duplicate ID - review",IF(AND(P1602&lt;&gt;"Unmapped",P1602&lt;&gt;F1602),"Category mismatch","OK"))))))</f>
        <v>OK</v>
      </c>
      <c r="O1602" s="125">
        <f t="shared" ref="O1602:O1665" si="75">IF(OR(N1602="Missing spend",N1602="Duplicate invoice"),0,J1602)</f>
        <v>16729.57</v>
      </c>
      <c r="P1602" t="str">
        <f>IF(E1602="","Unmapped",IFERROR(INDEX(Supplier_Lookup!$B$2:$B$25,MATCH(E1602,Supplier_Lookup!$A$2:$A$25,0)),"Unmapped"))</f>
        <v>Utilities</v>
      </c>
      <c r="Q1602" s="76">
        <f>IFERROR(INDEX(Category_Targets!$B$2:$B$9,MATCH(F1602,Category_Targets!$A$2:$A$9,0)),0)</f>
        <v>0.03</v>
      </c>
      <c r="R1602" s="125">
        <f t="shared" ref="R1602:R1665" si="76">O1602*Q1602</f>
        <v>501.88709999999998</v>
      </c>
      <c r="S1602" s="78">
        <f t="shared" ref="S1602:S1665" si="77">DATE(YEAR(A1602),MONTH(A1602),1)</f>
        <v>45931</v>
      </c>
      <c r="T1602" t="str">
        <f>IFERROR(VLOOKUP(B1602,Sites!$A$2:$D$21,4,FALSE()),"Unknown")</f>
        <v>Cardiff</v>
      </c>
      <c r="U1602" t="str">
        <f>IF(N1602="OK","",COUNTIF($N$2:N1602,"&lt;&gt;OK"))</f>
        <v/>
      </c>
      <c r="V1602">
        <f>IF(OR(NOT(EXACT(E1602,TRIM(Procurement_Raw!E1602))),NOT(EXACT(F1602,TRIM(Procurement_Raw!F1602)))),1,0)</f>
        <v>0</v>
      </c>
    </row>
    <row r="1603" spans="1:22" ht="15" customHeight="1" x14ac:dyDescent="0.25">
      <c r="A1603" s="123">
        <f>Procurement_Raw!A1603</f>
        <v>45750</v>
      </c>
      <c r="B1603" t="str">
        <f>TRIM(Procurement_Raw!B1603)</f>
        <v>S014</v>
      </c>
      <c r="C1603" t="str">
        <f>Procurement_Raw!C1603</f>
        <v>Southampton Care &amp; Education Centre</v>
      </c>
      <c r="D1603" t="str">
        <f>Procurement_Raw!D1603</f>
        <v>South</v>
      </c>
      <c r="E1603" t="str">
        <f>IF(TRIM(Procurement_Raw!E1603)="","",IFERROR(INDEX(Supplier_Lookup!$A$2:$A$25,MATCH(TRIM(Procurement_Raw!E1603),Supplier_Lookup!$A$2:$A$25,0)),TRIM(Procurement_Raw!E1603)))</f>
        <v>KitchenPro</v>
      </c>
      <c r="F1603" t="str">
        <f>IFERROR(INDEX(Category_Targets!$A$2:$A$9,MATCH(TRIM(Procurement_Raw!F1603),Category_Targets!$A$2:$A$9,0)),"Unmapped")</f>
        <v>Food &amp; Catering</v>
      </c>
      <c r="G1603" t="str">
        <f>TRIM(Procurement_Raw!G1603)</f>
        <v>INV-2025-01602</v>
      </c>
      <c r="H1603" s="77">
        <f>Procurement_Raw!H1603</f>
        <v>50</v>
      </c>
      <c r="I1603" s="124">
        <f>Procurement_Raw!I1603</f>
        <v>138.46</v>
      </c>
      <c r="J1603" s="125">
        <f>IF(Procurement_Raw!J1603="","",Procurement_Raw!J1603)</f>
        <v>6922.92</v>
      </c>
      <c r="K1603" s="77">
        <f>Procurement_Raw!K1603</f>
        <v>45</v>
      </c>
      <c r="L1603" t="str">
        <f>Procurement_Raw!L1603</f>
        <v>Legacy Spend File</v>
      </c>
      <c r="M1603" t="str">
        <f>Procurement_Raw!O1603</f>
        <v>N</v>
      </c>
      <c r="N1603" t="str">
        <f>IF(E1603="","Missing supplier",IF(B1603="","Missing site",IF(J1603="","Missing spend",IF(COUNTIFS($G$2:G1603,G1603,$E$2:E1603,E1603,$J$2:J1603,J1603)&gt;1,"Duplicate invoice",IF(COUNTIF($G$2:$G$1801,G1603)&gt;1,"Duplicate ID - review",IF(AND(P1603&lt;&gt;"Unmapped",P1603&lt;&gt;F1603),"Category mismatch","OK"))))))</f>
        <v>OK</v>
      </c>
      <c r="O1603" s="125">
        <f t="shared" si="75"/>
        <v>6922.92</v>
      </c>
      <c r="P1603" t="str">
        <f>IF(E1603="","Unmapped",IFERROR(INDEX(Supplier_Lookup!$B$2:$B$25,MATCH(E1603,Supplier_Lookup!$A$2:$A$25,0)),"Unmapped"))</f>
        <v>Food &amp; Catering</v>
      </c>
      <c r="Q1603" s="76">
        <f>IFERROR(INDEX(Category_Targets!$B$2:$B$9,MATCH(F1603,Category_Targets!$A$2:$A$9,0)),0)</f>
        <v>0.04</v>
      </c>
      <c r="R1603" s="125">
        <f t="shared" si="76"/>
        <v>276.91680000000002</v>
      </c>
      <c r="S1603" s="78">
        <f t="shared" si="77"/>
        <v>45748</v>
      </c>
      <c r="T1603" t="str">
        <f>IFERROR(VLOOKUP(B1603,Sites!$A$2:$D$21,4,FALSE()),"Unknown")</f>
        <v>Southampton</v>
      </c>
      <c r="U1603" t="str">
        <f>IF(N1603="OK","",COUNTIF($N$2:N1603,"&lt;&gt;OK"))</f>
        <v/>
      </c>
      <c r="V1603">
        <f>IF(OR(NOT(EXACT(E1603,TRIM(Procurement_Raw!E1603))),NOT(EXACT(F1603,TRIM(Procurement_Raw!F1603)))),1,0)</f>
        <v>0</v>
      </c>
    </row>
    <row r="1604" spans="1:22" ht="15" customHeight="1" x14ac:dyDescent="0.25">
      <c r="A1604" s="123">
        <f>Procurement_Raw!A1604</f>
        <v>45950</v>
      </c>
      <c r="B1604" t="str">
        <f>TRIM(Procurement_Raw!B1604)</f>
        <v>S006</v>
      </c>
      <c r="C1604" t="str">
        <f>Procurement_Raw!C1604</f>
        <v>Birmingham Care &amp; Education Centre</v>
      </c>
      <c r="D1604" t="str">
        <f>Procurement_Raw!D1604</f>
        <v>Midlands</v>
      </c>
      <c r="E1604" t="str">
        <f>IF(TRIM(Procurement_Raw!E1604)="","",IFERROR(INDEX(Supplier_Lookup!$A$2:$A$25,MATCH(TRIM(Procurement_Raw!E1604),Supplier_Lookup!$A$2:$A$25,0)),TRIM(Procurement_Raw!E1604)))</f>
        <v>CareTemps</v>
      </c>
      <c r="F1604" t="str">
        <f>IFERROR(INDEX(Category_Targets!$A$2:$A$9,MATCH(TRIM(Procurement_Raw!F1604),Category_Targets!$A$2:$A$9,0)),"Unmapped")</f>
        <v>Agency Labour</v>
      </c>
      <c r="G1604" t="str">
        <f>TRIM(Procurement_Raw!G1604)</f>
        <v>INV-2025-01603</v>
      </c>
      <c r="H1604" s="77">
        <f>Procurement_Raw!H1604</f>
        <v>17</v>
      </c>
      <c r="I1604" s="124">
        <f>Procurement_Raw!I1604</f>
        <v>210.29</v>
      </c>
      <c r="J1604" s="125">
        <f>IF(Procurement_Raw!J1604="","",Procurement_Raw!J1604)</f>
        <v>3574.98</v>
      </c>
      <c r="K1604" s="77">
        <f>Procurement_Raw!K1604</f>
        <v>30</v>
      </c>
      <c r="L1604" t="str">
        <f>Procurement_Raw!L1604</f>
        <v>Procurement Portal</v>
      </c>
      <c r="M1604" t="str">
        <f>Procurement_Raw!O1604</f>
        <v>N</v>
      </c>
      <c r="N1604" t="str">
        <f>IF(E1604="","Missing supplier",IF(B1604="","Missing site",IF(J1604="","Missing spend",IF(COUNTIFS($G$2:G1604,G1604,$E$2:E1604,E1604,$J$2:J1604,J1604)&gt;1,"Duplicate invoice",IF(COUNTIF($G$2:$G$1801,G1604)&gt;1,"Duplicate ID - review",IF(AND(P1604&lt;&gt;"Unmapped",P1604&lt;&gt;F1604),"Category mismatch","OK"))))))</f>
        <v>OK</v>
      </c>
      <c r="O1604" s="125">
        <f t="shared" si="75"/>
        <v>3574.98</v>
      </c>
      <c r="P1604" t="str">
        <f>IF(E1604="","Unmapped",IFERROR(INDEX(Supplier_Lookup!$B$2:$B$25,MATCH(E1604,Supplier_Lookup!$A$2:$A$25,0)),"Unmapped"))</f>
        <v>Agency Labour</v>
      </c>
      <c r="Q1604" s="76">
        <f>IFERROR(INDEX(Category_Targets!$B$2:$B$9,MATCH(F1604,Category_Targets!$A$2:$A$9,0)),0)</f>
        <v>7.0000000000000007E-2</v>
      </c>
      <c r="R1604" s="125">
        <f t="shared" si="76"/>
        <v>250.24860000000004</v>
      </c>
      <c r="S1604" s="78">
        <f t="shared" si="77"/>
        <v>45931</v>
      </c>
      <c r="T1604" t="str">
        <f>IFERROR(VLOOKUP(B1604,Sites!$A$2:$D$21,4,FALSE()),"Unknown")</f>
        <v>Birmingham</v>
      </c>
      <c r="U1604" t="str">
        <f>IF(N1604="OK","",COUNTIF($N$2:N1604,"&lt;&gt;OK"))</f>
        <v/>
      </c>
      <c r="V1604">
        <f>IF(OR(NOT(EXACT(E1604,TRIM(Procurement_Raw!E1604))),NOT(EXACT(F1604,TRIM(Procurement_Raw!F1604)))),1,0)</f>
        <v>0</v>
      </c>
    </row>
    <row r="1605" spans="1:22" ht="15" customHeight="1" x14ac:dyDescent="0.25">
      <c r="A1605" s="123">
        <f>Procurement_Raw!A1605</f>
        <v>46016</v>
      </c>
      <c r="B1605" t="str">
        <f>TRIM(Procurement_Raw!B1605)</f>
        <v>S008</v>
      </c>
      <c r="C1605" t="str">
        <f>Procurement_Raw!C1605</f>
        <v>Leicester Care &amp; Education Centre</v>
      </c>
      <c r="D1605" t="str">
        <f>Procurement_Raw!D1605</f>
        <v>Midlands</v>
      </c>
      <c r="E1605" t="str">
        <f>IF(TRIM(Procurement_Raw!E1605)="","",IFERROR(INDEX(Supplier_Lookup!$A$2:$A$25,MATCH(TRIM(Procurement_Raw!E1605),Supplier_Lookup!$A$2:$A$25,0)),TRIM(Procurement_Raw!E1605)))</f>
        <v>SafeGuard FM</v>
      </c>
      <c r="F1605" t="str">
        <f>IFERROR(INDEX(Category_Targets!$A$2:$A$9,MATCH(TRIM(Procurement_Raw!F1605),Category_Targets!$A$2:$A$9,0)),"Unmapped")</f>
        <v>Facilities</v>
      </c>
      <c r="G1605" t="str">
        <f>TRIM(Procurement_Raw!G1605)</f>
        <v>INV-2025-01604</v>
      </c>
      <c r="H1605" s="77">
        <f>Procurement_Raw!H1605</f>
        <v>3</v>
      </c>
      <c r="I1605" s="124">
        <f>Procurement_Raw!I1605</f>
        <v>115.98</v>
      </c>
      <c r="J1605" s="125">
        <f>IF(Procurement_Raw!J1605="","",Procurement_Raw!J1605)</f>
        <v>347.93</v>
      </c>
      <c r="K1605" s="77">
        <f>Procurement_Raw!K1605</f>
        <v>45</v>
      </c>
      <c r="L1605" t="str">
        <f>Procurement_Raw!L1605</f>
        <v>Legacy Spend File</v>
      </c>
      <c r="M1605" t="str">
        <f>Procurement_Raw!O1605</f>
        <v>N</v>
      </c>
      <c r="N1605" t="str">
        <f>IF(E1605="","Missing supplier",IF(B1605="","Missing site",IF(J1605="","Missing spend",IF(COUNTIFS($G$2:G1605,G1605,$E$2:E1605,E1605,$J$2:J1605,J1605)&gt;1,"Duplicate invoice",IF(COUNTIF($G$2:$G$1801,G1605)&gt;1,"Duplicate ID - review",IF(AND(P1605&lt;&gt;"Unmapped",P1605&lt;&gt;F1605),"Category mismatch","OK"))))))</f>
        <v>OK</v>
      </c>
      <c r="O1605" s="125">
        <f t="shared" si="75"/>
        <v>347.93</v>
      </c>
      <c r="P1605" t="str">
        <f>IF(E1605="","Unmapped",IFERROR(INDEX(Supplier_Lookup!$B$2:$B$25,MATCH(E1605,Supplier_Lookup!$A$2:$A$25,0)),"Unmapped"))</f>
        <v>Facilities</v>
      </c>
      <c r="Q1605" s="76">
        <f>IFERROR(INDEX(Category_Targets!$B$2:$B$9,MATCH(F1605,Category_Targets!$A$2:$A$9,0)),0)</f>
        <v>0.05</v>
      </c>
      <c r="R1605" s="125">
        <f t="shared" si="76"/>
        <v>17.3965</v>
      </c>
      <c r="S1605" s="78">
        <f t="shared" si="77"/>
        <v>45992</v>
      </c>
      <c r="T1605" t="str">
        <f>IFERROR(VLOOKUP(B1605,Sites!$A$2:$D$21,4,FALSE()),"Unknown")</f>
        <v>Leicester</v>
      </c>
      <c r="U1605" t="str">
        <f>IF(N1605="OK","",COUNTIF($N$2:N1605,"&lt;&gt;OK"))</f>
        <v/>
      </c>
      <c r="V1605">
        <f>IF(OR(NOT(EXACT(E1605,TRIM(Procurement_Raw!E1605))),NOT(EXACT(F1605,TRIM(Procurement_Raw!F1605)))),1,0)</f>
        <v>0</v>
      </c>
    </row>
    <row r="1606" spans="1:22" ht="15" customHeight="1" x14ac:dyDescent="0.25">
      <c r="A1606" s="123">
        <f>Procurement_Raw!A1606</f>
        <v>45923</v>
      </c>
      <c r="B1606" t="str">
        <f>TRIM(Procurement_Raw!B1606)</f>
        <v>S009</v>
      </c>
      <c r="C1606" t="str">
        <f>Procurement_Raw!C1606</f>
        <v>Derby Care &amp; Education Centre</v>
      </c>
      <c r="D1606" t="str">
        <f>Procurement_Raw!D1606</f>
        <v>Midlands</v>
      </c>
      <c r="E1606" t="str">
        <f>IF(TRIM(Procurement_Raw!E1606)="","",IFERROR(INDEX(Supplier_Lookup!$A$2:$A$25,MATCH(TRIM(Procurement_Raw!E1606),Supplier_Lookup!$A$2:$A$25,0)),TRIM(Procurement_Raw!E1606)))</f>
        <v>OfficePlus</v>
      </c>
      <c r="F1606" t="str">
        <f>IFERROR(INDEX(Category_Targets!$A$2:$A$9,MATCH(TRIM(Procurement_Raw!F1606),Category_Targets!$A$2:$A$9,0)),"Unmapped")</f>
        <v>Office &amp; Training</v>
      </c>
      <c r="G1606" t="str">
        <f>TRIM(Procurement_Raw!G1606)</f>
        <v>INV-2025-01605</v>
      </c>
      <c r="H1606" s="77">
        <f>Procurement_Raw!H1606</f>
        <v>75</v>
      </c>
      <c r="I1606" s="124">
        <f>Procurement_Raw!I1606</f>
        <v>57.51</v>
      </c>
      <c r="J1606" s="125">
        <f>IF(Procurement_Raw!J1606="","",Procurement_Raw!J1606)</f>
        <v>4313.34</v>
      </c>
      <c r="K1606" s="77">
        <f>Procurement_Raw!K1606</f>
        <v>60</v>
      </c>
      <c r="L1606" t="str">
        <f>Procurement_Raw!L1606</f>
        <v>Legacy Spend File</v>
      </c>
      <c r="M1606" t="str">
        <f>Procurement_Raw!O1606</f>
        <v>N</v>
      </c>
      <c r="N1606" t="str">
        <f>IF(E1606="","Missing supplier",IF(B1606="","Missing site",IF(J1606="","Missing spend",IF(COUNTIFS($G$2:G1606,G1606,$E$2:E1606,E1606,$J$2:J1606,J1606)&gt;1,"Duplicate invoice",IF(COUNTIF($G$2:$G$1801,G1606)&gt;1,"Duplicate ID - review",IF(AND(P1606&lt;&gt;"Unmapped",P1606&lt;&gt;F1606),"Category mismatch","OK"))))))</f>
        <v>OK</v>
      </c>
      <c r="O1606" s="125">
        <f t="shared" si="75"/>
        <v>4313.34</v>
      </c>
      <c r="P1606" t="str">
        <f>IF(E1606="","Unmapped",IFERROR(INDEX(Supplier_Lookup!$B$2:$B$25,MATCH(E1606,Supplier_Lookup!$A$2:$A$25,0)),"Unmapped"))</f>
        <v>Office &amp; Training</v>
      </c>
      <c r="Q1606" s="76">
        <f>IFERROR(INDEX(Category_Targets!$B$2:$B$9,MATCH(F1606,Category_Targets!$A$2:$A$9,0)),0)</f>
        <v>0.04</v>
      </c>
      <c r="R1606" s="125">
        <f t="shared" si="76"/>
        <v>172.53360000000001</v>
      </c>
      <c r="S1606" s="78">
        <f t="shared" si="77"/>
        <v>45901</v>
      </c>
      <c r="T1606" t="str">
        <f>IFERROR(VLOOKUP(B1606,Sites!$A$2:$D$21,4,FALSE()),"Unknown")</f>
        <v>Derby</v>
      </c>
      <c r="U1606" t="str">
        <f>IF(N1606="OK","",COUNTIF($N$2:N1606,"&lt;&gt;OK"))</f>
        <v/>
      </c>
      <c r="V1606">
        <f>IF(OR(NOT(EXACT(E1606,TRIM(Procurement_Raw!E1606))),NOT(EXACT(F1606,TRIM(Procurement_Raw!F1606)))),1,0)</f>
        <v>0</v>
      </c>
    </row>
    <row r="1607" spans="1:22" ht="15" customHeight="1" x14ac:dyDescent="0.25">
      <c r="A1607" s="123">
        <f>Procurement_Raw!A1607</f>
        <v>45995</v>
      </c>
      <c r="B1607" t="str">
        <f>TRIM(Procurement_Raw!B1607)</f>
        <v>S016</v>
      </c>
      <c r="C1607" t="str">
        <f>Procurement_Raw!C1607</f>
        <v>Cardiff Care &amp; Education Centre</v>
      </c>
      <c r="D1607" t="str">
        <f>Procurement_Raw!D1607</f>
        <v>Wales</v>
      </c>
      <c r="E1607" t="str">
        <f>IF(TRIM(Procurement_Raw!E1607)="","",IFERROR(INDEX(Supplier_Lookup!$A$2:$A$25,MATCH(TRIM(Procurement_Raw!E1607),Supplier_Lookup!$A$2:$A$25,0)),TRIM(Procurement_Raw!E1607)))</f>
        <v>FreshServe</v>
      </c>
      <c r="F1607" t="str">
        <f>IFERROR(INDEX(Category_Targets!$A$2:$A$9,MATCH(TRIM(Procurement_Raw!F1607),Category_Targets!$A$2:$A$9,0)),"Unmapped")</f>
        <v>Food &amp; Catering</v>
      </c>
      <c r="G1607" t="str">
        <f>TRIM(Procurement_Raw!G1607)</f>
        <v>INV-2025-01606</v>
      </c>
      <c r="H1607" s="77">
        <f>Procurement_Raw!H1607</f>
        <v>16</v>
      </c>
      <c r="I1607" s="124">
        <f>Procurement_Raw!I1607</f>
        <v>38.479999999999997</v>
      </c>
      <c r="J1607" s="125">
        <f>IF(Procurement_Raw!J1607="","",Procurement_Raw!J1607)</f>
        <v>615.63</v>
      </c>
      <c r="K1607" s="77">
        <f>Procurement_Raw!K1607</f>
        <v>30</v>
      </c>
      <c r="L1607" t="str">
        <f>Procurement_Raw!L1607</f>
        <v>Legacy Spend File</v>
      </c>
      <c r="M1607" t="str">
        <f>Procurement_Raw!O1607</f>
        <v>Y</v>
      </c>
      <c r="N1607" t="str">
        <f>IF(E1607="","Missing supplier",IF(B1607="","Missing site",IF(J1607="","Missing spend",IF(COUNTIFS($G$2:G1607,G1607,$E$2:E1607,E1607,$J$2:J1607,J1607)&gt;1,"Duplicate invoice",IF(COUNTIF($G$2:$G$1801,G1607)&gt;1,"Duplicate ID - review",IF(AND(P1607&lt;&gt;"Unmapped",P1607&lt;&gt;F1607),"Category mismatch","OK"))))))</f>
        <v>OK</v>
      </c>
      <c r="O1607" s="125">
        <f t="shared" si="75"/>
        <v>615.63</v>
      </c>
      <c r="P1607" t="str">
        <f>IF(E1607="","Unmapped",IFERROR(INDEX(Supplier_Lookup!$B$2:$B$25,MATCH(E1607,Supplier_Lookup!$A$2:$A$25,0)),"Unmapped"))</f>
        <v>Food &amp; Catering</v>
      </c>
      <c r="Q1607" s="76">
        <f>IFERROR(INDEX(Category_Targets!$B$2:$B$9,MATCH(F1607,Category_Targets!$A$2:$A$9,0)),0)</f>
        <v>0.04</v>
      </c>
      <c r="R1607" s="125">
        <f t="shared" si="76"/>
        <v>24.6252</v>
      </c>
      <c r="S1607" s="78">
        <f t="shared" si="77"/>
        <v>45992</v>
      </c>
      <c r="T1607" t="str">
        <f>IFERROR(VLOOKUP(B1607,Sites!$A$2:$D$21,4,FALSE()),"Unknown")</f>
        <v>Cardiff</v>
      </c>
      <c r="U1607" t="str">
        <f>IF(N1607="OK","",COUNTIF($N$2:N1607,"&lt;&gt;OK"))</f>
        <v/>
      </c>
      <c r="V1607">
        <f>IF(OR(NOT(EXACT(E1607,TRIM(Procurement_Raw!E1607))),NOT(EXACT(F1607,TRIM(Procurement_Raw!F1607)))),1,0)</f>
        <v>0</v>
      </c>
    </row>
    <row r="1608" spans="1:22" ht="15" customHeight="1" x14ac:dyDescent="0.25">
      <c r="A1608" s="123">
        <f>Procurement_Raw!A1608</f>
        <v>45942</v>
      </c>
      <c r="B1608" t="str">
        <f>TRIM(Procurement_Raw!B1608)</f>
        <v>S011</v>
      </c>
      <c r="C1608" t="str">
        <f>Procurement_Raw!C1608</f>
        <v>London Care &amp; Education Centre</v>
      </c>
      <c r="D1608" t="str">
        <f>Procurement_Raw!D1608</f>
        <v>South</v>
      </c>
      <c r="E1608" t="str">
        <f>IF(TRIM(Procurement_Raw!E1608)="","",IFERROR(INDEX(Supplier_Lookup!$A$2:$A$25,MATCH(TRIM(Procurement_Raw!E1608),Supplier_Lookup!$A$2:$A$25,0)),TRIM(Procurement_Raw!E1608)))</f>
        <v>CleanWorks</v>
      </c>
      <c r="F1608" t="str">
        <f>IFERROR(INDEX(Category_Targets!$A$2:$A$9,MATCH(TRIM(Procurement_Raw!F1608),Category_Targets!$A$2:$A$9,0)),"Unmapped")</f>
        <v>Facilities</v>
      </c>
      <c r="G1608" t="str">
        <f>TRIM(Procurement_Raw!G1608)</f>
        <v>INV-2025-01607</v>
      </c>
      <c r="H1608" s="77">
        <f>Procurement_Raw!H1608</f>
        <v>58</v>
      </c>
      <c r="I1608" s="124">
        <f>Procurement_Raw!I1608</f>
        <v>192.56</v>
      </c>
      <c r="J1608" s="125">
        <f>IF(Procurement_Raw!J1608="","",Procurement_Raw!J1608)</f>
        <v>11168.68</v>
      </c>
      <c r="K1608" s="77">
        <f>Procurement_Raw!K1608</f>
        <v>45</v>
      </c>
      <c r="L1608" t="str">
        <f>Procurement_Raw!L1608</f>
        <v>ERP</v>
      </c>
      <c r="M1608" t="str">
        <f>Procurement_Raw!O1608</f>
        <v>Y</v>
      </c>
      <c r="N1608" t="str">
        <f>IF(E1608="","Missing supplier",IF(B1608="","Missing site",IF(J1608="","Missing spend",IF(COUNTIFS($G$2:G1608,G1608,$E$2:E1608,E1608,$J$2:J1608,J1608)&gt;1,"Duplicate invoice",IF(COUNTIF($G$2:$G$1801,G1608)&gt;1,"Duplicate ID - review",IF(AND(P1608&lt;&gt;"Unmapped",P1608&lt;&gt;F1608),"Category mismatch","OK"))))))</f>
        <v>OK</v>
      </c>
      <c r="O1608" s="125">
        <f t="shared" si="75"/>
        <v>11168.68</v>
      </c>
      <c r="P1608" t="str">
        <f>IF(E1608="","Unmapped",IFERROR(INDEX(Supplier_Lookup!$B$2:$B$25,MATCH(E1608,Supplier_Lookup!$A$2:$A$25,0)),"Unmapped"))</f>
        <v>Facilities</v>
      </c>
      <c r="Q1608" s="76">
        <f>IFERROR(INDEX(Category_Targets!$B$2:$B$9,MATCH(F1608,Category_Targets!$A$2:$A$9,0)),0)</f>
        <v>0.05</v>
      </c>
      <c r="R1608" s="125">
        <f t="shared" si="76"/>
        <v>558.43400000000008</v>
      </c>
      <c r="S1608" s="78">
        <f t="shared" si="77"/>
        <v>45931</v>
      </c>
      <c r="T1608" t="str">
        <f>IFERROR(VLOOKUP(B1608,Sites!$A$2:$D$21,4,FALSE()),"Unknown")</f>
        <v>London</v>
      </c>
      <c r="U1608" t="str">
        <f>IF(N1608="OK","",COUNTIF($N$2:N1608,"&lt;&gt;OK"))</f>
        <v/>
      </c>
      <c r="V1608">
        <f>IF(OR(NOT(EXACT(E1608,TRIM(Procurement_Raw!E1608))),NOT(EXACT(F1608,TRIM(Procurement_Raw!F1608)))),1,0)</f>
        <v>0</v>
      </c>
    </row>
    <row r="1609" spans="1:22" ht="15" customHeight="1" x14ac:dyDescent="0.25">
      <c r="A1609" s="123">
        <f>Procurement_Raw!A1609</f>
        <v>45763</v>
      </c>
      <c r="B1609" t="str">
        <f>TRIM(Procurement_Raw!B1609)</f>
        <v>S019</v>
      </c>
      <c r="C1609" t="str">
        <f>Procurement_Raw!C1609</f>
        <v>Wrexham Care &amp; Education Centre</v>
      </c>
      <c r="D1609" t="str">
        <f>Procurement_Raw!D1609</f>
        <v>Wales</v>
      </c>
      <c r="E1609" t="str">
        <f>IF(TRIM(Procurement_Raw!E1609)="","",IFERROR(INDEX(Supplier_Lookup!$A$2:$A$25,MATCH(TRIM(Procurement_Raw!E1609),Supplier_Lookup!$A$2:$A$25,0)),TRIM(Procurement_Raw!E1609)))</f>
        <v>BuildCare</v>
      </c>
      <c r="F1609" t="str">
        <f>IFERROR(INDEX(Category_Targets!$A$2:$A$9,MATCH(TRIM(Procurement_Raw!F1609),Category_Targets!$A$2:$A$9,0)),"Unmapped")</f>
        <v>Facilities</v>
      </c>
      <c r="G1609" t="str">
        <f>TRIM(Procurement_Raw!G1609)</f>
        <v>INV-2025-01608</v>
      </c>
      <c r="H1609" s="77">
        <f>Procurement_Raw!H1609</f>
        <v>21</v>
      </c>
      <c r="I1609" s="124">
        <f>Procurement_Raw!I1609</f>
        <v>439.89</v>
      </c>
      <c r="J1609" s="125">
        <f>IF(Procurement_Raw!J1609="","",Procurement_Raw!J1609)</f>
        <v>9237.74</v>
      </c>
      <c r="K1609" s="77">
        <f>Procurement_Raw!K1609</f>
        <v>30</v>
      </c>
      <c r="L1609" t="str">
        <f>Procurement_Raw!L1609</f>
        <v>Legacy Spend File</v>
      </c>
      <c r="M1609" t="str">
        <f>Procurement_Raw!O1609</f>
        <v>N</v>
      </c>
      <c r="N1609" t="str">
        <f>IF(E1609="","Missing supplier",IF(B1609="","Missing site",IF(J1609="","Missing spend",IF(COUNTIFS($G$2:G1609,G1609,$E$2:E1609,E1609,$J$2:J1609,J1609)&gt;1,"Duplicate invoice",IF(COUNTIF($G$2:$G$1801,G1609)&gt;1,"Duplicate ID - review",IF(AND(P1609&lt;&gt;"Unmapped",P1609&lt;&gt;F1609),"Category mismatch","OK"))))))</f>
        <v>OK</v>
      </c>
      <c r="O1609" s="125">
        <f t="shared" si="75"/>
        <v>9237.74</v>
      </c>
      <c r="P1609" t="str">
        <f>IF(E1609="","Unmapped",IFERROR(INDEX(Supplier_Lookup!$B$2:$B$25,MATCH(E1609,Supplier_Lookup!$A$2:$A$25,0)),"Unmapped"))</f>
        <v>Facilities</v>
      </c>
      <c r="Q1609" s="76">
        <f>IFERROR(INDEX(Category_Targets!$B$2:$B$9,MATCH(F1609,Category_Targets!$A$2:$A$9,0)),0)</f>
        <v>0.05</v>
      </c>
      <c r="R1609" s="125">
        <f t="shared" si="76"/>
        <v>461.887</v>
      </c>
      <c r="S1609" s="78">
        <f t="shared" si="77"/>
        <v>45748</v>
      </c>
      <c r="T1609" t="str">
        <f>IFERROR(VLOOKUP(B1609,Sites!$A$2:$D$21,4,FALSE()),"Unknown")</f>
        <v>Wrexham</v>
      </c>
      <c r="U1609" t="str">
        <f>IF(N1609="OK","",COUNTIF($N$2:N1609,"&lt;&gt;OK"))</f>
        <v/>
      </c>
      <c r="V1609">
        <f>IF(OR(NOT(EXACT(E1609,TRIM(Procurement_Raw!E1609))),NOT(EXACT(F1609,TRIM(Procurement_Raw!F1609)))),1,0)</f>
        <v>0</v>
      </c>
    </row>
    <row r="1610" spans="1:22" ht="15" customHeight="1" x14ac:dyDescent="0.25">
      <c r="A1610" s="123">
        <f>Procurement_Raw!A1610</f>
        <v>45721</v>
      </c>
      <c r="B1610" t="str">
        <f>TRIM(Procurement_Raw!B1610)</f>
        <v>S011</v>
      </c>
      <c r="C1610" t="str">
        <f>Procurement_Raw!C1610</f>
        <v>London Care &amp; Education Centre</v>
      </c>
      <c r="D1610" t="str">
        <f>Procurement_Raw!D1610</f>
        <v>South</v>
      </c>
      <c r="E1610" t="str">
        <f>IF(TRIM(Procurement_Raw!E1610)="","",IFERROR(INDEX(Supplier_Lookup!$A$2:$A$25,MATCH(TRIM(Procurement_Raw!E1610),Supplier_Lookup!$A$2:$A$25,0)),TRIM(Procurement_Raw!E1610)))</f>
        <v>MediSure</v>
      </c>
      <c r="F1610" t="str">
        <f>IFERROR(INDEX(Category_Targets!$A$2:$A$9,MATCH(TRIM(Procurement_Raw!F1610),Category_Targets!$A$2:$A$9,0)),"Unmapped")</f>
        <v>Medical Supplies</v>
      </c>
      <c r="G1610" t="str">
        <f>TRIM(Procurement_Raw!G1610)</f>
        <v>INV-2025-01609</v>
      </c>
      <c r="H1610" s="77">
        <f>Procurement_Raw!H1610</f>
        <v>65</v>
      </c>
      <c r="I1610" s="124">
        <f>Procurement_Raw!I1610</f>
        <v>143.34</v>
      </c>
      <c r="J1610" s="125">
        <f>IF(Procurement_Raw!J1610="","",Procurement_Raw!J1610)</f>
        <v>9316.7800000000007</v>
      </c>
      <c r="K1610" s="77">
        <f>Procurement_Raw!K1610</f>
        <v>45</v>
      </c>
      <c r="L1610" t="str">
        <f>Procurement_Raw!L1610</f>
        <v>Procurement Portal</v>
      </c>
      <c r="M1610" t="str">
        <f>Procurement_Raw!O1610</f>
        <v>Y</v>
      </c>
      <c r="N1610" t="str">
        <f>IF(E1610="","Missing supplier",IF(B1610="","Missing site",IF(J1610="","Missing spend",IF(COUNTIFS($G$2:G1610,G1610,$E$2:E1610,E1610,$J$2:J1610,J1610)&gt;1,"Duplicate invoice",IF(COUNTIF($G$2:$G$1801,G1610)&gt;1,"Duplicate ID - review",IF(AND(P1610&lt;&gt;"Unmapped",P1610&lt;&gt;F1610),"Category mismatch","OK"))))))</f>
        <v>OK</v>
      </c>
      <c r="O1610" s="125">
        <f t="shared" si="75"/>
        <v>9316.7800000000007</v>
      </c>
      <c r="P1610" t="str">
        <f>IF(E1610="","Unmapped",IFERROR(INDEX(Supplier_Lookup!$B$2:$B$25,MATCH(E1610,Supplier_Lookup!$A$2:$A$25,0)),"Unmapped"))</f>
        <v>Medical Supplies</v>
      </c>
      <c r="Q1610" s="76">
        <f>IFERROR(INDEX(Category_Targets!$B$2:$B$9,MATCH(F1610,Category_Targets!$A$2:$A$9,0)),0)</f>
        <v>0.06</v>
      </c>
      <c r="R1610" s="125">
        <f t="shared" si="76"/>
        <v>559.0068</v>
      </c>
      <c r="S1610" s="78">
        <f t="shared" si="77"/>
        <v>45717</v>
      </c>
      <c r="T1610" t="str">
        <f>IFERROR(VLOOKUP(B1610,Sites!$A$2:$D$21,4,FALSE()),"Unknown")</f>
        <v>London</v>
      </c>
      <c r="U1610" t="str">
        <f>IF(N1610="OK","",COUNTIF($N$2:N1610,"&lt;&gt;OK"))</f>
        <v/>
      </c>
      <c r="V1610">
        <f>IF(OR(NOT(EXACT(E1610,TRIM(Procurement_Raw!E1610))),NOT(EXACT(F1610,TRIM(Procurement_Raw!F1610)))),1,0)</f>
        <v>0</v>
      </c>
    </row>
    <row r="1611" spans="1:22" ht="15" customHeight="1" x14ac:dyDescent="0.25">
      <c r="A1611" s="123">
        <f>Procurement_Raw!A1611</f>
        <v>45994</v>
      </c>
      <c r="B1611" t="str">
        <f>TRIM(Procurement_Raw!B1611)</f>
        <v>S019</v>
      </c>
      <c r="C1611" t="str">
        <f>Procurement_Raw!C1611</f>
        <v>Wrexham Care &amp; Education Centre</v>
      </c>
      <c r="D1611" t="str">
        <f>Procurement_Raw!D1611</f>
        <v>Wales</v>
      </c>
      <c r="E1611" t="str">
        <f>IF(TRIM(Procurement_Raw!E1611)="","",IFERROR(INDEX(Supplier_Lookup!$A$2:$A$25,MATCH(TRIM(Procurement_Raw!E1611),Supplier_Lookup!$A$2:$A$25,0)),TRIM(Procurement_Raw!E1611)))</f>
        <v>SafeGuard FM</v>
      </c>
      <c r="F1611" t="str">
        <f>IFERROR(INDEX(Category_Targets!$A$2:$A$9,MATCH(TRIM(Procurement_Raw!F1611),Category_Targets!$A$2:$A$9,0)),"Unmapped")</f>
        <v>Facilities</v>
      </c>
      <c r="G1611" t="str">
        <f>TRIM(Procurement_Raw!G1611)</f>
        <v>INV-2025-01610</v>
      </c>
      <c r="H1611" s="77">
        <f>Procurement_Raw!H1611</f>
        <v>1</v>
      </c>
      <c r="I1611" s="124">
        <f>Procurement_Raw!I1611</f>
        <v>156.66999999999999</v>
      </c>
      <c r="J1611" s="125">
        <f>IF(Procurement_Raw!J1611="","",Procurement_Raw!J1611)</f>
        <v>156.66999999999999</v>
      </c>
      <c r="K1611" s="77">
        <f>Procurement_Raw!K1611</f>
        <v>30</v>
      </c>
      <c r="L1611" t="str">
        <f>Procurement_Raw!L1611</f>
        <v>Procurement Portal</v>
      </c>
      <c r="M1611" t="str">
        <f>Procurement_Raw!O1611</f>
        <v>N</v>
      </c>
      <c r="N1611" t="str">
        <f>IF(E1611="","Missing supplier",IF(B1611="","Missing site",IF(J1611="","Missing spend",IF(COUNTIFS($G$2:G1611,G1611,$E$2:E1611,E1611,$J$2:J1611,J1611)&gt;1,"Duplicate invoice",IF(COUNTIF($G$2:$G$1801,G1611)&gt;1,"Duplicate ID - review",IF(AND(P1611&lt;&gt;"Unmapped",P1611&lt;&gt;F1611),"Category mismatch","OK"))))))</f>
        <v>OK</v>
      </c>
      <c r="O1611" s="125">
        <f t="shared" si="75"/>
        <v>156.66999999999999</v>
      </c>
      <c r="P1611" t="str">
        <f>IF(E1611="","Unmapped",IFERROR(INDEX(Supplier_Lookup!$B$2:$B$25,MATCH(E1611,Supplier_Lookup!$A$2:$A$25,0)),"Unmapped"))</f>
        <v>Facilities</v>
      </c>
      <c r="Q1611" s="76">
        <f>IFERROR(INDEX(Category_Targets!$B$2:$B$9,MATCH(F1611,Category_Targets!$A$2:$A$9,0)),0)</f>
        <v>0.05</v>
      </c>
      <c r="R1611" s="125">
        <f t="shared" si="76"/>
        <v>7.8334999999999999</v>
      </c>
      <c r="S1611" s="78">
        <f t="shared" si="77"/>
        <v>45992</v>
      </c>
      <c r="T1611" t="str">
        <f>IFERROR(VLOOKUP(B1611,Sites!$A$2:$D$21,4,FALSE()),"Unknown")</f>
        <v>Wrexham</v>
      </c>
      <c r="U1611" t="str">
        <f>IF(N1611="OK","",COUNTIF($N$2:N1611,"&lt;&gt;OK"))</f>
        <v/>
      </c>
      <c r="V1611">
        <f>IF(OR(NOT(EXACT(E1611,TRIM(Procurement_Raw!E1611))),NOT(EXACT(F1611,TRIM(Procurement_Raw!F1611)))),1,0)</f>
        <v>0</v>
      </c>
    </row>
    <row r="1612" spans="1:22" ht="15" customHeight="1" x14ac:dyDescent="0.25">
      <c r="A1612" s="123">
        <f>Procurement_Raw!A1612</f>
        <v>45931</v>
      </c>
      <c r="B1612" t="str">
        <f>TRIM(Procurement_Raw!B1612)</f>
        <v>S007</v>
      </c>
      <c r="C1612" t="str">
        <f>Procurement_Raw!C1612</f>
        <v>Nottingham Care &amp; Education Centre</v>
      </c>
      <c r="D1612" t="str">
        <f>Procurement_Raw!D1612</f>
        <v>Midlands</v>
      </c>
      <c r="E1612" t="str">
        <f>IF(TRIM(Procurement_Raw!E1612)="","",IFERROR(INDEX(Supplier_Lookup!$A$2:$A$25,MATCH(TRIM(Procurement_Raw!E1612),Supplier_Lookup!$A$2:$A$25,0)),TRIM(Procurement_Raw!E1612)))</f>
        <v>NetServe</v>
      </c>
      <c r="F1612" t="str">
        <f>IFERROR(INDEX(Category_Targets!$A$2:$A$9,MATCH(TRIM(Procurement_Raw!F1612),Category_Targets!$A$2:$A$9,0)),"Unmapped")</f>
        <v>IT &amp; Telecoms</v>
      </c>
      <c r="G1612" t="str">
        <f>TRIM(Procurement_Raw!G1612)</f>
        <v>INV-2025-01611</v>
      </c>
      <c r="H1612" s="77">
        <f>Procurement_Raw!H1612</f>
        <v>57</v>
      </c>
      <c r="I1612" s="124">
        <f>Procurement_Raw!I1612</f>
        <v>187.38</v>
      </c>
      <c r="J1612" s="125">
        <f>IF(Procurement_Raw!J1612="","",Procurement_Raw!J1612)</f>
        <v>10680.58</v>
      </c>
      <c r="K1612" s="77">
        <f>Procurement_Raw!K1612</f>
        <v>30</v>
      </c>
      <c r="L1612" t="str">
        <f>Procurement_Raw!L1612</f>
        <v>Legacy Spend File</v>
      </c>
      <c r="M1612" t="str">
        <f>Procurement_Raw!O1612</f>
        <v>N</v>
      </c>
      <c r="N1612" t="str">
        <f>IF(E1612="","Missing supplier",IF(B1612="","Missing site",IF(J1612="","Missing spend",IF(COUNTIFS($G$2:G1612,G1612,$E$2:E1612,E1612,$J$2:J1612,J1612)&gt;1,"Duplicate invoice",IF(COUNTIF($G$2:$G$1801,G1612)&gt;1,"Duplicate ID - review",IF(AND(P1612&lt;&gt;"Unmapped",P1612&lt;&gt;F1612),"Category mismatch","OK"))))))</f>
        <v>OK</v>
      </c>
      <c r="O1612" s="125">
        <f t="shared" si="75"/>
        <v>10680.58</v>
      </c>
      <c r="P1612" t="str">
        <f>IF(E1612="","Unmapped",IFERROR(INDEX(Supplier_Lookup!$B$2:$B$25,MATCH(E1612,Supplier_Lookup!$A$2:$A$25,0)),"Unmapped"))</f>
        <v>IT &amp; Telecoms</v>
      </c>
      <c r="Q1612" s="76">
        <f>IFERROR(INDEX(Category_Targets!$B$2:$B$9,MATCH(F1612,Category_Targets!$A$2:$A$9,0)),0)</f>
        <v>0.08</v>
      </c>
      <c r="R1612" s="125">
        <f t="shared" si="76"/>
        <v>854.44640000000004</v>
      </c>
      <c r="S1612" s="78">
        <f t="shared" si="77"/>
        <v>45931</v>
      </c>
      <c r="T1612" t="str">
        <f>IFERROR(VLOOKUP(B1612,Sites!$A$2:$D$21,4,FALSE()),"Unknown")</f>
        <v>Nottingham</v>
      </c>
      <c r="U1612" t="str">
        <f>IF(N1612="OK","",COUNTIF($N$2:N1612,"&lt;&gt;OK"))</f>
        <v/>
      </c>
      <c r="V1612">
        <f>IF(OR(NOT(EXACT(E1612,TRIM(Procurement_Raw!E1612))),NOT(EXACT(F1612,TRIM(Procurement_Raw!F1612)))),1,0)</f>
        <v>0</v>
      </c>
    </row>
    <row r="1613" spans="1:22" ht="15" customHeight="1" x14ac:dyDescent="0.25">
      <c r="A1613" s="123">
        <f>Procurement_Raw!A1613</f>
        <v>45838</v>
      </c>
      <c r="B1613" t="str">
        <f>TRIM(Procurement_Raw!B1613)</f>
        <v>S002</v>
      </c>
      <c r="C1613" t="str">
        <f>Procurement_Raw!C1613</f>
        <v>Manchester Care &amp; Education Centre</v>
      </c>
      <c r="D1613" t="str">
        <f>Procurement_Raw!D1613</f>
        <v>North</v>
      </c>
      <c r="E1613" t="str">
        <f>IF(TRIM(Procurement_Raw!E1613)="","",IFERROR(INDEX(Supplier_Lookup!$A$2:$A$25,MATCH(TRIM(Procurement_Raw!E1613),Supplier_Lookup!$A$2:$A$25,0)),TRIM(Procurement_Raw!E1613)))</f>
        <v>AutoCare</v>
      </c>
      <c r="F1613" t="str">
        <f>IFERROR(INDEX(Category_Targets!$A$2:$A$9,MATCH(TRIM(Procurement_Raw!F1613),Category_Targets!$A$2:$A$9,0)),"Unmapped")</f>
        <v>Vehicle &amp; Fuel</v>
      </c>
      <c r="G1613" t="str">
        <f>TRIM(Procurement_Raw!G1613)</f>
        <v>INV-2025-01612</v>
      </c>
      <c r="H1613" s="77">
        <f>Procurement_Raw!H1613</f>
        <v>78</v>
      </c>
      <c r="I1613" s="124">
        <f>Procurement_Raw!I1613</f>
        <v>40.21</v>
      </c>
      <c r="J1613" s="125">
        <f>IF(Procurement_Raw!J1613="","",Procurement_Raw!J1613)</f>
        <v>3136.4</v>
      </c>
      <c r="K1613" s="77">
        <f>Procurement_Raw!K1613</f>
        <v>60</v>
      </c>
      <c r="L1613" t="str">
        <f>Procurement_Raw!L1613</f>
        <v>Legacy Spend File</v>
      </c>
      <c r="M1613" t="str">
        <f>Procurement_Raw!O1613</f>
        <v>N</v>
      </c>
      <c r="N1613" t="str">
        <f>IF(E1613="","Missing supplier",IF(B1613="","Missing site",IF(J1613="","Missing spend",IF(COUNTIFS($G$2:G1613,G1613,$E$2:E1613,E1613,$J$2:J1613,J1613)&gt;1,"Duplicate invoice",IF(COUNTIF($G$2:$G$1801,G1613)&gt;1,"Duplicate ID - review",IF(AND(P1613&lt;&gt;"Unmapped",P1613&lt;&gt;F1613),"Category mismatch","OK"))))))</f>
        <v>OK</v>
      </c>
      <c r="O1613" s="125">
        <f t="shared" si="75"/>
        <v>3136.4</v>
      </c>
      <c r="P1613" t="str">
        <f>IF(E1613="","Unmapped",IFERROR(INDEX(Supplier_Lookup!$B$2:$B$25,MATCH(E1613,Supplier_Lookup!$A$2:$A$25,0)),"Unmapped"))</f>
        <v>Vehicle &amp; Fuel</v>
      </c>
      <c r="Q1613" s="76">
        <f>IFERROR(INDEX(Category_Targets!$B$2:$B$9,MATCH(F1613,Category_Targets!$A$2:$A$9,0)),0)</f>
        <v>0.05</v>
      </c>
      <c r="R1613" s="125">
        <f t="shared" si="76"/>
        <v>156.82000000000002</v>
      </c>
      <c r="S1613" s="78">
        <f t="shared" si="77"/>
        <v>45809</v>
      </c>
      <c r="T1613" t="str">
        <f>IFERROR(VLOOKUP(B1613,Sites!$A$2:$D$21,4,FALSE()),"Unknown")</f>
        <v>Manchester</v>
      </c>
      <c r="U1613" t="str">
        <f>IF(N1613="OK","",COUNTIF($N$2:N1613,"&lt;&gt;OK"))</f>
        <v/>
      </c>
      <c r="V1613">
        <f>IF(OR(NOT(EXACT(E1613,TRIM(Procurement_Raw!E1613))),NOT(EXACT(F1613,TRIM(Procurement_Raw!F1613)))),1,0)</f>
        <v>0</v>
      </c>
    </row>
    <row r="1614" spans="1:22" ht="15" customHeight="1" x14ac:dyDescent="0.25">
      <c r="A1614" s="123">
        <f>Procurement_Raw!A1614</f>
        <v>45680</v>
      </c>
      <c r="B1614" t="str">
        <f>TRIM(Procurement_Raw!B1614)</f>
        <v>S008</v>
      </c>
      <c r="C1614" t="str">
        <f>Procurement_Raw!C1614</f>
        <v>Leicester Care &amp; Education Centre</v>
      </c>
      <c r="D1614" t="str">
        <f>Procurement_Raw!D1614</f>
        <v>Midlands</v>
      </c>
      <c r="E1614" t="str">
        <f>IF(TRIM(Procurement_Raw!E1614)="","",IFERROR(INDEX(Supplier_Lookup!$A$2:$A$25,MATCH(TRIM(Procurement_Raw!E1614),Supplier_Lookup!$A$2:$A$25,0)),TRIM(Procurement_Raw!E1614)))</f>
        <v>KitchenPro</v>
      </c>
      <c r="F1614" t="str">
        <f>IFERROR(INDEX(Category_Targets!$A$2:$A$9,MATCH(TRIM(Procurement_Raw!F1614),Category_Targets!$A$2:$A$9,0)),"Unmapped")</f>
        <v>Food &amp; Catering</v>
      </c>
      <c r="G1614" t="str">
        <f>TRIM(Procurement_Raw!G1614)</f>
        <v>INV-2025-01613</v>
      </c>
      <c r="H1614" s="77">
        <f>Procurement_Raw!H1614</f>
        <v>31</v>
      </c>
      <c r="I1614" s="124">
        <f>Procurement_Raw!I1614</f>
        <v>105.65</v>
      </c>
      <c r="J1614" s="125">
        <f>IF(Procurement_Raw!J1614="","",Procurement_Raw!J1614)</f>
        <v>3275.04</v>
      </c>
      <c r="K1614" s="77">
        <f>Procurement_Raw!K1614</f>
        <v>30</v>
      </c>
      <c r="L1614" t="str">
        <f>Procurement_Raw!L1614</f>
        <v>ERP</v>
      </c>
      <c r="M1614" t="str">
        <f>Procurement_Raw!O1614</f>
        <v>N</v>
      </c>
      <c r="N1614" t="str">
        <f>IF(E1614="","Missing supplier",IF(B1614="","Missing site",IF(J1614="","Missing spend",IF(COUNTIFS($G$2:G1614,G1614,$E$2:E1614,E1614,$J$2:J1614,J1614)&gt;1,"Duplicate invoice",IF(COUNTIF($G$2:$G$1801,G1614)&gt;1,"Duplicate ID - review",IF(AND(P1614&lt;&gt;"Unmapped",P1614&lt;&gt;F1614),"Category mismatch","OK"))))))</f>
        <v>OK</v>
      </c>
      <c r="O1614" s="125">
        <f t="shared" si="75"/>
        <v>3275.04</v>
      </c>
      <c r="P1614" t="str">
        <f>IF(E1614="","Unmapped",IFERROR(INDEX(Supplier_Lookup!$B$2:$B$25,MATCH(E1614,Supplier_Lookup!$A$2:$A$25,0)),"Unmapped"))</f>
        <v>Food &amp; Catering</v>
      </c>
      <c r="Q1614" s="76">
        <f>IFERROR(INDEX(Category_Targets!$B$2:$B$9,MATCH(F1614,Category_Targets!$A$2:$A$9,0)),0)</f>
        <v>0.04</v>
      </c>
      <c r="R1614" s="125">
        <f t="shared" si="76"/>
        <v>131.0016</v>
      </c>
      <c r="S1614" s="78">
        <f t="shared" si="77"/>
        <v>45658</v>
      </c>
      <c r="T1614" t="str">
        <f>IFERROR(VLOOKUP(B1614,Sites!$A$2:$D$21,4,FALSE()),"Unknown")</f>
        <v>Leicester</v>
      </c>
      <c r="U1614" t="str">
        <f>IF(N1614="OK","",COUNTIF($N$2:N1614,"&lt;&gt;OK"))</f>
        <v/>
      </c>
      <c r="V1614">
        <f>IF(OR(NOT(EXACT(E1614,TRIM(Procurement_Raw!E1614))),NOT(EXACT(F1614,TRIM(Procurement_Raw!F1614)))),1,0)</f>
        <v>0</v>
      </c>
    </row>
    <row r="1615" spans="1:22" ht="15" customHeight="1" x14ac:dyDescent="0.25">
      <c r="A1615" s="123">
        <f>Procurement_Raw!A1615</f>
        <v>45726</v>
      </c>
      <c r="B1615" t="str">
        <f>TRIM(Procurement_Raw!B1615)</f>
        <v>S012</v>
      </c>
      <c r="C1615" t="str">
        <f>Procurement_Raw!C1615</f>
        <v>Bristol Care &amp; Education Centre</v>
      </c>
      <c r="D1615" t="str">
        <f>Procurement_Raw!D1615</f>
        <v>South</v>
      </c>
      <c r="E1615" t="str">
        <f>IF(TRIM(Procurement_Raw!E1615)="","",IFERROR(INDEX(Supplier_Lookup!$A$2:$A$25,MATCH(TRIM(Procurement_Raw!E1615),Supplier_Lookup!$A$2:$A$25,0)),TRIM(Procurement_Raw!E1615)))</f>
        <v>CloudLink</v>
      </c>
      <c r="F1615" t="str">
        <f>IFERROR(INDEX(Category_Targets!$A$2:$A$9,MATCH(TRIM(Procurement_Raw!F1615),Category_Targets!$A$2:$A$9,0)),"Unmapped")</f>
        <v>IT &amp; Telecoms</v>
      </c>
      <c r="G1615" t="str">
        <f>TRIM(Procurement_Raw!G1615)</f>
        <v>INV-2025-01614</v>
      </c>
      <c r="H1615" s="77">
        <f>Procurement_Raw!H1615</f>
        <v>78</v>
      </c>
      <c r="I1615" s="124">
        <f>Procurement_Raw!I1615</f>
        <v>210.78</v>
      </c>
      <c r="J1615" s="125">
        <f>IF(Procurement_Raw!J1615="","",Procurement_Raw!J1615)</f>
        <v>16440.88</v>
      </c>
      <c r="K1615" s="77">
        <f>Procurement_Raw!K1615</f>
        <v>60</v>
      </c>
      <c r="L1615" t="str">
        <f>Procurement_Raw!L1615</f>
        <v>ERP</v>
      </c>
      <c r="M1615" t="str">
        <f>Procurement_Raw!O1615</f>
        <v>Y</v>
      </c>
      <c r="N1615" t="str">
        <f>IF(E1615="","Missing supplier",IF(B1615="","Missing site",IF(J1615="","Missing spend",IF(COUNTIFS($G$2:G1615,G1615,$E$2:E1615,E1615,$J$2:J1615,J1615)&gt;1,"Duplicate invoice",IF(COUNTIF($G$2:$G$1801,G1615)&gt;1,"Duplicate ID - review",IF(AND(P1615&lt;&gt;"Unmapped",P1615&lt;&gt;F1615),"Category mismatch","OK"))))))</f>
        <v>OK</v>
      </c>
      <c r="O1615" s="125">
        <f t="shared" si="75"/>
        <v>16440.88</v>
      </c>
      <c r="P1615" t="str">
        <f>IF(E1615="","Unmapped",IFERROR(INDEX(Supplier_Lookup!$B$2:$B$25,MATCH(E1615,Supplier_Lookup!$A$2:$A$25,0)),"Unmapped"))</f>
        <v>IT &amp; Telecoms</v>
      </c>
      <c r="Q1615" s="76">
        <f>IFERROR(INDEX(Category_Targets!$B$2:$B$9,MATCH(F1615,Category_Targets!$A$2:$A$9,0)),0)</f>
        <v>0.08</v>
      </c>
      <c r="R1615" s="125">
        <f t="shared" si="76"/>
        <v>1315.2704000000001</v>
      </c>
      <c r="S1615" s="78">
        <f t="shared" si="77"/>
        <v>45717</v>
      </c>
      <c r="T1615" t="str">
        <f>IFERROR(VLOOKUP(B1615,Sites!$A$2:$D$21,4,FALSE()),"Unknown")</f>
        <v>Bristol</v>
      </c>
      <c r="U1615" t="str">
        <f>IF(N1615="OK","",COUNTIF($N$2:N1615,"&lt;&gt;OK"))</f>
        <v/>
      </c>
      <c r="V1615">
        <f>IF(OR(NOT(EXACT(E1615,TRIM(Procurement_Raw!E1615))),NOT(EXACT(F1615,TRIM(Procurement_Raw!F1615)))),1,0)</f>
        <v>0</v>
      </c>
    </row>
    <row r="1616" spans="1:22" ht="15" customHeight="1" x14ac:dyDescent="0.25">
      <c r="A1616" s="123">
        <f>Procurement_Raw!A1616</f>
        <v>45723</v>
      </c>
      <c r="B1616" t="str">
        <f>TRIM(Procurement_Raw!B1616)</f>
        <v>S004</v>
      </c>
      <c r="C1616" t="str">
        <f>Procurement_Raw!C1616</f>
        <v>Newcastle Care &amp; Education Centre</v>
      </c>
      <c r="D1616" t="str">
        <f>Procurement_Raw!D1616</f>
        <v>North</v>
      </c>
      <c r="E1616" t="str">
        <f>IF(TRIM(Procurement_Raw!E1616)="","",IFERROR(INDEX(Supplier_Lookup!$A$2:$A$25,MATCH(TRIM(Procurement_Raw!E1616),Supplier_Lookup!$A$2:$A$25,0)),TRIM(Procurement_Raw!E1616)))</f>
        <v>RoadReady</v>
      </c>
      <c r="F1616" t="str">
        <f>IFERROR(INDEX(Category_Targets!$A$2:$A$9,MATCH(TRIM(Procurement_Raw!F1616),Category_Targets!$A$2:$A$9,0)),"Unmapped")</f>
        <v>Vehicle &amp; Fuel</v>
      </c>
      <c r="G1616" t="str">
        <f>TRIM(Procurement_Raw!G1616)</f>
        <v>INV-2025-01615</v>
      </c>
      <c r="H1616" s="77">
        <f>Procurement_Raw!H1616</f>
        <v>80</v>
      </c>
      <c r="I1616" s="124">
        <f>Procurement_Raw!I1616</f>
        <v>86.02</v>
      </c>
      <c r="J1616" s="125">
        <f>IF(Procurement_Raw!J1616="","",Procurement_Raw!J1616)</f>
        <v>6881.83</v>
      </c>
      <c r="K1616" s="77">
        <f>Procurement_Raw!K1616</f>
        <v>45</v>
      </c>
      <c r="L1616" t="str">
        <f>Procurement_Raw!L1616</f>
        <v>ERP</v>
      </c>
      <c r="M1616" t="str">
        <f>Procurement_Raw!O1616</f>
        <v>N</v>
      </c>
      <c r="N1616" t="str">
        <f>IF(E1616="","Missing supplier",IF(B1616="","Missing site",IF(J1616="","Missing spend",IF(COUNTIFS($G$2:G1616,G1616,$E$2:E1616,E1616,$J$2:J1616,J1616)&gt;1,"Duplicate invoice",IF(COUNTIF($G$2:$G$1801,G1616)&gt;1,"Duplicate ID - review",IF(AND(P1616&lt;&gt;"Unmapped",P1616&lt;&gt;F1616),"Category mismatch","OK"))))))</f>
        <v>OK</v>
      </c>
      <c r="O1616" s="125">
        <f t="shared" si="75"/>
        <v>6881.83</v>
      </c>
      <c r="P1616" t="str">
        <f>IF(E1616="","Unmapped",IFERROR(INDEX(Supplier_Lookup!$B$2:$B$25,MATCH(E1616,Supplier_Lookup!$A$2:$A$25,0)),"Unmapped"))</f>
        <v>Vehicle &amp; Fuel</v>
      </c>
      <c r="Q1616" s="76">
        <f>IFERROR(INDEX(Category_Targets!$B$2:$B$9,MATCH(F1616,Category_Targets!$A$2:$A$9,0)),0)</f>
        <v>0.05</v>
      </c>
      <c r="R1616" s="125">
        <f t="shared" si="76"/>
        <v>344.0915</v>
      </c>
      <c r="S1616" s="78">
        <f t="shared" si="77"/>
        <v>45717</v>
      </c>
      <c r="T1616" t="str">
        <f>IFERROR(VLOOKUP(B1616,Sites!$A$2:$D$21,4,FALSE()),"Unknown")</f>
        <v>Newcastle</v>
      </c>
      <c r="U1616" t="str">
        <f>IF(N1616="OK","",COUNTIF($N$2:N1616,"&lt;&gt;OK"))</f>
        <v/>
      </c>
      <c r="V1616">
        <f>IF(OR(NOT(EXACT(E1616,TRIM(Procurement_Raw!E1616))),NOT(EXACT(F1616,TRIM(Procurement_Raw!F1616)))),1,0)</f>
        <v>0</v>
      </c>
    </row>
    <row r="1617" spans="1:22" ht="15" customHeight="1" x14ac:dyDescent="0.25">
      <c r="A1617" s="123">
        <f>Procurement_Raw!A1617</f>
        <v>45853</v>
      </c>
      <c r="B1617" t="str">
        <f>TRIM(Procurement_Raw!B1617)</f>
        <v>S005</v>
      </c>
      <c r="C1617" t="str">
        <f>Procurement_Raw!C1617</f>
        <v>Sheffield Care &amp; Education Centre</v>
      </c>
      <c r="D1617" t="str">
        <f>Procurement_Raw!D1617</f>
        <v>North</v>
      </c>
      <c r="E1617" t="str">
        <f>IF(TRIM(Procurement_Raw!E1617)="","",IFERROR(INDEX(Supplier_Lookup!$A$2:$A$25,MATCH(TRIM(Procurement_Raw!E1617),Supplier_Lookup!$A$2:$A$25,0)),TRIM(Procurement_Raw!E1617)))</f>
        <v>TeleCare IT</v>
      </c>
      <c r="F1617" t="str">
        <f>IFERROR(INDEX(Category_Targets!$A$2:$A$9,MATCH(TRIM(Procurement_Raw!F1617),Category_Targets!$A$2:$A$9,0)),"Unmapped")</f>
        <v>IT &amp; Telecoms</v>
      </c>
      <c r="G1617" t="str">
        <f>TRIM(Procurement_Raw!G1617)</f>
        <v>INV-2025-01616</v>
      </c>
      <c r="H1617" s="77">
        <f>Procurement_Raw!H1617</f>
        <v>21</v>
      </c>
      <c r="I1617" s="124">
        <f>Procurement_Raw!I1617</f>
        <v>1273.9000000000001</v>
      </c>
      <c r="J1617" s="125">
        <f>IF(Procurement_Raw!J1617="","",Procurement_Raw!J1617)</f>
        <v>26751.86</v>
      </c>
      <c r="K1617" s="77">
        <f>Procurement_Raw!K1617</f>
        <v>45</v>
      </c>
      <c r="L1617" t="str">
        <f>Procurement_Raw!L1617</f>
        <v>Procurement Portal</v>
      </c>
      <c r="M1617" t="str">
        <f>Procurement_Raw!O1617</f>
        <v>N</v>
      </c>
      <c r="N1617" t="str">
        <f>IF(E1617="","Missing supplier",IF(B1617="","Missing site",IF(J1617="","Missing spend",IF(COUNTIFS($G$2:G1617,G1617,$E$2:E1617,E1617,$J$2:J1617,J1617)&gt;1,"Duplicate invoice",IF(COUNTIF($G$2:$G$1801,G1617)&gt;1,"Duplicate ID - review",IF(AND(P1617&lt;&gt;"Unmapped",P1617&lt;&gt;F1617),"Category mismatch","OK"))))))</f>
        <v>OK</v>
      </c>
      <c r="O1617" s="125">
        <f t="shared" si="75"/>
        <v>26751.86</v>
      </c>
      <c r="P1617" t="str">
        <f>IF(E1617="","Unmapped",IFERROR(INDEX(Supplier_Lookup!$B$2:$B$25,MATCH(E1617,Supplier_Lookup!$A$2:$A$25,0)),"Unmapped"))</f>
        <v>IT &amp; Telecoms</v>
      </c>
      <c r="Q1617" s="76">
        <f>IFERROR(INDEX(Category_Targets!$B$2:$B$9,MATCH(F1617,Category_Targets!$A$2:$A$9,0)),0)</f>
        <v>0.08</v>
      </c>
      <c r="R1617" s="125">
        <f t="shared" si="76"/>
        <v>2140.1487999999999</v>
      </c>
      <c r="S1617" s="78">
        <f t="shared" si="77"/>
        <v>45839</v>
      </c>
      <c r="T1617" t="str">
        <f>IFERROR(VLOOKUP(B1617,Sites!$A$2:$D$21,4,FALSE()),"Unknown")</f>
        <v>Sheffield</v>
      </c>
      <c r="U1617" t="str">
        <f>IF(N1617="OK","",COUNTIF($N$2:N1617,"&lt;&gt;OK"))</f>
        <v/>
      </c>
      <c r="V1617">
        <f>IF(OR(NOT(EXACT(E1617,TRIM(Procurement_Raw!E1617))),NOT(EXACT(F1617,TRIM(Procurement_Raw!F1617)))),1,0)</f>
        <v>0</v>
      </c>
    </row>
    <row r="1618" spans="1:22" ht="15" customHeight="1" x14ac:dyDescent="0.25">
      <c r="A1618" s="123">
        <f>Procurement_Raw!A1618</f>
        <v>45875</v>
      </c>
      <c r="B1618" t="str">
        <f>TRIM(Procurement_Raw!B1618)</f>
        <v>S011</v>
      </c>
      <c r="C1618" t="str">
        <f>Procurement_Raw!C1618</f>
        <v>London Care &amp; Education Centre</v>
      </c>
      <c r="D1618" t="str">
        <f>Procurement_Raw!D1618</f>
        <v>South</v>
      </c>
      <c r="E1618" t="str">
        <f>IF(TRIM(Procurement_Raw!E1618)="","",IFERROR(INDEX(Supplier_Lookup!$A$2:$A$25,MATCH(TRIM(Procurement_Raw!E1618),Supplier_Lookup!$A$2:$A$25,0)),TRIM(Procurement_Raw!E1618)))</f>
        <v>NetServe</v>
      </c>
      <c r="F1618" t="str">
        <f>IFERROR(INDEX(Category_Targets!$A$2:$A$9,MATCH(TRIM(Procurement_Raw!F1618),Category_Targets!$A$2:$A$9,0)),"Unmapped")</f>
        <v>IT &amp; Telecoms</v>
      </c>
      <c r="G1618" t="str">
        <f>TRIM(Procurement_Raw!G1618)</f>
        <v>INV-2025-01617</v>
      </c>
      <c r="H1618" s="77">
        <f>Procurement_Raw!H1618</f>
        <v>19</v>
      </c>
      <c r="I1618" s="124">
        <f>Procurement_Raw!I1618</f>
        <v>259.29000000000002</v>
      </c>
      <c r="J1618" s="125">
        <f>IF(Procurement_Raw!J1618="","",Procurement_Raw!J1618)</f>
        <v>4926.4799999999996</v>
      </c>
      <c r="K1618" s="77">
        <f>Procurement_Raw!K1618</f>
        <v>60</v>
      </c>
      <c r="L1618" t="str">
        <f>Procurement_Raw!L1618</f>
        <v>ERP</v>
      </c>
      <c r="M1618" t="str">
        <f>Procurement_Raw!O1618</f>
        <v>N</v>
      </c>
      <c r="N1618" t="str">
        <f>IF(E1618="","Missing supplier",IF(B1618="","Missing site",IF(J1618="","Missing spend",IF(COUNTIFS($G$2:G1618,G1618,$E$2:E1618,E1618,$J$2:J1618,J1618)&gt;1,"Duplicate invoice",IF(COUNTIF($G$2:$G$1801,G1618)&gt;1,"Duplicate ID - review",IF(AND(P1618&lt;&gt;"Unmapped",P1618&lt;&gt;F1618),"Category mismatch","OK"))))))</f>
        <v>OK</v>
      </c>
      <c r="O1618" s="125">
        <f t="shared" si="75"/>
        <v>4926.4799999999996</v>
      </c>
      <c r="P1618" t="str">
        <f>IF(E1618="","Unmapped",IFERROR(INDEX(Supplier_Lookup!$B$2:$B$25,MATCH(E1618,Supplier_Lookup!$A$2:$A$25,0)),"Unmapped"))</f>
        <v>IT &amp; Telecoms</v>
      </c>
      <c r="Q1618" s="76">
        <f>IFERROR(INDEX(Category_Targets!$B$2:$B$9,MATCH(F1618,Category_Targets!$A$2:$A$9,0)),0)</f>
        <v>0.08</v>
      </c>
      <c r="R1618" s="125">
        <f t="shared" si="76"/>
        <v>394.11839999999995</v>
      </c>
      <c r="S1618" s="78">
        <f t="shared" si="77"/>
        <v>45870</v>
      </c>
      <c r="T1618" t="str">
        <f>IFERROR(VLOOKUP(B1618,Sites!$A$2:$D$21,4,FALSE()),"Unknown")</f>
        <v>London</v>
      </c>
      <c r="U1618" t="str">
        <f>IF(N1618="OK","",COUNTIF($N$2:N1618,"&lt;&gt;OK"))</f>
        <v/>
      </c>
      <c r="V1618">
        <f>IF(OR(NOT(EXACT(E1618,TRIM(Procurement_Raw!E1618))),NOT(EXACT(F1618,TRIM(Procurement_Raw!F1618)))),1,0)</f>
        <v>0</v>
      </c>
    </row>
    <row r="1619" spans="1:22" ht="15" customHeight="1" x14ac:dyDescent="0.25">
      <c r="A1619" s="123">
        <f>Procurement_Raw!A1619</f>
        <v>46014</v>
      </c>
      <c r="B1619" t="str">
        <f>TRIM(Procurement_Raw!B1619)</f>
        <v>S014</v>
      </c>
      <c r="C1619" t="str">
        <f>Procurement_Raw!C1619</f>
        <v>Southampton Care &amp; Education Centre</v>
      </c>
      <c r="D1619" t="str">
        <f>Procurement_Raw!D1619</f>
        <v>South</v>
      </c>
      <c r="E1619" t="str">
        <f>IF(TRIM(Procurement_Raw!E1619)="","",IFERROR(INDEX(Supplier_Lookup!$A$2:$A$25,MATCH(TRIM(Procurement_Raw!E1619),Supplier_Lookup!$A$2:$A$25,0)),TRIM(Procurement_Raw!E1619)))</f>
        <v>NetServe</v>
      </c>
      <c r="F1619" t="str">
        <f>IFERROR(INDEX(Category_Targets!$A$2:$A$9,MATCH(TRIM(Procurement_Raw!F1619),Category_Targets!$A$2:$A$9,0)),"Unmapped")</f>
        <v>IT &amp; Telecoms</v>
      </c>
      <c r="G1619" t="str">
        <f>TRIM(Procurement_Raw!G1619)</f>
        <v>INV-2025-01618</v>
      </c>
      <c r="H1619" s="77">
        <f>Procurement_Raw!H1619</f>
        <v>25</v>
      </c>
      <c r="I1619" s="124">
        <f>Procurement_Raw!I1619</f>
        <v>145.5</v>
      </c>
      <c r="J1619" s="125">
        <f>IF(Procurement_Raw!J1619="","",Procurement_Raw!J1619)</f>
        <v>3637.38</v>
      </c>
      <c r="K1619" s="77">
        <f>Procurement_Raw!K1619</f>
        <v>60</v>
      </c>
      <c r="L1619" t="str">
        <f>Procurement_Raw!L1619</f>
        <v>Procurement Portal</v>
      </c>
      <c r="M1619" t="str">
        <f>Procurement_Raw!O1619</f>
        <v>N</v>
      </c>
      <c r="N1619" t="str">
        <f>IF(E1619="","Missing supplier",IF(B1619="","Missing site",IF(J1619="","Missing spend",IF(COUNTIFS($G$2:G1619,G1619,$E$2:E1619,E1619,$J$2:J1619,J1619)&gt;1,"Duplicate invoice",IF(COUNTIF($G$2:$G$1801,G1619)&gt;1,"Duplicate ID - review",IF(AND(P1619&lt;&gt;"Unmapped",P1619&lt;&gt;F1619),"Category mismatch","OK"))))))</f>
        <v>OK</v>
      </c>
      <c r="O1619" s="125">
        <f t="shared" si="75"/>
        <v>3637.38</v>
      </c>
      <c r="P1619" t="str">
        <f>IF(E1619="","Unmapped",IFERROR(INDEX(Supplier_Lookup!$B$2:$B$25,MATCH(E1619,Supplier_Lookup!$A$2:$A$25,0)),"Unmapped"))</f>
        <v>IT &amp; Telecoms</v>
      </c>
      <c r="Q1619" s="76">
        <f>IFERROR(INDEX(Category_Targets!$B$2:$B$9,MATCH(F1619,Category_Targets!$A$2:$A$9,0)),0)</f>
        <v>0.08</v>
      </c>
      <c r="R1619" s="125">
        <f t="shared" si="76"/>
        <v>290.99040000000002</v>
      </c>
      <c r="S1619" s="78">
        <f t="shared" si="77"/>
        <v>45992</v>
      </c>
      <c r="T1619" t="str">
        <f>IFERROR(VLOOKUP(B1619,Sites!$A$2:$D$21,4,FALSE()),"Unknown")</f>
        <v>Southampton</v>
      </c>
      <c r="U1619" t="str">
        <f>IF(N1619="OK","",COUNTIF($N$2:N1619,"&lt;&gt;OK"))</f>
        <v/>
      </c>
      <c r="V1619">
        <f>IF(OR(NOT(EXACT(E1619,TRIM(Procurement_Raw!E1619))),NOT(EXACT(F1619,TRIM(Procurement_Raw!F1619)))),1,0)</f>
        <v>0</v>
      </c>
    </row>
    <row r="1620" spans="1:22" ht="15" customHeight="1" x14ac:dyDescent="0.25">
      <c r="A1620" s="123">
        <f>Procurement_Raw!A1620</f>
        <v>45736</v>
      </c>
      <c r="B1620" t="str">
        <f>TRIM(Procurement_Raw!B1620)</f>
        <v>S003</v>
      </c>
      <c r="C1620" t="str">
        <f>Procurement_Raw!C1620</f>
        <v>Leeds Care &amp; Education Centre</v>
      </c>
      <c r="D1620" t="str">
        <f>Procurement_Raw!D1620</f>
        <v>North</v>
      </c>
      <c r="E1620" t="str">
        <f>IF(TRIM(Procurement_Raw!E1620)="","",IFERROR(INDEX(Supplier_Lookup!$A$2:$A$25,MATCH(TRIM(Procurement_Raw!E1620),Supplier_Lookup!$A$2:$A$25,0)),TRIM(Procurement_Raw!E1620)))</f>
        <v>SafeGuard FM</v>
      </c>
      <c r="F1620" t="str">
        <f>IFERROR(INDEX(Category_Targets!$A$2:$A$9,MATCH(TRIM(Procurement_Raw!F1620),Category_Targets!$A$2:$A$9,0)),"Unmapped")</f>
        <v>Facilities</v>
      </c>
      <c r="G1620" t="str">
        <f>TRIM(Procurement_Raw!G1620)</f>
        <v>INV-2025-01619</v>
      </c>
      <c r="H1620" s="77">
        <f>Procurement_Raw!H1620</f>
        <v>41</v>
      </c>
      <c r="I1620" s="124">
        <f>Procurement_Raw!I1620</f>
        <v>142.37</v>
      </c>
      <c r="J1620" s="125">
        <f>IF(Procurement_Raw!J1620="","",Procurement_Raw!J1620)</f>
        <v>5837.35</v>
      </c>
      <c r="K1620" s="77">
        <f>Procurement_Raw!K1620</f>
        <v>45</v>
      </c>
      <c r="L1620" t="str">
        <f>Procurement_Raw!L1620</f>
        <v>Procurement Portal</v>
      </c>
      <c r="M1620" t="str">
        <f>Procurement_Raw!O1620</f>
        <v>N</v>
      </c>
      <c r="N1620" t="str">
        <f>IF(E1620="","Missing supplier",IF(B1620="","Missing site",IF(J1620="","Missing spend",IF(COUNTIFS($G$2:G1620,G1620,$E$2:E1620,E1620,$J$2:J1620,J1620)&gt;1,"Duplicate invoice",IF(COUNTIF($G$2:$G$1801,G1620)&gt;1,"Duplicate ID - review",IF(AND(P1620&lt;&gt;"Unmapped",P1620&lt;&gt;F1620),"Category mismatch","OK"))))))</f>
        <v>OK</v>
      </c>
      <c r="O1620" s="125">
        <f t="shared" si="75"/>
        <v>5837.35</v>
      </c>
      <c r="P1620" t="str">
        <f>IF(E1620="","Unmapped",IFERROR(INDEX(Supplier_Lookup!$B$2:$B$25,MATCH(E1620,Supplier_Lookup!$A$2:$A$25,0)),"Unmapped"))</f>
        <v>Facilities</v>
      </c>
      <c r="Q1620" s="76">
        <f>IFERROR(INDEX(Category_Targets!$B$2:$B$9,MATCH(F1620,Category_Targets!$A$2:$A$9,0)),0)</f>
        <v>0.05</v>
      </c>
      <c r="R1620" s="125">
        <f t="shared" si="76"/>
        <v>291.86750000000001</v>
      </c>
      <c r="S1620" s="78">
        <f t="shared" si="77"/>
        <v>45717</v>
      </c>
      <c r="T1620" t="str">
        <f>IFERROR(VLOOKUP(B1620,Sites!$A$2:$D$21,4,FALSE()),"Unknown")</f>
        <v>Leeds</v>
      </c>
      <c r="U1620" t="str">
        <f>IF(N1620="OK","",COUNTIF($N$2:N1620,"&lt;&gt;OK"))</f>
        <v/>
      </c>
      <c r="V1620">
        <f>IF(OR(NOT(EXACT(E1620,TRIM(Procurement_Raw!E1620))),NOT(EXACT(F1620,TRIM(Procurement_Raw!F1620)))),1,0)</f>
        <v>0</v>
      </c>
    </row>
    <row r="1621" spans="1:22" ht="15" customHeight="1" x14ac:dyDescent="0.25">
      <c r="A1621" s="123">
        <f>Procurement_Raw!A1621</f>
        <v>45796</v>
      </c>
      <c r="B1621" t="str">
        <f>TRIM(Procurement_Raw!B1621)</f>
        <v>S010</v>
      </c>
      <c r="C1621" t="str">
        <f>Procurement_Raw!C1621</f>
        <v>Coventry Care &amp; Education Centre</v>
      </c>
      <c r="D1621" t="str">
        <f>Procurement_Raw!D1621</f>
        <v>Midlands</v>
      </c>
      <c r="E1621" t="str">
        <f>IF(TRIM(Procurement_Raw!E1621)="","",IFERROR(INDEX(Supplier_Lookup!$A$2:$A$25,MATCH(TRIM(Procurement_Raw!E1621),Supplier_Lookup!$A$2:$A$25,0)),TRIM(Procurement_Raw!E1621)))</f>
        <v>UK Energy Partners</v>
      </c>
      <c r="F1621" t="str">
        <f>IFERROR(INDEX(Category_Targets!$A$2:$A$9,MATCH(TRIM(Procurement_Raw!F1621),Category_Targets!$A$2:$A$9,0)),"Unmapped")</f>
        <v>Utilities</v>
      </c>
      <c r="G1621" t="str">
        <f>TRIM(Procurement_Raw!G1621)</f>
        <v>INV-2025-01620</v>
      </c>
      <c r="H1621" s="77">
        <f>Procurement_Raw!H1621</f>
        <v>16</v>
      </c>
      <c r="I1621" s="124">
        <f>Procurement_Raw!I1621</f>
        <v>470.18</v>
      </c>
      <c r="J1621" s="125">
        <f>IF(Procurement_Raw!J1621="","",Procurement_Raw!J1621)</f>
        <v>7522.81</v>
      </c>
      <c r="K1621" s="77">
        <f>Procurement_Raw!K1621</f>
        <v>60</v>
      </c>
      <c r="L1621" t="str">
        <f>Procurement_Raw!L1621</f>
        <v>ERP</v>
      </c>
      <c r="M1621" t="str">
        <f>Procurement_Raw!O1621</f>
        <v>N</v>
      </c>
      <c r="N1621" t="str">
        <f>IF(E1621="","Missing supplier",IF(B1621="","Missing site",IF(J1621="","Missing spend",IF(COUNTIFS($G$2:G1621,G1621,$E$2:E1621,E1621,$J$2:J1621,J1621)&gt;1,"Duplicate invoice",IF(COUNTIF($G$2:$G$1801,G1621)&gt;1,"Duplicate ID - review",IF(AND(P1621&lt;&gt;"Unmapped",P1621&lt;&gt;F1621),"Category mismatch","OK"))))))</f>
        <v>OK</v>
      </c>
      <c r="O1621" s="125">
        <f t="shared" si="75"/>
        <v>7522.81</v>
      </c>
      <c r="P1621" t="str">
        <f>IF(E1621="","Unmapped",IFERROR(INDEX(Supplier_Lookup!$B$2:$B$25,MATCH(E1621,Supplier_Lookup!$A$2:$A$25,0)),"Unmapped"))</f>
        <v>Utilities</v>
      </c>
      <c r="Q1621" s="76">
        <f>IFERROR(INDEX(Category_Targets!$B$2:$B$9,MATCH(F1621,Category_Targets!$A$2:$A$9,0)),0)</f>
        <v>0.03</v>
      </c>
      <c r="R1621" s="125">
        <f t="shared" si="76"/>
        <v>225.68430000000001</v>
      </c>
      <c r="S1621" s="78">
        <f t="shared" si="77"/>
        <v>45778</v>
      </c>
      <c r="T1621" t="str">
        <f>IFERROR(VLOOKUP(B1621,Sites!$A$2:$D$21,4,FALSE()),"Unknown")</f>
        <v>Coventry</v>
      </c>
      <c r="U1621" t="str">
        <f>IF(N1621="OK","",COUNTIF($N$2:N1621,"&lt;&gt;OK"))</f>
        <v/>
      </c>
      <c r="V1621">
        <f>IF(OR(NOT(EXACT(E1621,TRIM(Procurement_Raw!E1621))),NOT(EXACT(F1621,TRIM(Procurement_Raw!F1621)))),1,0)</f>
        <v>0</v>
      </c>
    </row>
    <row r="1622" spans="1:22" ht="15" customHeight="1" x14ac:dyDescent="0.25">
      <c r="A1622" s="123">
        <f>Procurement_Raw!A1622</f>
        <v>45826</v>
      </c>
      <c r="B1622" t="str">
        <f>TRIM(Procurement_Raw!B1622)</f>
        <v>S019</v>
      </c>
      <c r="C1622" t="str">
        <f>Procurement_Raw!C1622</f>
        <v>Wrexham Care &amp; Education Centre</v>
      </c>
      <c r="D1622" t="str">
        <f>Procurement_Raw!D1622</f>
        <v>Wales</v>
      </c>
      <c r="E1622" t="str">
        <f>IF(TRIM(Procurement_Raw!E1622)="","",IFERROR(INDEX(Supplier_Lookup!$A$2:$A$25,MATCH(TRIM(Procurement_Raw!E1622),Supplier_Lookup!$A$2:$A$25,0)),TRIM(Procurement_Raw!E1622)))</f>
        <v>HealthStaffing</v>
      </c>
      <c r="F1622" t="str">
        <f>IFERROR(INDEX(Category_Targets!$A$2:$A$9,MATCH(TRIM(Procurement_Raw!F1622),Category_Targets!$A$2:$A$9,0)),"Unmapped")</f>
        <v>Agency Labour</v>
      </c>
      <c r="G1622" t="str">
        <f>TRIM(Procurement_Raw!G1622)</f>
        <v>INV-2025-01621</v>
      </c>
      <c r="H1622" s="77">
        <f>Procurement_Raw!H1622</f>
        <v>12</v>
      </c>
      <c r="I1622" s="124">
        <f>Procurement_Raw!I1622</f>
        <v>319.27999999999997</v>
      </c>
      <c r="J1622" s="125">
        <f>IF(Procurement_Raw!J1622="","",Procurement_Raw!J1622)</f>
        <v>3831.41</v>
      </c>
      <c r="K1622" s="77">
        <f>Procurement_Raw!K1622</f>
        <v>45</v>
      </c>
      <c r="L1622" t="str">
        <f>Procurement_Raw!L1622</f>
        <v>Procurement Portal</v>
      </c>
      <c r="M1622" t="str">
        <f>Procurement_Raw!O1622</f>
        <v>N</v>
      </c>
      <c r="N1622" t="str">
        <f>IF(E1622="","Missing supplier",IF(B1622="","Missing site",IF(J1622="","Missing spend",IF(COUNTIFS($G$2:G1622,G1622,$E$2:E1622,E1622,$J$2:J1622,J1622)&gt;1,"Duplicate invoice",IF(COUNTIF($G$2:$G$1801,G1622)&gt;1,"Duplicate ID - review",IF(AND(P1622&lt;&gt;"Unmapped",P1622&lt;&gt;F1622),"Category mismatch","OK"))))))</f>
        <v>OK</v>
      </c>
      <c r="O1622" s="125">
        <f t="shared" si="75"/>
        <v>3831.41</v>
      </c>
      <c r="P1622" t="str">
        <f>IF(E1622="","Unmapped",IFERROR(INDEX(Supplier_Lookup!$B$2:$B$25,MATCH(E1622,Supplier_Lookup!$A$2:$A$25,0)),"Unmapped"))</f>
        <v>Agency Labour</v>
      </c>
      <c r="Q1622" s="76">
        <f>IFERROR(INDEX(Category_Targets!$B$2:$B$9,MATCH(F1622,Category_Targets!$A$2:$A$9,0)),0)</f>
        <v>7.0000000000000007E-2</v>
      </c>
      <c r="R1622" s="125">
        <f t="shared" si="76"/>
        <v>268.19870000000003</v>
      </c>
      <c r="S1622" s="78">
        <f t="shared" si="77"/>
        <v>45809</v>
      </c>
      <c r="T1622" t="str">
        <f>IFERROR(VLOOKUP(B1622,Sites!$A$2:$D$21,4,FALSE()),"Unknown")</f>
        <v>Wrexham</v>
      </c>
      <c r="U1622" t="str">
        <f>IF(N1622="OK","",COUNTIF($N$2:N1622,"&lt;&gt;OK"))</f>
        <v/>
      </c>
      <c r="V1622">
        <f>IF(OR(NOT(EXACT(E1622,TRIM(Procurement_Raw!E1622))),NOT(EXACT(F1622,TRIM(Procurement_Raw!F1622)))),1,0)</f>
        <v>0</v>
      </c>
    </row>
    <row r="1623" spans="1:22" ht="15" customHeight="1" x14ac:dyDescent="0.25">
      <c r="A1623" s="123">
        <f>Procurement_Raw!A1623</f>
        <v>45798</v>
      </c>
      <c r="B1623" t="str">
        <f>TRIM(Procurement_Raw!B1623)</f>
        <v>S003</v>
      </c>
      <c r="C1623" t="str">
        <f>Procurement_Raw!C1623</f>
        <v>Leeds Care &amp; Education Centre</v>
      </c>
      <c r="D1623" t="str">
        <f>Procurement_Raw!D1623</f>
        <v>North</v>
      </c>
      <c r="E1623" t="str">
        <f>IF(TRIM(Procurement_Raw!E1623)="","",IFERROR(INDEX(Supplier_Lookup!$A$2:$A$25,MATCH(TRIM(Procurement_Raw!E1623),Supplier_Lookup!$A$2:$A$25,0)),TRIM(Procurement_Raw!E1623)))</f>
        <v>CleanWorks</v>
      </c>
      <c r="F1623" t="str">
        <f>IFERROR(INDEX(Category_Targets!$A$2:$A$9,MATCH(TRIM(Procurement_Raw!F1623),Category_Targets!$A$2:$A$9,0)),"Unmapped")</f>
        <v>Facilities</v>
      </c>
      <c r="G1623" t="str">
        <f>TRIM(Procurement_Raw!G1623)</f>
        <v>INV-2025-01622</v>
      </c>
      <c r="H1623" s="77">
        <f>Procurement_Raw!H1623</f>
        <v>2</v>
      </c>
      <c r="I1623" s="124">
        <f>Procurement_Raw!I1623</f>
        <v>81.61</v>
      </c>
      <c r="J1623" s="125">
        <f>IF(Procurement_Raw!J1623="","",Procurement_Raw!J1623)</f>
        <v>163.21</v>
      </c>
      <c r="K1623" s="77">
        <f>Procurement_Raw!K1623</f>
        <v>30</v>
      </c>
      <c r="L1623" t="str">
        <f>Procurement_Raw!L1623</f>
        <v>Procurement Portal</v>
      </c>
      <c r="M1623" t="str">
        <f>Procurement_Raw!O1623</f>
        <v>Y</v>
      </c>
      <c r="N1623" t="str">
        <f>IF(E1623="","Missing supplier",IF(B1623="","Missing site",IF(J1623="","Missing spend",IF(COUNTIFS($G$2:G1623,G1623,$E$2:E1623,E1623,$J$2:J1623,J1623)&gt;1,"Duplicate invoice",IF(COUNTIF($G$2:$G$1801,G1623)&gt;1,"Duplicate ID - review",IF(AND(P1623&lt;&gt;"Unmapped",P1623&lt;&gt;F1623),"Category mismatch","OK"))))))</f>
        <v>OK</v>
      </c>
      <c r="O1623" s="125">
        <f t="shared" si="75"/>
        <v>163.21</v>
      </c>
      <c r="P1623" t="str">
        <f>IF(E1623="","Unmapped",IFERROR(INDEX(Supplier_Lookup!$B$2:$B$25,MATCH(E1623,Supplier_Lookup!$A$2:$A$25,0)),"Unmapped"))</f>
        <v>Facilities</v>
      </c>
      <c r="Q1623" s="76">
        <f>IFERROR(INDEX(Category_Targets!$B$2:$B$9,MATCH(F1623,Category_Targets!$A$2:$A$9,0)),0)</f>
        <v>0.05</v>
      </c>
      <c r="R1623" s="125">
        <f t="shared" si="76"/>
        <v>8.1605000000000008</v>
      </c>
      <c r="S1623" s="78">
        <f t="shared" si="77"/>
        <v>45778</v>
      </c>
      <c r="T1623" t="str">
        <f>IFERROR(VLOOKUP(B1623,Sites!$A$2:$D$21,4,FALSE()),"Unknown")</f>
        <v>Leeds</v>
      </c>
      <c r="U1623" t="str">
        <f>IF(N1623="OK","",COUNTIF($N$2:N1623,"&lt;&gt;OK"))</f>
        <v/>
      </c>
      <c r="V1623">
        <f>IF(OR(NOT(EXACT(E1623,TRIM(Procurement_Raw!E1623))),NOT(EXACT(F1623,TRIM(Procurement_Raw!F1623)))),1,0)</f>
        <v>0</v>
      </c>
    </row>
    <row r="1624" spans="1:22" ht="15" customHeight="1" x14ac:dyDescent="0.25">
      <c r="A1624" s="123">
        <f>Procurement_Raw!A1624</f>
        <v>45721</v>
      </c>
      <c r="B1624" t="str">
        <f>TRIM(Procurement_Raw!B1624)</f>
        <v>S017</v>
      </c>
      <c r="C1624" t="str">
        <f>Procurement_Raw!C1624</f>
        <v>Swansea Care &amp; Education Centre</v>
      </c>
      <c r="D1624" t="str">
        <f>Procurement_Raw!D1624</f>
        <v>Wales</v>
      </c>
      <c r="E1624" t="str">
        <f>IF(TRIM(Procurement_Raw!E1624)="","",IFERROR(INDEX(Supplier_Lookup!$A$2:$A$25,MATCH(TRIM(Procurement_Raw!E1624),Supplier_Lookup!$A$2:$A$25,0)),TRIM(Procurement_Raw!E1624)))</f>
        <v>HealthStaffing</v>
      </c>
      <c r="F1624" t="str">
        <f>IFERROR(INDEX(Category_Targets!$A$2:$A$9,MATCH(TRIM(Procurement_Raw!F1624),Category_Targets!$A$2:$A$9,0)),"Unmapped")</f>
        <v>Agency Labour</v>
      </c>
      <c r="G1624" t="str">
        <f>TRIM(Procurement_Raw!G1624)</f>
        <v>INV-2025-01623</v>
      </c>
      <c r="H1624" s="77">
        <f>Procurement_Raw!H1624</f>
        <v>23</v>
      </c>
      <c r="I1624" s="124">
        <f>Procurement_Raw!I1624</f>
        <v>497.38</v>
      </c>
      <c r="J1624" s="125">
        <f>IF(Procurement_Raw!J1624="","",Procurement_Raw!J1624)</f>
        <v>11439.79</v>
      </c>
      <c r="K1624" s="77">
        <f>Procurement_Raw!K1624</f>
        <v>60</v>
      </c>
      <c r="L1624" t="str">
        <f>Procurement_Raw!L1624</f>
        <v>Legacy Spend File</v>
      </c>
      <c r="M1624" t="str">
        <f>Procurement_Raw!O1624</f>
        <v>N</v>
      </c>
      <c r="N1624" t="str">
        <f>IF(E1624="","Missing supplier",IF(B1624="","Missing site",IF(J1624="","Missing spend",IF(COUNTIFS($G$2:G1624,G1624,$E$2:E1624,E1624,$J$2:J1624,J1624)&gt;1,"Duplicate invoice",IF(COUNTIF($G$2:$G$1801,G1624)&gt;1,"Duplicate ID - review",IF(AND(P1624&lt;&gt;"Unmapped",P1624&lt;&gt;F1624),"Category mismatch","OK"))))))</f>
        <v>OK</v>
      </c>
      <c r="O1624" s="125">
        <f t="shared" si="75"/>
        <v>11439.79</v>
      </c>
      <c r="P1624" t="str">
        <f>IF(E1624="","Unmapped",IFERROR(INDEX(Supplier_Lookup!$B$2:$B$25,MATCH(E1624,Supplier_Lookup!$A$2:$A$25,0)),"Unmapped"))</f>
        <v>Agency Labour</v>
      </c>
      <c r="Q1624" s="76">
        <f>IFERROR(INDEX(Category_Targets!$B$2:$B$9,MATCH(F1624,Category_Targets!$A$2:$A$9,0)),0)</f>
        <v>7.0000000000000007E-2</v>
      </c>
      <c r="R1624" s="125">
        <f t="shared" si="76"/>
        <v>800.78530000000012</v>
      </c>
      <c r="S1624" s="78">
        <f t="shared" si="77"/>
        <v>45717</v>
      </c>
      <c r="T1624" t="str">
        <f>IFERROR(VLOOKUP(B1624,Sites!$A$2:$D$21,4,FALSE()),"Unknown")</f>
        <v>Swansea</v>
      </c>
      <c r="U1624" t="str">
        <f>IF(N1624="OK","",COUNTIF($N$2:N1624,"&lt;&gt;OK"))</f>
        <v/>
      </c>
      <c r="V1624">
        <f>IF(OR(NOT(EXACT(E1624,TRIM(Procurement_Raw!E1624))),NOT(EXACT(F1624,TRIM(Procurement_Raw!F1624)))),1,0)</f>
        <v>0</v>
      </c>
    </row>
    <row r="1625" spans="1:22" ht="15" customHeight="1" x14ac:dyDescent="0.25">
      <c r="A1625" s="123">
        <f>Procurement_Raw!A1625</f>
        <v>45928</v>
      </c>
      <c r="B1625" t="str">
        <f>TRIM(Procurement_Raw!B1625)</f>
        <v>S006</v>
      </c>
      <c r="C1625" t="str">
        <f>Procurement_Raw!C1625</f>
        <v>Birmingham Care &amp; Education Centre</v>
      </c>
      <c r="D1625" t="str">
        <f>Procurement_Raw!D1625</f>
        <v>Midlands</v>
      </c>
      <c r="E1625" t="str">
        <f>IF(TRIM(Procurement_Raw!E1625)="","",IFERROR(INDEX(Supplier_Lookup!$A$2:$A$25,MATCH(TRIM(Procurement_Raw!E1625),Supplier_Lookup!$A$2:$A$25,0)),TRIM(Procurement_Raw!E1625)))</f>
        <v>OfficePlus</v>
      </c>
      <c r="F1625" t="str">
        <f>IFERROR(INDEX(Category_Targets!$A$2:$A$9,MATCH(TRIM(Procurement_Raw!F1625),Category_Targets!$A$2:$A$9,0)),"Unmapped")</f>
        <v>Office &amp; Training</v>
      </c>
      <c r="G1625" t="str">
        <f>TRIM(Procurement_Raw!G1625)</f>
        <v>INV-2025-01624</v>
      </c>
      <c r="H1625" s="77">
        <f>Procurement_Raw!H1625</f>
        <v>45</v>
      </c>
      <c r="I1625" s="124">
        <f>Procurement_Raw!I1625</f>
        <v>51.94</v>
      </c>
      <c r="J1625" s="125">
        <f>IF(Procurement_Raw!J1625="","",Procurement_Raw!J1625)</f>
        <v>2337.11</v>
      </c>
      <c r="K1625" s="77">
        <f>Procurement_Raw!K1625</f>
        <v>60</v>
      </c>
      <c r="L1625" t="str">
        <f>Procurement_Raw!L1625</f>
        <v>Legacy Spend File</v>
      </c>
      <c r="M1625" t="str">
        <f>Procurement_Raw!O1625</f>
        <v>N</v>
      </c>
      <c r="N1625" t="str">
        <f>IF(E1625="","Missing supplier",IF(B1625="","Missing site",IF(J1625="","Missing spend",IF(COUNTIFS($G$2:G1625,G1625,$E$2:E1625,E1625,$J$2:J1625,J1625)&gt;1,"Duplicate invoice",IF(COUNTIF($G$2:$G$1801,G1625)&gt;1,"Duplicate ID - review",IF(AND(P1625&lt;&gt;"Unmapped",P1625&lt;&gt;F1625),"Category mismatch","OK"))))))</f>
        <v>OK</v>
      </c>
      <c r="O1625" s="125">
        <f t="shared" si="75"/>
        <v>2337.11</v>
      </c>
      <c r="P1625" t="str">
        <f>IF(E1625="","Unmapped",IFERROR(INDEX(Supplier_Lookup!$B$2:$B$25,MATCH(E1625,Supplier_Lookup!$A$2:$A$25,0)),"Unmapped"))</f>
        <v>Office &amp; Training</v>
      </c>
      <c r="Q1625" s="76">
        <f>IFERROR(INDEX(Category_Targets!$B$2:$B$9,MATCH(F1625,Category_Targets!$A$2:$A$9,0)),0)</f>
        <v>0.04</v>
      </c>
      <c r="R1625" s="125">
        <f t="shared" si="76"/>
        <v>93.484400000000008</v>
      </c>
      <c r="S1625" s="78">
        <f t="shared" si="77"/>
        <v>45901</v>
      </c>
      <c r="T1625" t="str">
        <f>IFERROR(VLOOKUP(B1625,Sites!$A$2:$D$21,4,FALSE()),"Unknown")</f>
        <v>Birmingham</v>
      </c>
      <c r="U1625" t="str">
        <f>IF(N1625="OK","",COUNTIF($N$2:N1625,"&lt;&gt;OK"))</f>
        <v/>
      </c>
      <c r="V1625">
        <f>IF(OR(NOT(EXACT(E1625,TRIM(Procurement_Raw!E1625))),NOT(EXACT(F1625,TRIM(Procurement_Raw!F1625)))),1,0)</f>
        <v>0</v>
      </c>
    </row>
    <row r="1626" spans="1:22" ht="15" customHeight="1" x14ac:dyDescent="0.25">
      <c r="A1626" s="123">
        <f>Procurement_Raw!A1626</f>
        <v>45708</v>
      </c>
      <c r="B1626" t="str">
        <f>TRIM(Procurement_Raw!B1626)</f>
        <v>S006</v>
      </c>
      <c r="C1626" t="str">
        <f>Procurement_Raw!C1626</f>
        <v>Birmingham Care &amp; Education Centre</v>
      </c>
      <c r="D1626" t="str">
        <f>Procurement_Raw!D1626</f>
        <v>Midlands</v>
      </c>
      <c r="E1626" t="str">
        <f>IF(TRIM(Procurement_Raw!E1626)="","",IFERROR(INDEX(Supplier_Lookup!$A$2:$A$25,MATCH(TRIM(Procurement_Raw!E1626),Supplier_Lookup!$A$2:$A$25,0)),TRIM(Procurement_Raw!E1626)))</f>
        <v>NetServe</v>
      </c>
      <c r="F1626" t="str">
        <f>IFERROR(INDEX(Category_Targets!$A$2:$A$9,MATCH(TRIM(Procurement_Raw!F1626),Category_Targets!$A$2:$A$9,0)),"Unmapped")</f>
        <v>IT &amp; Telecoms</v>
      </c>
      <c r="G1626" t="str">
        <f>TRIM(Procurement_Raw!G1626)</f>
        <v>INV-2025-01625</v>
      </c>
      <c r="H1626" s="77">
        <f>Procurement_Raw!H1626</f>
        <v>7</v>
      </c>
      <c r="I1626" s="124">
        <f>Procurement_Raw!I1626</f>
        <v>616.42999999999995</v>
      </c>
      <c r="J1626" s="125">
        <f>IF(Procurement_Raw!J1626="","",Procurement_Raw!J1626)</f>
        <v>4315</v>
      </c>
      <c r="K1626" s="77">
        <f>Procurement_Raw!K1626</f>
        <v>30</v>
      </c>
      <c r="L1626" t="str">
        <f>Procurement_Raw!L1626</f>
        <v>Procurement Portal</v>
      </c>
      <c r="M1626" t="str">
        <f>Procurement_Raw!O1626</f>
        <v>N</v>
      </c>
      <c r="N1626" t="str">
        <f>IF(E1626="","Missing supplier",IF(B1626="","Missing site",IF(J1626="","Missing spend",IF(COUNTIFS($G$2:G1626,G1626,$E$2:E1626,E1626,$J$2:J1626,J1626)&gt;1,"Duplicate invoice",IF(COUNTIF($G$2:$G$1801,G1626)&gt;1,"Duplicate ID - review",IF(AND(P1626&lt;&gt;"Unmapped",P1626&lt;&gt;F1626),"Category mismatch","OK"))))))</f>
        <v>OK</v>
      </c>
      <c r="O1626" s="125">
        <f t="shared" si="75"/>
        <v>4315</v>
      </c>
      <c r="P1626" t="str">
        <f>IF(E1626="","Unmapped",IFERROR(INDEX(Supplier_Lookup!$B$2:$B$25,MATCH(E1626,Supplier_Lookup!$A$2:$A$25,0)),"Unmapped"))</f>
        <v>IT &amp; Telecoms</v>
      </c>
      <c r="Q1626" s="76">
        <f>IFERROR(INDEX(Category_Targets!$B$2:$B$9,MATCH(F1626,Category_Targets!$A$2:$A$9,0)),0)</f>
        <v>0.08</v>
      </c>
      <c r="R1626" s="125">
        <f t="shared" si="76"/>
        <v>345.2</v>
      </c>
      <c r="S1626" s="78">
        <f t="shared" si="77"/>
        <v>45689</v>
      </c>
      <c r="T1626" t="str">
        <f>IFERROR(VLOOKUP(B1626,Sites!$A$2:$D$21,4,FALSE()),"Unknown")</f>
        <v>Birmingham</v>
      </c>
      <c r="U1626" t="str">
        <f>IF(N1626="OK","",COUNTIF($N$2:N1626,"&lt;&gt;OK"))</f>
        <v/>
      </c>
      <c r="V1626">
        <f>IF(OR(NOT(EXACT(E1626,TRIM(Procurement_Raw!E1626))),NOT(EXACT(F1626,TRIM(Procurement_Raw!F1626)))),1,0)</f>
        <v>0</v>
      </c>
    </row>
    <row r="1627" spans="1:22" ht="15" customHeight="1" x14ac:dyDescent="0.25">
      <c r="A1627" s="123">
        <f>Procurement_Raw!A1627</f>
        <v>45834</v>
      </c>
      <c r="B1627" t="str">
        <f>TRIM(Procurement_Raw!B1627)</f>
        <v>S001</v>
      </c>
      <c r="C1627" t="str">
        <f>Procurement_Raw!C1627</f>
        <v>Preston Care &amp; Education Centre</v>
      </c>
      <c r="D1627" t="str">
        <f>Procurement_Raw!D1627</f>
        <v>North</v>
      </c>
      <c r="E1627" t="str">
        <f>IF(TRIM(Procurement_Raw!E1627)="","",IFERROR(INDEX(Supplier_Lookup!$A$2:$A$25,MATCH(TRIM(Procurement_Raw!E1627),Supplier_Lookup!$A$2:$A$25,0)),TRIM(Procurement_Raw!E1627)))</f>
        <v>HealthStaffing</v>
      </c>
      <c r="F1627" t="str">
        <f>IFERROR(INDEX(Category_Targets!$A$2:$A$9,MATCH(TRIM(Procurement_Raw!F1627),Category_Targets!$A$2:$A$9,0)),"Unmapped")</f>
        <v>Agency Labour</v>
      </c>
      <c r="G1627" t="str">
        <f>TRIM(Procurement_Raw!G1627)</f>
        <v>INV-2025-01626</v>
      </c>
      <c r="H1627" s="77">
        <f>Procurement_Raw!H1627</f>
        <v>69</v>
      </c>
      <c r="I1627" s="124">
        <f>Procurement_Raw!I1627</f>
        <v>543.38</v>
      </c>
      <c r="J1627" s="125">
        <f>IF(Procurement_Raw!J1627="","",Procurement_Raw!J1627)</f>
        <v>37493.22</v>
      </c>
      <c r="K1627" s="77">
        <f>Procurement_Raw!K1627</f>
        <v>60</v>
      </c>
      <c r="L1627" t="str">
        <f>Procurement_Raw!L1627</f>
        <v>Legacy Spend File</v>
      </c>
      <c r="M1627" t="str">
        <f>Procurement_Raw!O1627</f>
        <v>N</v>
      </c>
      <c r="N1627" t="str">
        <f>IF(E1627="","Missing supplier",IF(B1627="","Missing site",IF(J1627="","Missing spend",IF(COUNTIFS($G$2:G1627,G1627,$E$2:E1627,E1627,$J$2:J1627,J1627)&gt;1,"Duplicate invoice",IF(COUNTIF($G$2:$G$1801,G1627)&gt;1,"Duplicate ID - review",IF(AND(P1627&lt;&gt;"Unmapped",P1627&lt;&gt;F1627),"Category mismatch","OK"))))))</f>
        <v>OK</v>
      </c>
      <c r="O1627" s="125">
        <f t="shared" si="75"/>
        <v>37493.22</v>
      </c>
      <c r="P1627" t="str">
        <f>IF(E1627="","Unmapped",IFERROR(INDEX(Supplier_Lookup!$B$2:$B$25,MATCH(E1627,Supplier_Lookup!$A$2:$A$25,0)),"Unmapped"))</f>
        <v>Agency Labour</v>
      </c>
      <c r="Q1627" s="76">
        <f>IFERROR(INDEX(Category_Targets!$B$2:$B$9,MATCH(F1627,Category_Targets!$A$2:$A$9,0)),0)</f>
        <v>7.0000000000000007E-2</v>
      </c>
      <c r="R1627" s="125">
        <f t="shared" si="76"/>
        <v>2624.5254000000004</v>
      </c>
      <c r="S1627" s="78">
        <f t="shared" si="77"/>
        <v>45809</v>
      </c>
      <c r="T1627" t="str">
        <f>IFERROR(VLOOKUP(B1627,Sites!$A$2:$D$21,4,FALSE()),"Unknown")</f>
        <v>Preston</v>
      </c>
      <c r="U1627" t="str">
        <f>IF(N1627="OK","",COUNTIF($N$2:N1627,"&lt;&gt;OK"))</f>
        <v/>
      </c>
      <c r="V1627">
        <f>IF(OR(NOT(EXACT(E1627,TRIM(Procurement_Raw!E1627))),NOT(EXACT(F1627,TRIM(Procurement_Raw!F1627)))),1,0)</f>
        <v>0</v>
      </c>
    </row>
    <row r="1628" spans="1:22" ht="15" customHeight="1" x14ac:dyDescent="0.25">
      <c r="A1628" s="123">
        <f>Procurement_Raw!A1628</f>
        <v>45723</v>
      </c>
      <c r="B1628" t="str">
        <f>TRIM(Procurement_Raw!B1628)</f>
        <v>S002</v>
      </c>
      <c r="C1628" t="str">
        <f>Procurement_Raw!C1628</f>
        <v>Manchester Care &amp; Education Centre</v>
      </c>
      <c r="D1628" t="str">
        <f>Procurement_Raw!D1628</f>
        <v>North</v>
      </c>
      <c r="E1628" t="str">
        <f>IF(TRIM(Procurement_Raw!E1628)="","",IFERROR(INDEX(Supplier_Lookup!$A$2:$A$25,MATCH(TRIM(Procurement_Raw!E1628),Supplier_Lookup!$A$2:$A$25,0)),TRIM(Procurement_Raw!E1628)))</f>
        <v>PrintCo</v>
      </c>
      <c r="F1628" t="str">
        <f>IFERROR(INDEX(Category_Targets!$A$2:$A$9,MATCH(TRIM(Procurement_Raw!F1628),Category_Targets!$A$2:$A$9,0)),"Unmapped")</f>
        <v>Office &amp; Training</v>
      </c>
      <c r="G1628" t="str">
        <f>TRIM(Procurement_Raw!G1628)</f>
        <v>INV-2025-01627</v>
      </c>
      <c r="H1628" s="77">
        <f>Procurement_Raw!H1628</f>
        <v>34</v>
      </c>
      <c r="I1628" s="124">
        <f>Procurement_Raw!I1628</f>
        <v>58.64</v>
      </c>
      <c r="J1628" s="125">
        <f>IF(Procurement_Raw!J1628="","",Procurement_Raw!J1628)</f>
        <v>1993.85</v>
      </c>
      <c r="K1628" s="77">
        <f>Procurement_Raw!K1628</f>
        <v>30</v>
      </c>
      <c r="L1628" t="str">
        <f>Procurement_Raw!L1628</f>
        <v>Legacy Spend File</v>
      </c>
      <c r="M1628" t="str">
        <f>Procurement_Raw!O1628</f>
        <v>N</v>
      </c>
      <c r="N1628" t="str">
        <f>IF(E1628="","Missing supplier",IF(B1628="","Missing site",IF(J1628="","Missing spend",IF(COUNTIFS($G$2:G1628,G1628,$E$2:E1628,E1628,$J$2:J1628,J1628)&gt;1,"Duplicate invoice",IF(COUNTIF($G$2:$G$1801,G1628)&gt;1,"Duplicate ID - review",IF(AND(P1628&lt;&gt;"Unmapped",P1628&lt;&gt;F1628),"Category mismatch","OK"))))))</f>
        <v>OK</v>
      </c>
      <c r="O1628" s="125">
        <f t="shared" si="75"/>
        <v>1993.85</v>
      </c>
      <c r="P1628" t="str">
        <f>IF(E1628="","Unmapped",IFERROR(INDEX(Supplier_Lookup!$B$2:$B$25,MATCH(E1628,Supplier_Lookup!$A$2:$A$25,0)),"Unmapped"))</f>
        <v>Office &amp; Training</v>
      </c>
      <c r="Q1628" s="76">
        <f>IFERROR(INDEX(Category_Targets!$B$2:$B$9,MATCH(F1628,Category_Targets!$A$2:$A$9,0)),0)</f>
        <v>0.04</v>
      </c>
      <c r="R1628" s="125">
        <f t="shared" si="76"/>
        <v>79.754000000000005</v>
      </c>
      <c r="S1628" s="78">
        <f t="shared" si="77"/>
        <v>45717</v>
      </c>
      <c r="T1628" t="str">
        <f>IFERROR(VLOOKUP(B1628,Sites!$A$2:$D$21,4,FALSE()),"Unknown")</f>
        <v>Manchester</v>
      </c>
      <c r="U1628" t="str">
        <f>IF(N1628="OK","",COUNTIF($N$2:N1628,"&lt;&gt;OK"))</f>
        <v/>
      </c>
      <c r="V1628">
        <f>IF(OR(NOT(EXACT(E1628,TRIM(Procurement_Raw!E1628))),NOT(EXACT(F1628,TRIM(Procurement_Raw!F1628)))),1,0)</f>
        <v>0</v>
      </c>
    </row>
    <row r="1629" spans="1:22" ht="15" customHeight="1" x14ac:dyDescent="0.25">
      <c r="A1629" s="123">
        <f>Procurement_Raw!A1629</f>
        <v>45722</v>
      </c>
      <c r="B1629" t="str">
        <f>TRIM(Procurement_Raw!B1629)</f>
        <v>S003</v>
      </c>
      <c r="C1629" t="str">
        <f>Procurement_Raw!C1629</f>
        <v>Leeds Care &amp; Education Centre</v>
      </c>
      <c r="D1629" t="str">
        <f>Procurement_Raw!D1629</f>
        <v>North</v>
      </c>
      <c r="E1629" t="str">
        <f>IF(TRIM(Procurement_Raw!E1629)="","",IFERROR(INDEX(Supplier_Lookup!$A$2:$A$25,MATCH(TRIM(Procurement_Raw!E1629),Supplier_Lookup!$A$2:$A$25,0)),TRIM(Procurement_Raw!E1629)))</f>
        <v>BuildCare</v>
      </c>
      <c r="F1629" t="str">
        <f>IFERROR(INDEX(Category_Targets!$A$2:$A$9,MATCH(TRIM(Procurement_Raw!F1629),Category_Targets!$A$2:$A$9,0)),"Unmapped")</f>
        <v>Facilities</v>
      </c>
      <c r="G1629" t="str">
        <f>TRIM(Procurement_Raw!G1629)</f>
        <v>INV-2025-01628</v>
      </c>
      <c r="H1629" s="77">
        <f>Procurement_Raw!H1629</f>
        <v>19</v>
      </c>
      <c r="I1629" s="124">
        <f>Procurement_Raw!I1629</f>
        <v>364.13</v>
      </c>
      <c r="J1629" s="125">
        <f>IF(Procurement_Raw!J1629="","",Procurement_Raw!J1629)</f>
        <v>6918.5</v>
      </c>
      <c r="K1629" s="77">
        <f>Procurement_Raw!K1629</f>
        <v>45</v>
      </c>
      <c r="L1629" t="str">
        <f>Procurement_Raw!L1629</f>
        <v>Legacy Spend File</v>
      </c>
      <c r="M1629" t="str">
        <f>Procurement_Raw!O1629</f>
        <v>N</v>
      </c>
      <c r="N1629" t="str">
        <f>IF(E1629="","Missing supplier",IF(B1629="","Missing site",IF(J1629="","Missing spend",IF(COUNTIFS($G$2:G1629,G1629,$E$2:E1629,E1629,$J$2:J1629,J1629)&gt;1,"Duplicate invoice",IF(COUNTIF($G$2:$G$1801,G1629)&gt;1,"Duplicate ID - review",IF(AND(P1629&lt;&gt;"Unmapped",P1629&lt;&gt;F1629),"Category mismatch","OK"))))))</f>
        <v>OK</v>
      </c>
      <c r="O1629" s="125">
        <f t="shared" si="75"/>
        <v>6918.5</v>
      </c>
      <c r="P1629" t="str">
        <f>IF(E1629="","Unmapped",IFERROR(INDEX(Supplier_Lookup!$B$2:$B$25,MATCH(E1629,Supplier_Lookup!$A$2:$A$25,0)),"Unmapped"))</f>
        <v>Facilities</v>
      </c>
      <c r="Q1629" s="76">
        <f>IFERROR(INDEX(Category_Targets!$B$2:$B$9,MATCH(F1629,Category_Targets!$A$2:$A$9,0)),0)</f>
        <v>0.05</v>
      </c>
      <c r="R1629" s="125">
        <f t="shared" si="76"/>
        <v>345.92500000000001</v>
      </c>
      <c r="S1629" s="78">
        <f t="shared" si="77"/>
        <v>45717</v>
      </c>
      <c r="T1629" t="str">
        <f>IFERROR(VLOOKUP(B1629,Sites!$A$2:$D$21,4,FALSE()),"Unknown")</f>
        <v>Leeds</v>
      </c>
      <c r="U1629" t="str">
        <f>IF(N1629="OK","",COUNTIF($N$2:N1629,"&lt;&gt;OK"))</f>
        <v/>
      </c>
      <c r="V1629">
        <f>IF(OR(NOT(EXACT(E1629,TRIM(Procurement_Raw!E1629))),NOT(EXACT(F1629,TRIM(Procurement_Raw!F1629)))),1,0)</f>
        <v>0</v>
      </c>
    </row>
    <row r="1630" spans="1:22" ht="15" customHeight="1" x14ac:dyDescent="0.25">
      <c r="A1630" s="123">
        <f>Procurement_Raw!A1630</f>
        <v>45985</v>
      </c>
      <c r="B1630" t="str">
        <f>TRIM(Procurement_Raw!B1630)</f>
        <v>S006</v>
      </c>
      <c r="C1630" t="str">
        <f>Procurement_Raw!C1630</f>
        <v>Birmingham Care &amp; Education Centre</v>
      </c>
      <c r="D1630" t="str">
        <f>Procurement_Raw!D1630</f>
        <v>Midlands</v>
      </c>
      <c r="E1630" t="str">
        <f>IF(TRIM(Procurement_Raw!E1630)="","",IFERROR(INDEX(Supplier_Lookup!$A$2:$A$25,MATCH(TRIM(Procurement_Raw!E1630),Supplier_Lookup!$A$2:$A$25,0)),TRIM(Procurement_Raw!E1630)))</f>
        <v>CloudLink</v>
      </c>
      <c r="F1630" t="str">
        <f>IFERROR(INDEX(Category_Targets!$A$2:$A$9,MATCH(TRIM(Procurement_Raw!F1630),Category_Targets!$A$2:$A$9,0)),"Unmapped")</f>
        <v>IT &amp; Telecoms</v>
      </c>
      <c r="G1630" t="str">
        <f>TRIM(Procurement_Raw!G1630)</f>
        <v>INV-2025-01629</v>
      </c>
      <c r="H1630" s="77">
        <f>Procurement_Raw!H1630</f>
        <v>48</v>
      </c>
      <c r="I1630" s="124">
        <f>Procurement_Raw!I1630</f>
        <v>228.37</v>
      </c>
      <c r="J1630" s="125">
        <f>IF(Procurement_Raw!J1630="","",Procurement_Raw!J1630)</f>
        <v>10961.55</v>
      </c>
      <c r="K1630" s="77">
        <f>Procurement_Raw!K1630</f>
        <v>60</v>
      </c>
      <c r="L1630" t="str">
        <f>Procurement_Raw!L1630</f>
        <v>ERP</v>
      </c>
      <c r="M1630" t="str">
        <f>Procurement_Raw!O1630</f>
        <v>Y</v>
      </c>
      <c r="N1630" t="str">
        <f>IF(E1630="","Missing supplier",IF(B1630="","Missing site",IF(J1630="","Missing spend",IF(COUNTIFS($G$2:G1630,G1630,$E$2:E1630,E1630,$J$2:J1630,J1630)&gt;1,"Duplicate invoice",IF(COUNTIF($G$2:$G$1801,G1630)&gt;1,"Duplicate ID - review",IF(AND(P1630&lt;&gt;"Unmapped",P1630&lt;&gt;F1630),"Category mismatch","OK"))))))</f>
        <v>OK</v>
      </c>
      <c r="O1630" s="125">
        <f t="shared" si="75"/>
        <v>10961.55</v>
      </c>
      <c r="P1630" t="str">
        <f>IF(E1630="","Unmapped",IFERROR(INDEX(Supplier_Lookup!$B$2:$B$25,MATCH(E1630,Supplier_Lookup!$A$2:$A$25,0)),"Unmapped"))</f>
        <v>IT &amp; Telecoms</v>
      </c>
      <c r="Q1630" s="76">
        <f>IFERROR(INDEX(Category_Targets!$B$2:$B$9,MATCH(F1630,Category_Targets!$A$2:$A$9,0)),0)</f>
        <v>0.08</v>
      </c>
      <c r="R1630" s="125">
        <f t="shared" si="76"/>
        <v>876.92399999999998</v>
      </c>
      <c r="S1630" s="78">
        <f t="shared" si="77"/>
        <v>45962</v>
      </c>
      <c r="T1630" t="str">
        <f>IFERROR(VLOOKUP(B1630,Sites!$A$2:$D$21,4,FALSE()),"Unknown")</f>
        <v>Birmingham</v>
      </c>
      <c r="U1630" t="str">
        <f>IF(N1630="OK","",COUNTIF($N$2:N1630,"&lt;&gt;OK"))</f>
        <v/>
      </c>
      <c r="V1630">
        <f>IF(OR(NOT(EXACT(E1630,TRIM(Procurement_Raw!E1630))),NOT(EXACT(F1630,TRIM(Procurement_Raw!F1630)))),1,0)</f>
        <v>0</v>
      </c>
    </row>
    <row r="1631" spans="1:22" ht="15" customHeight="1" x14ac:dyDescent="0.25">
      <c r="A1631" s="123">
        <f>Procurement_Raw!A1631</f>
        <v>45892</v>
      </c>
      <c r="B1631" t="str">
        <f>TRIM(Procurement_Raw!B1631)</f>
        <v>S010</v>
      </c>
      <c r="C1631" t="str">
        <f>Procurement_Raw!C1631</f>
        <v>Coventry Care &amp; Education Centre</v>
      </c>
      <c r="D1631" t="str">
        <f>Procurement_Raw!D1631</f>
        <v>Midlands</v>
      </c>
      <c r="E1631" t="str">
        <f>IF(TRIM(Procurement_Raw!E1631)="","",IFERROR(INDEX(Supplier_Lookup!$A$2:$A$25,MATCH(TRIM(Procurement_Raw!E1631),Supplier_Lookup!$A$2:$A$25,0)),TRIM(Procurement_Raw!E1631)))</f>
        <v>NurseLink</v>
      </c>
      <c r="F1631" t="str">
        <f>IFERROR(INDEX(Category_Targets!$A$2:$A$9,MATCH(TRIM(Procurement_Raw!F1631),Category_Targets!$A$2:$A$9,0)),"Unmapped")</f>
        <v>Agency Labour</v>
      </c>
      <c r="G1631" t="str">
        <f>TRIM(Procurement_Raw!G1631)</f>
        <v>INV-2025-01630</v>
      </c>
      <c r="H1631" s="77">
        <f>Procurement_Raw!H1631</f>
        <v>24</v>
      </c>
      <c r="I1631" s="124">
        <f>Procurement_Raw!I1631</f>
        <v>479.53</v>
      </c>
      <c r="J1631" s="125">
        <f>IF(Procurement_Raw!J1631="","",Procurement_Raw!J1631)</f>
        <v>11508.74</v>
      </c>
      <c r="K1631" s="77">
        <f>Procurement_Raw!K1631</f>
        <v>45</v>
      </c>
      <c r="L1631" t="str">
        <f>Procurement_Raw!L1631</f>
        <v>Procurement Portal</v>
      </c>
      <c r="M1631" t="str">
        <f>Procurement_Raw!O1631</f>
        <v>N</v>
      </c>
      <c r="N1631" t="str">
        <f>IF(E1631="","Missing supplier",IF(B1631="","Missing site",IF(J1631="","Missing spend",IF(COUNTIFS($G$2:G1631,G1631,$E$2:E1631,E1631,$J$2:J1631,J1631)&gt;1,"Duplicate invoice",IF(COUNTIF($G$2:$G$1801,G1631)&gt;1,"Duplicate ID - review",IF(AND(P1631&lt;&gt;"Unmapped",P1631&lt;&gt;F1631),"Category mismatch","OK"))))))</f>
        <v>OK</v>
      </c>
      <c r="O1631" s="125">
        <f t="shared" si="75"/>
        <v>11508.74</v>
      </c>
      <c r="P1631" t="str">
        <f>IF(E1631="","Unmapped",IFERROR(INDEX(Supplier_Lookup!$B$2:$B$25,MATCH(E1631,Supplier_Lookup!$A$2:$A$25,0)),"Unmapped"))</f>
        <v>Agency Labour</v>
      </c>
      <c r="Q1631" s="76">
        <f>IFERROR(INDEX(Category_Targets!$B$2:$B$9,MATCH(F1631,Category_Targets!$A$2:$A$9,0)),0)</f>
        <v>7.0000000000000007E-2</v>
      </c>
      <c r="R1631" s="125">
        <f t="shared" si="76"/>
        <v>805.61180000000002</v>
      </c>
      <c r="S1631" s="78">
        <f t="shared" si="77"/>
        <v>45870</v>
      </c>
      <c r="T1631" t="str">
        <f>IFERROR(VLOOKUP(B1631,Sites!$A$2:$D$21,4,FALSE()),"Unknown")</f>
        <v>Coventry</v>
      </c>
      <c r="U1631" t="str">
        <f>IF(N1631="OK","",COUNTIF($N$2:N1631,"&lt;&gt;OK"))</f>
        <v/>
      </c>
      <c r="V1631">
        <f>IF(OR(NOT(EXACT(E1631,TRIM(Procurement_Raw!E1631))),NOT(EXACT(F1631,TRIM(Procurement_Raw!F1631)))),1,0)</f>
        <v>0</v>
      </c>
    </row>
    <row r="1632" spans="1:22" ht="15" customHeight="1" x14ac:dyDescent="0.25">
      <c r="A1632" s="123">
        <f>Procurement_Raw!A1632</f>
        <v>45877</v>
      </c>
      <c r="B1632" t="str">
        <f>TRIM(Procurement_Raw!B1632)</f>
        <v>S011</v>
      </c>
      <c r="C1632" t="str">
        <f>Procurement_Raw!C1632</f>
        <v>London Care &amp; Education Centre</v>
      </c>
      <c r="D1632" t="str">
        <f>Procurement_Raw!D1632</f>
        <v>South</v>
      </c>
      <c r="E1632" t="str">
        <f>IF(TRIM(Procurement_Raw!E1632)="","",IFERROR(INDEX(Supplier_Lookup!$A$2:$A$25,MATCH(TRIM(Procurement_Raw!E1632),Supplier_Lookup!$A$2:$A$25,0)),TRIM(Procurement_Raw!E1632)))</f>
        <v>TeleCare IT</v>
      </c>
      <c r="F1632" t="str">
        <f>IFERROR(INDEX(Category_Targets!$A$2:$A$9,MATCH(TRIM(Procurement_Raw!F1632),Category_Targets!$A$2:$A$9,0)),"Unmapped")</f>
        <v>IT &amp; Telecoms</v>
      </c>
      <c r="G1632" t="str">
        <f>TRIM(Procurement_Raw!G1632)</f>
        <v>INV-2025-01631</v>
      </c>
      <c r="H1632" s="77">
        <f>Procurement_Raw!H1632</f>
        <v>67</v>
      </c>
      <c r="I1632" s="124">
        <f>Procurement_Raw!I1632</f>
        <v>287.20999999999998</v>
      </c>
      <c r="J1632" s="125">
        <f>IF(Procurement_Raw!J1632="","",Procurement_Raw!J1632)</f>
        <v>19243.400000000001</v>
      </c>
      <c r="K1632" s="77">
        <f>Procurement_Raw!K1632</f>
        <v>60</v>
      </c>
      <c r="L1632" t="str">
        <f>Procurement_Raw!L1632</f>
        <v>ERP</v>
      </c>
      <c r="M1632" t="str">
        <f>Procurement_Raw!O1632</f>
        <v>N</v>
      </c>
      <c r="N1632" t="str">
        <f>IF(E1632="","Missing supplier",IF(B1632="","Missing site",IF(J1632="","Missing spend",IF(COUNTIFS($G$2:G1632,G1632,$E$2:E1632,E1632,$J$2:J1632,J1632)&gt;1,"Duplicate invoice",IF(COUNTIF($G$2:$G$1801,G1632)&gt;1,"Duplicate ID - review",IF(AND(P1632&lt;&gt;"Unmapped",P1632&lt;&gt;F1632),"Category mismatch","OK"))))))</f>
        <v>OK</v>
      </c>
      <c r="O1632" s="125">
        <f t="shared" si="75"/>
        <v>19243.400000000001</v>
      </c>
      <c r="P1632" t="str">
        <f>IF(E1632="","Unmapped",IFERROR(INDEX(Supplier_Lookup!$B$2:$B$25,MATCH(E1632,Supplier_Lookup!$A$2:$A$25,0)),"Unmapped"))</f>
        <v>IT &amp; Telecoms</v>
      </c>
      <c r="Q1632" s="76">
        <f>IFERROR(INDEX(Category_Targets!$B$2:$B$9,MATCH(F1632,Category_Targets!$A$2:$A$9,0)),0)</f>
        <v>0.08</v>
      </c>
      <c r="R1632" s="125">
        <f t="shared" si="76"/>
        <v>1539.4720000000002</v>
      </c>
      <c r="S1632" s="78">
        <f t="shared" si="77"/>
        <v>45870</v>
      </c>
      <c r="T1632" t="str">
        <f>IFERROR(VLOOKUP(B1632,Sites!$A$2:$D$21,4,FALSE()),"Unknown")</f>
        <v>London</v>
      </c>
      <c r="U1632" t="str">
        <f>IF(N1632="OK","",COUNTIF($N$2:N1632,"&lt;&gt;OK"))</f>
        <v/>
      </c>
      <c r="V1632">
        <f>IF(OR(NOT(EXACT(E1632,TRIM(Procurement_Raw!E1632))),NOT(EXACT(F1632,TRIM(Procurement_Raw!F1632)))),1,0)</f>
        <v>0</v>
      </c>
    </row>
    <row r="1633" spans="1:22" ht="15" customHeight="1" x14ac:dyDescent="0.25">
      <c r="A1633" s="123">
        <f>Procurement_Raw!A1633</f>
        <v>45866</v>
      </c>
      <c r="B1633" t="str">
        <f>TRIM(Procurement_Raw!B1633)</f>
        <v>S010</v>
      </c>
      <c r="C1633" t="str">
        <f>Procurement_Raw!C1633</f>
        <v>Coventry Care &amp; Education Centre</v>
      </c>
      <c r="D1633" t="str">
        <f>Procurement_Raw!D1633</f>
        <v>Midlands</v>
      </c>
      <c r="E1633" t="str">
        <f>IF(TRIM(Procurement_Raw!E1633)="","",IFERROR(INDEX(Supplier_Lookup!$A$2:$A$25,MATCH(TRIM(Procurement_Raw!E1633),Supplier_Lookup!$A$2:$A$25,0)),TRIM(Procurement_Raw!E1633)))</f>
        <v>NourishCo</v>
      </c>
      <c r="F1633" t="str">
        <f>IFERROR(INDEX(Category_Targets!$A$2:$A$9,MATCH(TRIM(Procurement_Raw!F1633),Category_Targets!$A$2:$A$9,0)),"Unmapped")</f>
        <v>Food &amp; Catering</v>
      </c>
      <c r="G1633" t="str">
        <f>TRIM(Procurement_Raw!G1633)</f>
        <v>INV-2025-01632</v>
      </c>
      <c r="H1633" s="77">
        <f>Procurement_Raw!H1633</f>
        <v>41</v>
      </c>
      <c r="I1633" s="124">
        <f>Procurement_Raw!I1633</f>
        <v>40.81</v>
      </c>
      <c r="J1633" s="125">
        <f>IF(Procurement_Raw!J1633="","",Procurement_Raw!J1633)</f>
        <v>1673.15</v>
      </c>
      <c r="K1633" s="77">
        <f>Procurement_Raw!K1633</f>
        <v>30</v>
      </c>
      <c r="L1633" t="str">
        <f>Procurement_Raw!L1633</f>
        <v>Legacy Spend File</v>
      </c>
      <c r="M1633" t="str">
        <f>Procurement_Raw!O1633</f>
        <v>N</v>
      </c>
      <c r="N1633" t="str">
        <f>IF(E1633="","Missing supplier",IF(B1633="","Missing site",IF(J1633="","Missing spend",IF(COUNTIFS($G$2:G1633,G1633,$E$2:E1633,E1633,$J$2:J1633,J1633)&gt;1,"Duplicate invoice",IF(COUNTIF($G$2:$G$1801,G1633)&gt;1,"Duplicate ID - review",IF(AND(P1633&lt;&gt;"Unmapped",P1633&lt;&gt;F1633),"Category mismatch","OK"))))))</f>
        <v>OK</v>
      </c>
      <c r="O1633" s="125">
        <f t="shared" si="75"/>
        <v>1673.15</v>
      </c>
      <c r="P1633" t="str">
        <f>IF(E1633="","Unmapped",IFERROR(INDEX(Supplier_Lookup!$B$2:$B$25,MATCH(E1633,Supplier_Lookup!$A$2:$A$25,0)),"Unmapped"))</f>
        <v>Food &amp; Catering</v>
      </c>
      <c r="Q1633" s="76">
        <f>IFERROR(INDEX(Category_Targets!$B$2:$B$9,MATCH(F1633,Category_Targets!$A$2:$A$9,0)),0)</f>
        <v>0.04</v>
      </c>
      <c r="R1633" s="125">
        <f t="shared" si="76"/>
        <v>66.926000000000002</v>
      </c>
      <c r="S1633" s="78">
        <f t="shared" si="77"/>
        <v>45839</v>
      </c>
      <c r="T1633" t="str">
        <f>IFERROR(VLOOKUP(B1633,Sites!$A$2:$D$21,4,FALSE()),"Unknown")</f>
        <v>Coventry</v>
      </c>
      <c r="U1633" t="str">
        <f>IF(N1633="OK","",COUNTIF($N$2:N1633,"&lt;&gt;OK"))</f>
        <v/>
      </c>
      <c r="V1633">
        <f>IF(OR(NOT(EXACT(E1633,TRIM(Procurement_Raw!E1633))),NOT(EXACT(F1633,TRIM(Procurement_Raw!F1633)))),1,0)</f>
        <v>0</v>
      </c>
    </row>
    <row r="1634" spans="1:22" ht="15" customHeight="1" x14ac:dyDescent="0.25">
      <c r="A1634" s="123">
        <f>Procurement_Raw!A1634</f>
        <v>45780</v>
      </c>
      <c r="B1634" t="str">
        <f>TRIM(Procurement_Raw!B1634)</f>
        <v>S011</v>
      </c>
      <c r="C1634" t="str">
        <f>Procurement_Raw!C1634</f>
        <v>London Care &amp; Education Centre</v>
      </c>
      <c r="D1634" t="str">
        <f>Procurement_Raw!D1634</f>
        <v>South</v>
      </c>
      <c r="E1634" t="str">
        <f>IF(TRIM(Procurement_Raw!E1634)="","",IFERROR(INDEX(Supplier_Lookup!$A$2:$A$25,MATCH(TRIM(Procurement_Raw!E1634),Supplier_Lookup!$A$2:$A$25,0)),TRIM(Procurement_Raw!E1634)))</f>
        <v>KitchenPro</v>
      </c>
      <c r="F1634" t="str">
        <f>IFERROR(INDEX(Category_Targets!$A$2:$A$9,MATCH(TRIM(Procurement_Raw!F1634),Category_Targets!$A$2:$A$9,0)),"Unmapped")</f>
        <v>Food &amp; Catering</v>
      </c>
      <c r="G1634" t="str">
        <f>TRIM(Procurement_Raw!G1634)</f>
        <v>INV-2025-01633</v>
      </c>
      <c r="H1634" s="77">
        <f>Procurement_Raw!H1634</f>
        <v>12</v>
      </c>
      <c r="I1634" s="124">
        <f>Procurement_Raw!I1634</f>
        <v>45.62</v>
      </c>
      <c r="J1634" s="125">
        <f>IF(Procurement_Raw!J1634="","",Procurement_Raw!J1634)</f>
        <v>547.49</v>
      </c>
      <c r="K1634" s="77">
        <f>Procurement_Raw!K1634</f>
        <v>30</v>
      </c>
      <c r="L1634" t="str">
        <f>Procurement_Raw!L1634</f>
        <v>Legacy Spend File</v>
      </c>
      <c r="M1634" t="str">
        <f>Procurement_Raw!O1634</f>
        <v>N</v>
      </c>
      <c r="N1634" t="str">
        <f>IF(E1634="","Missing supplier",IF(B1634="","Missing site",IF(J1634="","Missing spend",IF(COUNTIFS($G$2:G1634,G1634,$E$2:E1634,E1634,$J$2:J1634,J1634)&gt;1,"Duplicate invoice",IF(COUNTIF($G$2:$G$1801,G1634)&gt;1,"Duplicate ID - review",IF(AND(P1634&lt;&gt;"Unmapped",P1634&lt;&gt;F1634),"Category mismatch","OK"))))))</f>
        <v>OK</v>
      </c>
      <c r="O1634" s="125">
        <f t="shared" si="75"/>
        <v>547.49</v>
      </c>
      <c r="P1634" t="str">
        <f>IF(E1634="","Unmapped",IFERROR(INDEX(Supplier_Lookup!$B$2:$B$25,MATCH(E1634,Supplier_Lookup!$A$2:$A$25,0)),"Unmapped"))</f>
        <v>Food &amp; Catering</v>
      </c>
      <c r="Q1634" s="76">
        <f>IFERROR(INDEX(Category_Targets!$B$2:$B$9,MATCH(F1634,Category_Targets!$A$2:$A$9,0)),0)</f>
        <v>0.04</v>
      </c>
      <c r="R1634" s="125">
        <f t="shared" si="76"/>
        <v>21.8996</v>
      </c>
      <c r="S1634" s="78">
        <f t="shared" si="77"/>
        <v>45778</v>
      </c>
      <c r="T1634" t="str">
        <f>IFERROR(VLOOKUP(B1634,Sites!$A$2:$D$21,4,FALSE()),"Unknown")</f>
        <v>London</v>
      </c>
      <c r="U1634" t="str">
        <f>IF(N1634="OK","",COUNTIF($N$2:N1634,"&lt;&gt;OK"))</f>
        <v/>
      </c>
      <c r="V1634">
        <f>IF(OR(NOT(EXACT(E1634,TRIM(Procurement_Raw!E1634))),NOT(EXACT(F1634,TRIM(Procurement_Raw!F1634)))),1,0)</f>
        <v>0</v>
      </c>
    </row>
    <row r="1635" spans="1:22" ht="15" customHeight="1" x14ac:dyDescent="0.25">
      <c r="A1635" s="123">
        <f>Procurement_Raw!A1635</f>
        <v>45804</v>
      </c>
      <c r="B1635" t="str">
        <f>TRIM(Procurement_Raw!B1635)</f>
        <v>S013</v>
      </c>
      <c r="C1635" t="str">
        <f>Procurement_Raw!C1635</f>
        <v>Reading Care &amp; Education Centre</v>
      </c>
      <c r="D1635" t="str">
        <f>Procurement_Raw!D1635</f>
        <v>South</v>
      </c>
      <c r="E1635" t="str">
        <f>IF(TRIM(Procurement_Raw!E1635)="","",IFERROR(INDEX(Supplier_Lookup!$A$2:$A$25,MATCH(TRIM(Procurement_Raw!E1635),Supplier_Lookup!$A$2:$A$25,0)),TRIM(Procurement_Raw!E1635)))</f>
        <v>KitchenPro</v>
      </c>
      <c r="F1635" t="str">
        <f>IFERROR(INDEX(Category_Targets!$A$2:$A$9,MATCH(TRIM(Procurement_Raw!F1635),Category_Targets!$A$2:$A$9,0)),"Unmapped")</f>
        <v>Food &amp; Catering</v>
      </c>
      <c r="G1635" t="str">
        <f>TRIM(Procurement_Raw!G1635)</f>
        <v>INV-2025-01634</v>
      </c>
      <c r="H1635" s="77">
        <f>Procurement_Raw!H1635</f>
        <v>71</v>
      </c>
      <c r="I1635" s="124">
        <f>Procurement_Raw!I1635</f>
        <v>114.53</v>
      </c>
      <c r="J1635" s="125">
        <f>IF(Procurement_Raw!J1635="","",Procurement_Raw!J1635)</f>
        <v>8131.87</v>
      </c>
      <c r="K1635" s="77">
        <f>Procurement_Raw!K1635</f>
        <v>45</v>
      </c>
      <c r="L1635" t="str">
        <f>Procurement_Raw!L1635</f>
        <v>ERP</v>
      </c>
      <c r="M1635" t="str">
        <f>Procurement_Raw!O1635</f>
        <v>N</v>
      </c>
      <c r="N1635" t="str">
        <f>IF(E1635="","Missing supplier",IF(B1635="","Missing site",IF(J1635="","Missing spend",IF(COUNTIFS($G$2:G1635,G1635,$E$2:E1635,E1635,$J$2:J1635,J1635)&gt;1,"Duplicate invoice",IF(COUNTIF($G$2:$G$1801,G1635)&gt;1,"Duplicate ID - review",IF(AND(P1635&lt;&gt;"Unmapped",P1635&lt;&gt;F1635),"Category mismatch","OK"))))))</f>
        <v>OK</v>
      </c>
      <c r="O1635" s="125">
        <f t="shared" si="75"/>
        <v>8131.87</v>
      </c>
      <c r="P1635" t="str">
        <f>IF(E1635="","Unmapped",IFERROR(INDEX(Supplier_Lookup!$B$2:$B$25,MATCH(E1635,Supplier_Lookup!$A$2:$A$25,0)),"Unmapped"))</f>
        <v>Food &amp; Catering</v>
      </c>
      <c r="Q1635" s="76">
        <f>IFERROR(INDEX(Category_Targets!$B$2:$B$9,MATCH(F1635,Category_Targets!$A$2:$A$9,0)),0)</f>
        <v>0.04</v>
      </c>
      <c r="R1635" s="125">
        <f t="shared" si="76"/>
        <v>325.27480000000003</v>
      </c>
      <c r="S1635" s="78">
        <f t="shared" si="77"/>
        <v>45778</v>
      </c>
      <c r="T1635" t="str">
        <f>IFERROR(VLOOKUP(B1635,Sites!$A$2:$D$21,4,FALSE()),"Unknown")</f>
        <v>Reading</v>
      </c>
      <c r="U1635" t="str">
        <f>IF(N1635="OK","",COUNTIF($N$2:N1635,"&lt;&gt;OK"))</f>
        <v/>
      </c>
      <c r="V1635">
        <f>IF(OR(NOT(EXACT(E1635,TRIM(Procurement_Raw!E1635))),NOT(EXACT(F1635,TRIM(Procurement_Raw!F1635)))),1,0)</f>
        <v>0</v>
      </c>
    </row>
    <row r="1636" spans="1:22" ht="15" customHeight="1" x14ac:dyDescent="0.25">
      <c r="A1636" s="123">
        <f>Procurement_Raw!A1636</f>
        <v>45912</v>
      </c>
      <c r="B1636" t="str">
        <f>TRIM(Procurement_Raw!B1636)</f>
        <v>S001</v>
      </c>
      <c r="C1636" t="str">
        <f>Procurement_Raw!C1636</f>
        <v>Preston Care &amp; Education Centre</v>
      </c>
      <c r="D1636" t="str">
        <f>Procurement_Raw!D1636</f>
        <v>North</v>
      </c>
      <c r="E1636" t="str">
        <f>IF(TRIM(Procurement_Raw!E1636)="","",IFERROR(INDEX(Supplier_Lookup!$A$2:$A$25,MATCH(TRIM(Procurement_Raw!E1636),Supplier_Lookup!$A$2:$A$25,0)),TRIM(Procurement_Raw!E1636)))</f>
        <v>SafeGuard FM</v>
      </c>
      <c r="F1636" t="str">
        <f>IFERROR(INDEX(Category_Targets!$A$2:$A$9,MATCH(TRIM(Procurement_Raw!F1636),Category_Targets!$A$2:$A$9,0)),"Unmapped")</f>
        <v>Facilities</v>
      </c>
      <c r="G1636" t="str">
        <f>TRIM(Procurement_Raw!G1636)</f>
        <v>INV-2025-01635</v>
      </c>
      <c r="H1636" s="77">
        <f>Procurement_Raw!H1636</f>
        <v>66</v>
      </c>
      <c r="I1636" s="124">
        <f>Procurement_Raw!I1636</f>
        <v>149.72999999999999</v>
      </c>
      <c r="J1636" s="125">
        <f>IF(Procurement_Raw!J1636="","",Procurement_Raw!J1636)</f>
        <v>9882.15</v>
      </c>
      <c r="K1636" s="77">
        <f>Procurement_Raw!K1636</f>
        <v>60</v>
      </c>
      <c r="L1636" t="str">
        <f>Procurement_Raw!L1636</f>
        <v>Legacy Spend File</v>
      </c>
      <c r="M1636" t="str">
        <f>Procurement_Raw!O1636</f>
        <v>N</v>
      </c>
      <c r="N1636" t="str">
        <f>IF(E1636="","Missing supplier",IF(B1636="","Missing site",IF(J1636="","Missing spend",IF(COUNTIFS($G$2:G1636,G1636,$E$2:E1636,E1636,$J$2:J1636,J1636)&gt;1,"Duplicate invoice",IF(COUNTIF($G$2:$G$1801,G1636)&gt;1,"Duplicate ID - review",IF(AND(P1636&lt;&gt;"Unmapped",P1636&lt;&gt;F1636),"Category mismatch","OK"))))))</f>
        <v>OK</v>
      </c>
      <c r="O1636" s="125">
        <f t="shared" si="75"/>
        <v>9882.15</v>
      </c>
      <c r="P1636" t="str">
        <f>IF(E1636="","Unmapped",IFERROR(INDEX(Supplier_Lookup!$B$2:$B$25,MATCH(E1636,Supplier_Lookup!$A$2:$A$25,0)),"Unmapped"))</f>
        <v>Facilities</v>
      </c>
      <c r="Q1636" s="76">
        <f>IFERROR(INDEX(Category_Targets!$B$2:$B$9,MATCH(F1636,Category_Targets!$A$2:$A$9,0)),0)</f>
        <v>0.05</v>
      </c>
      <c r="R1636" s="125">
        <f t="shared" si="76"/>
        <v>494.10750000000002</v>
      </c>
      <c r="S1636" s="78">
        <f t="shared" si="77"/>
        <v>45901</v>
      </c>
      <c r="T1636" t="str">
        <f>IFERROR(VLOOKUP(B1636,Sites!$A$2:$D$21,4,FALSE()),"Unknown")</f>
        <v>Preston</v>
      </c>
      <c r="U1636" t="str">
        <f>IF(N1636="OK","",COUNTIF($N$2:N1636,"&lt;&gt;OK"))</f>
        <v/>
      </c>
      <c r="V1636">
        <f>IF(OR(NOT(EXACT(E1636,TRIM(Procurement_Raw!E1636))),NOT(EXACT(F1636,TRIM(Procurement_Raw!F1636)))),1,0)</f>
        <v>0</v>
      </c>
    </row>
    <row r="1637" spans="1:22" ht="15" customHeight="1" x14ac:dyDescent="0.25">
      <c r="A1637" s="123">
        <f>Procurement_Raw!A1637</f>
        <v>45665</v>
      </c>
      <c r="B1637" t="str">
        <f>TRIM(Procurement_Raw!B1637)</f>
        <v>S010</v>
      </c>
      <c r="C1637" t="str">
        <f>Procurement_Raw!C1637</f>
        <v>Coventry Care &amp; Education Centre</v>
      </c>
      <c r="D1637" t="str">
        <f>Procurement_Raw!D1637</f>
        <v>Midlands</v>
      </c>
      <c r="E1637" t="str">
        <f>IF(TRIM(Procurement_Raw!E1637)="","",IFERROR(INDEX(Supplier_Lookup!$A$2:$A$25,MATCH(TRIM(Procurement_Raw!E1637),Supplier_Lookup!$A$2:$A$25,0)),TRIM(Procurement_Raw!E1637)))</f>
        <v>NourishCo</v>
      </c>
      <c r="F1637" t="str">
        <f>IFERROR(INDEX(Category_Targets!$A$2:$A$9,MATCH(TRIM(Procurement_Raw!F1637),Category_Targets!$A$2:$A$9,0)),"Unmapped")</f>
        <v>Food &amp; Catering</v>
      </c>
      <c r="G1637" t="str">
        <f>TRIM(Procurement_Raw!G1637)</f>
        <v>INV-2025-01636</v>
      </c>
      <c r="H1637" s="77">
        <f>Procurement_Raw!H1637</f>
        <v>79</v>
      </c>
      <c r="I1637" s="124">
        <f>Procurement_Raw!I1637</f>
        <v>52.06</v>
      </c>
      <c r="J1637" s="125">
        <f>IF(Procurement_Raw!J1637="","",Procurement_Raw!J1637)</f>
        <v>4112.67</v>
      </c>
      <c r="K1637" s="77">
        <f>Procurement_Raw!K1637</f>
        <v>30</v>
      </c>
      <c r="L1637" t="str">
        <f>Procurement_Raw!L1637</f>
        <v>Legacy Spend File</v>
      </c>
      <c r="M1637" t="str">
        <f>Procurement_Raw!O1637</f>
        <v>N</v>
      </c>
      <c r="N1637" t="str">
        <f>IF(E1637="","Missing supplier",IF(B1637="","Missing site",IF(J1637="","Missing spend",IF(COUNTIFS($G$2:G1637,G1637,$E$2:E1637,E1637,$J$2:J1637,J1637)&gt;1,"Duplicate invoice",IF(COUNTIF($G$2:$G$1801,G1637)&gt;1,"Duplicate ID - review",IF(AND(P1637&lt;&gt;"Unmapped",P1637&lt;&gt;F1637),"Category mismatch","OK"))))))</f>
        <v>OK</v>
      </c>
      <c r="O1637" s="125">
        <f t="shared" si="75"/>
        <v>4112.67</v>
      </c>
      <c r="P1637" t="str">
        <f>IF(E1637="","Unmapped",IFERROR(INDEX(Supplier_Lookup!$B$2:$B$25,MATCH(E1637,Supplier_Lookup!$A$2:$A$25,0)),"Unmapped"))</f>
        <v>Food &amp; Catering</v>
      </c>
      <c r="Q1637" s="76">
        <f>IFERROR(INDEX(Category_Targets!$B$2:$B$9,MATCH(F1637,Category_Targets!$A$2:$A$9,0)),0)</f>
        <v>0.04</v>
      </c>
      <c r="R1637" s="125">
        <f t="shared" si="76"/>
        <v>164.5068</v>
      </c>
      <c r="S1637" s="78">
        <f t="shared" si="77"/>
        <v>45658</v>
      </c>
      <c r="T1637" t="str">
        <f>IFERROR(VLOOKUP(B1637,Sites!$A$2:$D$21,4,FALSE()),"Unknown")</f>
        <v>Coventry</v>
      </c>
      <c r="U1637" t="str">
        <f>IF(N1637="OK","",COUNTIF($N$2:N1637,"&lt;&gt;OK"))</f>
        <v/>
      </c>
      <c r="V1637">
        <f>IF(OR(NOT(EXACT(E1637,TRIM(Procurement_Raw!E1637))),NOT(EXACT(F1637,TRIM(Procurement_Raw!F1637)))),1,0)</f>
        <v>0</v>
      </c>
    </row>
    <row r="1638" spans="1:22" ht="15" customHeight="1" x14ac:dyDescent="0.25">
      <c r="A1638" s="123">
        <f>Procurement_Raw!A1638</f>
        <v>45931</v>
      </c>
      <c r="B1638" t="str">
        <f>TRIM(Procurement_Raw!B1638)</f>
        <v>S009</v>
      </c>
      <c r="C1638" t="str">
        <f>Procurement_Raw!C1638</f>
        <v>Derby Care &amp; Education Centre</v>
      </c>
      <c r="D1638" t="str">
        <f>Procurement_Raw!D1638</f>
        <v>Midlands</v>
      </c>
      <c r="E1638" t="str">
        <f>IF(TRIM(Procurement_Raw!E1638)="","",IFERROR(INDEX(Supplier_Lookup!$A$2:$A$25,MATCH(TRIM(Procurement_Raw!E1638),Supplier_Lookup!$A$2:$A$25,0)),TRIM(Procurement_Raw!E1638)))</f>
        <v>NurseLink</v>
      </c>
      <c r="F1638" t="str">
        <f>IFERROR(INDEX(Category_Targets!$A$2:$A$9,MATCH(TRIM(Procurement_Raw!F1638),Category_Targets!$A$2:$A$9,0)),"Unmapped")</f>
        <v>Agency Labour</v>
      </c>
      <c r="G1638" t="str">
        <f>TRIM(Procurement_Raw!G1638)</f>
        <v>INV-2025-01637</v>
      </c>
      <c r="H1638" s="77">
        <f>Procurement_Raw!H1638</f>
        <v>45</v>
      </c>
      <c r="I1638" s="124">
        <f>Procurement_Raw!I1638</f>
        <v>177.41</v>
      </c>
      <c r="J1638" s="125">
        <f>IF(Procurement_Raw!J1638="","",Procurement_Raw!J1638)</f>
        <v>7983.46</v>
      </c>
      <c r="K1638" s="77">
        <f>Procurement_Raw!K1638</f>
        <v>30</v>
      </c>
      <c r="L1638" t="str">
        <f>Procurement_Raw!L1638</f>
        <v>Legacy Spend File</v>
      </c>
      <c r="M1638" t="str">
        <f>Procurement_Raw!O1638</f>
        <v>N</v>
      </c>
      <c r="N1638" t="str">
        <f>IF(E1638="","Missing supplier",IF(B1638="","Missing site",IF(J1638="","Missing spend",IF(COUNTIFS($G$2:G1638,G1638,$E$2:E1638,E1638,$J$2:J1638,J1638)&gt;1,"Duplicate invoice",IF(COUNTIF($G$2:$G$1801,G1638)&gt;1,"Duplicate ID - review",IF(AND(P1638&lt;&gt;"Unmapped",P1638&lt;&gt;F1638),"Category mismatch","OK"))))))</f>
        <v>OK</v>
      </c>
      <c r="O1638" s="125">
        <f t="shared" si="75"/>
        <v>7983.46</v>
      </c>
      <c r="P1638" t="str">
        <f>IF(E1638="","Unmapped",IFERROR(INDEX(Supplier_Lookup!$B$2:$B$25,MATCH(E1638,Supplier_Lookup!$A$2:$A$25,0)),"Unmapped"))</f>
        <v>Agency Labour</v>
      </c>
      <c r="Q1638" s="76">
        <f>IFERROR(INDEX(Category_Targets!$B$2:$B$9,MATCH(F1638,Category_Targets!$A$2:$A$9,0)),0)</f>
        <v>7.0000000000000007E-2</v>
      </c>
      <c r="R1638" s="125">
        <f t="shared" si="76"/>
        <v>558.84220000000005</v>
      </c>
      <c r="S1638" s="78">
        <f t="shared" si="77"/>
        <v>45931</v>
      </c>
      <c r="T1638" t="str">
        <f>IFERROR(VLOOKUP(B1638,Sites!$A$2:$D$21,4,FALSE()),"Unknown")</f>
        <v>Derby</v>
      </c>
      <c r="U1638" t="str">
        <f>IF(N1638="OK","",COUNTIF($N$2:N1638,"&lt;&gt;OK"))</f>
        <v/>
      </c>
      <c r="V1638">
        <f>IF(OR(NOT(EXACT(E1638,TRIM(Procurement_Raw!E1638))),NOT(EXACT(F1638,TRIM(Procurement_Raw!F1638)))),1,0)</f>
        <v>0</v>
      </c>
    </row>
    <row r="1639" spans="1:22" ht="15" customHeight="1" x14ac:dyDescent="0.25">
      <c r="A1639" s="123">
        <f>Procurement_Raw!A1639</f>
        <v>45887</v>
      </c>
      <c r="B1639" t="str">
        <f>TRIM(Procurement_Raw!B1639)</f>
        <v>S003</v>
      </c>
      <c r="C1639" t="str">
        <f>Procurement_Raw!C1639</f>
        <v>Leeds Care &amp; Education Centre</v>
      </c>
      <c r="D1639" t="str">
        <f>Procurement_Raw!D1639</f>
        <v>North</v>
      </c>
      <c r="E1639" t="str">
        <f>IF(TRIM(Procurement_Raw!E1639)="","",IFERROR(INDEX(Supplier_Lookup!$A$2:$A$25,MATCH(TRIM(Procurement_Raw!E1639),Supplier_Lookup!$A$2:$A$25,0)),TRIM(Procurement_Raw!E1639)))</f>
        <v>ClinEquip</v>
      </c>
      <c r="F1639" t="str">
        <f>IFERROR(INDEX(Category_Targets!$A$2:$A$9,MATCH(TRIM(Procurement_Raw!F1639),Category_Targets!$A$2:$A$9,0)),"Unmapped")</f>
        <v>Medical Supplies</v>
      </c>
      <c r="G1639" t="str">
        <f>TRIM(Procurement_Raw!G1639)</f>
        <v>INV-2025-01638</v>
      </c>
      <c r="H1639" s="77">
        <f>Procurement_Raw!H1639</f>
        <v>22</v>
      </c>
      <c r="I1639" s="124">
        <f>Procurement_Raw!I1639</f>
        <v>151.47999999999999</v>
      </c>
      <c r="J1639" s="125">
        <f>IF(Procurement_Raw!J1639="","",Procurement_Raw!J1639)</f>
        <v>3332.62</v>
      </c>
      <c r="K1639" s="77">
        <f>Procurement_Raw!K1639</f>
        <v>60</v>
      </c>
      <c r="L1639" t="str">
        <f>Procurement_Raw!L1639</f>
        <v>Legacy Spend File</v>
      </c>
      <c r="M1639" t="str">
        <f>Procurement_Raw!O1639</f>
        <v>N</v>
      </c>
      <c r="N1639" t="str">
        <f>IF(E1639="","Missing supplier",IF(B1639="","Missing site",IF(J1639="","Missing spend",IF(COUNTIFS($G$2:G1639,G1639,$E$2:E1639,E1639,$J$2:J1639,J1639)&gt;1,"Duplicate invoice",IF(COUNTIF($G$2:$G$1801,G1639)&gt;1,"Duplicate ID - review",IF(AND(P1639&lt;&gt;"Unmapped",P1639&lt;&gt;F1639),"Category mismatch","OK"))))))</f>
        <v>OK</v>
      </c>
      <c r="O1639" s="125">
        <f t="shared" si="75"/>
        <v>3332.62</v>
      </c>
      <c r="P1639" t="str">
        <f>IF(E1639="","Unmapped",IFERROR(INDEX(Supplier_Lookup!$B$2:$B$25,MATCH(E1639,Supplier_Lookup!$A$2:$A$25,0)),"Unmapped"))</f>
        <v>Medical Supplies</v>
      </c>
      <c r="Q1639" s="76">
        <f>IFERROR(INDEX(Category_Targets!$B$2:$B$9,MATCH(F1639,Category_Targets!$A$2:$A$9,0)),0)</f>
        <v>0.06</v>
      </c>
      <c r="R1639" s="125">
        <f t="shared" si="76"/>
        <v>199.95719999999997</v>
      </c>
      <c r="S1639" s="78">
        <f t="shared" si="77"/>
        <v>45870</v>
      </c>
      <c r="T1639" t="str">
        <f>IFERROR(VLOOKUP(B1639,Sites!$A$2:$D$21,4,FALSE()),"Unknown")</f>
        <v>Leeds</v>
      </c>
      <c r="U1639" t="str">
        <f>IF(N1639="OK","",COUNTIF($N$2:N1639,"&lt;&gt;OK"))</f>
        <v/>
      </c>
      <c r="V1639">
        <f>IF(OR(NOT(EXACT(E1639,TRIM(Procurement_Raw!E1639))),NOT(EXACT(F1639,TRIM(Procurement_Raw!F1639)))),1,0)</f>
        <v>0</v>
      </c>
    </row>
    <row r="1640" spans="1:22" ht="15" customHeight="1" x14ac:dyDescent="0.25">
      <c r="A1640" s="123">
        <f>Procurement_Raw!A1640</f>
        <v>45845</v>
      </c>
      <c r="B1640" t="str">
        <f>TRIM(Procurement_Raw!B1640)</f>
        <v>S020</v>
      </c>
      <c r="C1640" t="str">
        <f>Procurement_Raw!C1640</f>
        <v>Bangor Care &amp; Education Centre</v>
      </c>
      <c r="D1640" t="str">
        <f>Procurement_Raw!D1640</f>
        <v>Wales</v>
      </c>
      <c r="E1640" t="str">
        <f>IF(TRIM(Procurement_Raw!E1640)="","",IFERROR(INDEX(Supplier_Lookup!$A$2:$A$25,MATCH(TRIM(Procurement_Raw!E1640),Supplier_Lookup!$A$2:$A$25,0)),TRIM(Procurement_Raw!E1640)))</f>
        <v>CleanWorks</v>
      </c>
      <c r="F1640" t="str">
        <f>IFERROR(INDEX(Category_Targets!$A$2:$A$9,MATCH(TRIM(Procurement_Raw!F1640),Category_Targets!$A$2:$A$9,0)),"Unmapped")</f>
        <v>Facilities</v>
      </c>
      <c r="G1640" t="str">
        <f>TRIM(Procurement_Raw!G1640)</f>
        <v>INV-2025-01639</v>
      </c>
      <c r="H1640" s="77">
        <f>Procurement_Raw!H1640</f>
        <v>18</v>
      </c>
      <c r="I1640" s="124">
        <f>Procurement_Raw!I1640</f>
        <v>559.66999999999996</v>
      </c>
      <c r="J1640" s="125">
        <f>IF(Procurement_Raw!J1640="","",Procurement_Raw!J1640)</f>
        <v>10074.040000000001</v>
      </c>
      <c r="K1640" s="77">
        <f>Procurement_Raw!K1640</f>
        <v>60</v>
      </c>
      <c r="L1640" t="str">
        <f>Procurement_Raw!L1640</f>
        <v>Procurement Portal</v>
      </c>
      <c r="M1640" t="str">
        <f>Procurement_Raw!O1640</f>
        <v>Y</v>
      </c>
      <c r="N1640" t="str">
        <f>IF(E1640="","Missing supplier",IF(B1640="","Missing site",IF(J1640="","Missing spend",IF(COUNTIFS($G$2:G1640,G1640,$E$2:E1640,E1640,$J$2:J1640,J1640)&gt;1,"Duplicate invoice",IF(COUNTIF($G$2:$G$1801,G1640)&gt;1,"Duplicate ID - review",IF(AND(P1640&lt;&gt;"Unmapped",P1640&lt;&gt;F1640),"Category mismatch","OK"))))))</f>
        <v>OK</v>
      </c>
      <c r="O1640" s="125">
        <f t="shared" si="75"/>
        <v>10074.040000000001</v>
      </c>
      <c r="P1640" t="str">
        <f>IF(E1640="","Unmapped",IFERROR(INDEX(Supplier_Lookup!$B$2:$B$25,MATCH(E1640,Supplier_Lookup!$A$2:$A$25,0)),"Unmapped"))</f>
        <v>Facilities</v>
      </c>
      <c r="Q1640" s="76">
        <f>IFERROR(INDEX(Category_Targets!$B$2:$B$9,MATCH(F1640,Category_Targets!$A$2:$A$9,0)),0)</f>
        <v>0.05</v>
      </c>
      <c r="R1640" s="125">
        <f t="shared" si="76"/>
        <v>503.70200000000006</v>
      </c>
      <c r="S1640" s="78">
        <f t="shared" si="77"/>
        <v>45839</v>
      </c>
      <c r="T1640" t="str">
        <f>IFERROR(VLOOKUP(B1640,Sites!$A$2:$D$21,4,FALSE()),"Unknown")</f>
        <v>Bangor</v>
      </c>
      <c r="U1640" t="str">
        <f>IF(N1640="OK","",COUNTIF($N$2:N1640,"&lt;&gt;OK"))</f>
        <v/>
      </c>
      <c r="V1640">
        <f>IF(OR(NOT(EXACT(E1640,TRIM(Procurement_Raw!E1640))),NOT(EXACT(F1640,TRIM(Procurement_Raw!F1640)))),1,0)</f>
        <v>0</v>
      </c>
    </row>
    <row r="1641" spans="1:22" ht="15" customHeight="1" x14ac:dyDescent="0.25">
      <c r="A1641" s="123">
        <f>Procurement_Raw!A1641</f>
        <v>45852</v>
      </c>
      <c r="B1641" t="str">
        <f>TRIM(Procurement_Raw!B1641)</f>
        <v>S006</v>
      </c>
      <c r="C1641" t="str">
        <f>Procurement_Raw!C1641</f>
        <v>Birmingham Care &amp; Education Centre</v>
      </c>
      <c r="D1641" t="str">
        <f>Procurement_Raw!D1641</f>
        <v>Midlands</v>
      </c>
      <c r="E1641" t="str">
        <f>IF(TRIM(Procurement_Raw!E1641)="","",IFERROR(INDEX(Supplier_Lookup!$A$2:$A$25,MATCH(TRIM(Procurement_Raw!E1641),Supplier_Lookup!$A$2:$A$25,0)),TRIM(Procurement_Raw!E1641)))</f>
        <v>CareTemps</v>
      </c>
      <c r="F1641" t="str">
        <f>IFERROR(INDEX(Category_Targets!$A$2:$A$9,MATCH(TRIM(Procurement_Raw!F1641),Category_Targets!$A$2:$A$9,0)),"Unmapped")</f>
        <v>Agency Labour</v>
      </c>
      <c r="G1641" t="str">
        <f>TRIM(Procurement_Raw!G1641)</f>
        <v>INV-2025-01640</v>
      </c>
      <c r="H1641" s="77">
        <f>Procurement_Raw!H1641</f>
        <v>22</v>
      </c>
      <c r="I1641" s="124">
        <f>Procurement_Raw!I1641</f>
        <v>166.77</v>
      </c>
      <c r="J1641" s="125">
        <f>IF(Procurement_Raw!J1641="","",Procurement_Raw!J1641)</f>
        <v>3669.03</v>
      </c>
      <c r="K1641" s="77">
        <f>Procurement_Raw!K1641</f>
        <v>45</v>
      </c>
      <c r="L1641" t="str">
        <f>Procurement_Raw!L1641</f>
        <v>ERP</v>
      </c>
      <c r="M1641" t="str">
        <f>Procurement_Raw!O1641</f>
        <v>N</v>
      </c>
      <c r="N1641" t="str">
        <f>IF(E1641="","Missing supplier",IF(B1641="","Missing site",IF(J1641="","Missing spend",IF(COUNTIFS($G$2:G1641,G1641,$E$2:E1641,E1641,$J$2:J1641,J1641)&gt;1,"Duplicate invoice",IF(COUNTIF($G$2:$G$1801,G1641)&gt;1,"Duplicate ID - review",IF(AND(P1641&lt;&gt;"Unmapped",P1641&lt;&gt;F1641),"Category mismatch","OK"))))))</f>
        <v>OK</v>
      </c>
      <c r="O1641" s="125">
        <f t="shared" si="75"/>
        <v>3669.03</v>
      </c>
      <c r="P1641" t="str">
        <f>IF(E1641="","Unmapped",IFERROR(INDEX(Supplier_Lookup!$B$2:$B$25,MATCH(E1641,Supplier_Lookup!$A$2:$A$25,0)),"Unmapped"))</f>
        <v>Agency Labour</v>
      </c>
      <c r="Q1641" s="76">
        <f>IFERROR(INDEX(Category_Targets!$B$2:$B$9,MATCH(F1641,Category_Targets!$A$2:$A$9,0)),0)</f>
        <v>7.0000000000000007E-2</v>
      </c>
      <c r="R1641" s="125">
        <f t="shared" si="76"/>
        <v>256.83210000000003</v>
      </c>
      <c r="S1641" s="78">
        <f t="shared" si="77"/>
        <v>45839</v>
      </c>
      <c r="T1641" t="str">
        <f>IFERROR(VLOOKUP(B1641,Sites!$A$2:$D$21,4,FALSE()),"Unknown")</f>
        <v>Birmingham</v>
      </c>
      <c r="U1641" t="str">
        <f>IF(N1641="OK","",COUNTIF($N$2:N1641,"&lt;&gt;OK"))</f>
        <v/>
      </c>
      <c r="V1641">
        <f>IF(OR(NOT(EXACT(E1641,TRIM(Procurement_Raw!E1641))),NOT(EXACT(F1641,TRIM(Procurement_Raw!F1641)))),1,0)</f>
        <v>0</v>
      </c>
    </row>
    <row r="1642" spans="1:22" ht="15" customHeight="1" x14ac:dyDescent="0.25">
      <c r="A1642" s="123">
        <f>Procurement_Raw!A1642</f>
        <v>45718</v>
      </c>
      <c r="B1642" t="str">
        <f>TRIM(Procurement_Raw!B1642)</f>
        <v>S007</v>
      </c>
      <c r="C1642" t="str">
        <f>Procurement_Raw!C1642</f>
        <v>Nottingham Care &amp; Education Centre</v>
      </c>
      <c r="D1642" t="str">
        <f>Procurement_Raw!D1642</f>
        <v>Midlands</v>
      </c>
      <c r="E1642" t="str">
        <f>IF(TRIM(Procurement_Raw!E1642)="","",IFERROR(INDEX(Supplier_Lookup!$A$2:$A$25,MATCH(TRIM(Procurement_Raw!E1642),Supplier_Lookup!$A$2:$A$25,0)),TRIM(Procurement_Raw!E1642)))</f>
        <v>PowerDirect</v>
      </c>
      <c r="F1642" t="str">
        <f>IFERROR(INDEX(Category_Targets!$A$2:$A$9,MATCH(TRIM(Procurement_Raw!F1642),Category_Targets!$A$2:$A$9,0)),"Unmapped")</f>
        <v>Utilities</v>
      </c>
      <c r="G1642" t="str">
        <f>TRIM(Procurement_Raw!G1642)</f>
        <v>INV-2025-01641</v>
      </c>
      <c r="H1642" s="77">
        <f>Procurement_Raw!H1642</f>
        <v>38</v>
      </c>
      <c r="I1642" s="124">
        <f>Procurement_Raw!I1642</f>
        <v>253.35</v>
      </c>
      <c r="J1642" s="125">
        <f>IF(Procurement_Raw!J1642="","",Procurement_Raw!J1642)</f>
        <v>9627.39</v>
      </c>
      <c r="K1642" s="77">
        <f>Procurement_Raw!K1642</f>
        <v>45</v>
      </c>
      <c r="L1642" t="str">
        <f>Procurement_Raw!L1642</f>
        <v>Procurement Portal</v>
      </c>
      <c r="M1642" t="str">
        <f>Procurement_Raw!O1642</f>
        <v>N</v>
      </c>
      <c r="N1642" t="str">
        <f>IF(E1642="","Missing supplier",IF(B1642="","Missing site",IF(J1642="","Missing spend",IF(COUNTIFS($G$2:G1642,G1642,$E$2:E1642,E1642,$J$2:J1642,J1642)&gt;1,"Duplicate invoice",IF(COUNTIF($G$2:$G$1801,G1642)&gt;1,"Duplicate ID - review",IF(AND(P1642&lt;&gt;"Unmapped",P1642&lt;&gt;F1642),"Category mismatch","OK"))))))</f>
        <v>OK</v>
      </c>
      <c r="O1642" s="125">
        <f t="shared" si="75"/>
        <v>9627.39</v>
      </c>
      <c r="P1642" t="str">
        <f>IF(E1642="","Unmapped",IFERROR(INDEX(Supplier_Lookup!$B$2:$B$25,MATCH(E1642,Supplier_Lookup!$A$2:$A$25,0)),"Unmapped"))</f>
        <v>Utilities</v>
      </c>
      <c r="Q1642" s="76">
        <f>IFERROR(INDEX(Category_Targets!$B$2:$B$9,MATCH(F1642,Category_Targets!$A$2:$A$9,0)),0)</f>
        <v>0.03</v>
      </c>
      <c r="R1642" s="125">
        <f t="shared" si="76"/>
        <v>288.82169999999996</v>
      </c>
      <c r="S1642" s="78">
        <f t="shared" si="77"/>
        <v>45717</v>
      </c>
      <c r="T1642" t="str">
        <f>IFERROR(VLOOKUP(B1642,Sites!$A$2:$D$21,4,FALSE()),"Unknown")</f>
        <v>Nottingham</v>
      </c>
      <c r="U1642" t="str">
        <f>IF(N1642="OK","",COUNTIF($N$2:N1642,"&lt;&gt;OK"))</f>
        <v/>
      </c>
      <c r="V1642">
        <f>IF(OR(NOT(EXACT(E1642,TRIM(Procurement_Raw!E1642))),NOT(EXACT(F1642,TRIM(Procurement_Raw!F1642)))),1,0)</f>
        <v>0</v>
      </c>
    </row>
    <row r="1643" spans="1:22" ht="15" customHeight="1" x14ac:dyDescent="0.25">
      <c r="A1643" s="123">
        <f>Procurement_Raw!A1643</f>
        <v>45659</v>
      </c>
      <c r="B1643" t="str">
        <f>TRIM(Procurement_Raw!B1643)</f>
        <v>S019</v>
      </c>
      <c r="C1643" t="str">
        <f>Procurement_Raw!C1643</f>
        <v>Wrexham Care &amp; Education Centre</v>
      </c>
      <c r="D1643" t="str">
        <f>Procurement_Raw!D1643</f>
        <v>Wales</v>
      </c>
      <c r="E1643" t="str">
        <f>IF(TRIM(Procurement_Raw!E1643)="","",IFERROR(INDEX(Supplier_Lookup!$A$2:$A$25,MATCH(TRIM(Procurement_Raw!E1643),Supplier_Lookup!$A$2:$A$25,0)),TRIM(Procurement_Raw!E1643)))</f>
        <v>CloudLink</v>
      </c>
      <c r="F1643" t="str">
        <f>IFERROR(INDEX(Category_Targets!$A$2:$A$9,MATCH(TRIM(Procurement_Raw!F1643),Category_Targets!$A$2:$A$9,0)),"Unmapped")</f>
        <v>IT &amp; Telecoms</v>
      </c>
      <c r="G1643" t="str">
        <f>TRIM(Procurement_Raw!G1643)</f>
        <v>INV-2025-01642</v>
      </c>
      <c r="H1643" s="77">
        <f>Procurement_Raw!H1643</f>
        <v>73</v>
      </c>
      <c r="I1643" s="124">
        <f>Procurement_Raw!I1643</f>
        <v>478.35</v>
      </c>
      <c r="J1643" s="125">
        <f>IF(Procurement_Raw!J1643="","",Procurement_Raw!J1643)</f>
        <v>34919.769999999997</v>
      </c>
      <c r="K1643" s="77">
        <f>Procurement_Raw!K1643</f>
        <v>45</v>
      </c>
      <c r="L1643" t="str">
        <f>Procurement_Raw!L1643</f>
        <v>ERP</v>
      </c>
      <c r="M1643" t="str">
        <f>Procurement_Raw!O1643</f>
        <v>Y</v>
      </c>
      <c r="N1643" t="str">
        <f>IF(E1643="","Missing supplier",IF(B1643="","Missing site",IF(J1643="","Missing spend",IF(COUNTIFS($G$2:G1643,G1643,$E$2:E1643,E1643,$J$2:J1643,J1643)&gt;1,"Duplicate invoice",IF(COUNTIF($G$2:$G$1801,G1643)&gt;1,"Duplicate ID - review",IF(AND(P1643&lt;&gt;"Unmapped",P1643&lt;&gt;F1643),"Category mismatch","OK"))))))</f>
        <v>OK</v>
      </c>
      <c r="O1643" s="125">
        <f t="shared" si="75"/>
        <v>34919.769999999997</v>
      </c>
      <c r="P1643" t="str">
        <f>IF(E1643="","Unmapped",IFERROR(INDEX(Supplier_Lookup!$B$2:$B$25,MATCH(E1643,Supplier_Lookup!$A$2:$A$25,0)),"Unmapped"))</f>
        <v>IT &amp; Telecoms</v>
      </c>
      <c r="Q1643" s="76">
        <f>IFERROR(INDEX(Category_Targets!$B$2:$B$9,MATCH(F1643,Category_Targets!$A$2:$A$9,0)),0)</f>
        <v>0.08</v>
      </c>
      <c r="R1643" s="125">
        <f t="shared" si="76"/>
        <v>2793.5816</v>
      </c>
      <c r="S1643" s="78">
        <f t="shared" si="77"/>
        <v>45658</v>
      </c>
      <c r="T1643" t="str">
        <f>IFERROR(VLOOKUP(B1643,Sites!$A$2:$D$21,4,FALSE()),"Unknown")</f>
        <v>Wrexham</v>
      </c>
      <c r="U1643" t="str">
        <f>IF(N1643="OK","",COUNTIF($N$2:N1643,"&lt;&gt;OK"))</f>
        <v/>
      </c>
      <c r="V1643">
        <f>IF(OR(NOT(EXACT(E1643,TRIM(Procurement_Raw!E1643))),NOT(EXACT(F1643,TRIM(Procurement_Raw!F1643)))),1,0)</f>
        <v>0</v>
      </c>
    </row>
    <row r="1644" spans="1:22" ht="15" customHeight="1" x14ac:dyDescent="0.25">
      <c r="A1644" s="123">
        <f>Procurement_Raw!A1644</f>
        <v>45974</v>
      </c>
      <c r="B1644" t="str">
        <f>TRIM(Procurement_Raw!B1644)</f>
        <v>S014</v>
      </c>
      <c r="C1644" t="str">
        <f>Procurement_Raw!C1644</f>
        <v>Southampton Care &amp; Education Centre</v>
      </c>
      <c r="D1644" t="str">
        <f>Procurement_Raw!D1644</f>
        <v>South</v>
      </c>
      <c r="E1644" t="str">
        <f>IF(TRIM(Procurement_Raw!E1644)="","",IFERROR(INDEX(Supplier_Lookup!$A$2:$A$25,MATCH(TRIM(Procurement_Raw!E1644),Supplier_Lookup!$A$2:$A$25,0)),TRIM(Procurement_Raw!E1644)))</f>
        <v>CareMed</v>
      </c>
      <c r="F1644" t="str">
        <f>IFERROR(INDEX(Category_Targets!$A$2:$A$9,MATCH(TRIM(Procurement_Raw!F1644),Category_Targets!$A$2:$A$9,0)),"Unmapped")</f>
        <v>Medical Supplies</v>
      </c>
      <c r="G1644" t="str">
        <f>TRIM(Procurement_Raw!G1644)</f>
        <v>INV-2025-01643</v>
      </c>
      <c r="H1644" s="77">
        <f>Procurement_Raw!H1644</f>
        <v>63</v>
      </c>
      <c r="I1644" s="124">
        <f>Procurement_Raw!I1644</f>
        <v>114.86</v>
      </c>
      <c r="J1644" s="125">
        <f>IF(Procurement_Raw!J1644="","",Procurement_Raw!J1644)</f>
        <v>7236</v>
      </c>
      <c r="K1644" s="77">
        <f>Procurement_Raw!K1644</f>
        <v>30</v>
      </c>
      <c r="L1644" t="str">
        <f>Procurement_Raw!L1644</f>
        <v>Procurement Portal</v>
      </c>
      <c r="M1644" t="str">
        <f>Procurement_Raw!O1644</f>
        <v>N</v>
      </c>
      <c r="N1644" t="str">
        <f>IF(E1644="","Missing supplier",IF(B1644="","Missing site",IF(J1644="","Missing spend",IF(COUNTIFS($G$2:G1644,G1644,$E$2:E1644,E1644,$J$2:J1644,J1644)&gt;1,"Duplicate invoice",IF(COUNTIF($G$2:$G$1801,G1644)&gt;1,"Duplicate ID - review",IF(AND(P1644&lt;&gt;"Unmapped",P1644&lt;&gt;F1644),"Category mismatch","OK"))))))</f>
        <v>OK</v>
      </c>
      <c r="O1644" s="125">
        <f t="shared" si="75"/>
        <v>7236</v>
      </c>
      <c r="P1644" t="str">
        <f>IF(E1644="","Unmapped",IFERROR(INDEX(Supplier_Lookup!$B$2:$B$25,MATCH(E1644,Supplier_Lookup!$A$2:$A$25,0)),"Unmapped"))</f>
        <v>Medical Supplies</v>
      </c>
      <c r="Q1644" s="76">
        <f>IFERROR(INDEX(Category_Targets!$B$2:$B$9,MATCH(F1644,Category_Targets!$A$2:$A$9,0)),0)</f>
        <v>0.06</v>
      </c>
      <c r="R1644" s="125">
        <f t="shared" si="76"/>
        <v>434.15999999999997</v>
      </c>
      <c r="S1644" s="78">
        <f t="shared" si="77"/>
        <v>45962</v>
      </c>
      <c r="T1644" t="str">
        <f>IFERROR(VLOOKUP(B1644,Sites!$A$2:$D$21,4,FALSE()),"Unknown")</f>
        <v>Southampton</v>
      </c>
      <c r="U1644" t="str">
        <f>IF(N1644="OK","",COUNTIF($N$2:N1644,"&lt;&gt;OK"))</f>
        <v/>
      </c>
      <c r="V1644">
        <f>IF(OR(NOT(EXACT(E1644,TRIM(Procurement_Raw!E1644))),NOT(EXACT(F1644,TRIM(Procurement_Raw!F1644)))),1,0)</f>
        <v>0</v>
      </c>
    </row>
    <row r="1645" spans="1:22" ht="15" customHeight="1" x14ac:dyDescent="0.25">
      <c r="A1645" s="123">
        <f>Procurement_Raw!A1645</f>
        <v>45810</v>
      </c>
      <c r="B1645" t="str">
        <f>TRIM(Procurement_Raw!B1645)</f>
        <v>S012</v>
      </c>
      <c r="C1645" t="str">
        <f>Procurement_Raw!C1645</f>
        <v>Bristol Care &amp; Education Centre</v>
      </c>
      <c r="D1645" t="str">
        <f>Procurement_Raw!D1645</f>
        <v>South</v>
      </c>
      <c r="E1645" t="str">
        <f>IF(TRIM(Procurement_Raw!E1645)="","",IFERROR(INDEX(Supplier_Lookup!$A$2:$A$25,MATCH(TRIM(Procurement_Raw!E1645),Supplier_Lookup!$A$2:$A$25,0)),TRIM(Procurement_Raw!E1645)))</f>
        <v>LearnWell</v>
      </c>
      <c r="F1645" t="str">
        <f>IFERROR(INDEX(Category_Targets!$A$2:$A$9,MATCH(TRIM(Procurement_Raw!F1645),Category_Targets!$A$2:$A$9,0)),"Unmapped")</f>
        <v>Office &amp; Training</v>
      </c>
      <c r="G1645" t="str">
        <f>TRIM(Procurement_Raw!G1645)</f>
        <v>INV-2025-01644</v>
      </c>
      <c r="H1645" s="77">
        <f>Procurement_Raw!H1645</f>
        <v>46</v>
      </c>
      <c r="I1645" s="124">
        <f>Procurement_Raw!I1645</f>
        <v>96.19</v>
      </c>
      <c r="J1645" s="125">
        <f>IF(Procurement_Raw!J1645="","",Procurement_Raw!J1645)</f>
        <v>4424.59</v>
      </c>
      <c r="K1645" s="77">
        <f>Procurement_Raw!K1645</f>
        <v>30</v>
      </c>
      <c r="L1645" t="str">
        <f>Procurement_Raw!L1645</f>
        <v>ERP</v>
      </c>
      <c r="M1645" t="str">
        <f>Procurement_Raw!O1645</f>
        <v>N</v>
      </c>
      <c r="N1645" t="str">
        <f>IF(E1645="","Missing supplier",IF(B1645="","Missing site",IF(J1645="","Missing spend",IF(COUNTIFS($G$2:G1645,G1645,$E$2:E1645,E1645,$J$2:J1645,J1645)&gt;1,"Duplicate invoice",IF(COUNTIF($G$2:$G$1801,G1645)&gt;1,"Duplicate ID - review",IF(AND(P1645&lt;&gt;"Unmapped",P1645&lt;&gt;F1645),"Category mismatch","OK"))))))</f>
        <v>OK</v>
      </c>
      <c r="O1645" s="125">
        <f t="shared" si="75"/>
        <v>4424.59</v>
      </c>
      <c r="P1645" t="str">
        <f>IF(E1645="","Unmapped",IFERROR(INDEX(Supplier_Lookup!$B$2:$B$25,MATCH(E1645,Supplier_Lookup!$A$2:$A$25,0)),"Unmapped"))</f>
        <v>Office &amp; Training</v>
      </c>
      <c r="Q1645" s="76">
        <f>IFERROR(INDEX(Category_Targets!$B$2:$B$9,MATCH(F1645,Category_Targets!$A$2:$A$9,0)),0)</f>
        <v>0.04</v>
      </c>
      <c r="R1645" s="125">
        <f t="shared" si="76"/>
        <v>176.9836</v>
      </c>
      <c r="S1645" s="78">
        <f t="shared" si="77"/>
        <v>45809</v>
      </c>
      <c r="T1645" t="str">
        <f>IFERROR(VLOOKUP(B1645,Sites!$A$2:$D$21,4,FALSE()),"Unknown")</f>
        <v>Bristol</v>
      </c>
      <c r="U1645" t="str">
        <f>IF(N1645="OK","",COUNTIF($N$2:N1645,"&lt;&gt;OK"))</f>
        <v/>
      </c>
      <c r="V1645">
        <f>IF(OR(NOT(EXACT(E1645,TRIM(Procurement_Raw!E1645))),NOT(EXACT(F1645,TRIM(Procurement_Raw!F1645)))),1,0)</f>
        <v>0</v>
      </c>
    </row>
    <row r="1646" spans="1:22" ht="15" customHeight="1" x14ac:dyDescent="0.25">
      <c r="A1646" s="123">
        <f>Procurement_Raw!A1646</f>
        <v>45839</v>
      </c>
      <c r="B1646" t="str">
        <f>TRIM(Procurement_Raw!B1646)</f>
        <v>S009</v>
      </c>
      <c r="C1646" t="str">
        <f>Procurement_Raw!C1646</f>
        <v>Derby Care &amp; Education Centre</v>
      </c>
      <c r="D1646" t="str">
        <f>Procurement_Raw!D1646</f>
        <v>Midlands</v>
      </c>
      <c r="E1646" t="str">
        <f>IF(TRIM(Procurement_Raw!E1646)="","",IFERROR(INDEX(Supplier_Lookup!$A$2:$A$25,MATCH(TRIM(Procurement_Raw!E1646),Supplier_Lookup!$A$2:$A$25,0)),TRIM(Procurement_Raw!E1646)))</f>
        <v>SafeGuard FM</v>
      </c>
      <c r="F1646" t="str">
        <f>IFERROR(INDEX(Category_Targets!$A$2:$A$9,MATCH(TRIM(Procurement_Raw!F1646),Category_Targets!$A$2:$A$9,0)),"Unmapped")</f>
        <v>Facilities</v>
      </c>
      <c r="G1646" t="str">
        <f>TRIM(Procurement_Raw!G1646)</f>
        <v>INV-2025-01645</v>
      </c>
      <c r="H1646" s="77">
        <f>Procurement_Raw!H1646</f>
        <v>2</v>
      </c>
      <c r="I1646" s="124">
        <f>Procurement_Raw!I1646</f>
        <v>100.35</v>
      </c>
      <c r="J1646" s="125">
        <f>IF(Procurement_Raw!J1646="","",Procurement_Raw!J1646)</f>
        <v>200.7</v>
      </c>
      <c r="K1646" s="77">
        <f>Procurement_Raw!K1646</f>
        <v>30</v>
      </c>
      <c r="L1646" t="str">
        <f>Procurement_Raw!L1646</f>
        <v>Procurement Portal</v>
      </c>
      <c r="M1646" t="str">
        <f>Procurement_Raw!O1646</f>
        <v>N</v>
      </c>
      <c r="N1646" t="str">
        <f>IF(E1646="","Missing supplier",IF(B1646="","Missing site",IF(J1646="","Missing spend",IF(COUNTIFS($G$2:G1646,G1646,$E$2:E1646,E1646,$J$2:J1646,J1646)&gt;1,"Duplicate invoice",IF(COUNTIF($G$2:$G$1801,G1646)&gt;1,"Duplicate ID - review",IF(AND(P1646&lt;&gt;"Unmapped",P1646&lt;&gt;F1646),"Category mismatch","OK"))))))</f>
        <v>OK</v>
      </c>
      <c r="O1646" s="125">
        <f t="shared" si="75"/>
        <v>200.7</v>
      </c>
      <c r="P1646" t="str">
        <f>IF(E1646="","Unmapped",IFERROR(INDEX(Supplier_Lookup!$B$2:$B$25,MATCH(E1646,Supplier_Lookup!$A$2:$A$25,0)),"Unmapped"))</f>
        <v>Facilities</v>
      </c>
      <c r="Q1646" s="76">
        <f>IFERROR(INDEX(Category_Targets!$B$2:$B$9,MATCH(F1646,Category_Targets!$A$2:$A$9,0)),0)</f>
        <v>0.05</v>
      </c>
      <c r="R1646" s="125">
        <f t="shared" si="76"/>
        <v>10.035</v>
      </c>
      <c r="S1646" s="78">
        <f t="shared" si="77"/>
        <v>45839</v>
      </c>
      <c r="T1646" t="str">
        <f>IFERROR(VLOOKUP(B1646,Sites!$A$2:$D$21,4,FALSE()),"Unknown")</f>
        <v>Derby</v>
      </c>
      <c r="U1646" t="str">
        <f>IF(N1646="OK","",COUNTIF($N$2:N1646,"&lt;&gt;OK"))</f>
        <v/>
      </c>
      <c r="V1646">
        <f>IF(OR(NOT(EXACT(E1646,TRIM(Procurement_Raw!E1646))),NOT(EXACT(F1646,TRIM(Procurement_Raw!F1646)))),1,0)</f>
        <v>1</v>
      </c>
    </row>
    <row r="1647" spans="1:22" ht="15" customHeight="1" x14ac:dyDescent="0.25">
      <c r="A1647" s="123">
        <f>Procurement_Raw!A1647</f>
        <v>45928</v>
      </c>
      <c r="B1647" t="str">
        <f>TRIM(Procurement_Raw!B1647)</f>
        <v>S019</v>
      </c>
      <c r="C1647" t="str">
        <f>Procurement_Raw!C1647</f>
        <v>Wrexham Care &amp; Education Centre</v>
      </c>
      <c r="D1647" t="str">
        <f>Procurement_Raw!D1647</f>
        <v>Wales</v>
      </c>
      <c r="E1647" t="str">
        <f>IF(TRIM(Procurement_Raw!E1647)="","",IFERROR(INDEX(Supplier_Lookup!$A$2:$A$25,MATCH(TRIM(Procurement_Raw!E1647),Supplier_Lookup!$A$2:$A$25,0)),TRIM(Procurement_Raw!E1647)))</f>
        <v>UK Energy Partners</v>
      </c>
      <c r="F1647" t="str">
        <f>IFERROR(INDEX(Category_Targets!$A$2:$A$9,MATCH(TRIM(Procurement_Raw!F1647),Category_Targets!$A$2:$A$9,0)),"Unmapped")</f>
        <v>Utilities</v>
      </c>
      <c r="G1647" t="str">
        <f>TRIM(Procurement_Raw!G1647)</f>
        <v>INV-2025-01646</v>
      </c>
      <c r="H1647" s="77">
        <f>Procurement_Raw!H1647</f>
        <v>66</v>
      </c>
      <c r="I1647" s="124">
        <f>Procurement_Raw!I1647</f>
        <v>316.41000000000003</v>
      </c>
      <c r="J1647" s="125">
        <f>IF(Procurement_Raw!J1647="","",Procurement_Raw!J1647)</f>
        <v>20882.87</v>
      </c>
      <c r="K1647" s="77">
        <f>Procurement_Raw!K1647</f>
        <v>30</v>
      </c>
      <c r="L1647" t="str">
        <f>Procurement_Raw!L1647</f>
        <v>Procurement Portal</v>
      </c>
      <c r="M1647" t="str">
        <f>Procurement_Raw!O1647</f>
        <v>N</v>
      </c>
      <c r="N1647" t="str">
        <f>IF(E1647="","Missing supplier",IF(B1647="","Missing site",IF(J1647="","Missing spend",IF(COUNTIFS($G$2:G1647,G1647,$E$2:E1647,E1647,$J$2:J1647,J1647)&gt;1,"Duplicate invoice",IF(COUNTIF($G$2:$G$1801,G1647)&gt;1,"Duplicate ID - review",IF(AND(P1647&lt;&gt;"Unmapped",P1647&lt;&gt;F1647),"Category mismatch","OK"))))))</f>
        <v>OK</v>
      </c>
      <c r="O1647" s="125">
        <f t="shared" si="75"/>
        <v>20882.87</v>
      </c>
      <c r="P1647" t="str">
        <f>IF(E1647="","Unmapped",IFERROR(INDEX(Supplier_Lookup!$B$2:$B$25,MATCH(E1647,Supplier_Lookup!$A$2:$A$25,0)),"Unmapped"))</f>
        <v>Utilities</v>
      </c>
      <c r="Q1647" s="76">
        <f>IFERROR(INDEX(Category_Targets!$B$2:$B$9,MATCH(F1647,Category_Targets!$A$2:$A$9,0)),0)</f>
        <v>0.03</v>
      </c>
      <c r="R1647" s="125">
        <f t="shared" si="76"/>
        <v>626.48609999999996</v>
      </c>
      <c r="S1647" s="78">
        <f t="shared" si="77"/>
        <v>45901</v>
      </c>
      <c r="T1647" t="str">
        <f>IFERROR(VLOOKUP(B1647,Sites!$A$2:$D$21,4,FALSE()),"Unknown")</f>
        <v>Wrexham</v>
      </c>
      <c r="U1647" t="str">
        <f>IF(N1647="OK","",COUNTIF($N$2:N1647,"&lt;&gt;OK"))</f>
        <v/>
      </c>
      <c r="V1647">
        <f>IF(OR(NOT(EXACT(E1647,TRIM(Procurement_Raw!E1647))),NOT(EXACT(F1647,TRIM(Procurement_Raw!F1647)))),1,0)</f>
        <v>0</v>
      </c>
    </row>
    <row r="1648" spans="1:22" ht="15" customHeight="1" x14ac:dyDescent="0.25">
      <c r="A1648" s="123">
        <f>Procurement_Raw!A1648</f>
        <v>45737</v>
      </c>
      <c r="B1648" t="str">
        <f>TRIM(Procurement_Raw!B1648)</f>
        <v>S019</v>
      </c>
      <c r="C1648" t="str">
        <f>Procurement_Raw!C1648</f>
        <v>Wrexham Care &amp; Education Centre</v>
      </c>
      <c r="D1648" t="str">
        <f>Procurement_Raw!D1648</f>
        <v>Wales</v>
      </c>
      <c r="E1648" t="str">
        <f>IF(TRIM(Procurement_Raw!E1648)="","",IFERROR(INDEX(Supplier_Lookup!$A$2:$A$25,MATCH(TRIM(Procurement_Raw!E1648),Supplier_Lookup!$A$2:$A$25,0)),TRIM(Procurement_Raw!E1648)))</f>
        <v>OfficePlus</v>
      </c>
      <c r="F1648" t="str">
        <f>IFERROR(INDEX(Category_Targets!$A$2:$A$9,MATCH(TRIM(Procurement_Raw!F1648),Category_Targets!$A$2:$A$9,0)),"Unmapped")</f>
        <v>Office &amp; Training</v>
      </c>
      <c r="G1648" t="str">
        <f>TRIM(Procurement_Raw!G1648)</f>
        <v>INV-2025-01647</v>
      </c>
      <c r="H1648" s="77">
        <f>Procurement_Raw!H1648</f>
        <v>33</v>
      </c>
      <c r="I1648" s="124">
        <f>Procurement_Raw!I1648</f>
        <v>67.66</v>
      </c>
      <c r="J1648" s="125">
        <f>IF(Procurement_Raw!J1648="","",Procurement_Raw!J1648)</f>
        <v>2232.92</v>
      </c>
      <c r="K1648" s="77">
        <f>Procurement_Raw!K1648</f>
        <v>30</v>
      </c>
      <c r="L1648" t="str">
        <f>Procurement_Raw!L1648</f>
        <v>Procurement Portal</v>
      </c>
      <c r="M1648" t="str">
        <f>Procurement_Raw!O1648</f>
        <v>N</v>
      </c>
      <c r="N1648" t="str">
        <f>IF(E1648="","Missing supplier",IF(B1648="","Missing site",IF(J1648="","Missing spend",IF(COUNTIFS($G$2:G1648,G1648,$E$2:E1648,E1648,$J$2:J1648,J1648)&gt;1,"Duplicate invoice",IF(COUNTIF($G$2:$G$1801,G1648)&gt;1,"Duplicate ID - review",IF(AND(P1648&lt;&gt;"Unmapped",P1648&lt;&gt;F1648),"Category mismatch","OK"))))))</f>
        <v>OK</v>
      </c>
      <c r="O1648" s="125">
        <f t="shared" si="75"/>
        <v>2232.92</v>
      </c>
      <c r="P1648" t="str">
        <f>IF(E1648="","Unmapped",IFERROR(INDEX(Supplier_Lookup!$B$2:$B$25,MATCH(E1648,Supplier_Lookup!$A$2:$A$25,0)),"Unmapped"))</f>
        <v>Office &amp; Training</v>
      </c>
      <c r="Q1648" s="76">
        <f>IFERROR(INDEX(Category_Targets!$B$2:$B$9,MATCH(F1648,Category_Targets!$A$2:$A$9,0)),0)</f>
        <v>0.04</v>
      </c>
      <c r="R1648" s="125">
        <f t="shared" si="76"/>
        <v>89.316800000000001</v>
      </c>
      <c r="S1648" s="78">
        <f t="shared" si="77"/>
        <v>45717</v>
      </c>
      <c r="T1648" t="str">
        <f>IFERROR(VLOOKUP(B1648,Sites!$A$2:$D$21,4,FALSE()),"Unknown")</f>
        <v>Wrexham</v>
      </c>
      <c r="U1648" t="str">
        <f>IF(N1648="OK","",COUNTIF($N$2:N1648,"&lt;&gt;OK"))</f>
        <v/>
      </c>
      <c r="V1648">
        <f>IF(OR(NOT(EXACT(E1648,TRIM(Procurement_Raw!E1648))),NOT(EXACT(F1648,TRIM(Procurement_Raw!F1648)))),1,0)</f>
        <v>0</v>
      </c>
    </row>
    <row r="1649" spans="1:22" ht="15" customHeight="1" x14ac:dyDescent="0.25">
      <c r="A1649" s="123">
        <f>Procurement_Raw!A1649</f>
        <v>45844</v>
      </c>
      <c r="B1649" t="str">
        <f>TRIM(Procurement_Raw!B1649)</f>
        <v>S012</v>
      </c>
      <c r="C1649" t="str">
        <f>Procurement_Raw!C1649</f>
        <v>Bristol Care &amp; Education Centre</v>
      </c>
      <c r="D1649" t="str">
        <f>Procurement_Raw!D1649</f>
        <v>South</v>
      </c>
      <c r="E1649" t="str">
        <f>IF(TRIM(Procurement_Raw!E1649)="","",IFERROR(INDEX(Supplier_Lookup!$A$2:$A$25,MATCH(TRIM(Procurement_Raw!E1649),Supplier_Lookup!$A$2:$A$25,0)),TRIM(Procurement_Raw!E1649)))</f>
        <v>RoadReady</v>
      </c>
      <c r="F1649" t="str">
        <f>IFERROR(INDEX(Category_Targets!$A$2:$A$9,MATCH(TRIM(Procurement_Raw!F1649),Category_Targets!$A$2:$A$9,0)),"Unmapped")</f>
        <v>Vehicle &amp; Fuel</v>
      </c>
      <c r="G1649" t="str">
        <f>TRIM(Procurement_Raw!G1649)</f>
        <v>INV-2025-01648</v>
      </c>
      <c r="H1649" s="77">
        <f>Procurement_Raw!H1649</f>
        <v>55</v>
      </c>
      <c r="I1649" s="124">
        <f>Procurement_Raw!I1649</f>
        <v>163.37</v>
      </c>
      <c r="J1649" s="125">
        <f>IF(Procurement_Raw!J1649="","",Procurement_Raw!J1649)</f>
        <v>8985.4500000000007</v>
      </c>
      <c r="K1649" s="77">
        <f>Procurement_Raw!K1649</f>
        <v>30</v>
      </c>
      <c r="L1649" t="str">
        <f>Procurement_Raw!L1649</f>
        <v>Legacy Spend File</v>
      </c>
      <c r="M1649" t="str">
        <f>Procurement_Raw!O1649</f>
        <v>N</v>
      </c>
      <c r="N1649" t="str">
        <f>IF(E1649="","Missing supplier",IF(B1649="","Missing site",IF(J1649="","Missing spend",IF(COUNTIFS($G$2:G1649,G1649,$E$2:E1649,E1649,$J$2:J1649,J1649)&gt;1,"Duplicate invoice",IF(COUNTIF($G$2:$G$1801,G1649)&gt;1,"Duplicate ID - review",IF(AND(P1649&lt;&gt;"Unmapped",P1649&lt;&gt;F1649),"Category mismatch","OK"))))))</f>
        <v>OK</v>
      </c>
      <c r="O1649" s="125">
        <f t="shared" si="75"/>
        <v>8985.4500000000007</v>
      </c>
      <c r="P1649" t="str">
        <f>IF(E1649="","Unmapped",IFERROR(INDEX(Supplier_Lookup!$B$2:$B$25,MATCH(E1649,Supplier_Lookup!$A$2:$A$25,0)),"Unmapped"))</f>
        <v>Vehicle &amp; Fuel</v>
      </c>
      <c r="Q1649" s="76">
        <f>IFERROR(INDEX(Category_Targets!$B$2:$B$9,MATCH(F1649,Category_Targets!$A$2:$A$9,0)),0)</f>
        <v>0.05</v>
      </c>
      <c r="R1649" s="125">
        <f t="shared" si="76"/>
        <v>449.27250000000004</v>
      </c>
      <c r="S1649" s="78">
        <f t="shared" si="77"/>
        <v>45839</v>
      </c>
      <c r="T1649" t="str">
        <f>IFERROR(VLOOKUP(B1649,Sites!$A$2:$D$21,4,FALSE()),"Unknown")</f>
        <v>Bristol</v>
      </c>
      <c r="U1649" t="str">
        <f>IF(N1649="OK","",COUNTIF($N$2:N1649,"&lt;&gt;OK"))</f>
        <v/>
      </c>
      <c r="V1649">
        <f>IF(OR(NOT(EXACT(E1649,TRIM(Procurement_Raw!E1649))),NOT(EXACT(F1649,TRIM(Procurement_Raw!F1649)))),1,0)</f>
        <v>0</v>
      </c>
    </row>
    <row r="1650" spans="1:22" ht="15" customHeight="1" x14ac:dyDescent="0.25">
      <c r="A1650" s="123">
        <f>Procurement_Raw!A1650</f>
        <v>45994</v>
      </c>
      <c r="B1650" t="str">
        <f>TRIM(Procurement_Raw!B1650)</f>
        <v>S019</v>
      </c>
      <c r="C1650" t="str">
        <f>Procurement_Raw!C1650</f>
        <v>Wrexham Care &amp; Education Centre</v>
      </c>
      <c r="D1650" t="str">
        <f>Procurement_Raw!D1650</f>
        <v>Wales</v>
      </c>
      <c r="E1650" t="str">
        <f>IF(TRIM(Procurement_Raw!E1650)="","",IFERROR(INDEX(Supplier_Lookup!$A$2:$A$25,MATCH(TRIM(Procurement_Raw!E1650),Supplier_Lookup!$A$2:$A$25,0)),TRIM(Procurement_Raw!E1650)))</f>
        <v>NourishCo</v>
      </c>
      <c r="F1650" t="str">
        <f>IFERROR(INDEX(Category_Targets!$A$2:$A$9,MATCH(TRIM(Procurement_Raw!F1650),Category_Targets!$A$2:$A$9,0)),"Unmapped")</f>
        <v>Food &amp; Catering</v>
      </c>
      <c r="G1650" t="str">
        <f>TRIM(Procurement_Raw!G1650)</f>
        <v>INV-2025-01649</v>
      </c>
      <c r="H1650" s="77">
        <f>Procurement_Raw!H1650</f>
        <v>57</v>
      </c>
      <c r="I1650" s="124">
        <f>Procurement_Raw!I1650</f>
        <v>124.89</v>
      </c>
      <c r="J1650" s="125">
        <f>IF(Procurement_Raw!J1650="","",Procurement_Raw!J1650)</f>
        <v>7118.85</v>
      </c>
      <c r="K1650" s="77">
        <f>Procurement_Raw!K1650</f>
        <v>30</v>
      </c>
      <c r="L1650" t="str">
        <f>Procurement_Raw!L1650</f>
        <v>ERP</v>
      </c>
      <c r="M1650" t="str">
        <f>Procurement_Raw!O1650</f>
        <v>N</v>
      </c>
      <c r="N1650" t="str">
        <f>IF(E1650="","Missing supplier",IF(B1650="","Missing site",IF(J1650="","Missing spend",IF(COUNTIFS($G$2:G1650,G1650,$E$2:E1650,E1650,$J$2:J1650,J1650)&gt;1,"Duplicate invoice",IF(COUNTIF($G$2:$G$1801,G1650)&gt;1,"Duplicate ID - review",IF(AND(P1650&lt;&gt;"Unmapped",P1650&lt;&gt;F1650),"Category mismatch","OK"))))))</f>
        <v>OK</v>
      </c>
      <c r="O1650" s="125">
        <f t="shared" si="75"/>
        <v>7118.85</v>
      </c>
      <c r="P1650" t="str">
        <f>IF(E1650="","Unmapped",IFERROR(INDEX(Supplier_Lookup!$B$2:$B$25,MATCH(E1650,Supplier_Lookup!$A$2:$A$25,0)),"Unmapped"))</f>
        <v>Food &amp; Catering</v>
      </c>
      <c r="Q1650" s="76">
        <f>IFERROR(INDEX(Category_Targets!$B$2:$B$9,MATCH(F1650,Category_Targets!$A$2:$A$9,0)),0)</f>
        <v>0.04</v>
      </c>
      <c r="R1650" s="125">
        <f t="shared" si="76"/>
        <v>284.75400000000002</v>
      </c>
      <c r="S1650" s="78">
        <f t="shared" si="77"/>
        <v>45992</v>
      </c>
      <c r="T1650" t="str">
        <f>IFERROR(VLOOKUP(B1650,Sites!$A$2:$D$21,4,FALSE()),"Unknown")</f>
        <v>Wrexham</v>
      </c>
      <c r="U1650" t="str">
        <f>IF(N1650="OK","",COUNTIF($N$2:N1650,"&lt;&gt;OK"))</f>
        <v/>
      </c>
      <c r="V1650">
        <f>IF(OR(NOT(EXACT(E1650,TRIM(Procurement_Raw!E1650))),NOT(EXACT(F1650,TRIM(Procurement_Raw!F1650)))),1,0)</f>
        <v>0</v>
      </c>
    </row>
    <row r="1651" spans="1:22" ht="15" customHeight="1" x14ac:dyDescent="0.25">
      <c r="A1651" s="123">
        <f>Procurement_Raw!A1651</f>
        <v>45841</v>
      </c>
      <c r="B1651" t="str">
        <f>TRIM(Procurement_Raw!B1651)</f>
        <v>S016</v>
      </c>
      <c r="C1651" t="str">
        <f>Procurement_Raw!C1651</f>
        <v>Cardiff Care &amp; Education Centre</v>
      </c>
      <c r="D1651" t="str">
        <f>Procurement_Raw!D1651</f>
        <v>Wales</v>
      </c>
      <c r="E1651" t="str">
        <f>IF(TRIM(Procurement_Raw!E1651)="","",IFERROR(INDEX(Supplier_Lookup!$A$2:$A$25,MATCH(TRIM(Procurement_Raw!E1651),Supplier_Lookup!$A$2:$A$25,0)),TRIM(Procurement_Raw!E1651)))</f>
        <v>HealthStaffing</v>
      </c>
      <c r="F1651" t="str">
        <f>IFERROR(INDEX(Category_Targets!$A$2:$A$9,MATCH(TRIM(Procurement_Raw!F1651),Category_Targets!$A$2:$A$9,0)),"Unmapped")</f>
        <v>Agency Labour</v>
      </c>
      <c r="G1651" t="str">
        <f>TRIM(Procurement_Raw!G1651)</f>
        <v>INV-2025-01650</v>
      </c>
      <c r="H1651" s="77">
        <f>Procurement_Raw!H1651</f>
        <v>26</v>
      </c>
      <c r="I1651" s="124">
        <f>Procurement_Raw!I1651</f>
        <v>1246.43</v>
      </c>
      <c r="J1651" s="125">
        <f>IF(Procurement_Raw!J1651="","",Procurement_Raw!J1651)</f>
        <v>32407.3</v>
      </c>
      <c r="K1651" s="77">
        <f>Procurement_Raw!K1651</f>
        <v>30</v>
      </c>
      <c r="L1651" t="str">
        <f>Procurement_Raw!L1651</f>
        <v>ERP</v>
      </c>
      <c r="M1651" t="str">
        <f>Procurement_Raw!O1651</f>
        <v>N</v>
      </c>
      <c r="N1651" t="str">
        <f>IF(E1651="","Missing supplier",IF(B1651="","Missing site",IF(J1651="","Missing spend",IF(COUNTIFS($G$2:G1651,G1651,$E$2:E1651,E1651,$J$2:J1651,J1651)&gt;1,"Duplicate invoice",IF(COUNTIF($G$2:$G$1801,G1651)&gt;1,"Duplicate ID - review",IF(AND(P1651&lt;&gt;"Unmapped",P1651&lt;&gt;F1651),"Category mismatch","OK"))))))</f>
        <v>OK</v>
      </c>
      <c r="O1651" s="125">
        <f t="shared" si="75"/>
        <v>32407.3</v>
      </c>
      <c r="P1651" t="str">
        <f>IF(E1651="","Unmapped",IFERROR(INDEX(Supplier_Lookup!$B$2:$B$25,MATCH(E1651,Supplier_Lookup!$A$2:$A$25,0)),"Unmapped"))</f>
        <v>Agency Labour</v>
      </c>
      <c r="Q1651" s="76">
        <f>IFERROR(INDEX(Category_Targets!$B$2:$B$9,MATCH(F1651,Category_Targets!$A$2:$A$9,0)),0)</f>
        <v>7.0000000000000007E-2</v>
      </c>
      <c r="R1651" s="125">
        <f t="shared" si="76"/>
        <v>2268.511</v>
      </c>
      <c r="S1651" s="78">
        <f t="shared" si="77"/>
        <v>45839</v>
      </c>
      <c r="T1651" t="str">
        <f>IFERROR(VLOOKUP(B1651,Sites!$A$2:$D$21,4,FALSE()),"Unknown")</f>
        <v>Cardiff</v>
      </c>
      <c r="U1651" t="str">
        <f>IF(N1651="OK","",COUNTIF($N$2:N1651,"&lt;&gt;OK"))</f>
        <v/>
      </c>
      <c r="V1651">
        <f>IF(OR(NOT(EXACT(E1651,TRIM(Procurement_Raw!E1651))),NOT(EXACT(F1651,TRIM(Procurement_Raw!F1651)))),1,0)</f>
        <v>0</v>
      </c>
    </row>
    <row r="1652" spans="1:22" ht="15" customHeight="1" x14ac:dyDescent="0.25">
      <c r="A1652" s="123">
        <f>Procurement_Raw!A1652</f>
        <v>45860</v>
      </c>
      <c r="B1652" t="str">
        <f>TRIM(Procurement_Raw!B1652)</f>
        <v>S016</v>
      </c>
      <c r="C1652" t="str">
        <f>Procurement_Raw!C1652</f>
        <v>Cardiff Care &amp; Education Centre</v>
      </c>
      <c r="D1652" t="str">
        <f>Procurement_Raw!D1652</f>
        <v>Wales</v>
      </c>
      <c r="E1652" t="str">
        <f>IF(TRIM(Procurement_Raw!E1652)="","",IFERROR(INDEX(Supplier_Lookup!$A$2:$A$25,MATCH(TRIM(Procurement_Raw!E1652),Supplier_Lookup!$A$2:$A$25,0)),TRIM(Procurement_Raw!E1652)))</f>
        <v>MediSure</v>
      </c>
      <c r="F1652" t="str">
        <f>IFERROR(INDEX(Category_Targets!$A$2:$A$9,MATCH(TRIM(Procurement_Raw!F1652),Category_Targets!$A$2:$A$9,0)),"Unmapped")</f>
        <v>Medical Supplies</v>
      </c>
      <c r="G1652" t="str">
        <f>TRIM(Procurement_Raw!G1652)</f>
        <v>INV-2025-01651</v>
      </c>
      <c r="H1652" s="77">
        <f>Procurement_Raw!H1652</f>
        <v>54</v>
      </c>
      <c r="I1652" s="124">
        <f>Procurement_Raw!I1652</f>
        <v>165.06</v>
      </c>
      <c r="J1652" s="125">
        <f>IF(Procurement_Raw!J1652="","",Procurement_Raw!J1652)</f>
        <v>8913.07</v>
      </c>
      <c r="K1652" s="77">
        <f>Procurement_Raw!K1652</f>
        <v>60</v>
      </c>
      <c r="L1652" t="str">
        <f>Procurement_Raw!L1652</f>
        <v>Procurement Portal</v>
      </c>
      <c r="M1652" t="str">
        <f>Procurement_Raw!O1652</f>
        <v>Y</v>
      </c>
      <c r="N1652" t="str">
        <f>IF(E1652="","Missing supplier",IF(B1652="","Missing site",IF(J1652="","Missing spend",IF(COUNTIFS($G$2:G1652,G1652,$E$2:E1652,E1652,$J$2:J1652,J1652)&gt;1,"Duplicate invoice",IF(COUNTIF($G$2:$G$1801,G1652)&gt;1,"Duplicate ID - review",IF(AND(P1652&lt;&gt;"Unmapped",P1652&lt;&gt;F1652),"Category mismatch","OK"))))))</f>
        <v>OK</v>
      </c>
      <c r="O1652" s="125">
        <f t="shared" si="75"/>
        <v>8913.07</v>
      </c>
      <c r="P1652" t="str">
        <f>IF(E1652="","Unmapped",IFERROR(INDEX(Supplier_Lookup!$B$2:$B$25,MATCH(E1652,Supplier_Lookup!$A$2:$A$25,0)),"Unmapped"))</f>
        <v>Medical Supplies</v>
      </c>
      <c r="Q1652" s="76">
        <f>IFERROR(INDEX(Category_Targets!$B$2:$B$9,MATCH(F1652,Category_Targets!$A$2:$A$9,0)),0)</f>
        <v>0.06</v>
      </c>
      <c r="R1652" s="125">
        <f t="shared" si="76"/>
        <v>534.78419999999994</v>
      </c>
      <c r="S1652" s="78">
        <f t="shared" si="77"/>
        <v>45839</v>
      </c>
      <c r="T1652" t="str">
        <f>IFERROR(VLOOKUP(B1652,Sites!$A$2:$D$21,4,FALSE()),"Unknown")</f>
        <v>Cardiff</v>
      </c>
      <c r="U1652" t="str">
        <f>IF(N1652="OK","",COUNTIF($N$2:N1652,"&lt;&gt;OK"))</f>
        <v/>
      </c>
      <c r="V1652">
        <f>IF(OR(NOT(EXACT(E1652,TRIM(Procurement_Raw!E1652))),NOT(EXACT(F1652,TRIM(Procurement_Raw!F1652)))),1,0)</f>
        <v>0</v>
      </c>
    </row>
    <row r="1653" spans="1:22" ht="15" customHeight="1" x14ac:dyDescent="0.25">
      <c r="A1653" s="123">
        <f>Procurement_Raw!A1653</f>
        <v>45759</v>
      </c>
      <c r="B1653" t="str">
        <f>TRIM(Procurement_Raw!B1653)</f>
        <v>S011</v>
      </c>
      <c r="C1653" t="str">
        <f>Procurement_Raw!C1653</f>
        <v>London Care &amp; Education Centre</v>
      </c>
      <c r="D1653" t="str">
        <f>Procurement_Raw!D1653</f>
        <v>South</v>
      </c>
      <c r="E1653" t="str">
        <f>IF(TRIM(Procurement_Raw!E1653)="","",IFERROR(INDEX(Supplier_Lookup!$A$2:$A$25,MATCH(TRIM(Procurement_Raw!E1653),Supplier_Lookup!$A$2:$A$25,0)),TRIM(Procurement_Raw!E1653)))</f>
        <v>BuildCare</v>
      </c>
      <c r="F1653" t="str">
        <f>IFERROR(INDEX(Category_Targets!$A$2:$A$9,MATCH(TRIM(Procurement_Raw!F1653),Category_Targets!$A$2:$A$9,0)),"Unmapped")</f>
        <v>Facilities</v>
      </c>
      <c r="G1653" t="str">
        <f>TRIM(Procurement_Raw!G1653)</f>
        <v>INV-2025-01652</v>
      </c>
      <c r="H1653" s="77">
        <f>Procurement_Raw!H1653</f>
        <v>62</v>
      </c>
      <c r="I1653" s="124">
        <f>Procurement_Raw!I1653</f>
        <v>215.32</v>
      </c>
      <c r="J1653" s="125">
        <f>IF(Procurement_Raw!J1653="","",Procurement_Raw!J1653)</f>
        <v>13350.1</v>
      </c>
      <c r="K1653" s="77">
        <f>Procurement_Raw!K1653</f>
        <v>60</v>
      </c>
      <c r="L1653" t="str">
        <f>Procurement_Raw!L1653</f>
        <v>Procurement Portal</v>
      </c>
      <c r="M1653" t="str">
        <f>Procurement_Raw!O1653</f>
        <v>N</v>
      </c>
      <c r="N1653" t="str">
        <f>IF(E1653="","Missing supplier",IF(B1653="","Missing site",IF(J1653="","Missing spend",IF(COUNTIFS($G$2:G1653,G1653,$E$2:E1653,E1653,$J$2:J1653,J1653)&gt;1,"Duplicate invoice",IF(COUNTIF($G$2:$G$1801,G1653)&gt;1,"Duplicate ID - review",IF(AND(P1653&lt;&gt;"Unmapped",P1653&lt;&gt;F1653),"Category mismatch","OK"))))))</f>
        <v>OK</v>
      </c>
      <c r="O1653" s="125">
        <f t="shared" si="75"/>
        <v>13350.1</v>
      </c>
      <c r="P1653" t="str">
        <f>IF(E1653="","Unmapped",IFERROR(INDEX(Supplier_Lookup!$B$2:$B$25,MATCH(E1653,Supplier_Lookup!$A$2:$A$25,0)),"Unmapped"))</f>
        <v>Facilities</v>
      </c>
      <c r="Q1653" s="76">
        <f>IFERROR(INDEX(Category_Targets!$B$2:$B$9,MATCH(F1653,Category_Targets!$A$2:$A$9,0)),0)</f>
        <v>0.05</v>
      </c>
      <c r="R1653" s="125">
        <f t="shared" si="76"/>
        <v>667.50500000000011</v>
      </c>
      <c r="S1653" s="78">
        <f t="shared" si="77"/>
        <v>45748</v>
      </c>
      <c r="T1653" t="str">
        <f>IFERROR(VLOOKUP(B1653,Sites!$A$2:$D$21,4,FALSE()),"Unknown")</f>
        <v>London</v>
      </c>
      <c r="U1653" t="str">
        <f>IF(N1653="OK","",COUNTIF($N$2:N1653,"&lt;&gt;OK"))</f>
        <v/>
      </c>
      <c r="V1653">
        <f>IF(OR(NOT(EXACT(E1653,TRIM(Procurement_Raw!E1653))),NOT(EXACT(F1653,TRIM(Procurement_Raw!F1653)))),1,0)</f>
        <v>0</v>
      </c>
    </row>
    <row r="1654" spans="1:22" ht="15" customHeight="1" x14ac:dyDescent="0.25">
      <c r="A1654" s="123">
        <f>Procurement_Raw!A1654</f>
        <v>45939</v>
      </c>
      <c r="B1654" t="str">
        <f>TRIM(Procurement_Raw!B1654)</f>
        <v>S010</v>
      </c>
      <c r="C1654" t="str">
        <f>Procurement_Raw!C1654</f>
        <v>Coventry Care &amp; Education Centre</v>
      </c>
      <c r="D1654" t="str">
        <f>Procurement_Raw!D1654</f>
        <v>Midlands</v>
      </c>
      <c r="E1654" t="str">
        <f>IF(TRIM(Procurement_Raw!E1654)="","",IFERROR(INDEX(Supplier_Lookup!$A$2:$A$25,MATCH(TRIM(Procurement_Raw!E1654),Supplier_Lookup!$A$2:$A$25,0)),TRIM(Procurement_Raw!E1654)))</f>
        <v>CareTemps</v>
      </c>
      <c r="F1654" t="str">
        <f>IFERROR(INDEX(Category_Targets!$A$2:$A$9,MATCH(TRIM(Procurement_Raw!F1654),Category_Targets!$A$2:$A$9,0)),"Unmapped")</f>
        <v>Agency Labour</v>
      </c>
      <c r="G1654" t="str">
        <f>TRIM(Procurement_Raw!G1654)</f>
        <v>INV-2025-01653</v>
      </c>
      <c r="H1654" s="77">
        <f>Procurement_Raw!H1654</f>
        <v>64</v>
      </c>
      <c r="I1654" s="124">
        <f>Procurement_Raw!I1654</f>
        <v>333.85</v>
      </c>
      <c r="J1654" s="125">
        <f>IF(Procurement_Raw!J1654="","",Procurement_Raw!J1654)</f>
        <v>21366.44</v>
      </c>
      <c r="K1654" s="77">
        <f>Procurement_Raw!K1654</f>
        <v>60</v>
      </c>
      <c r="L1654" t="str">
        <f>Procurement_Raw!L1654</f>
        <v>Legacy Spend File</v>
      </c>
      <c r="M1654" t="str">
        <f>Procurement_Raw!O1654</f>
        <v>N</v>
      </c>
      <c r="N1654" t="str">
        <f>IF(E1654="","Missing supplier",IF(B1654="","Missing site",IF(J1654="","Missing spend",IF(COUNTIFS($G$2:G1654,G1654,$E$2:E1654,E1654,$J$2:J1654,J1654)&gt;1,"Duplicate invoice",IF(COUNTIF($G$2:$G$1801,G1654)&gt;1,"Duplicate ID - review",IF(AND(P1654&lt;&gt;"Unmapped",P1654&lt;&gt;F1654),"Category mismatch","OK"))))))</f>
        <v>OK</v>
      </c>
      <c r="O1654" s="125">
        <f t="shared" si="75"/>
        <v>21366.44</v>
      </c>
      <c r="P1654" t="str">
        <f>IF(E1654="","Unmapped",IFERROR(INDEX(Supplier_Lookup!$B$2:$B$25,MATCH(E1654,Supplier_Lookup!$A$2:$A$25,0)),"Unmapped"))</f>
        <v>Agency Labour</v>
      </c>
      <c r="Q1654" s="76">
        <f>IFERROR(INDEX(Category_Targets!$B$2:$B$9,MATCH(F1654,Category_Targets!$A$2:$A$9,0)),0)</f>
        <v>7.0000000000000007E-2</v>
      </c>
      <c r="R1654" s="125">
        <f t="shared" si="76"/>
        <v>1495.6508000000001</v>
      </c>
      <c r="S1654" s="78">
        <f t="shared" si="77"/>
        <v>45931</v>
      </c>
      <c r="T1654" t="str">
        <f>IFERROR(VLOOKUP(B1654,Sites!$A$2:$D$21,4,FALSE()),"Unknown")</f>
        <v>Coventry</v>
      </c>
      <c r="U1654" t="str">
        <f>IF(N1654="OK","",COUNTIF($N$2:N1654,"&lt;&gt;OK"))</f>
        <v/>
      </c>
      <c r="V1654">
        <f>IF(OR(NOT(EXACT(E1654,TRIM(Procurement_Raw!E1654))),NOT(EXACT(F1654,TRIM(Procurement_Raw!F1654)))),1,0)</f>
        <v>0</v>
      </c>
    </row>
    <row r="1655" spans="1:22" ht="15" customHeight="1" x14ac:dyDescent="0.25">
      <c r="A1655" s="123">
        <f>Procurement_Raw!A1655</f>
        <v>45914</v>
      </c>
      <c r="B1655" t="str">
        <f>TRIM(Procurement_Raw!B1655)</f>
        <v>S015</v>
      </c>
      <c r="C1655" t="str">
        <f>Procurement_Raw!C1655</f>
        <v>Brighton Care &amp; Education Centre</v>
      </c>
      <c r="D1655" t="str">
        <f>Procurement_Raw!D1655</f>
        <v>South</v>
      </c>
      <c r="E1655" t="str">
        <f>IF(TRIM(Procurement_Raw!E1655)="","",IFERROR(INDEX(Supplier_Lookup!$A$2:$A$25,MATCH(TRIM(Procurement_Raw!E1655),Supplier_Lookup!$A$2:$A$25,0)),TRIM(Procurement_Raw!E1655)))</f>
        <v>RoadReady</v>
      </c>
      <c r="F1655" t="str">
        <f>IFERROR(INDEX(Category_Targets!$A$2:$A$9,MATCH(TRIM(Procurement_Raw!F1655),Category_Targets!$A$2:$A$9,0)),"Unmapped")</f>
        <v>Vehicle &amp; Fuel</v>
      </c>
      <c r="G1655" t="str">
        <f>TRIM(Procurement_Raw!G1655)</f>
        <v>INV-2025-01654</v>
      </c>
      <c r="H1655" s="77">
        <f>Procurement_Raw!H1655</f>
        <v>50</v>
      </c>
      <c r="I1655" s="124">
        <f>Procurement_Raw!I1655</f>
        <v>78.23</v>
      </c>
      <c r="J1655" s="125">
        <f>IF(Procurement_Raw!J1655="","",Procurement_Raw!J1655)</f>
        <v>3911.43</v>
      </c>
      <c r="K1655" s="77">
        <f>Procurement_Raw!K1655</f>
        <v>30</v>
      </c>
      <c r="L1655" t="str">
        <f>Procurement_Raw!L1655</f>
        <v>ERP</v>
      </c>
      <c r="M1655" t="str">
        <f>Procurement_Raw!O1655</f>
        <v>N</v>
      </c>
      <c r="N1655" t="str">
        <f>IF(E1655="","Missing supplier",IF(B1655="","Missing site",IF(J1655="","Missing spend",IF(COUNTIFS($G$2:G1655,G1655,$E$2:E1655,E1655,$J$2:J1655,J1655)&gt;1,"Duplicate invoice",IF(COUNTIF($G$2:$G$1801,G1655)&gt;1,"Duplicate ID - review",IF(AND(P1655&lt;&gt;"Unmapped",P1655&lt;&gt;F1655),"Category mismatch","OK"))))))</f>
        <v>OK</v>
      </c>
      <c r="O1655" s="125">
        <f t="shared" si="75"/>
        <v>3911.43</v>
      </c>
      <c r="P1655" t="str">
        <f>IF(E1655="","Unmapped",IFERROR(INDEX(Supplier_Lookup!$B$2:$B$25,MATCH(E1655,Supplier_Lookup!$A$2:$A$25,0)),"Unmapped"))</f>
        <v>Vehicle &amp; Fuel</v>
      </c>
      <c r="Q1655" s="76">
        <f>IFERROR(INDEX(Category_Targets!$B$2:$B$9,MATCH(F1655,Category_Targets!$A$2:$A$9,0)),0)</f>
        <v>0.05</v>
      </c>
      <c r="R1655" s="125">
        <f t="shared" si="76"/>
        <v>195.57150000000001</v>
      </c>
      <c r="S1655" s="78">
        <f t="shared" si="77"/>
        <v>45901</v>
      </c>
      <c r="T1655" t="str">
        <f>IFERROR(VLOOKUP(B1655,Sites!$A$2:$D$21,4,FALSE()),"Unknown")</f>
        <v>Brighton</v>
      </c>
      <c r="U1655" t="str">
        <f>IF(N1655="OK","",COUNTIF($N$2:N1655,"&lt;&gt;OK"))</f>
        <v/>
      </c>
      <c r="V1655">
        <f>IF(OR(NOT(EXACT(E1655,TRIM(Procurement_Raw!E1655))),NOT(EXACT(F1655,TRIM(Procurement_Raw!F1655)))),1,0)</f>
        <v>0</v>
      </c>
    </row>
    <row r="1656" spans="1:22" ht="15" customHeight="1" x14ac:dyDescent="0.25">
      <c r="A1656" s="123">
        <f>Procurement_Raw!A1656</f>
        <v>45737</v>
      </c>
      <c r="B1656" t="str">
        <f>TRIM(Procurement_Raw!B1656)</f>
        <v>S011</v>
      </c>
      <c r="C1656" t="str">
        <f>Procurement_Raw!C1656</f>
        <v>London Care &amp; Education Centre</v>
      </c>
      <c r="D1656" t="str">
        <f>Procurement_Raw!D1656</f>
        <v>South</v>
      </c>
      <c r="E1656" t="str">
        <f>IF(TRIM(Procurement_Raw!E1656)="","",IFERROR(INDEX(Supplier_Lookup!$A$2:$A$25,MATCH(TRIM(Procurement_Raw!E1656),Supplier_Lookup!$A$2:$A$25,0)),TRIM(Procurement_Raw!E1656)))</f>
        <v>MediSure</v>
      </c>
      <c r="F1656" t="str">
        <f>IFERROR(INDEX(Category_Targets!$A$2:$A$9,MATCH(TRIM(Procurement_Raw!F1656),Category_Targets!$A$2:$A$9,0)),"Unmapped")</f>
        <v>Medical Supplies</v>
      </c>
      <c r="G1656" t="str">
        <f>TRIM(Procurement_Raw!G1656)</f>
        <v>INV-2025-01655</v>
      </c>
      <c r="H1656" s="77">
        <f>Procurement_Raw!H1656</f>
        <v>45</v>
      </c>
      <c r="I1656" s="124">
        <f>Procurement_Raw!I1656</f>
        <v>144.55000000000001</v>
      </c>
      <c r="J1656" s="125">
        <f>IF(Procurement_Raw!J1656="","",Procurement_Raw!J1656)</f>
        <v>6504.96</v>
      </c>
      <c r="K1656" s="77">
        <f>Procurement_Raw!K1656</f>
        <v>60</v>
      </c>
      <c r="L1656" t="str">
        <f>Procurement_Raw!L1656</f>
        <v>ERP</v>
      </c>
      <c r="M1656" t="str">
        <f>Procurement_Raw!O1656</f>
        <v>Y</v>
      </c>
      <c r="N1656" t="str">
        <f>IF(E1656="","Missing supplier",IF(B1656="","Missing site",IF(J1656="","Missing spend",IF(COUNTIFS($G$2:G1656,G1656,$E$2:E1656,E1656,$J$2:J1656,J1656)&gt;1,"Duplicate invoice",IF(COUNTIF($G$2:$G$1801,G1656)&gt;1,"Duplicate ID - review",IF(AND(P1656&lt;&gt;"Unmapped",P1656&lt;&gt;F1656),"Category mismatch","OK"))))))</f>
        <v>OK</v>
      </c>
      <c r="O1656" s="125">
        <f t="shared" si="75"/>
        <v>6504.96</v>
      </c>
      <c r="P1656" t="str">
        <f>IF(E1656="","Unmapped",IFERROR(INDEX(Supplier_Lookup!$B$2:$B$25,MATCH(E1656,Supplier_Lookup!$A$2:$A$25,0)),"Unmapped"))</f>
        <v>Medical Supplies</v>
      </c>
      <c r="Q1656" s="76">
        <f>IFERROR(INDEX(Category_Targets!$B$2:$B$9,MATCH(F1656,Category_Targets!$A$2:$A$9,0)),0)</f>
        <v>0.06</v>
      </c>
      <c r="R1656" s="125">
        <f t="shared" si="76"/>
        <v>390.29759999999999</v>
      </c>
      <c r="S1656" s="78">
        <f t="shared" si="77"/>
        <v>45717</v>
      </c>
      <c r="T1656" t="str">
        <f>IFERROR(VLOOKUP(B1656,Sites!$A$2:$D$21,4,FALSE()),"Unknown")</f>
        <v>London</v>
      </c>
      <c r="U1656" t="str">
        <f>IF(N1656="OK","",COUNTIF($N$2:N1656,"&lt;&gt;OK"))</f>
        <v/>
      </c>
      <c r="V1656">
        <f>IF(OR(NOT(EXACT(E1656,TRIM(Procurement_Raw!E1656))),NOT(EXACT(F1656,TRIM(Procurement_Raw!F1656)))),1,0)</f>
        <v>0</v>
      </c>
    </row>
    <row r="1657" spans="1:22" ht="15" customHeight="1" x14ac:dyDescent="0.25">
      <c r="A1657" s="123">
        <f>Procurement_Raw!A1657</f>
        <v>46005</v>
      </c>
      <c r="B1657" t="str">
        <f>TRIM(Procurement_Raw!B1657)</f>
        <v>S013</v>
      </c>
      <c r="C1657" t="str">
        <f>Procurement_Raw!C1657</f>
        <v>Reading Care &amp; Education Centre</v>
      </c>
      <c r="D1657" t="str">
        <f>Procurement_Raw!D1657</f>
        <v>South</v>
      </c>
      <c r="E1657" t="str">
        <f>IF(TRIM(Procurement_Raw!E1657)="","",IFERROR(INDEX(Supplier_Lookup!$A$2:$A$25,MATCH(TRIM(Procurement_Raw!E1657),Supplier_Lookup!$A$2:$A$25,0)),TRIM(Procurement_Raw!E1657)))</f>
        <v>UK Energy Partners</v>
      </c>
      <c r="F1657" t="str">
        <f>IFERROR(INDEX(Category_Targets!$A$2:$A$9,MATCH(TRIM(Procurement_Raw!F1657),Category_Targets!$A$2:$A$9,0)),"Unmapped")</f>
        <v>Utilities</v>
      </c>
      <c r="G1657" t="str">
        <f>TRIM(Procurement_Raw!G1657)</f>
        <v>INV-2025-01656</v>
      </c>
      <c r="H1657" s="77">
        <f>Procurement_Raw!H1657</f>
        <v>44</v>
      </c>
      <c r="I1657" s="124">
        <f>Procurement_Raw!I1657</f>
        <v>212.51</v>
      </c>
      <c r="J1657" s="125">
        <f>IF(Procurement_Raw!J1657="","",Procurement_Raw!J1657)</f>
        <v>9350.4500000000007</v>
      </c>
      <c r="K1657" s="77">
        <f>Procurement_Raw!K1657</f>
        <v>45</v>
      </c>
      <c r="L1657" t="str">
        <f>Procurement_Raw!L1657</f>
        <v>Legacy Spend File</v>
      </c>
      <c r="M1657" t="str">
        <f>Procurement_Raw!O1657</f>
        <v>N</v>
      </c>
      <c r="N1657" t="str">
        <f>IF(E1657="","Missing supplier",IF(B1657="","Missing site",IF(J1657="","Missing spend",IF(COUNTIFS($G$2:G1657,G1657,$E$2:E1657,E1657,$J$2:J1657,J1657)&gt;1,"Duplicate invoice",IF(COUNTIF($G$2:$G$1801,G1657)&gt;1,"Duplicate ID - review",IF(AND(P1657&lt;&gt;"Unmapped",P1657&lt;&gt;F1657),"Category mismatch","OK"))))))</f>
        <v>OK</v>
      </c>
      <c r="O1657" s="125">
        <f t="shared" si="75"/>
        <v>9350.4500000000007</v>
      </c>
      <c r="P1657" t="str">
        <f>IF(E1657="","Unmapped",IFERROR(INDEX(Supplier_Lookup!$B$2:$B$25,MATCH(E1657,Supplier_Lookup!$A$2:$A$25,0)),"Unmapped"))</f>
        <v>Utilities</v>
      </c>
      <c r="Q1657" s="76">
        <f>IFERROR(INDEX(Category_Targets!$B$2:$B$9,MATCH(F1657,Category_Targets!$A$2:$A$9,0)),0)</f>
        <v>0.03</v>
      </c>
      <c r="R1657" s="125">
        <f t="shared" si="76"/>
        <v>280.51350000000002</v>
      </c>
      <c r="S1657" s="78">
        <f t="shared" si="77"/>
        <v>45992</v>
      </c>
      <c r="T1657" t="str">
        <f>IFERROR(VLOOKUP(B1657,Sites!$A$2:$D$21,4,FALSE()),"Unknown")</f>
        <v>Reading</v>
      </c>
      <c r="U1657" t="str">
        <f>IF(N1657="OK","",COUNTIF($N$2:N1657,"&lt;&gt;OK"))</f>
        <v/>
      </c>
      <c r="V1657">
        <f>IF(OR(NOT(EXACT(E1657,TRIM(Procurement_Raw!E1657))),NOT(EXACT(F1657,TRIM(Procurement_Raw!F1657)))),1,0)</f>
        <v>0</v>
      </c>
    </row>
    <row r="1658" spans="1:22" ht="15" customHeight="1" x14ac:dyDescent="0.25">
      <c r="A1658" s="123">
        <f>Procurement_Raw!A1658</f>
        <v>45903</v>
      </c>
      <c r="B1658" t="str">
        <f>TRIM(Procurement_Raw!B1658)</f>
        <v>S009</v>
      </c>
      <c r="C1658" t="str">
        <f>Procurement_Raw!C1658</f>
        <v>Derby Care &amp; Education Centre</v>
      </c>
      <c r="D1658" t="str">
        <f>Procurement_Raw!D1658</f>
        <v>Midlands</v>
      </c>
      <c r="E1658" t="str">
        <f>IF(TRIM(Procurement_Raw!E1658)="","",IFERROR(INDEX(Supplier_Lookup!$A$2:$A$25,MATCH(TRIM(Procurement_Raw!E1658),Supplier_Lookup!$A$2:$A$25,0)),TRIM(Procurement_Raw!E1658)))</f>
        <v>CareMed</v>
      </c>
      <c r="F1658" t="str">
        <f>IFERROR(INDEX(Category_Targets!$A$2:$A$9,MATCH(TRIM(Procurement_Raw!F1658),Category_Targets!$A$2:$A$9,0)),"Unmapped")</f>
        <v>Medical Supplies</v>
      </c>
      <c r="G1658" t="str">
        <f>TRIM(Procurement_Raw!G1658)</f>
        <v>INV-2025-01657</v>
      </c>
      <c r="H1658" s="77">
        <f>Procurement_Raw!H1658</f>
        <v>38</v>
      </c>
      <c r="I1658" s="124">
        <f>Procurement_Raw!I1658</f>
        <v>131.65</v>
      </c>
      <c r="J1658" s="125">
        <f>IF(Procurement_Raw!J1658="","",Procurement_Raw!J1658)</f>
        <v>5002.6899999999996</v>
      </c>
      <c r="K1658" s="77">
        <f>Procurement_Raw!K1658</f>
        <v>45</v>
      </c>
      <c r="L1658" t="str">
        <f>Procurement_Raw!L1658</f>
        <v>Procurement Portal</v>
      </c>
      <c r="M1658" t="str">
        <f>Procurement_Raw!O1658</f>
        <v>N</v>
      </c>
      <c r="N1658" t="str">
        <f>IF(E1658="","Missing supplier",IF(B1658="","Missing site",IF(J1658="","Missing spend",IF(COUNTIFS($G$2:G1658,G1658,$E$2:E1658,E1658,$J$2:J1658,J1658)&gt;1,"Duplicate invoice",IF(COUNTIF($G$2:$G$1801,G1658)&gt;1,"Duplicate ID - review",IF(AND(P1658&lt;&gt;"Unmapped",P1658&lt;&gt;F1658),"Category mismatch","OK"))))))</f>
        <v>OK</v>
      </c>
      <c r="O1658" s="125">
        <f t="shared" si="75"/>
        <v>5002.6899999999996</v>
      </c>
      <c r="P1658" t="str">
        <f>IF(E1658="","Unmapped",IFERROR(INDEX(Supplier_Lookup!$B$2:$B$25,MATCH(E1658,Supplier_Lookup!$A$2:$A$25,0)),"Unmapped"))</f>
        <v>Medical Supplies</v>
      </c>
      <c r="Q1658" s="76">
        <f>IFERROR(INDEX(Category_Targets!$B$2:$B$9,MATCH(F1658,Category_Targets!$A$2:$A$9,0)),0)</f>
        <v>0.06</v>
      </c>
      <c r="R1658" s="125">
        <f t="shared" si="76"/>
        <v>300.16139999999996</v>
      </c>
      <c r="S1658" s="78">
        <f t="shared" si="77"/>
        <v>45901</v>
      </c>
      <c r="T1658" t="str">
        <f>IFERROR(VLOOKUP(B1658,Sites!$A$2:$D$21,4,FALSE()),"Unknown")</f>
        <v>Derby</v>
      </c>
      <c r="U1658" t="str">
        <f>IF(N1658="OK","",COUNTIF($N$2:N1658,"&lt;&gt;OK"))</f>
        <v/>
      </c>
      <c r="V1658">
        <f>IF(OR(NOT(EXACT(E1658,TRIM(Procurement_Raw!E1658))),NOT(EXACT(F1658,TRIM(Procurement_Raw!F1658)))),1,0)</f>
        <v>0</v>
      </c>
    </row>
    <row r="1659" spans="1:22" ht="15" customHeight="1" x14ac:dyDescent="0.25">
      <c r="A1659" s="123">
        <f>Procurement_Raw!A1659</f>
        <v>45974</v>
      </c>
      <c r="B1659" t="str">
        <f>TRIM(Procurement_Raw!B1659)</f>
        <v>S011</v>
      </c>
      <c r="C1659" t="str">
        <f>Procurement_Raw!C1659</f>
        <v>London Care &amp; Education Centre</v>
      </c>
      <c r="D1659" t="str">
        <f>Procurement_Raw!D1659</f>
        <v>South</v>
      </c>
      <c r="E1659" t="str">
        <f>IF(TRIM(Procurement_Raw!E1659)="","",IFERROR(INDEX(Supplier_Lookup!$A$2:$A$25,MATCH(TRIM(Procurement_Raw!E1659),Supplier_Lookup!$A$2:$A$25,0)),TRIM(Procurement_Raw!E1659)))</f>
        <v>HealthStaffing</v>
      </c>
      <c r="F1659" t="str">
        <f>IFERROR(INDEX(Category_Targets!$A$2:$A$9,MATCH(TRIM(Procurement_Raw!F1659),Category_Targets!$A$2:$A$9,0)),"Unmapped")</f>
        <v>Agency Labour</v>
      </c>
      <c r="G1659" t="str">
        <f>TRIM(Procurement_Raw!G1659)</f>
        <v>INV-2025-01658</v>
      </c>
      <c r="H1659" s="77">
        <f>Procurement_Raw!H1659</f>
        <v>20</v>
      </c>
      <c r="I1659" s="124">
        <f>Procurement_Raw!I1659</f>
        <v>619.22</v>
      </c>
      <c r="J1659" s="125">
        <f>IF(Procurement_Raw!J1659="","",Procurement_Raw!J1659)</f>
        <v>12384.41</v>
      </c>
      <c r="K1659" s="77">
        <f>Procurement_Raw!K1659</f>
        <v>60</v>
      </c>
      <c r="L1659" t="str">
        <f>Procurement_Raw!L1659</f>
        <v>Legacy Spend File</v>
      </c>
      <c r="M1659" t="str">
        <f>Procurement_Raw!O1659</f>
        <v>N</v>
      </c>
      <c r="N1659" t="str">
        <f>IF(E1659="","Missing supplier",IF(B1659="","Missing site",IF(J1659="","Missing spend",IF(COUNTIFS($G$2:G1659,G1659,$E$2:E1659,E1659,$J$2:J1659,J1659)&gt;1,"Duplicate invoice",IF(COUNTIF($G$2:$G$1801,G1659)&gt;1,"Duplicate ID - review",IF(AND(P1659&lt;&gt;"Unmapped",P1659&lt;&gt;F1659),"Category mismatch","OK"))))))</f>
        <v>OK</v>
      </c>
      <c r="O1659" s="125">
        <f t="shared" si="75"/>
        <v>12384.41</v>
      </c>
      <c r="P1659" t="str">
        <f>IF(E1659="","Unmapped",IFERROR(INDEX(Supplier_Lookup!$B$2:$B$25,MATCH(E1659,Supplier_Lookup!$A$2:$A$25,0)),"Unmapped"))</f>
        <v>Agency Labour</v>
      </c>
      <c r="Q1659" s="76">
        <f>IFERROR(INDEX(Category_Targets!$B$2:$B$9,MATCH(F1659,Category_Targets!$A$2:$A$9,0)),0)</f>
        <v>7.0000000000000007E-2</v>
      </c>
      <c r="R1659" s="125">
        <f t="shared" si="76"/>
        <v>866.90870000000007</v>
      </c>
      <c r="S1659" s="78">
        <f t="shared" si="77"/>
        <v>45962</v>
      </c>
      <c r="T1659" t="str">
        <f>IFERROR(VLOOKUP(B1659,Sites!$A$2:$D$21,4,FALSE()),"Unknown")</f>
        <v>London</v>
      </c>
      <c r="U1659" t="str">
        <f>IF(N1659="OK","",COUNTIF($N$2:N1659,"&lt;&gt;OK"))</f>
        <v/>
      </c>
      <c r="V1659">
        <f>IF(OR(NOT(EXACT(E1659,TRIM(Procurement_Raw!E1659))),NOT(EXACT(F1659,TRIM(Procurement_Raw!F1659)))),1,0)</f>
        <v>0</v>
      </c>
    </row>
    <row r="1660" spans="1:22" ht="15" customHeight="1" x14ac:dyDescent="0.25">
      <c r="A1660" s="123">
        <f>Procurement_Raw!A1660</f>
        <v>45716</v>
      </c>
      <c r="B1660" t="str">
        <f>TRIM(Procurement_Raw!B1660)</f>
        <v>S020</v>
      </c>
      <c r="C1660" t="str">
        <f>Procurement_Raw!C1660</f>
        <v>Bangor Care &amp; Education Centre</v>
      </c>
      <c r="D1660" t="str">
        <f>Procurement_Raw!D1660</f>
        <v>Wales</v>
      </c>
      <c r="E1660" t="str">
        <f>IF(TRIM(Procurement_Raw!E1660)="","",IFERROR(INDEX(Supplier_Lookup!$A$2:$A$25,MATCH(TRIM(Procurement_Raw!E1660),Supplier_Lookup!$A$2:$A$25,0)),TRIM(Procurement_Raw!E1660)))</f>
        <v>WaterGrid</v>
      </c>
      <c r="F1660" t="str">
        <f>IFERROR(INDEX(Category_Targets!$A$2:$A$9,MATCH(TRIM(Procurement_Raw!F1660),Category_Targets!$A$2:$A$9,0)),"Unmapped")</f>
        <v>Utilities</v>
      </c>
      <c r="G1660" t="str">
        <f>TRIM(Procurement_Raw!G1660)</f>
        <v>INV-2025-01659</v>
      </c>
      <c r="H1660" s="77">
        <f>Procurement_Raw!H1660</f>
        <v>34</v>
      </c>
      <c r="I1660" s="124">
        <f>Procurement_Raw!I1660</f>
        <v>143.72</v>
      </c>
      <c r="J1660" s="125">
        <f>IF(Procurement_Raw!J1660="","",Procurement_Raw!J1660)</f>
        <v>4886.46</v>
      </c>
      <c r="K1660" s="77">
        <f>Procurement_Raw!K1660</f>
        <v>60</v>
      </c>
      <c r="L1660" t="str">
        <f>Procurement_Raw!L1660</f>
        <v>ERP</v>
      </c>
      <c r="M1660" t="str">
        <f>Procurement_Raw!O1660</f>
        <v>N</v>
      </c>
      <c r="N1660" t="str">
        <f>IF(E1660="","Missing supplier",IF(B1660="","Missing site",IF(J1660="","Missing spend",IF(COUNTIFS($G$2:G1660,G1660,$E$2:E1660,E1660,$J$2:J1660,J1660)&gt;1,"Duplicate invoice",IF(COUNTIF($G$2:$G$1801,G1660)&gt;1,"Duplicate ID - review",IF(AND(P1660&lt;&gt;"Unmapped",P1660&lt;&gt;F1660),"Category mismatch","OK"))))))</f>
        <v>OK</v>
      </c>
      <c r="O1660" s="125">
        <f t="shared" si="75"/>
        <v>4886.46</v>
      </c>
      <c r="P1660" t="str">
        <f>IF(E1660="","Unmapped",IFERROR(INDEX(Supplier_Lookup!$B$2:$B$25,MATCH(E1660,Supplier_Lookup!$A$2:$A$25,0)),"Unmapped"))</f>
        <v>Utilities</v>
      </c>
      <c r="Q1660" s="76">
        <f>IFERROR(INDEX(Category_Targets!$B$2:$B$9,MATCH(F1660,Category_Targets!$A$2:$A$9,0)),0)</f>
        <v>0.03</v>
      </c>
      <c r="R1660" s="125">
        <f t="shared" si="76"/>
        <v>146.59379999999999</v>
      </c>
      <c r="S1660" s="78">
        <f t="shared" si="77"/>
        <v>45689</v>
      </c>
      <c r="T1660" t="str">
        <f>IFERROR(VLOOKUP(B1660,Sites!$A$2:$D$21,4,FALSE()),"Unknown")</f>
        <v>Bangor</v>
      </c>
      <c r="U1660" t="str">
        <f>IF(N1660="OK","",COUNTIF($N$2:N1660,"&lt;&gt;OK"))</f>
        <v/>
      </c>
      <c r="V1660">
        <f>IF(OR(NOT(EXACT(E1660,TRIM(Procurement_Raw!E1660))),NOT(EXACT(F1660,TRIM(Procurement_Raw!F1660)))),1,0)</f>
        <v>0</v>
      </c>
    </row>
    <row r="1661" spans="1:22" ht="15" customHeight="1" x14ac:dyDescent="0.25">
      <c r="A1661" s="123">
        <f>Procurement_Raw!A1661</f>
        <v>45900</v>
      </c>
      <c r="B1661" t="str">
        <f>TRIM(Procurement_Raw!B1661)</f>
        <v>S012</v>
      </c>
      <c r="C1661" t="str">
        <f>Procurement_Raw!C1661</f>
        <v>Bristol Care &amp; Education Centre</v>
      </c>
      <c r="D1661" t="str">
        <f>Procurement_Raw!D1661</f>
        <v>South</v>
      </c>
      <c r="E1661" t="str">
        <f>IF(TRIM(Procurement_Raw!E1661)="","",IFERROR(INDEX(Supplier_Lookup!$A$2:$A$25,MATCH(TRIM(Procurement_Raw!E1661),Supplier_Lookup!$A$2:$A$25,0)),TRIM(Procurement_Raw!E1661)))</f>
        <v>HealthStaffing</v>
      </c>
      <c r="F1661" t="str">
        <f>IFERROR(INDEX(Category_Targets!$A$2:$A$9,MATCH(TRIM(Procurement_Raw!F1661),Category_Targets!$A$2:$A$9,0)),"Unmapped")</f>
        <v>Agency Labour</v>
      </c>
      <c r="G1661" t="str">
        <f>TRIM(Procurement_Raw!G1661)</f>
        <v>INV-2025-01660</v>
      </c>
      <c r="H1661" s="77">
        <f>Procurement_Raw!H1661</f>
        <v>14</v>
      </c>
      <c r="I1661" s="124">
        <f>Procurement_Raw!I1661</f>
        <v>561.55999999999995</v>
      </c>
      <c r="J1661" s="125">
        <f>IF(Procurement_Raw!J1661="","",Procurement_Raw!J1661)</f>
        <v>7861.82</v>
      </c>
      <c r="K1661" s="77">
        <f>Procurement_Raw!K1661</f>
        <v>60</v>
      </c>
      <c r="L1661" t="str">
        <f>Procurement_Raw!L1661</f>
        <v>Legacy Spend File</v>
      </c>
      <c r="M1661" t="str">
        <f>Procurement_Raw!O1661</f>
        <v>N</v>
      </c>
      <c r="N1661" t="str">
        <f>IF(E1661="","Missing supplier",IF(B1661="","Missing site",IF(J1661="","Missing spend",IF(COUNTIFS($G$2:G1661,G1661,$E$2:E1661,E1661,$J$2:J1661,J1661)&gt;1,"Duplicate invoice",IF(COUNTIF($G$2:$G$1801,G1661)&gt;1,"Duplicate ID - review",IF(AND(P1661&lt;&gt;"Unmapped",P1661&lt;&gt;F1661),"Category mismatch","OK"))))))</f>
        <v>OK</v>
      </c>
      <c r="O1661" s="125">
        <f t="shared" si="75"/>
        <v>7861.82</v>
      </c>
      <c r="P1661" t="str">
        <f>IF(E1661="","Unmapped",IFERROR(INDEX(Supplier_Lookup!$B$2:$B$25,MATCH(E1661,Supplier_Lookup!$A$2:$A$25,0)),"Unmapped"))</f>
        <v>Agency Labour</v>
      </c>
      <c r="Q1661" s="76">
        <f>IFERROR(INDEX(Category_Targets!$B$2:$B$9,MATCH(F1661,Category_Targets!$A$2:$A$9,0)),0)</f>
        <v>7.0000000000000007E-2</v>
      </c>
      <c r="R1661" s="125">
        <f t="shared" si="76"/>
        <v>550.32740000000001</v>
      </c>
      <c r="S1661" s="78">
        <f t="shared" si="77"/>
        <v>45870</v>
      </c>
      <c r="T1661" t="str">
        <f>IFERROR(VLOOKUP(B1661,Sites!$A$2:$D$21,4,FALSE()),"Unknown")</f>
        <v>Bristol</v>
      </c>
      <c r="U1661" t="str">
        <f>IF(N1661="OK","",COUNTIF($N$2:N1661,"&lt;&gt;OK"))</f>
        <v/>
      </c>
      <c r="V1661">
        <f>IF(OR(NOT(EXACT(E1661,TRIM(Procurement_Raw!E1661))),NOT(EXACT(F1661,TRIM(Procurement_Raw!F1661)))),1,0)</f>
        <v>0</v>
      </c>
    </row>
    <row r="1662" spans="1:22" ht="15" customHeight="1" x14ac:dyDescent="0.25">
      <c r="A1662" s="123">
        <f>Procurement_Raw!A1662</f>
        <v>45960</v>
      </c>
      <c r="B1662" t="str">
        <f>TRIM(Procurement_Raw!B1662)</f>
        <v>S008</v>
      </c>
      <c r="C1662" t="str">
        <f>Procurement_Raw!C1662</f>
        <v>Leicester Care &amp; Education Centre</v>
      </c>
      <c r="D1662" t="str">
        <f>Procurement_Raw!D1662</f>
        <v>Midlands</v>
      </c>
      <c r="E1662" t="str">
        <f>IF(TRIM(Procurement_Raw!E1662)="","",IFERROR(INDEX(Supplier_Lookup!$A$2:$A$25,MATCH(TRIM(Procurement_Raw!E1662),Supplier_Lookup!$A$2:$A$25,0)),TRIM(Procurement_Raw!E1662)))</f>
        <v>CleanWorks</v>
      </c>
      <c r="F1662" t="str">
        <f>IFERROR(INDEX(Category_Targets!$A$2:$A$9,MATCH(TRIM(Procurement_Raw!F1662),Category_Targets!$A$2:$A$9,0)),"Unmapped")</f>
        <v>Facilities</v>
      </c>
      <c r="G1662" t="str">
        <f>TRIM(Procurement_Raw!G1662)</f>
        <v>INV-2025-01661</v>
      </c>
      <c r="H1662" s="77">
        <f>Procurement_Raw!H1662</f>
        <v>20</v>
      </c>
      <c r="I1662" s="124">
        <f>Procurement_Raw!I1662</f>
        <v>371.43</v>
      </c>
      <c r="J1662" s="125">
        <f>IF(Procurement_Raw!J1662="","",Procurement_Raw!J1662)</f>
        <v>7428.67</v>
      </c>
      <c r="K1662" s="77">
        <f>Procurement_Raw!K1662</f>
        <v>30</v>
      </c>
      <c r="L1662" t="str">
        <f>Procurement_Raw!L1662</f>
        <v>ERP</v>
      </c>
      <c r="M1662" t="str">
        <f>Procurement_Raw!O1662</f>
        <v>Y</v>
      </c>
      <c r="N1662" t="str">
        <f>IF(E1662="","Missing supplier",IF(B1662="","Missing site",IF(J1662="","Missing spend",IF(COUNTIFS($G$2:G1662,G1662,$E$2:E1662,E1662,$J$2:J1662,J1662)&gt;1,"Duplicate invoice",IF(COUNTIF($G$2:$G$1801,G1662)&gt;1,"Duplicate ID - review",IF(AND(P1662&lt;&gt;"Unmapped",P1662&lt;&gt;F1662),"Category mismatch","OK"))))))</f>
        <v>OK</v>
      </c>
      <c r="O1662" s="125">
        <f t="shared" si="75"/>
        <v>7428.67</v>
      </c>
      <c r="P1662" t="str">
        <f>IF(E1662="","Unmapped",IFERROR(INDEX(Supplier_Lookup!$B$2:$B$25,MATCH(E1662,Supplier_Lookup!$A$2:$A$25,0)),"Unmapped"))</f>
        <v>Facilities</v>
      </c>
      <c r="Q1662" s="76">
        <f>IFERROR(INDEX(Category_Targets!$B$2:$B$9,MATCH(F1662,Category_Targets!$A$2:$A$9,0)),0)</f>
        <v>0.05</v>
      </c>
      <c r="R1662" s="125">
        <f t="shared" si="76"/>
        <v>371.43350000000004</v>
      </c>
      <c r="S1662" s="78">
        <f t="shared" si="77"/>
        <v>45931</v>
      </c>
      <c r="T1662" t="str">
        <f>IFERROR(VLOOKUP(B1662,Sites!$A$2:$D$21,4,FALSE()),"Unknown")</f>
        <v>Leicester</v>
      </c>
      <c r="U1662" t="str">
        <f>IF(N1662="OK","",COUNTIF($N$2:N1662,"&lt;&gt;OK"))</f>
        <v/>
      </c>
      <c r="V1662">
        <f>IF(OR(NOT(EXACT(E1662,TRIM(Procurement_Raw!E1662))),NOT(EXACT(F1662,TRIM(Procurement_Raw!F1662)))),1,0)</f>
        <v>0</v>
      </c>
    </row>
    <row r="1663" spans="1:22" ht="15" customHeight="1" x14ac:dyDescent="0.25">
      <c r="A1663" s="123">
        <f>Procurement_Raw!A1663</f>
        <v>45798</v>
      </c>
      <c r="B1663" t="str">
        <f>TRIM(Procurement_Raw!B1663)</f>
        <v>S018</v>
      </c>
      <c r="C1663" t="str">
        <f>Procurement_Raw!C1663</f>
        <v>Newport Care &amp; Education Centre</v>
      </c>
      <c r="D1663" t="str">
        <f>Procurement_Raw!D1663</f>
        <v>Wales</v>
      </c>
      <c r="E1663" t="str">
        <f>IF(TRIM(Procurement_Raw!E1663)="","",IFERROR(INDEX(Supplier_Lookup!$A$2:$A$25,MATCH(TRIM(Procurement_Raw!E1663),Supplier_Lookup!$A$2:$A$25,0)),TRIM(Procurement_Raw!E1663)))</f>
        <v>HealthStaffing</v>
      </c>
      <c r="F1663" t="str">
        <f>IFERROR(INDEX(Category_Targets!$A$2:$A$9,MATCH(TRIM(Procurement_Raw!F1663),Category_Targets!$A$2:$A$9,0)),"Unmapped")</f>
        <v>Agency Labour</v>
      </c>
      <c r="G1663" t="str">
        <f>TRIM(Procurement_Raw!G1663)</f>
        <v>INV-2025-01662</v>
      </c>
      <c r="H1663" s="77">
        <f>Procurement_Raw!H1663</f>
        <v>25</v>
      </c>
      <c r="I1663" s="124">
        <f>Procurement_Raw!I1663</f>
        <v>281.14</v>
      </c>
      <c r="J1663" s="125">
        <f>IF(Procurement_Raw!J1663="","",Procurement_Raw!J1663)</f>
        <v>7028.44</v>
      </c>
      <c r="K1663" s="77">
        <f>Procurement_Raw!K1663</f>
        <v>30</v>
      </c>
      <c r="L1663" t="str">
        <f>Procurement_Raw!L1663</f>
        <v>Procurement Portal</v>
      </c>
      <c r="M1663" t="str">
        <f>Procurement_Raw!O1663</f>
        <v>N</v>
      </c>
      <c r="N1663" t="str">
        <f>IF(E1663="","Missing supplier",IF(B1663="","Missing site",IF(J1663="","Missing spend",IF(COUNTIFS($G$2:G1663,G1663,$E$2:E1663,E1663,$J$2:J1663,J1663)&gt;1,"Duplicate invoice",IF(COUNTIF($G$2:$G$1801,G1663)&gt;1,"Duplicate ID - review",IF(AND(P1663&lt;&gt;"Unmapped",P1663&lt;&gt;F1663),"Category mismatch","OK"))))))</f>
        <v>OK</v>
      </c>
      <c r="O1663" s="125">
        <f t="shared" si="75"/>
        <v>7028.44</v>
      </c>
      <c r="P1663" t="str">
        <f>IF(E1663="","Unmapped",IFERROR(INDEX(Supplier_Lookup!$B$2:$B$25,MATCH(E1663,Supplier_Lookup!$A$2:$A$25,0)),"Unmapped"))</f>
        <v>Agency Labour</v>
      </c>
      <c r="Q1663" s="76">
        <f>IFERROR(INDEX(Category_Targets!$B$2:$B$9,MATCH(F1663,Category_Targets!$A$2:$A$9,0)),0)</f>
        <v>7.0000000000000007E-2</v>
      </c>
      <c r="R1663" s="125">
        <f t="shared" si="76"/>
        <v>491.99080000000004</v>
      </c>
      <c r="S1663" s="78">
        <f t="shared" si="77"/>
        <v>45778</v>
      </c>
      <c r="T1663" t="str">
        <f>IFERROR(VLOOKUP(B1663,Sites!$A$2:$D$21,4,FALSE()),"Unknown")</f>
        <v>Newport</v>
      </c>
      <c r="U1663" t="str">
        <f>IF(N1663="OK","",COUNTIF($N$2:N1663,"&lt;&gt;OK"))</f>
        <v/>
      </c>
      <c r="V1663">
        <f>IF(OR(NOT(EXACT(E1663,TRIM(Procurement_Raw!E1663))),NOT(EXACT(F1663,TRIM(Procurement_Raw!F1663)))),1,0)</f>
        <v>0</v>
      </c>
    </row>
    <row r="1664" spans="1:22" ht="15" customHeight="1" x14ac:dyDescent="0.25">
      <c r="A1664" s="123">
        <f>Procurement_Raw!A1664</f>
        <v>45684</v>
      </c>
      <c r="B1664" t="str">
        <f>TRIM(Procurement_Raw!B1664)</f>
        <v>S014</v>
      </c>
      <c r="C1664" t="str">
        <f>Procurement_Raw!C1664</f>
        <v>Southampton Care &amp; Education Centre</v>
      </c>
      <c r="D1664" t="str">
        <f>Procurement_Raw!D1664</f>
        <v>South</v>
      </c>
      <c r="E1664" t="str">
        <f>IF(TRIM(Procurement_Raw!E1664)="","",IFERROR(INDEX(Supplier_Lookup!$A$2:$A$25,MATCH(TRIM(Procurement_Raw!E1664),Supplier_Lookup!$A$2:$A$25,0)),TRIM(Procurement_Raw!E1664)))</f>
        <v>UK Energy Partners</v>
      </c>
      <c r="F1664" t="str">
        <f>IFERROR(INDEX(Category_Targets!$A$2:$A$9,MATCH(TRIM(Procurement_Raw!F1664),Category_Targets!$A$2:$A$9,0)),"Unmapped")</f>
        <v>Utilities</v>
      </c>
      <c r="G1664" t="str">
        <f>TRIM(Procurement_Raw!G1664)</f>
        <v>INV-2025-01663</v>
      </c>
      <c r="H1664" s="77">
        <f>Procurement_Raw!H1664</f>
        <v>49</v>
      </c>
      <c r="I1664" s="124">
        <f>Procurement_Raw!I1664</f>
        <v>77.819999999999993</v>
      </c>
      <c r="J1664" s="125">
        <f>IF(Procurement_Raw!J1664="","",Procurement_Raw!J1664)</f>
        <v>3813.34</v>
      </c>
      <c r="K1664" s="77">
        <f>Procurement_Raw!K1664</f>
        <v>45</v>
      </c>
      <c r="L1664" t="str">
        <f>Procurement_Raw!L1664</f>
        <v>Legacy Spend File</v>
      </c>
      <c r="M1664" t="str">
        <f>Procurement_Raw!O1664</f>
        <v>N</v>
      </c>
      <c r="N1664" t="str">
        <f>IF(E1664="","Missing supplier",IF(B1664="","Missing site",IF(J1664="","Missing spend",IF(COUNTIFS($G$2:G1664,G1664,$E$2:E1664,E1664,$J$2:J1664,J1664)&gt;1,"Duplicate invoice",IF(COUNTIF($G$2:$G$1801,G1664)&gt;1,"Duplicate ID - review",IF(AND(P1664&lt;&gt;"Unmapped",P1664&lt;&gt;F1664),"Category mismatch","OK"))))))</f>
        <v>OK</v>
      </c>
      <c r="O1664" s="125">
        <f t="shared" si="75"/>
        <v>3813.34</v>
      </c>
      <c r="P1664" t="str">
        <f>IF(E1664="","Unmapped",IFERROR(INDEX(Supplier_Lookup!$B$2:$B$25,MATCH(E1664,Supplier_Lookup!$A$2:$A$25,0)),"Unmapped"))</f>
        <v>Utilities</v>
      </c>
      <c r="Q1664" s="76">
        <f>IFERROR(INDEX(Category_Targets!$B$2:$B$9,MATCH(F1664,Category_Targets!$A$2:$A$9,0)),0)</f>
        <v>0.03</v>
      </c>
      <c r="R1664" s="125">
        <f t="shared" si="76"/>
        <v>114.4002</v>
      </c>
      <c r="S1664" s="78">
        <f t="shared" si="77"/>
        <v>45658</v>
      </c>
      <c r="T1664" t="str">
        <f>IFERROR(VLOOKUP(B1664,Sites!$A$2:$D$21,4,FALSE()),"Unknown")</f>
        <v>Southampton</v>
      </c>
      <c r="U1664" t="str">
        <f>IF(N1664="OK","",COUNTIF($N$2:N1664,"&lt;&gt;OK"))</f>
        <v/>
      </c>
      <c r="V1664">
        <f>IF(OR(NOT(EXACT(E1664,TRIM(Procurement_Raw!E1664))),NOT(EXACT(F1664,TRIM(Procurement_Raw!F1664)))),1,0)</f>
        <v>0</v>
      </c>
    </row>
    <row r="1665" spans="1:22" ht="15" customHeight="1" x14ac:dyDescent="0.25">
      <c r="A1665" s="123">
        <f>Procurement_Raw!A1665</f>
        <v>45830</v>
      </c>
      <c r="B1665" t="str">
        <f>TRIM(Procurement_Raw!B1665)</f>
        <v>S013</v>
      </c>
      <c r="C1665" t="str">
        <f>Procurement_Raw!C1665</f>
        <v>Reading Care &amp; Education Centre</v>
      </c>
      <c r="D1665" t="str">
        <f>Procurement_Raw!D1665</f>
        <v>South</v>
      </c>
      <c r="E1665" t="str">
        <f>IF(TRIM(Procurement_Raw!E1665)="","",IFERROR(INDEX(Supplier_Lookup!$A$2:$A$25,MATCH(TRIM(Procurement_Raw!E1665),Supplier_Lookup!$A$2:$A$25,0)),TRIM(Procurement_Raw!E1665)))</f>
        <v>UK Energy Partners</v>
      </c>
      <c r="F1665" t="str">
        <f>IFERROR(INDEX(Category_Targets!$A$2:$A$9,MATCH(TRIM(Procurement_Raw!F1665),Category_Targets!$A$2:$A$9,0)),"Unmapped")</f>
        <v>Utilities</v>
      </c>
      <c r="G1665" t="str">
        <f>TRIM(Procurement_Raw!G1665)</f>
        <v>INV-2025-01664</v>
      </c>
      <c r="H1665" s="77">
        <f>Procurement_Raw!H1665</f>
        <v>55</v>
      </c>
      <c r="I1665" s="124">
        <f>Procurement_Raw!I1665</f>
        <v>178.96</v>
      </c>
      <c r="J1665" s="125">
        <f>IF(Procurement_Raw!J1665="","",Procurement_Raw!J1665)</f>
        <v>9842.77</v>
      </c>
      <c r="K1665" s="77">
        <f>Procurement_Raw!K1665</f>
        <v>45</v>
      </c>
      <c r="L1665" t="str">
        <f>Procurement_Raw!L1665</f>
        <v>ERP</v>
      </c>
      <c r="M1665" t="str">
        <f>Procurement_Raw!O1665</f>
        <v>N</v>
      </c>
      <c r="N1665" t="str">
        <f>IF(E1665="","Missing supplier",IF(B1665="","Missing site",IF(J1665="","Missing spend",IF(COUNTIFS($G$2:G1665,G1665,$E$2:E1665,E1665,$J$2:J1665,J1665)&gt;1,"Duplicate invoice",IF(COUNTIF($G$2:$G$1801,G1665)&gt;1,"Duplicate ID - review",IF(AND(P1665&lt;&gt;"Unmapped",P1665&lt;&gt;F1665),"Category mismatch","OK"))))))</f>
        <v>OK</v>
      </c>
      <c r="O1665" s="125">
        <f t="shared" si="75"/>
        <v>9842.77</v>
      </c>
      <c r="P1665" t="str">
        <f>IF(E1665="","Unmapped",IFERROR(INDEX(Supplier_Lookup!$B$2:$B$25,MATCH(E1665,Supplier_Lookup!$A$2:$A$25,0)),"Unmapped"))</f>
        <v>Utilities</v>
      </c>
      <c r="Q1665" s="76">
        <f>IFERROR(INDEX(Category_Targets!$B$2:$B$9,MATCH(F1665,Category_Targets!$A$2:$A$9,0)),0)</f>
        <v>0.03</v>
      </c>
      <c r="R1665" s="125">
        <f t="shared" si="76"/>
        <v>295.28309999999999</v>
      </c>
      <c r="S1665" s="78">
        <f t="shared" si="77"/>
        <v>45809</v>
      </c>
      <c r="T1665" t="str">
        <f>IFERROR(VLOOKUP(B1665,Sites!$A$2:$D$21,4,FALSE()),"Unknown")</f>
        <v>Reading</v>
      </c>
      <c r="U1665" t="str">
        <f>IF(N1665="OK","",COUNTIF($N$2:N1665,"&lt;&gt;OK"))</f>
        <v/>
      </c>
      <c r="V1665">
        <f>IF(OR(NOT(EXACT(E1665,TRIM(Procurement_Raw!E1665))),NOT(EXACT(F1665,TRIM(Procurement_Raw!F1665)))),1,0)</f>
        <v>0</v>
      </c>
    </row>
    <row r="1666" spans="1:22" ht="15" customHeight="1" x14ac:dyDescent="0.25">
      <c r="A1666" s="123">
        <f>Procurement_Raw!A1666</f>
        <v>45684</v>
      </c>
      <c r="B1666" t="str">
        <f>TRIM(Procurement_Raw!B1666)</f>
        <v>S005</v>
      </c>
      <c r="C1666" t="str">
        <f>Procurement_Raw!C1666</f>
        <v>Sheffield Care &amp; Education Centre</v>
      </c>
      <c r="D1666" t="str">
        <f>Procurement_Raw!D1666</f>
        <v>North</v>
      </c>
      <c r="E1666" t="str">
        <f>IF(TRIM(Procurement_Raw!E1666)="","",IFERROR(INDEX(Supplier_Lookup!$A$2:$A$25,MATCH(TRIM(Procurement_Raw!E1666),Supplier_Lookup!$A$2:$A$25,0)),TRIM(Procurement_Raw!E1666)))</f>
        <v>NurseLink</v>
      </c>
      <c r="F1666" t="str">
        <f>IFERROR(INDEX(Category_Targets!$A$2:$A$9,MATCH(TRIM(Procurement_Raw!F1666),Category_Targets!$A$2:$A$9,0)),"Unmapped")</f>
        <v>Agency Labour</v>
      </c>
      <c r="G1666" t="str">
        <f>TRIM(Procurement_Raw!G1666)</f>
        <v>INV-2025-01665</v>
      </c>
      <c r="H1666" s="77">
        <f>Procurement_Raw!H1666</f>
        <v>39</v>
      </c>
      <c r="I1666" s="124">
        <f>Procurement_Raw!I1666</f>
        <v>612.24</v>
      </c>
      <c r="J1666" s="125">
        <f>IF(Procurement_Raw!J1666="","",Procurement_Raw!J1666)</f>
        <v>23877.48</v>
      </c>
      <c r="K1666" s="77">
        <f>Procurement_Raw!K1666</f>
        <v>30</v>
      </c>
      <c r="L1666" t="str">
        <f>Procurement_Raw!L1666</f>
        <v>Procurement Portal</v>
      </c>
      <c r="M1666" t="str">
        <f>Procurement_Raw!O1666</f>
        <v>N</v>
      </c>
      <c r="N1666" t="str">
        <f>IF(E1666="","Missing supplier",IF(B1666="","Missing site",IF(J1666="","Missing spend",IF(COUNTIFS($G$2:G1666,G1666,$E$2:E1666,E1666,$J$2:J1666,J1666)&gt;1,"Duplicate invoice",IF(COUNTIF($G$2:$G$1801,G1666)&gt;1,"Duplicate ID - review",IF(AND(P1666&lt;&gt;"Unmapped",P1666&lt;&gt;F1666),"Category mismatch","OK"))))))</f>
        <v>OK</v>
      </c>
      <c r="O1666" s="125">
        <f t="shared" ref="O1666:O1729" si="78">IF(OR(N1666="Missing spend",N1666="Duplicate invoice"),0,J1666)</f>
        <v>23877.48</v>
      </c>
      <c r="P1666" t="str">
        <f>IF(E1666="","Unmapped",IFERROR(INDEX(Supplier_Lookup!$B$2:$B$25,MATCH(E1666,Supplier_Lookup!$A$2:$A$25,0)),"Unmapped"))</f>
        <v>Agency Labour</v>
      </c>
      <c r="Q1666" s="76">
        <f>IFERROR(INDEX(Category_Targets!$B$2:$B$9,MATCH(F1666,Category_Targets!$A$2:$A$9,0)),0)</f>
        <v>7.0000000000000007E-2</v>
      </c>
      <c r="R1666" s="125">
        <f t="shared" ref="R1666:R1729" si="79">O1666*Q1666</f>
        <v>1671.4236000000001</v>
      </c>
      <c r="S1666" s="78">
        <f t="shared" ref="S1666:S1729" si="80">DATE(YEAR(A1666),MONTH(A1666),1)</f>
        <v>45658</v>
      </c>
      <c r="T1666" t="str">
        <f>IFERROR(VLOOKUP(B1666,Sites!$A$2:$D$21,4,FALSE()),"Unknown")</f>
        <v>Sheffield</v>
      </c>
      <c r="U1666" t="str">
        <f>IF(N1666="OK","",COUNTIF($N$2:N1666,"&lt;&gt;OK"))</f>
        <v/>
      </c>
      <c r="V1666">
        <f>IF(OR(NOT(EXACT(E1666,TRIM(Procurement_Raw!E1666))),NOT(EXACT(F1666,TRIM(Procurement_Raw!F1666)))),1,0)</f>
        <v>0</v>
      </c>
    </row>
    <row r="1667" spans="1:22" ht="15" customHeight="1" x14ac:dyDescent="0.25">
      <c r="A1667" s="123">
        <f>Procurement_Raw!A1667</f>
        <v>46022</v>
      </c>
      <c r="B1667" t="str">
        <f>TRIM(Procurement_Raw!B1667)</f>
        <v>S010</v>
      </c>
      <c r="C1667" t="str">
        <f>Procurement_Raw!C1667</f>
        <v>Coventry Care &amp; Education Centre</v>
      </c>
      <c r="D1667" t="str">
        <f>Procurement_Raw!D1667</f>
        <v>Midlands</v>
      </c>
      <c r="E1667" t="str">
        <f>IF(TRIM(Procurement_Raw!E1667)="","",IFERROR(INDEX(Supplier_Lookup!$A$2:$A$25,MATCH(TRIM(Procurement_Raw!E1667),Supplier_Lookup!$A$2:$A$25,0)),TRIM(Procurement_Raw!E1667)))</f>
        <v>TeleCare IT</v>
      </c>
      <c r="F1667" t="str">
        <f>IFERROR(INDEX(Category_Targets!$A$2:$A$9,MATCH(TRIM(Procurement_Raw!F1667),Category_Targets!$A$2:$A$9,0)),"Unmapped")</f>
        <v>IT &amp; Telecoms</v>
      </c>
      <c r="G1667" t="str">
        <f>TRIM(Procurement_Raw!G1667)</f>
        <v>INV-2025-01666</v>
      </c>
      <c r="H1667" s="77">
        <f>Procurement_Raw!H1667</f>
        <v>54</v>
      </c>
      <c r="I1667" s="124">
        <f>Procurement_Raw!I1667</f>
        <v>217.25</v>
      </c>
      <c r="J1667" s="125">
        <f>IF(Procurement_Raw!J1667="","",Procurement_Raw!J1667)</f>
        <v>11731.52</v>
      </c>
      <c r="K1667" s="77">
        <f>Procurement_Raw!K1667</f>
        <v>30</v>
      </c>
      <c r="L1667" t="str">
        <f>Procurement_Raw!L1667</f>
        <v>Procurement Portal</v>
      </c>
      <c r="M1667" t="str">
        <f>Procurement_Raw!O1667</f>
        <v>N</v>
      </c>
      <c r="N1667" t="str">
        <f>IF(E1667="","Missing supplier",IF(B1667="","Missing site",IF(J1667="","Missing spend",IF(COUNTIFS($G$2:G1667,G1667,$E$2:E1667,E1667,$J$2:J1667,J1667)&gt;1,"Duplicate invoice",IF(COUNTIF($G$2:$G$1801,G1667)&gt;1,"Duplicate ID - review",IF(AND(P1667&lt;&gt;"Unmapped",P1667&lt;&gt;F1667),"Category mismatch","OK"))))))</f>
        <v>OK</v>
      </c>
      <c r="O1667" s="125">
        <f t="shared" si="78"/>
        <v>11731.52</v>
      </c>
      <c r="P1667" t="str">
        <f>IF(E1667="","Unmapped",IFERROR(INDEX(Supplier_Lookup!$B$2:$B$25,MATCH(E1667,Supplier_Lookup!$A$2:$A$25,0)),"Unmapped"))</f>
        <v>IT &amp; Telecoms</v>
      </c>
      <c r="Q1667" s="76">
        <f>IFERROR(INDEX(Category_Targets!$B$2:$B$9,MATCH(F1667,Category_Targets!$A$2:$A$9,0)),0)</f>
        <v>0.08</v>
      </c>
      <c r="R1667" s="125">
        <f t="shared" si="79"/>
        <v>938.52160000000003</v>
      </c>
      <c r="S1667" s="78">
        <f t="shared" si="80"/>
        <v>45992</v>
      </c>
      <c r="T1667" t="str">
        <f>IFERROR(VLOOKUP(B1667,Sites!$A$2:$D$21,4,FALSE()),"Unknown")</f>
        <v>Coventry</v>
      </c>
      <c r="U1667" t="str">
        <f>IF(N1667="OK","",COUNTIF($N$2:N1667,"&lt;&gt;OK"))</f>
        <v/>
      </c>
      <c r="V1667">
        <f>IF(OR(NOT(EXACT(E1667,TRIM(Procurement_Raw!E1667))),NOT(EXACT(F1667,TRIM(Procurement_Raw!F1667)))),1,0)</f>
        <v>0</v>
      </c>
    </row>
    <row r="1668" spans="1:22" ht="15" customHeight="1" x14ac:dyDescent="0.25">
      <c r="A1668" s="123">
        <f>Procurement_Raw!A1668</f>
        <v>45658</v>
      </c>
      <c r="B1668" t="str">
        <f>TRIM(Procurement_Raw!B1668)</f>
        <v>S007</v>
      </c>
      <c r="C1668" t="str">
        <f>Procurement_Raw!C1668</f>
        <v>Nottingham Care &amp; Education Centre</v>
      </c>
      <c r="D1668" t="str">
        <f>Procurement_Raw!D1668</f>
        <v>Midlands</v>
      </c>
      <c r="E1668" t="str">
        <f>IF(TRIM(Procurement_Raw!E1668)="","",IFERROR(INDEX(Supplier_Lookup!$A$2:$A$25,MATCH(TRIM(Procurement_Raw!E1668),Supplier_Lookup!$A$2:$A$25,0)),TRIM(Procurement_Raw!E1668)))</f>
        <v>CleanWorks</v>
      </c>
      <c r="F1668" t="str">
        <f>IFERROR(INDEX(Category_Targets!$A$2:$A$9,MATCH(TRIM(Procurement_Raw!F1668),Category_Targets!$A$2:$A$9,0)),"Unmapped")</f>
        <v>Facilities</v>
      </c>
      <c r="G1668" t="str">
        <f>TRIM(Procurement_Raw!G1668)</f>
        <v>INV-2025-01667</v>
      </c>
      <c r="H1668" s="77">
        <f>Procurement_Raw!H1668</f>
        <v>7</v>
      </c>
      <c r="I1668" s="124">
        <f>Procurement_Raw!I1668</f>
        <v>103.89</v>
      </c>
      <c r="J1668" s="125">
        <f>IF(Procurement_Raw!J1668="","",Procurement_Raw!J1668)</f>
        <v>727.24</v>
      </c>
      <c r="K1668" s="77">
        <f>Procurement_Raw!K1668</f>
        <v>60</v>
      </c>
      <c r="L1668" t="str">
        <f>Procurement_Raw!L1668</f>
        <v>Legacy Spend File</v>
      </c>
      <c r="M1668" t="str">
        <f>Procurement_Raw!O1668</f>
        <v>Y</v>
      </c>
      <c r="N1668" t="str">
        <f>IF(E1668="","Missing supplier",IF(B1668="","Missing site",IF(J1668="","Missing spend",IF(COUNTIFS($G$2:G1668,G1668,$E$2:E1668,E1668,$J$2:J1668,J1668)&gt;1,"Duplicate invoice",IF(COUNTIF($G$2:$G$1801,G1668)&gt;1,"Duplicate ID - review",IF(AND(P1668&lt;&gt;"Unmapped",P1668&lt;&gt;F1668),"Category mismatch","OK"))))))</f>
        <v>OK</v>
      </c>
      <c r="O1668" s="125">
        <f t="shared" si="78"/>
        <v>727.24</v>
      </c>
      <c r="P1668" t="str">
        <f>IF(E1668="","Unmapped",IFERROR(INDEX(Supplier_Lookup!$B$2:$B$25,MATCH(E1668,Supplier_Lookup!$A$2:$A$25,0)),"Unmapped"))</f>
        <v>Facilities</v>
      </c>
      <c r="Q1668" s="76">
        <f>IFERROR(INDEX(Category_Targets!$B$2:$B$9,MATCH(F1668,Category_Targets!$A$2:$A$9,0)),0)</f>
        <v>0.05</v>
      </c>
      <c r="R1668" s="125">
        <f t="shared" si="79"/>
        <v>36.362000000000002</v>
      </c>
      <c r="S1668" s="78">
        <f t="shared" si="80"/>
        <v>45658</v>
      </c>
      <c r="T1668" t="str">
        <f>IFERROR(VLOOKUP(B1668,Sites!$A$2:$D$21,4,FALSE()),"Unknown")</f>
        <v>Nottingham</v>
      </c>
      <c r="U1668" t="str">
        <f>IF(N1668="OK","",COUNTIF($N$2:N1668,"&lt;&gt;OK"))</f>
        <v/>
      </c>
      <c r="V1668">
        <f>IF(OR(NOT(EXACT(E1668,TRIM(Procurement_Raw!E1668))),NOT(EXACT(F1668,TRIM(Procurement_Raw!F1668)))),1,0)</f>
        <v>0</v>
      </c>
    </row>
    <row r="1669" spans="1:22" ht="15" customHeight="1" x14ac:dyDescent="0.25">
      <c r="A1669" s="123">
        <f>Procurement_Raw!A1669</f>
        <v>45899</v>
      </c>
      <c r="B1669" t="str">
        <f>TRIM(Procurement_Raw!B1669)</f>
        <v>S007</v>
      </c>
      <c r="C1669" t="str">
        <f>Procurement_Raw!C1669</f>
        <v>Nottingham Care &amp; Education Centre</v>
      </c>
      <c r="D1669" t="str">
        <f>Procurement_Raw!D1669</f>
        <v>Midlands</v>
      </c>
      <c r="E1669" t="str">
        <f>IF(TRIM(Procurement_Raw!E1669)="","",IFERROR(INDEX(Supplier_Lookup!$A$2:$A$25,MATCH(TRIM(Procurement_Raw!E1669),Supplier_Lookup!$A$2:$A$25,0)),TRIM(Procurement_Raw!E1669)))</f>
        <v>WaterGrid</v>
      </c>
      <c r="F1669" t="str">
        <f>IFERROR(INDEX(Category_Targets!$A$2:$A$9,MATCH(TRIM(Procurement_Raw!F1669),Category_Targets!$A$2:$A$9,0)),"Unmapped")</f>
        <v>Utilities</v>
      </c>
      <c r="G1669" t="str">
        <f>TRIM(Procurement_Raw!G1669)</f>
        <v>INV-2025-01668</v>
      </c>
      <c r="H1669" s="77">
        <f>Procurement_Raw!H1669</f>
        <v>36</v>
      </c>
      <c r="I1669" s="124">
        <f>Procurement_Raw!I1669</f>
        <v>189.39</v>
      </c>
      <c r="J1669" s="125">
        <f>IF(Procurement_Raw!J1669="","",Procurement_Raw!J1669)</f>
        <v>6818.22</v>
      </c>
      <c r="K1669" s="77">
        <f>Procurement_Raw!K1669</f>
        <v>60</v>
      </c>
      <c r="L1669" t="str">
        <f>Procurement_Raw!L1669</f>
        <v>ERP</v>
      </c>
      <c r="M1669" t="str">
        <f>Procurement_Raw!O1669</f>
        <v>N</v>
      </c>
      <c r="N1669" t="str">
        <f>IF(E1669="","Missing supplier",IF(B1669="","Missing site",IF(J1669="","Missing spend",IF(COUNTIFS($G$2:G1669,G1669,$E$2:E1669,E1669,$J$2:J1669,J1669)&gt;1,"Duplicate invoice",IF(COUNTIF($G$2:$G$1801,G1669)&gt;1,"Duplicate ID - review",IF(AND(P1669&lt;&gt;"Unmapped",P1669&lt;&gt;F1669),"Category mismatch","OK"))))))</f>
        <v>OK</v>
      </c>
      <c r="O1669" s="125">
        <f t="shared" si="78"/>
        <v>6818.22</v>
      </c>
      <c r="P1669" t="str">
        <f>IF(E1669="","Unmapped",IFERROR(INDEX(Supplier_Lookup!$B$2:$B$25,MATCH(E1669,Supplier_Lookup!$A$2:$A$25,0)),"Unmapped"))</f>
        <v>Utilities</v>
      </c>
      <c r="Q1669" s="76">
        <f>IFERROR(INDEX(Category_Targets!$B$2:$B$9,MATCH(F1669,Category_Targets!$A$2:$A$9,0)),0)</f>
        <v>0.03</v>
      </c>
      <c r="R1669" s="125">
        <f t="shared" si="79"/>
        <v>204.54660000000001</v>
      </c>
      <c r="S1669" s="78">
        <f t="shared" si="80"/>
        <v>45870</v>
      </c>
      <c r="T1669" t="str">
        <f>IFERROR(VLOOKUP(B1669,Sites!$A$2:$D$21,4,FALSE()),"Unknown")</f>
        <v>Nottingham</v>
      </c>
      <c r="U1669" t="str">
        <f>IF(N1669="OK","",COUNTIF($N$2:N1669,"&lt;&gt;OK"))</f>
        <v/>
      </c>
      <c r="V1669">
        <f>IF(OR(NOT(EXACT(E1669,TRIM(Procurement_Raw!E1669))),NOT(EXACT(F1669,TRIM(Procurement_Raw!F1669)))),1,0)</f>
        <v>0</v>
      </c>
    </row>
    <row r="1670" spans="1:22" ht="15" customHeight="1" x14ac:dyDescent="0.25">
      <c r="A1670" s="123">
        <f>Procurement_Raw!A1670</f>
        <v>45909</v>
      </c>
      <c r="B1670" t="str">
        <f>TRIM(Procurement_Raw!B1670)</f>
        <v>S002</v>
      </c>
      <c r="C1670" t="str">
        <f>Procurement_Raw!C1670</f>
        <v>Manchester Care &amp; Education Centre</v>
      </c>
      <c r="D1670" t="str">
        <f>Procurement_Raw!D1670</f>
        <v>North</v>
      </c>
      <c r="E1670" t="str">
        <f>IF(TRIM(Procurement_Raw!E1670)="","",IFERROR(INDEX(Supplier_Lookup!$A$2:$A$25,MATCH(TRIM(Procurement_Raw!E1670),Supplier_Lookup!$A$2:$A$25,0)),TRIM(Procurement_Raw!E1670)))</f>
        <v>SafeGuard FM</v>
      </c>
      <c r="F1670" t="str">
        <f>IFERROR(INDEX(Category_Targets!$A$2:$A$9,MATCH(TRIM(Procurement_Raw!F1670),Category_Targets!$A$2:$A$9,0)),"Unmapped")</f>
        <v>Facilities</v>
      </c>
      <c r="G1670" t="str">
        <f>TRIM(Procurement_Raw!G1670)</f>
        <v>INV-2025-01669</v>
      </c>
      <c r="H1670" s="77">
        <f>Procurement_Raw!H1670</f>
        <v>47</v>
      </c>
      <c r="I1670" s="124">
        <f>Procurement_Raw!I1670</f>
        <v>285.8</v>
      </c>
      <c r="J1670" s="125">
        <f>IF(Procurement_Raw!J1670="","",Procurement_Raw!J1670)</f>
        <v>13432.68</v>
      </c>
      <c r="K1670" s="77">
        <f>Procurement_Raw!K1670</f>
        <v>45</v>
      </c>
      <c r="L1670" t="str">
        <f>Procurement_Raw!L1670</f>
        <v>Procurement Portal</v>
      </c>
      <c r="M1670" t="str">
        <f>Procurement_Raw!O1670</f>
        <v>N</v>
      </c>
      <c r="N1670" t="str">
        <f>IF(E1670="","Missing supplier",IF(B1670="","Missing site",IF(J1670="","Missing spend",IF(COUNTIFS($G$2:G1670,G1670,$E$2:E1670,E1670,$J$2:J1670,J1670)&gt;1,"Duplicate invoice",IF(COUNTIF($G$2:$G$1801,G1670)&gt;1,"Duplicate ID - review",IF(AND(P1670&lt;&gt;"Unmapped",P1670&lt;&gt;F1670),"Category mismatch","OK"))))))</f>
        <v>OK</v>
      </c>
      <c r="O1670" s="125">
        <f t="shared" si="78"/>
        <v>13432.68</v>
      </c>
      <c r="P1670" t="str">
        <f>IF(E1670="","Unmapped",IFERROR(INDEX(Supplier_Lookup!$B$2:$B$25,MATCH(E1670,Supplier_Lookup!$A$2:$A$25,0)),"Unmapped"))</f>
        <v>Facilities</v>
      </c>
      <c r="Q1670" s="76">
        <f>IFERROR(INDEX(Category_Targets!$B$2:$B$9,MATCH(F1670,Category_Targets!$A$2:$A$9,0)),0)</f>
        <v>0.05</v>
      </c>
      <c r="R1670" s="125">
        <f t="shared" si="79"/>
        <v>671.63400000000001</v>
      </c>
      <c r="S1670" s="78">
        <f t="shared" si="80"/>
        <v>45901</v>
      </c>
      <c r="T1670" t="str">
        <f>IFERROR(VLOOKUP(B1670,Sites!$A$2:$D$21,4,FALSE()),"Unknown")</f>
        <v>Manchester</v>
      </c>
      <c r="U1670" t="str">
        <f>IF(N1670="OK","",COUNTIF($N$2:N1670,"&lt;&gt;OK"))</f>
        <v/>
      </c>
      <c r="V1670">
        <f>IF(OR(NOT(EXACT(E1670,TRIM(Procurement_Raw!E1670))),NOT(EXACT(F1670,TRIM(Procurement_Raw!F1670)))),1,0)</f>
        <v>0</v>
      </c>
    </row>
    <row r="1671" spans="1:22" ht="15" customHeight="1" x14ac:dyDescent="0.25">
      <c r="A1671" s="123">
        <f>Procurement_Raw!A1671</f>
        <v>45664</v>
      </c>
      <c r="B1671" t="str">
        <f>TRIM(Procurement_Raw!B1671)</f>
        <v>S005</v>
      </c>
      <c r="C1671" t="str">
        <f>Procurement_Raw!C1671</f>
        <v>Sheffield Care &amp; Education Centre</v>
      </c>
      <c r="D1671" t="str">
        <f>Procurement_Raw!D1671</f>
        <v>North</v>
      </c>
      <c r="E1671" t="str">
        <f>IF(TRIM(Procurement_Raw!E1671)="","",IFERROR(INDEX(Supplier_Lookup!$A$2:$A$25,MATCH(TRIM(Procurement_Raw!E1671),Supplier_Lookup!$A$2:$A$25,0)),TRIM(Procurement_Raw!E1671)))</f>
        <v>KitchenPro</v>
      </c>
      <c r="F1671" t="str">
        <f>IFERROR(INDEX(Category_Targets!$A$2:$A$9,MATCH(TRIM(Procurement_Raw!F1671),Category_Targets!$A$2:$A$9,0)),"Unmapped")</f>
        <v>Food &amp; Catering</v>
      </c>
      <c r="G1671" t="str">
        <f>TRIM(Procurement_Raw!G1671)</f>
        <v>INV-2025-01670</v>
      </c>
      <c r="H1671" s="77">
        <f>Procurement_Raw!H1671</f>
        <v>71</v>
      </c>
      <c r="I1671" s="124">
        <f>Procurement_Raw!I1671</f>
        <v>87.8</v>
      </c>
      <c r="J1671" s="125">
        <f>IF(Procurement_Raw!J1671="","",Procurement_Raw!J1671)</f>
        <v>6233.98</v>
      </c>
      <c r="K1671" s="77">
        <f>Procurement_Raw!K1671</f>
        <v>30</v>
      </c>
      <c r="L1671" t="str">
        <f>Procurement_Raw!L1671</f>
        <v>Procurement Portal</v>
      </c>
      <c r="M1671" t="str">
        <f>Procurement_Raw!O1671</f>
        <v>N</v>
      </c>
      <c r="N1671" t="str">
        <f>IF(E1671="","Missing supplier",IF(B1671="","Missing site",IF(J1671="","Missing spend",IF(COUNTIFS($G$2:G1671,G1671,$E$2:E1671,E1671,$J$2:J1671,J1671)&gt;1,"Duplicate invoice",IF(COUNTIF($G$2:$G$1801,G1671)&gt;1,"Duplicate ID - review",IF(AND(P1671&lt;&gt;"Unmapped",P1671&lt;&gt;F1671),"Category mismatch","OK"))))))</f>
        <v>OK</v>
      </c>
      <c r="O1671" s="125">
        <f t="shared" si="78"/>
        <v>6233.98</v>
      </c>
      <c r="P1671" t="str">
        <f>IF(E1671="","Unmapped",IFERROR(INDEX(Supplier_Lookup!$B$2:$B$25,MATCH(E1671,Supplier_Lookup!$A$2:$A$25,0)),"Unmapped"))</f>
        <v>Food &amp; Catering</v>
      </c>
      <c r="Q1671" s="76">
        <f>IFERROR(INDEX(Category_Targets!$B$2:$B$9,MATCH(F1671,Category_Targets!$A$2:$A$9,0)),0)</f>
        <v>0.04</v>
      </c>
      <c r="R1671" s="125">
        <f t="shared" si="79"/>
        <v>249.35919999999999</v>
      </c>
      <c r="S1671" s="78">
        <f t="shared" si="80"/>
        <v>45658</v>
      </c>
      <c r="T1671" t="str">
        <f>IFERROR(VLOOKUP(B1671,Sites!$A$2:$D$21,4,FALSE()),"Unknown")</f>
        <v>Sheffield</v>
      </c>
      <c r="U1671" t="str">
        <f>IF(N1671="OK","",COUNTIF($N$2:N1671,"&lt;&gt;OK"))</f>
        <v/>
      </c>
      <c r="V1671">
        <f>IF(OR(NOT(EXACT(E1671,TRIM(Procurement_Raw!E1671))),NOT(EXACT(F1671,TRIM(Procurement_Raw!F1671)))),1,0)</f>
        <v>0</v>
      </c>
    </row>
    <row r="1672" spans="1:22" ht="15" customHeight="1" x14ac:dyDescent="0.25">
      <c r="A1672" s="123">
        <f>Procurement_Raw!A1672</f>
        <v>45959</v>
      </c>
      <c r="B1672" t="str">
        <f>TRIM(Procurement_Raw!B1672)</f>
        <v>S008</v>
      </c>
      <c r="C1672" t="str">
        <f>Procurement_Raw!C1672</f>
        <v>Leicester Care &amp; Education Centre</v>
      </c>
      <c r="D1672" t="str">
        <f>Procurement_Raw!D1672</f>
        <v>Midlands</v>
      </c>
      <c r="E1672" t="str">
        <f>IF(TRIM(Procurement_Raw!E1672)="","",IFERROR(INDEX(Supplier_Lookup!$A$2:$A$25,MATCH(TRIM(Procurement_Raw!E1672),Supplier_Lookup!$A$2:$A$25,0)),TRIM(Procurement_Raw!E1672)))</f>
        <v>AutoCare</v>
      </c>
      <c r="F1672" t="str">
        <f>IFERROR(INDEX(Category_Targets!$A$2:$A$9,MATCH(TRIM(Procurement_Raw!F1672),Category_Targets!$A$2:$A$9,0)),"Unmapped")</f>
        <v>Vehicle &amp; Fuel</v>
      </c>
      <c r="G1672" t="str">
        <f>TRIM(Procurement_Raw!G1672)</f>
        <v>INV-2025-01671</v>
      </c>
      <c r="H1672" s="77">
        <f>Procurement_Raw!H1672</f>
        <v>68</v>
      </c>
      <c r="I1672" s="124">
        <f>Procurement_Raw!I1672</f>
        <v>83.3</v>
      </c>
      <c r="J1672" s="125">
        <f>IF(Procurement_Raw!J1672="","",Procurement_Raw!J1672)</f>
        <v>5664.49</v>
      </c>
      <c r="K1672" s="77">
        <f>Procurement_Raw!K1672</f>
        <v>60</v>
      </c>
      <c r="L1672" t="str">
        <f>Procurement_Raw!L1672</f>
        <v>Procurement Portal</v>
      </c>
      <c r="M1672" t="str">
        <f>Procurement_Raw!O1672</f>
        <v>N</v>
      </c>
      <c r="N1672" t="str">
        <f>IF(E1672="","Missing supplier",IF(B1672="","Missing site",IF(J1672="","Missing spend",IF(COUNTIFS($G$2:G1672,G1672,$E$2:E1672,E1672,$J$2:J1672,J1672)&gt;1,"Duplicate invoice",IF(COUNTIF($G$2:$G$1801,G1672)&gt;1,"Duplicate ID - review",IF(AND(P1672&lt;&gt;"Unmapped",P1672&lt;&gt;F1672),"Category mismatch","OK"))))))</f>
        <v>OK</v>
      </c>
      <c r="O1672" s="125">
        <f t="shared" si="78"/>
        <v>5664.49</v>
      </c>
      <c r="P1672" t="str">
        <f>IF(E1672="","Unmapped",IFERROR(INDEX(Supplier_Lookup!$B$2:$B$25,MATCH(E1672,Supplier_Lookup!$A$2:$A$25,0)),"Unmapped"))</f>
        <v>Vehicle &amp; Fuel</v>
      </c>
      <c r="Q1672" s="76">
        <f>IFERROR(INDEX(Category_Targets!$B$2:$B$9,MATCH(F1672,Category_Targets!$A$2:$A$9,0)),0)</f>
        <v>0.05</v>
      </c>
      <c r="R1672" s="125">
        <f t="shared" si="79"/>
        <v>283.22449999999998</v>
      </c>
      <c r="S1672" s="78">
        <f t="shared" si="80"/>
        <v>45931</v>
      </c>
      <c r="T1672" t="str">
        <f>IFERROR(VLOOKUP(B1672,Sites!$A$2:$D$21,4,FALSE()),"Unknown")</f>
        <v>Leicester</v>
      </c>
      <c r="U1672" t="str">
        <f>IF(N1672="OK","",COUNTIF($N$2:N1672,"&lt;&gt;OK"))</f>
        <v/>
      </c>
      <c r="V1672">
        <f>IF(OR(NOT(EXACT(E1672,TRIM(Procurement_Raw!E1672))),NOT(EXACT(F1672,TRIM(Procurement_Raw!F1672)))),1,0)</f>
        <v>0</v>
      </c>
    </row>
    <row r="1673" spans="1:22" ht="15" customHeight="1" x14ac:dyDescent="0.25">
      <c r="A1673" s="123">
        <f>Procurement_Raw!A1673</f>
        <v>45957</v>
      </c>
      <c r="B1673" t="str">
        <f>TRIM(Procurement_Raw!B1673)</f>
        <v>S016</v>
      </c>
      <c r="C1673" t="str">
        <f>Procurement_Raw!C1673</f>
        <v>Cardiff Care &amp; Education Centre</v>
      </c>
      <c r="D1673" t="str">
        <f>Procurement_Raw!D1673</f>
        <v>Wales</v>
      </c>
      <c r="E1673" t="str">
        <f>IF(TRIM(Procurement_Raw!E1673)="","",IFERROR(INDEX(Supplier_Lookup!$A$2:$A$25,MATCH(TRIM(Procurement_Raw!E1673),Supplier_Lookup!$A$2:$A$25,0)),TRIM(Procurement_Raw!E1673)))</f>
        <v>CloudLink</v>
      </c>
      <c r="F1673" t="str">
        <f>IFERROR(INDEX(Category_Targets!$A$2:$A$9,MATCH(TRIM(Procurement_Raw!F1673),Category_Targets!$A$2:$A$9,0)),"Unmapped")</f>
        <v>IT &amp; Telecoms</v>
      </c>
      <c r="G1673" t="str">
        <f>TRIM(Procurement_Raw!G1673)</f>
        <v>INV-2025-01672</v>
      </c>
      <c r="H1673" s="77">
        <f>Procurement_Raw!H1673</f>
        <v>50</v>
      </c>
      <c r="I1673" s="124">
        <f>Procurement_Raw!I1673</f>
        <v>179.81</v>
      </c>
      <c r="J1673" s="125">
        <f>IF(Procurement_Raw!J1673="","",Procurement_Raw!J1673)</f>
        <v>8990.26</v>
      </c>
      <c r="K1673" s="77">
        <f>Procurement_Raw!K1673</f>
        <v>30</v>
      </c>
      <c r="L1673" t="str">
        <f>Procurement_Raw!L1673</f>
        <v>ERP</v>
      </c>
      <c r="M1673" t="str">
        <f>Procurement_Raw!O1673</f>
        <v>Y</v>
      </c>
      <c r="N1673" t="str">
        <f>IF(E1673="","Missing supplier",IF(B1673="","Missing site",IF(J1673="","Missing spend",IF(COUNTIFS($G$2:G1673,G1673,$E$2:E1673,E1673,$J$2:J1673,J1673)&gt;1,"Duplicate invoice",IF(COUNTIF($G$2:$G$1801,G1673)&gt;1,"Duplicate ID - review",IF(AND(P1673&lt;&gt;"Unmapped",P1673&lt;&gt;F1673),"Category mismatch","OK"))))))</f>
        <v>OK</v>
      </c>
      <c r="O1673" s="125">
        <f t="shared" si="78"/>
        <v>8990.26</v>
      </c>
      <c r="P1673" t="str">
        <f>IF(E1673="","Unmapped",IFERROR(INDEX(Supplier_Lookup!$B$2:$B$25,MATCH(E1673,Supplier_Lookup!$A$2:$A$25,0)),"Unmapped"))</f>
        <v>IT &amp; Telecoms</v>
      </c>
      <c r="Q1673" s="76">
        <f>IFERROR(INDEX(Category_Targets!$B$2:$B$9,MATCH(F1673,Category_Targets!$A$2:$A$9,0)),0)</f>
        <v>0.08</v>
      </c>
      <c r="R1673" s="125">
        <f t="shared" si="79"/>
        <v>719.22080000000005</v>
      </c>
      <c r="S1673" s="78">
        <f t="shared" si="80"/>
        <v>45931</v>
      </c>
      <c r="T1673" t="str">
        <f>IFERROR(VLOOKUP(B1673,Sites!$A$2:$D$21,4,FALSE()),"Unknown")</f>
        <v>Cardiff</v>
      </c>
      <c r="U1673" t="str">
        <f>IF(N1673="OK","",COUNTIF($N$2:N1673,"&lt;&gt;OK"))</f>
        <v/>
      </c>
      <c r="V1673">
        <f>IF(OR(NOT(EXACT(E1673,TRIM(Procurement_Raw!E1673))),NOT(EXACT(F1673,TRIM(Procurement_Raw!F1673)))),1,0)</f>
        <v>0</v>
      </c>
    </row>
    <row r="1674" spans="1:22" ht="15" customHeight="1" x14ac:dyDescent="0.25">
      <c r="A1674" s="123">
        <f>Procurement_Raw!A1674</f>
        <v>45958</v>
      </c>
      <c r="B1674" t="str">
        <f>TRIM(Procurement_Raw!B1674)</f>
        <v>S005</v>
      </c>
      <c r="C1674" t="str">
        <f>Procurement_Raw!C1674</f>
        <v>Sheffield Care &amp; Education Centre</v>
      </c>
      <c r="D1674" t="str">
        <f>Procurement_Raw!D1674</f>
        <v>North</v>
      </c>
      <c r="E1674" t="str">
        <f>IF(TRIM(Procurement_Raw!E1674)="","",IFERROR(INDEX(Supplier_Lookup!$A$2:$A$25,MATCH(TRIM(Procurement_Raw!E1674),Supplier_Lookup!$A$2:$A$25,0)),TRIM(Procurement_Raw!E1674)))</f>
        <v>FreshServe</v>
      </c>
      <c r="F1674" t="str">
        <f>IFERROR(INDEX(Category_Targets!$A$2:$A$9,MATCH(TRIM(Procurement_Raw!F1674),Category_Targets!$A$2:$A$9,0)),"Unmapped")</f>
        <v>Food &amp; Catering</v>
      </c>
      <c r="G1674" t="str">
        <f>TRIM(Procurement_Raw!G1674)</f>
        <v>INV-2025-01673</v>
      </c>
      <c r="H1674" s="77">
        <f>Procurement_Raw!H1674</f>
        <v>25</v>
      </c>
      <c r="I1674" s="124">
        <f>Procurement_Raw!I1674</f>
        <v>52.4</v>
      </c>
      <c r="J1674" s="125">
        <f>IF(Procurement_Raw!J1674="","",Procurement_Raw!J1674)</f>
        <v>1310.02</v>
      </c>
      <c r="K1674" s="77">
        <f>Procurement_Raw!K1674</f>
        <v>30</v>
      </c>
      <c r="L1674" t="str">
        <f>Procurement_Raw!L1674</f>
        <v>Legacy Spend File</v>
      </c>
      <c r="M1674" t="str">
        <f>Procurement_Raw!O1674</f>
        <v>Y</v>
      </c>
      <c r="N1674" t="str">
        <f>IF(E1674="","Missing supplier",IF(B1674="","Missing site",IF(J1674="","Missing spend",IF(COUNTIFS($G$2:G1674,G1674,$E$2:E1674,E1674,$J$2:J1674,J1674)&gt;1,"Duplicate invoice",IF(COUNTIF($G$2:$G$1801,G1674)&gt;1,"Duplicate ID - review",IF(AND(P1674&lt;&gt;"Unmapped",P1674&lt;&gt;F1674),"Category mismatch","OK"))))))</f>
        <v>OK</v>
      </c>
      <c r="O1674" s="125">
        <f t="shared" si="78"/>
        <v>1310.02</v>
      </c>
      <c r="P1674" t="str">
        <f>IF(E1674="","Unmapped",IFERROR(INDEX(Supplier_Lookup!$B$2:$B$25,MATCH(E1674,Supplier_Lookup!$A$2:$A$25,0)),"Unmapped"))</f>
        <v>Food &amp; Catering</v>
      </c>
      <c r="Q1674" s="76">
        <f>IFERROR(INDEX(Category_Targets!$B$2:$B$9,MATCH(F1674,Category_Targets!$A$2:$A$9,0)),0)</f>
        <v>0.04</v>
      </c>
      <c r="R1674" s="125">
        <f t="shared" si="79"/>
        <v>52.400800000000004</v>
      </c>
      <c r="S1674" s="78">
        <f t="shared" si="80"/>
        <v>45931</v>
      </c>
      <c r="T1674" t="str">
        <f>IFERROR(VLOOKUP(B1674,Sites!$A$2:$D$21,4,FALSE()),"Unknown")</f>
        <v>Sheffield</v>
      </c>
      <c r="U1674" t="str">
        <f>IF(N1674="OK","",COUNTIF($N$2:N1674,"&lt;&gt;OK"))</f>
        <v/>
      </c>
      <c r="V1674">
        <f>IF(OR(NOT(EXACT(E1674,TRIM(Procurement_Raw!E1674))),NOT(EXACT(F1674,TRIM(Procurement_Raw!F1674)))),1,0)</f>
        <v>0</v>
      </c>
    </row>
    <row r="1675" spans="1:22" ht="15" customHeight="1" x14ac:dyDescent="0.25">
      <c r="A1675" s="123">
        <f>Procurement_Raw!A1675</f>
        <v>45937</v>
      </c>
      <c r="B1675" t="str">
        <f>TRIM(Procurement_Raw!B1675)</f>
        <v>S018</v>
      </c>
      <c r="C1675" t="str">
        <f>Procurement_Raw!C1675</f>
        <v>Newport Care &amp; Education Centre</v>
      </c>
      <c r="D1675" t="str">
        <f>Procurement_Raw!D1675</f>
        <v>Wales</v>
      </c>
      <c r="E1675" t="str">
        <f>IF(TRIM(Procurement_Raw!E1675)="","",IFERROR(INDEX(Supplier_Lookup!$A$2:$A$25,MATCH(TRIM(Procurement_Raw!E1675),Supplier_Lookup!$A$2:$A$25,0)),TRIM(Procurement_Raw!E1675)))</f>
        <v>FreshServe</v>
      </c>
      <c r="F1675" t="str">
        <f>IFERROR(INDEX(Category_Targets!$A$2:$A$9,MATCH(TRIM(Procurement_Raw!F1675),Category_Targets!$A$2:$A$9,0)),"Unmapped")</f>
        <v>Food &amp; Catering</v>
      </c>
      <c r="G1675" t="str">
        <f>TRIM(Procurement_Raw!G1675)</f>
        <v>INV-2025-01674</v>
      </c>
      <c r="H1675" s="77">
        <f>Procurement_Raw!H1675</f>
        <v>80</v>
      </c>
      <c r="I1675" s="124">
        <f>Procurement_Raw!I1675</f>
        <v>39.14</v>
      </c>
      <c r="J1675" s="125">
        <f>IF(Procurement_Raw!J1675="","",Procurement_Raw!J1675)</f>
        <v>3130.94</v>
      </c>
      <c r="K1675" s="77">
        <f>Procurement_Raw!K1675</f>
        <v>45</v>
      </c>
      <c r="L1675" t="str">
        <f>Procurement_Raw!L1675</f>
        <v>Procurement Portal</v>
      </c>
      <c r="M1675" t="str">
        <f>Procurement_Raw!O1675</f>
        <v>Y</v>
      </c>
      <c r="N1675" t="str">
        <f>IF(E1675="","Missing supplier",IF(B1675="","Missing site",IF(J1675="","Missing spend",IF(COUNTIFS($G$2:G1675,G1675,$E$2:E1675,E1675,$J$2:J1675,J1675)&gt;1,"Duplicate invoice",IF(COUNTIF($G$2:$G$1801,G1675)&gt;1,"Duplicate ID - review",IF(AND(P1675&lt;&gt;"Unmapped",P1675&lt;&gt;F1675),"Category mismatch","OK"))))))</f>
        <v>OK</v>
      </c>
      <c r="O1675" s="125">
        <f t="shared" si="78"/>
        <v>3130.94</v>
      </c>
      <c r="P1675" t="str">
        <f>IF(E1675="","Unmapped",IFERROR(INDEX(Supplier_Lookup!$B$2:$B$25,MATCH(E1675,Supplier_Lookup!$A$2:$A$25,0)),"Unmapped"))</f>
        <v>Food &amp; Catering</v>
      </c>
      <c r="Q1675" s="76">
        <f>IFERROR(INDEX(Category_Targets!$B$2:$B$9,MATCH(F1675,Category_Targets!$A$2:$A$9,0)),0)</f>
        <v>0.04</v>
      </c>
      <c r="R1675" s="125">
        <f t="shared" si="79"/>
        <v>125.2376</v>
      </c>
      <c r="S1675" s="78">
        <f t="shared" si="80"/>
        <v>45931</v>
      </c>
      <c r="T1675" t="str">
        <f>IFERROR(VLOOKUP(B1675,Sites!$A$2:$D$21,4,FALSE()),"Unknown")</f>
        <v>Newport</v>
      </c>
      <c r="U1675" t="str">
        <f>IF(N1675="OK","",COUNTIF($N$2:N1675,"&lt;&gt;OK"))</f>
        <v/>
      </c>
      <c r="V1675">
        <f>IF(OR(NOT(EXACT(E1675,TRIM(Procurement_Raw!E1675))),NOT(EXACT(F1675,TRIM(Procurement_Raw!F1675)))),1,0)</f>
        <v>0</v>
      </c>
    </row>
    <row r="1676" spans="1:22" ht="15" customHeight="1" x14ac:dyDescent="0.25">
      <c r="A1676" s="123">
        <f>Procurement_Raw!A1676</f>
        <v>45931</v>
      </c>
      <c r="B1676" t="str">
        <f>TRIM(Procurement_Raw!B1676)</f>
        <v>S015</v>
      </c>
      <c r="C1676" t="str">
        <f>Procurement_Raw!C1676</f>
        <v>Brighton Care &amp; Education Centre</v>
      </c>
      <c r="D1676" t="str">
        <f>Procurement_Raw!D1676</f>
        <v>South</v>
      </c>
      <c r="E1676" t="str">
        <f>IF(TRIM(Procurement_Raw!E1676)="","",IFERROR(INDEX(Supplier_Lookup!$A$2:$A$25,MATCH(TRIM(Procurement_Raw!E1676),Supplier_Lookup!$A$2:$A$25,0)),TRIM(Procurement_Raw!E1676)))</f>
        <v>OfficePlus</v>
      </c>
      <c r="F1676" t="str">
        <f>IFERROR(INDEX(Category_Targets!$A$2:$A$9,MATCH(TRIM(Procurement_Raw!F1676),Category_Targets!$A$2:$A$9,0)),"Unmapped")</f>
        <v>Office &amp; Training</v>
      </c>
      <c r="G1676" t="str">
        <f>TRIM(Procurement_Raw!G1676)</f>
        <v>INV-2025-01675</v>
      </c>
      <c r="H1676" s="77">
        <f>Procurement_Raw!H1676</f>
        <v>20</v>
      </c>
      <c r="I1676" s="124">
        <f>Procurement_Raw!I1676</f>
        <v>182.35</v>
      </c>
      <c r="J1676" s="125">
        <f>IF(Procurement_Raw!J1676="","",Procurement_Raw!J1676)</f>
        <v>3647.06</v>
      </c>
      <c r="K1676" s="77">
        <f>Procurement_Raw!K1676</f>
        <v>30</v>
      </c>
      <c r="L1676" t="str">
        <f>Procurement_Raw!L1676</f>
        <v>ERP</v>
      </c>
      <c r="M1676" t="str">
        <f>Procurement_Raw!O1676</f>
        <v>N</v>
      </c>
      <c r="N1676" t="str">
        <f>IF(E1676="","Missing supplier",IF(B1676="","Missing site",IF(J1676="","Missing spend",IF(COUNTIFS($G$2:G1676,G1676,$E$2:E1676,E1676,$J$2:J1676,J1676)&gt;1,"Duplicate invoice",IF(COUNTIF($G$2:$G$1801,G1676)&gt;1,"Duplicate ID - review",IF(AND(P1676&lt;&gt;"Unmapped",P1676&lt;&gt;F1676),"Category mismatch","OK"))))))</f>
        <v>OK</v>
      </c>
      <c r="O1676" s="125">
        <f t="shared" si="78"/>
        <v>3647.06</v>
      </c>
      <c r="P1676" t="str">
        <f>IF(E1676="","Unmapped",IFERROR(INDEX(Supplier_Lookup!$B$2:$B$25,MATCH(E1676,Supplier_Lookup!$A$2:$A$25,0)),"Unmapped"))</f>
        <v>Office &amp; Training</v>
      </c>
      <c r="Q1676" s="76">
        <f>IFERROR(INDEX(Category_Targets!$B$2:$B$9,MATCH(F1676,Category_Targets!$A$2:$A$9,0)),0)</f>
        <v>0.04</v>
      </c>
      <c r="R1676" s="125">
        <f t="shared" si="79"/>
        <v>145.88239999999999</v>
      </c>
      <c r="S1676" s="78">
        <f t="shared" si="80"/>
        <v>45931</v>
      </c>
      <c r="T1676" t="str">
        <f>IFERROR(VLOOKUP(B1676,Sites!$A$2:$D$21,4,FALSE()),"Unknown")</f>
        <v>Brighton</v>
      </c>
      <c r="U1676" t="str">
        <f>IF(N1676="OK","",COUNTIF($N$2:N1676,"&lt;&gt;OK"))</f>
        <v/>
      </c>
      <c r="V1676">
        <f>IF(OR(NOT(EXACT(E1676,TRIM(Procurement_Raw!E1676))),NOT(EXACT(F1676,TRIM(Procurement_Raw!F1676)))),1,0)</f>
        <v>0</v>
      </c>
    </row>
    <row r="1677" spans="1:22" ht="15" customHeight="1" x14ac:dyDescent="0.25">
      <c r="A1677" s="123">
        <f>Procurement_Raw!A1677</f>
        <v>46022</v>
      </c>
      <c r="B1677" t="str">
        <f>TRIM(Procurement_Raw!B1677)</f>
        <v>S011</v>
      </c>
      <c r="C1677" t="str">
        <f>Procurement_Raw!C1677</f>
        <v>London Care &amp; Education Centre</v>
      </c>
      <c r="D1677" t="str">
        <f>Procurement_Raw!D1677</f>
        <v>South</v>
      </c>
      <c r="E1677" t="str">
        <f>IF(TRIM(Procurement_Raw!E1677)="","",IFERROR(INDEX(Supplier_Lookup!$A$2:$A$25,MATCH(TRIM(Procurement_Raw!E1677),Supplier_Lookup!$A$2:$A$25,0)),TRIM(Procurement_Raw!E1677)))</f>
        <v>NurseLink</v>
      </c>
      <c r="F1677" t="str">
        <f>IFERROR(INDEX(Category_Targets!$A$2:$A$9,MATCH(TRIM(Procurement_Raw!F1677),Category_Targets!$A$2:$A$9,0)),"Unmapped")</f>
        <v>Agency Labour</v>
      </c>
      <c r="G1677" t="str">
        <f>TRIM(Procurement_Raw!G1677)</f>
        <v>INV-2025-01676</v>
      </c>
      <c r="H1677" s="77">
        <f>Procurement_Raw!H1677</f>
        <v>33</v>
      </c>
      <c r="I1677" s="124">
        <f>Procurement_Raw!I1677</f>
        <v>251.26</v>
      </c>
      <c r="J1677" s="125">
        <f>IF(Procurement_Raw!J1677="","",Procurement_Raw!J1677)</f>
        <v>8291.73</v>
      </c>
      <c r="K1677" s="77">
        <f>Procurement_Raw!K1677</f>
        <v>60</v>
      </c>
      <c r="L1677" t="str">
        <f>Procurement_Raw!L1677</f>
        <v>Procurement Portal</v>
      </c>
      <c r="M1677" t="str">
        <f>Procurement_Raw!O1677</f>
        <v>N</v>
      </c>
      <c r="N1677" t="str">
        <f>IF(E1677="","Missing supplier",IF(B1677="","Missing site",IF(J1677="","Missing spend",IF(COUNTIFS($G$2:G1677,G1677,$E$2:E1677,E1677,$J$2:J1677,J1677)&gt;1,"Duplicate invoice",IF(COUNTIF($G$2:$G$1801,G1677)&gt;1,"Duplicate ID - review",IF(AND(P1677&lt;&gt;"Unmapped",P1677&lt;&gt;F1677),"Category mismatch","OK"))))))</f>
        <v>OK</v>
      </c>
      <c r="O1677" s="125">
        <f t="shared" si="78"/>
        <v>8291.73</v>
      </c>
      <c r="P1677" t="str">
        <f>IF(E1677="","Unmapped",IFERROR(INDEX(Supplier_Lookup!$B$2:$B$25,MATCH(E1677,Supplier_Lookup!$A$2:$A$25,0)),"Unmapped"))</f>
        <v>Agency Labour</v>
      </c>
      <c r="Q1677" s="76">
        <f>IFERROR(INDEX(Category_Targets!$B$2:$B$9,MATCH(F1677,Category_Targets!$A$2:$A$9,0)),0)</f>
        <v>7.0000000000000007E-2</v>
      </c>
      <c r="R1677" s="125">
        <f t="shared" si="79"/>
        <v>580.42110000000002</v>
      </c>
      <c r="S1677" s="78">
        <f t="shared" si="80"/>
        <v>45992</v>
      </c>
      <c r="T1677" t="str">
        <f>IFERROR(VLOOKUP(B1677,Sites!$A$2:$D$21,4,FALSE()),"Unknown")</f>
        <v>London</v>
      </c>
      <c r="U1677" t="str">
        <f>IF(N1677="OK","",COUNTIF($N$2:N1677,"&lt;&gt;OK"))</f>
        <v/>
      </c>
      <c r="V1677">
        <f>IF(OR(NOT(EXACT(E1677,TRIM(Procurement_Raw!E1677))),NOT(EXACT(F1677,TRIM(Procurement_Raw!F1677)))),1,0)</f>
        <v>0</v>
      </c>
    </row>
    <row r="1678" spans="1:22" ht="15" customHeight="1" x14ac:dyDescent="0.25">
      <c r="A1678" s="123">
        <f>Procurement_Raw!A1678</f>
        <v>45718</v>
      </c>
      <c r="B1678" t="str">
        <f>TRIM(Procurement_Raw!B1678)</f>
        <v>S020</v>
      </c>
      <c r="C1678" t="str">
        <f>Procurement_Raw!C1678</f>
        <v>Bangor Care &amp; Education Centre</v>
      </c>
      <c r="D1678" t="str">
        <f>Procurement_Raw!D1678</f>
        <v>Wales</v>
      </c>
      <c r="E1678" t="str">
        <f>IF(TRIM(Procurement_Raw!E1678)="","",IFERROR(INDEX(Supplier_Lookup!$A$2:$A$25,MATCH(TRIM(Procurement_Raw!E1678),Supplier_Lookup!$A$2:$A$25,0)),TRIM(Procurement_Raw!E1678)))</f>
        <v>PrintCo</v>
      </c>
      <c r="F1678" t="str">
        <f>IFERROR(INDEX(Category_Targets!$A$2:$A$9,MATCH(TRIM(Procurement_Raw!F1678),Category_Targets!$A$2:$A$9,0)),"Unmapped")</f>
        <v>Office &amp; Training</v>
      </c>
      <c r="G1678" t="str">
        <f>TRIM(Procurement_Raw!G1678)</f>
        <v>INV-2025-01677</v>
      </c>
      <c r="H1678" s="77">
        <f>Procurement_Raw!H1678</f>
        <v>56</v>
      </c>
      <c r="I1678" s="124">
        <f>Procurement_Raw!I1678</f>
        <v>146.49</v>
      </c>
      <c r="J1678" s="125">
        <f>IF(Procurement_Raw!J1678="","",Procurement_Raw!J1678)</f>
        <v>8203.18</v>
      </c>
      <c r="K1678" s="77">
        <f>Procurement_Raw!K1678</f>
        <v>30</v>
      </c>
      <c r="L1678" t="str">
        <f>Procurement_Raw!L1678</f>
        <v>Procurement Portal</v>
      </c>
      <c r="M1678" t="str">
        <f>Procurement_Raw!O1678</f>
        <v>N</v>
      </c>
      <c r="N1678" t="str">
        <f>IF(E1678="","Missing supplier",IF(B1678="","Missing site",IF(J1678="","Missing spend",IF(COUNTIFS($G$2:G1678,G1678,$E$2:E1678,E1678,$J$2:J1678,J1678)&gt;1,"Duplicate invoice",IF(COUNTIF($G$2:$G$1801,G1678)&gt;1,"Duplicate ID - review",IF(AND(P1678&lt;&gt;"Unmapped",P1678&lt;&gt;F1678),"Category mismatch","OK"))))))</f>
        <v>OK</v>
      </c>
      <c r="O1678" s="125">
        <f t="shared" si="78"/>
        <v>8203.18</v>
      </c>
      <c r="P1678" t="str">
        <f>IF(E1678="","Unmapped",IFERROR(INDEX(Supplier_Lookup!$B$2:$B$25,MATCH(E1678,Supplier_Lookup!$A$2:$A$25,0)),"Unmapped"))</f>
        <v>Office &amp; Training</v>
      </c>
      <c r="Q1678" s="76">
        <f>IFERROR(INDEX(Category_Targets!$B$2:$B$9,MATCH(F1678,Category_Targets!$A$2:$A$9,0)),0)</f>
        <v>0.04</v>
      </c>
      <c r="R1678" s="125">
        <f t="shared" si="79"/>
        <v>328.12720000000002</v>
      </c>
      <c r="S1678" s="78">
        <f t="shared" si="80"/>
        <v>45717</v>
      </c>
      <c r="T1678" t="str">
        <f>IFERROR(VLOOKUP(B1678,Sites!$A$2:$D$21,4,FALSE()),"Unknown")</f>
        <v>Bangor</v>
      </c>
      <c r="U1678" t="str">
        <f>IF(N1678="OK","",COUNTIF($N$2:N1678,"&lt;&gt;OK"))</f>
        <v/>
      </c>
      <c r="V1678">
        <f>IF(OR(NOT(EXACT(E1678,TRIM(Procurement_Raw!E1678))),NOT(EXACT(F1678,TRIM(Procurement_Raw!F1678)))),1,0)</f>
        <v>0</v>
      </c>
    </row>
    <row r="1679" spans="1:22" ht="15" customHeight="1" x14ac:dyDescent="0.25">
      <c r="A1679" s="123">
        <f>Procurement_Raw!A1679</f>
        <v>45964</v>
      </c>
      <c r="B1679" t="str">
        <f>TRIM(Procurement_Raw!B1679)</f>
        <v>S009</v>
      </c>
      <c r="C1679" t="str">
        <f>Procurement_Raw!C1679</f>
        <v>Derby Care &amp; Education Centre</v>
      </c>
      <c r="D1679" t="str">
        <f>Procurement_Raw!D1679</f>
        <v>Midlands</v>
      </c>
      <c r="E1679" t="str">
        <f>IF(TRIM(Procurement_Raw!E1679)="","",IFERROR(INDEX(Supplier_Lookup!$A$2:$A$25,MATCH(TRIM(Procurement_Raw!E1679),Supplier_Lookup!$A$2:$A$25,0)),TRIM(Procurement_Raw!E1679)))</f>
        <v>MediSure</v>
      </c>
      <c r="F1679" t="str">
        <f>IFERROR(INDEX(Category_Targets!$A$2:$A$9,MATCH(TRIM(Procurement_Raw!F1679),Category_Targets!$A$2:$A$9,0)),"Unmapped")</f>
        <v>Medical Supplies</v>
      </c>
      <c r="G1679" t="str">
        <f>TRIM(Procurement_Raw!G1679)</f>
        <v>INV-2025-01678</v>
      </c>
      <c r="H1679" s="77">
        <f>Procurement_Raw!H1679</f>
        <v>36</v>
      </c>
      <c r="I1679" s="124">
        <f>Procurement_Raw!I1679</f>
        <v>277.05</v>
      </c>
      <c r="J1679" s="125">
        <f>IF(Procurement_Raw!J1679="","",Procurement_Raw!J1679)</f>
        <v>9973.98</v>
      </c>
      <c r="K1679" s="77">
        <f>Procurement_Raw!K1679</f>
        <v>60</v>
      </c>
      <c r="L1679" t="str">
        <f>Procurement_Raw!L1679</f>
        <v>ERP</v>
      </c>
      <c r="M1679" t="str">
        <f>Procurement_Raw!O1679</f>
        <v>Y</v>
      </c>
      <c r="N1679" t="str">
        <f>IF(E1679="","Missing supplier",IF(B1679="","Missing site",IF(J1679="","Missing spend",IF(COUNTIFS($G$2:G1679,G1679,$E$2:E1679,E1679,$J$2:J1679,J1679)&gt;1,"Duplicate invoice",IF(COUNTIF($G$2:$G$1801,G1679)&gt;1,"Duplicate ID - review",IF(AND(P1679&lt;&gt;"Unmapped",P1679&lt;&gt;F1679),"Category mismatch","OK"))))))</f>
        <v>OK</v>
      </c>
      <c r="O1679" s="125">
        <f t="shared" si="78"/>
        <v>9973.98</v>
      </c>
      <c r="P1679" t="str">
        <f>IF(E1679="","Unmapped",IFERROR(INDEX(Supplier_Lookup!$B$2:$B$25,MATCH(E1679,Supplier_Lookup!$A$2:$A$25,0)),"Unmapped"))</f>
        <v>Medical Supplies</v>
      </c>
      <c r="Q1679" s="76">
        <f>IFERROR(INDEX(Category_Targets!$B$2:$B$9,MATCH(F1679,Category_Targets!$A$2:$A$9,0)),0)</f>
        <v>0.06</v>
      </c>
      <c r="R1679" s="125">
        <f t="shared" si="79"/>
        <v>598.4387999999999</v>
      </c>
      <c r="S1679" s="78">
        <f t="shared" si="80"/>
        <v>45962</v>
      </c>
      <c r="T1679" t="str">
        <f>IFERROR(VLOOKUP(B1679,Sites!$A$2:$D$21,4,FALSE()),"Unknown")</f>
        <v>Derby</v>
      </c>
      <c r="U1679" t="str">
        <f>IF(N1679="OK","",COUNTIF($N$2:N1679,"&lt;&gt;OK"))</f>
        <v/>
      </c>
      <c r="V1679">
        <f>IF(OR(NOT(EXACT(E1679,TRIM(Procurement_Raw!E1679))),NOT(EXACT(F1679,TRIM(Procurement_Raw!F1679)))),1,0)</f>
        <v>0</v>
      </c>
    </row>
    <row r="1680" spans="1:22" ht="15" customHeight="1" x14ac:dyDescent="0.25">
      <c r="A1680" s="123">
        <f>Procurement_Raw!A1680</f>
        <v>45689</v>
      </c>
      <c r="B1680" t="str">
        <f>TRIM(Procurement_Raw!B1680)</f>
        <v>S019</v>
      </c>
      <c r="C1680" t="str">
        <f>Procurement_Raw!C1680</f>
        <v>Wrexham Care &amp; Education Centre</v>
      </c>
      <c r="D1680" t="str">
        <f>Procurement_Raw!D1680</f>
        <v>Wales</v>
      </c>
      <c r="E1680" t="str">
        <f>IF(TRIM(Procurement_Raw!E1680)="","",IFERROR(INDEX(Supplier_Lookup!$A$2:$A$25,MATCH(TRIM(Procurement_Raw!E1680),Supplier_Lookup!$A$2:$A$25,0)),TRIM(Procurement_Raw!E1680)))</f>
        <v>ClinEquip</v>
      </c>
      <c r="F1680" t="str">
        <f>IFERROR(INDEX(Category_Targets!$A$2:$A$9,MATCH(TRIM(Procurement_Raw!F1680),Category_Targets!$A$2:$A$9,0)),"Unmapped")</f>
        <v>Medical Supplies</v>
      </c>
      <c r="G1680" t="str">
        <f>TRIM(Procurement_Raw!G1680)</f>
        <v>INV-2025-01679</v>
      </c>
      <c r="H1680" s="77">
        <f>Procurement_Raw!H1680</f>
        <v>25</v>
      </c>
      <c r="I1680" s="124">
        <f>Procurement_Raw!I1680</f>
        <v>207.8</v>
      </c>
      <c r="J1680" s="125">
        <f>IF(Procurement_Raw!J1680="","",Procurement_Raw!J1680)</f>
        <v>5194.93</v>
      </c>
      <c r="K1680" s="77">
        <f>Procurement_Raw!K1680</f>
        <v>60</v>
      </c>
      <c r="L1680" t="str">
        <f>Procurement_Raw!L1680</f>
        <v>Procurement Portal</v>
      </c>
      <c r="M1680" t="str">
        <f>Procurement_Raw!O1680</f>
        <v>N</v>
      </c>
      <c r="N1680" t="str">
        <f>IF(E1680="","Missing supplier",IF(B1680="","Missing site",IF(J1680="","Missing spend",IF(COUNTIFS($G$2:G1680,G1680,$E$2:E1680,E1680,$J$2:J1680,J1680)&gt;1,"Duplicate invoice",IF(COUNTIF($G$2:$G$1801,G1680)&gt;1,"Duplicate ID - review",IF(AND(P1680&lt;&gt;"Unmapped",P1680&lt;&gt;F1680),"Category mismatch","OK"))))))</f>
        <v>OK</v>
      </c>
      <c r="O1680" s="125">
        <f t="shared" si="78"/>
        <v>5194.93</v>
      </c>
      <c r="P1680" t="str">
        <f>IF(E1680="","Unmapped",IFERROR(INDEX(Supplier_Lookup!$B$2:$B$25,MATCH(E1680,Supplier_Lookup!$A$2:$A$25,0)),"Unmapped"))</f>
        <v>Medical Supplies</v>
      </c>
      <c r="Q1680" s="76">
        <f>IFERROR(INDEX(Category_Targets!$B$2:$B$9,MATCH(F1680,Category_Targets!$A$2:$A$9,0)),0)</f>
        <v>0.06</v>
      </c>
      <c r="R1680" s="125">
        <f t="shared" si="79"/>
        <v>311.69580000000002</v>
      </c>
      <c r="S1680" s="78">
        <f t="shared" si="80"/>
        <v>45689</v>
      </c>
      <c r="T1680" t="str">
        <f>IFERROR(VLOOKUP(B1680,Sites!$A$2:$D$21,4,FALSE()),"Unknown")</f>
        <v>Wrexham</v>
      </c>
      <c r="U1680" t="str">
        <f>IF(N1680="OK","",COUNTIF($N$2:N1680,"&lt;&gt;OK"))</f>
        <v/>
      </c>
      <c r="V1680">
        <f>IF(OR(NOT(EXACT(E1680,TRIM(Procurement_Raw!E1680))),NOT(EXACT(F1680,TRIM(Procurement_Raw!F1680)))),1,0)</f>
        <v>0</v>
      </c>
    </row>
    <row r="1681" spans="1:22" ht="15" customHeight="1" x14ac:dyDescent="0.25">
      <c r="A1681" s="123">
        <f>Procurement_Raw!A1681</f>
        <v>45882</v>
      </c>
      <c r="B1681" t="str">
        <f>TRIM(Procurement_Raw!B1681)</f>
        <v>S012</v>
      </c>
      <c r="C1681" t="str">
        <f>Procurement_Raw!C1681</f>
        <v>Bristol Care &amp; Education Centre</v>
      </c>
      <c r="D1681" t="str">
        <f>Procurement_Raw!D1681</f>
        <v>South</v>
      </c>
      <c r="E1681" t="str">
        <f>IF(TRIM(Procurement_Raw!E1681)="","",IFERROR(INDEX(Supplier_Lookup!$A$2:$A$25,MATCH(TRIM(Procurement_Raw!E1681),Supplier_Lookup!$A$2:$A$25,0)),TRIM(Procurement_Raw!E1681)))</f>
        <v>FreshServe</v>
      </c>
      <c r="F1681" t="str">
        <f>IFERROR(INDEX(Category_Targets!$A$2:$A$9,MATCH(TRIM(Procurement_Raw!F1681),Category_Targets!$A$2:$A$9,0)),"Unmapped")</f>
        <v>Food &amp; Catering</v>
      </c>
      <c r="G1681" t="str">
        <f>TRIM(Procurement_Raw!G1681)</f>
        <v>INV-2025-01680</v>
      </c>
      <c r="H1681" s="77">
        <f>Procurement_Raw!H1681</f>
        <v>66</v>
      </c>
      <c r="I1681" s="124">
        <f>Procurement_Raw!I1681</f>
        <v>51.26</v>
      </c>
      <c r="J1681" s="125">
        <f>IF(Procurement_Raw!J1681="","",Procurement_Raw!J1681)</f>
        <v>3383.45</v>
      </c>
      <c r="K1681" s="77">
        <f>Procurement_Raw!K1681</f>
        <v>45</v>
      </c>
      <c r="L1681" t="str">
        <f>Procurement_Raw!L1681</f>
        <v>Legacy Spend File</v>
      </c>
      <c r="M1681" t="str">
        <f>Procurement_Raw!O1681</f>
        <v>Y</v>
      </c>
      <c r="N1681" t="str">
        <f>IF(E1681="","Missing supplier",IF(B1681="","Missing site",IF(J1681="","Missing spend",IF(COUNTIFS($G$2:G1681,G1681,$E$2:E1681,E1681,$J$2:J1681,J1681)&gt;1,"Duplicate invoice",IF(COUNTIF($G$2:$G$1801,G1681)&gt;1,"Duplicate ID - review",IF(AND(P1681&lt;&gt;"Unmapped",P1681&lt;&gt;F1681),"Category mismatch","OK"))))))</f>
        <v>OK</v>
      </c>
      <c r="O1681" s="125">
        <f t="shared" si="78"/>
        <v>3383.45</v>
      </c>
      <c r="P1681" t="str">
        <f>IF(E1681="","Unmapped",IFERROR(INDEX(Supplier_Lookup!$B$2:$B$25,MATCH(E1681,Supplier_Lookup!$A$2:$A$25,0)),"Unmapped"))</f>
        <v>Food &amp; Catering</v>
      </c>
      <c r="Q1681" s="76">
        <f>IFERROR(INDEX(Category_Targets!$B$2:$B$9,MATCH(F1681,Category_Targets!$A$2:$A$9,0)),0)</f>
        <v>0.04</v>
      </c>
      <c r="R1681" s="125">
        <f t="shared" si="79"/>
        <v>135.33799999999999</v>
      </c>
      <c r="S1681" s="78">
        <f t="shared" si="80"/>
        <v>45870</v>
      </c>
      <c r="T1681" t="str">
        <f>IFERROR(VLOOKUP(B1681,Sites!$A$2:$D$21,4,FALSE()),"Unknown")</f>
        <v>Bristol</v>
      </c>
      <c r="U1681" t="str">
        <f>IF(N1681="OK","",COUNTIF($N$2:N1681,"&lt;&gt;OK"))</f>
        <v/>
      </c>
      <c r="V1681">
        <f>IF(OR(NOT(EXACT(E1681,TRIM(Procurement_Raw!E1681))),NOT(EXACT(F1681,TRIM(Procurement_Raw!F1681)))),1,0)</f>
        <v>0</v>
      </c>
    </row>
    <row r="1682" spans="1:22" ht="15" customHeight="1" x14ac:dyDescent="0.25">
      <c r="A1682" s="123">
        <f>Procurement_Raw!A1682</f>
        <v>45797</v>
      </c>
      <c r="B1682" t="str">
        <f>TRIM(Procurement_Raw!B1682)</f>
        <v>S004</v>
      </c>
      <c r="C1682" t="str">
        <f>Procurement_Raw!C1682</f>
        <v>Newcastle Care &amp; Education Centre</v>
      </c>
      <c r="D1682" t="str">
        <f>Procurement_Raw!D1682</f>
        <v>North</v>
      </c>
      <c r="E1682" t="str">
        <f>IF(TRIM(Procurement_Raw!E1682)="","",IFERROR(INDEX(Supplier_Lookup!$A$2:$A$25,MATCH(TRIM(Procurement_Raw!E1682),Supplier_Lookup!$A$2:$A$25,0)),TRIM(Procurement_Raw!E1682)))</f>
        <v>NurseLink</v>
      </c>
      <c r="F1682" t="str">
        <f>IFERROR(INDEX(Category_Targets!$A$2:$A$9,MATCH(TRIM(Procurement_Raw!F1682),Category_Targets!$A$2:$A$9,0)),"Unmapped")</f>
        <v>Agency Labour</v>
      </c>
      <c r="G1682" t="str">
        <f>TRIM(Procurement_Raw!G1682)</f>
        <v>INV-2025-01681</v>
      </c>
      <c r="H1682" s="77">
        <f>Procurement_Raw!H1682</f>
        <v>27</v>
      </c>
      <c r="I1682" s="124">
        <f>Procurement_Raw!I1682</f>
        <v>374.59</v>
      </c>
      <c r="J1682" s="125">
        <f>IF(Procurement_Raw!J1682="","",Procurement_Raw!J1682)</f>
        <v>10113.950000000001</v>
      </c>
      <c r="K1682" s="77">
        <f>Procurement_Raw!K1682</f>
        <v>30</v>
      </c>
      <c r="L1682" t="str">
        <f>Procurement_Raw!L1682</f>
        <v>ERP</v>
      </c>
      <c r="M1682" t="str">
        <f>Procurement_Raw!O1682</f>
        <v>N</v>
      </c>
      <c r="N1682" t="str">
        <f>IF(E1682="","Missing supplier",IF(B1682="","Missing site",IF(J1682="","Missing spend",IF(COUNTIFS($G$2:G1682,G1682,$E$2:E1682,E1682,$J$2:J1682,J1682)&gt;1,"Duplicate invoice",IF(COUNTIF($G$2:$G$1801,G1682)&gt;1,"Duplicate ID - review",IF(AND(P1682&lt;&gt;"Unmapped",P1682&lt;&gt;F1682),"Category mismatch","OK"))))))</f>
        <v>OK</v>
      </c>
      <c r="O1682" s="125">
        <f t="shared" si="78"/>
        <v>10113.950000000001</v>
      </c>
      <c r="P1682" t="str">
        <f>IF(E1682="","Unmapped",IFERROR(INDEX(Supplier_Lookup!$B$2:$B$25,MATCH(E1682,Supplier_Lookup!$A$2:$A$25,0)),"Unmapped"))</f>
        <v>Agency Labour</v>
      </c>
      <c r="Q1682" s="76">
        <f>IFERROR(INDEX(Category_Targets!$B$2:$B$9,MATCH(F1682,Category_Targets!$A$2:$A$9,0)),0)</f>
        <v>7.0000000000000007E-2</v>
      </c>
      <c r="R1682" s="125">
        <f t="shared" si="79"/>
        <v>707.9765000000001</v>
      </c>
      <c r="S1682" s="78">
        <f t="shared" si="80"/>
        <v>45778</v>
      </c>
      <c r="T1682" t="str">
        <f>IFERROR(VLOOKUP(B1682,Sites!$A$2:$D$21,4,FALSE()),"Unknown")</f>
        <v>Newcastle</v>
      </c>
      <c r="U1682" t="str">
        <f>IF(N1682="OK","",COUNTIF($N$2:N1682,"&lt;&gt;OK"))</f>
        <v/>
      </c>
      <c r="V1682">
        <f>IF(OR(NOT(EXACT(E1682,TRIM(Procurement_Raw!E1682))),NOT(EXACT(F1682,TRIM(Procurement_Raw!F1682)))),1,0)</f>
        <v>0</v>
      </c>
    </row>
    <row r="1683" spans="1:22" ht="15" customHeight="1" x14ac:dyDescent="0.25">
      <c r="A1683" s="123">
        <f>Procurement_Raw!A1683</f>
        <v>46014</v>
      </c>
      <c r="B1683" t="str">
        <f>TRIM(Procurement_Raw!B1683)</f>
        <v>S005</v>
      </c>
      <c r="C1683" t="str">
        <f>Procurement_Raw!C1683</f>
        <v>Sheffield Care &amp; Education Centre</v>
      </c>
      <c r="D1683" t="str">
        <f>Procurement_Raw!D1683</f>
        <v>North</v>
      </c>
      <c r="E1683" t="str">
        <f>IF(TRIM(Procurement_Raw!E1683)="","",IFERROR(INDEX(Supplier_Lookup!$A$2:$A$25,MATCH(TRIM(Procurement_Raw!E1683),Supplier_Lookup!$A$2:$A$25,0)),TRIM(Procurement_Raw!E1683)))</f>
        <v>PowerDirect</v>
      </c>
      <c r="F1683" t="str">
        <f>IFERROR(INDEX(Category_Targets!$A$2:$A$9,MATCH(TRIM(Procurement_Raw!F1683),Category_Targets!$A$2:$A$9,0)),"Unmapped")</f>
        <v>Utilities</v>
      </c>
      <c r="G1683" t="str">
        <f>TRIM(Procurement_Raw!G1683)</f>
        <v>INV-2025-01682</v>
      </c>
      <c r="H1683" s="77">
        <f>Procurement_Raw!H1683</f>
        <v>2</v>
      </c>
      <c r="I1683" s="124">
        <f>Procurement_Raw!I1683</f>
        <v>246.7</v>
      </c>
      <c r="J1683" s="125">
        <f>IF(Procurement_Raw!J1683="","",Procurement_Raw!J1683)</f>
        <v>493.39</v>
      </c>
      <c r="K1683" s="77">
        <f>Procurement_Raw!K1683</f>
        <v>60</v>
      </c>
      <c r="L1683" t="str">
        <f>Procurement_Raw!L1683</f>
        <v>Procurement Portal</v>
      </c>
      <c r="M1683" t="str">
        <f>Procurement_Raw!O1683</f>
        <v>N</v>
      </c>
      <c r="N1683" t="str">
        <f>IF(E1683="","Missing supplier",IF(B1683="","Missing site",IF(J1683="","Missing spend",IF(COUNTIFS($G$2:G1683,G1683,$E$2:E1683,E1683,$J$2:J1683,J1683)&gt;1,"Duplicate invoice",IF(COUNTIF($G$2:$G$1801,G1683)&gt;1,"Duplicate ID - review",IF(AND(P1683&lt;&gt;"Unmapped",P1683&lt;&gt;F1683),"Category mismatch","OK"))))))</f>
        <v>OK</v>
      </c>
      <c r="O1683" s="125">
        <f t="shared" si="78"/>
        <v>493.39</v>
      </c>
      <c r="P1683" t="str">
        <f>IF(E1683="","Unmapped",IFERROR(INDEX(Supplier_Lookup!$B$2:$B$25,MATCH(E1683,Supplier_Lookup!$A$2:$A$25,0)),"Unmapped"))</f>
        <v>Utilities</v>
      </c>
      <c r="Q1683" s="76">
        <f>IFERROR(INDEX(Category_Targets!$B$2:$B$9,MATCH(F1683,Category_Targets!$A$2:$A$9,0)),0)</f>
        <v>0.03</v>
      </c>
      <c r="R1683" s="125">
        <f t="shared" si="79"/>
        <v>14.801699999999999</v>
      </c>
      <c r="S1683" s="78">
        <f t="shared" si="80"/>
        <v>45992</v>
      </c>
      <c r="T1683" t="str">
        <f>IFERROR(VLOOKUP(B1683,Sites!$A$2:$D$21,4,FALSE()),"Unknown")</f>
        <v>Sheffield</v>
      </c>
      <c r="U1683" t="str">
        <f>IF(N1683="OK","",COUNTIF($N$2:N1683,"&lt;&gt;OK"))</f>
        <v/>
      </c>
      <c r="V1683">
        <f>IF(OR(NOT(EXACT(E1683,TRIM(Procurement_Raw!E1683))),NOT(EXACT(F1683,TRIM(Procurement_Raw!F1683)))),1,0)</f>
        <v>0</v>
      </c>
    </row>
    <row r="1684" spans="1:22" ht="15" customHeight="1" x14ac:dyDescent="0.25">
      <c r="A1684" s="123">
        <f>Procurement_Raw!A1684</f>
        <v>45770</v>
      </c>
      <c r="B1684" t="str">
        <f>TRIM(Procurement_Raw!B1684)</f>
        <v>S005</v>
      </c>
      <c r="C1684" t="str">
        <f>Procurement_Raw!C1684</f>
        <v>Sheffield Care &amp; Education Centre</v>
      </c>
      <c r="D1684" t="str">
        <f>Procurement_Raw!D1684</f>
        <v>North</v>
      </c>
      <c r="E1684" t="str">
        <f>IF(TRIM(Procurement_Raw!E1684)="","",IFERROR(INDEX(Supplier_Lookup!$A$2:$A$25,MATCH(TRIM(Procurement_Raw!E1684),Supplier_Lookup!$A$2:$A$25,0)),TRIM(Procurement_Raw!E1684)))</f>
        <v>TeleCare IT</v>
      </c>
      <c r="F1684" t="str">
        <f>IFERROR(INDEX(Category_Targets!$A$2:$A$9,MATCH(TRIM(Procurement_Raw!F1684),Category_Targets!$A$2:$A$9,0)),"Unmapped")</f>
        <v>IT &amp; Telecoms</v>
      </c>
      <c r="G1684" t="str">
        <f>TRIM(Procurement_Raw!G1684)</f>
        <v>INV-2025-01683</v>
      </c>
      <c r="H1684" s="77">
        <f>Procurement_Raw!H1684</f>
        <v>38</v>
      </c>
      <c r="I1684" s="124">
        <f>Procurement_Raw!I1684</f>
        <v>133.83000000000001</v>
      </c>
      <c r="J1684" s="125">
        <f>IF(Procurement_Raw!J1684="","",Procurement_Raw!J1684)</f>
        <v>5085.6499999999996</v>
      </c>
      <c r="K1684" s="77">
        <f>Procurement_Raw!K1684</f>
        <v>60</v>
      </c>
      <c r="L1684" t="str">
        <f>Procurement_Raw!L1684</f>
        <v>Procurement Portal</v>
      </c>
      <c r="M1684" t="str">
        <f>Procurement_Raw!O1684</f>
        <v>N</v>
      </c>
      <c r="N1684" t="str">
        <f>IF(E1684="","Missing supplier",IF(B1684="","Missing site",IF(J1684="","Missing spend",IF(COUNTIFS($G$2:G1684,G1684,$E$2:E1684,E1684,$J$2:J1684,J1684)&gt;1,"Duplicate invoice",IF(COUNTIF($G$2:$G$1801,G1684)&gt;1,"Duplicate ID - review",IF(AND(P1684&lt;&gt;"Unmapped",P1684&lt;&gt;F1684),"Category mismatch","OK"))))))</f>
        <v>OK</v>
      </c>
      <c r="O1684" s="125">
        <f t="shared" si="78"/>
        <v>5085.6499999999996</v>
      </c>
      <c r="P1684" t="str">
        <f>IF(E1684="","Unmapped",IFERROR(INDEX(Supplier_Lookup!$B$2:$B$25,MATCH(E1684,Supplier_Lookup!$A$2:$A$25,0)),"Unmapped"))</f>
        <v>IT &amp; Telecoms</v>
      </c>
      <c r="Q1684" s="76">
        <f>IFERROR(INDEX(Category_Targets!$B$2:$B$9,MATCH(F1684,Category_Targets!$A$2:$A$9,0)),0)</f>
        <v>0.08</v>
      </c>
      <c r="R1684" s="125">
        <f t="shared" si="79"/>
        <v>406.85199999999998</v>
      </c>
      <c r="S1684" s="78">
        <f t="shared" si="80"/>
        <v>45748</v>
      </c>
      <c r="T1684" t="str">
        <f>IFERROR(VLOOKUP(B1684,Sites!$A$2:$D$21,4,FALSE()),"Unknown")</f>
        <v>Sheffield</v>
      </c>
      <c r="U1684" t="str">
        <f>IF(N1684="OK","",COUNTIF($N$2:N1684,"&lt;&gt;OK"))</f>
        <v/>
      </c>
      <c r="V1684">
        <f>IF(OR(NOT(EXACT(E1684,TRIM(Procurement_Raw!E1684))),NOT(EXACT(F1684,TRIM(Procurement_Raw!F1684)))),1,0)</f>
        <v>0</v>
      </c>
    </row>
    <row r="1685" spans="1:22" ht="15" customHeight="1" x14ac:dyDescent="0.25">
      <c r="A1685" s="123">
        <f>Procurement_Raw!A1685</f>
        <v>45772</v>
      </c>
      <c r="B1685" t="str">
        <f>TRIM(Procurement_Raw!B1685)</f>
        <v>S004</v>
      </c>
      <c r="C1685" t="str">
        <f>Procurement_Raw!C1685</f>
        <v>Newcastle Care &amp; Education Centre</v>
      </c>
      <c r="D1685" t="str">
        <f>Procurement_Raw!D1685</f>
        <v>North</v>
      </c>
      <c r="E1685" t="str">
        <f>IF(TRIM(Procurement_Raw!E1685)="","",IFERROR(INDEX(Supplier_Lookup!$A$2:$A$25,MATCH(TRIM(Procurement_Raw!E1685),Supplier_Lookup!$A$2:$A$25,0)),TRIM(Procurement_Raw!E1685)))</f>
        <v>FreshServe</v>
      </c>
      <c r="F1685" t="str">
        <f>IFERROR(INDEX(Category_Targets!$A$2:$A$9,MATCH(TRIM(Procurement_Raw!F1685),Category_Targets!$A$2:$A$9,0)),"Unmapped")</f>
        <v>Food &amp; Catering</v>
      </c>
      <c r="G1685" t="str">
        <f>TRIM(Procurement_Raw!G1685)</f>
        <v>INV-2025-01684</v>
      </c>
      <c r="H1685" s="77">
        <f>Procurement_Raw!H1685</f>
        <v>6</v>
      </c>
      <c r="I1685" s="124">
        <f>Procurement_Raw!I1685</f>
        <v>77.69</v>
      </c>
      <c r="J1685" s="125">
        <f>IF(Procurement_Raw!J1685="","",Procurement_Raw!J1685)</f>
        <v>466.17</v>
      </c>
      <c r="K1685" s="77">
        <f>Procurement_Raw!K1685</f>
        <v>60</v>
      </c>
      <c r="L1685" t="str">
        <f>Procurement_Raw!L1685</f>
        <v>ERP</v>
      </c>
      <c r="M1685" t="str">
        <f>Procurement_Raw!O1685</f>
        <v>Y</v>
      </c>
      <c r="N1685" t="str">
        <f>IF(E1685="","Missing supplier",IF(B1685="","Missing site",IF(J1685="","Missing spend",IF(COUNTIFS($G$2:G1685,G1685,$E$2:E1685,E1685,$J$2:J1685,J1685)&gt;1,"Duplicate invoice",IF(COUNTIF($G$2:$G$1801,G1685)&gt;1,"Duplicate ID - review",IF(AND(P1685&lt;&gt;"Unmapped",P1685&lt;&gt;F1685),"Category mismatch","OK"))))))</f>
        <v>OK</v>
      </c>
      <c r="O1685" s="125">
        <f t="shared" si="78"/>
        <v>466.17</v>
      </c>
      <c r="P1685" t="str">
        <f>IF(E1685="","Unmapped",IFERROR(INDEX(Supplier_Lookup!$B$2:$B$25,MATCH(E1685,Supplier_Lookup!$A$2:$A$25,0)),"Unmapped"))</f>
        <v>Food &amp; Catering</v>
      </c>
      <c r="Q1685" s="76">
        <f>IFERROR(INDEX(Category_Targets!$B$2:$B$9,MATCH(F1685,Category_Targets!$A$2:$A$9,0)),0)</f>
        <v>0.04</v>
      </c>
      <c r="R1685" s="125">
        <f t="shared" si="79"/>
        <v>18.646800000000002</v>
      </c>
      <c r="S1685" s="78">
        <f t="shared" si="80"/>
        <v>45748</v>
      </c>
      <c r="T1685" t="str">
        <f>IFERROR(VLOOKUP(B1685,Sites!$A$2:$D$21,4,FALSE()),"Unknown")</f>
        <v>Newcastle</v>
      </c>
      <c r="U1685" t="str">
        <f>IF(N1685="OK","",COUNTIF($N$2:N1685,"&lt;&gt;OK"))</f>
        <v/>
      </c>
      <c r="V1685">
        <f>IF(OR(NOT(EXACT(E1685,TRIM(Procurement_Raw!E1685))),NOT(EXACT(F1685,TRIM(Procurement_Raw!F1685)))),1,0)</f>
        <v>0</v>
      </c>
    </row>
    <row r="1686" spans="1:22" ht="15" customHeight="1" x14ac:dyDescent="0.25">
      <c r="A1686" s="123">
        <f>Procurement_Raw!A1686</f>
        <v>45733</v>
      </c>
      <c r="B1686" t="str">
        <f>TRIM(Procurement_Raw!B1686)</f>
        <v>S016</v>
      </c>
      <c r="C1686" t="str">
        <f>Procurement_Raw!C1686</f>
        <v>Cardiff Care &amp; Education Centre</v>
      </c>
      <c r="D1686" t="str">
        <f>Procurement_Raw!D1686</f>
        <v>Wales</v>
      </c>
      <c r="E1686" t="str">
        <f>IF(TRIM(Procurement_Raw!E1686)="","",IFERROR(INDEX(Supplier_Lookup!$A$2:$A$25,MATCH(TRIM(Procurement_Raw!E1686),Supplier_Lookup!$A$2:$A$25,0)),TRIM(Procurement_Raw!E1686)))</f>
        <v>ClinEquip</v>
      </c>
      <c r="F1686" t="str">
        <f>IFERROR(INDEX(Category_Targets!$A$2:$A$9,MATCH(TRIM(Procurement_Raw!F1686),Category_Targets!$A$2:$A$9,0)),"Unmapped")</f>
        <v>Medical Supplies</v>
      </c>
      <c r="G1686" t="str">
        <f>TRIM(Procurement_Raw!G1686)</f>
        <v>INV-2025-01685</v>
      </c>
      <c r="H1686" s="77">
        <f>Procurement_Raw!H1686</f>
        <v>36</v>
      </c>
      <c r="I1686" s="124">
        <f>Procurement_Raw!I1686</f>
        <v>62.74</v>
      </c>
      <c r="J1686" s="125">
        <f>IF(Procurement_Raw!J1686="","",Procurement_Raw!J1686)</f>
        <v>2258.69</v>
      </c>
      <c r="K1686" s="77">
        <f>Procurement_Raw!K1686</f>
        <v>30</v>
      </c>
      <c r="L1686" t="str">
        <f>Procurement_Raw!L1686</f>
        <v>Procurement Portal</v>
      </c>
      <c r="M1686" t="str">
        <f>Procurement_Raw!O1686</f>
        <v>N</v>
      </c>
      <c r="N1686" t="str">
        <f>IF(E1686="","Missing supplier",IF(B1686="","Missing site",IF(J1686="","Missing spend",IF(COUNTIFS($G$2:G1686,G1686,$E$2:E1686,E1686,$J$2:J1686,J1686)&gt;1,"Duplicate invoice",IF(COUNTIF($G$2:$G$1801,G1686)&gt;1,"Duplicate ID - review",IF(AND(P1686&lt;&gt;"Unmapped",P1686&lt;&gt;F1686),"Category mismatch","OK"))))))</f>
        <v>OK</v>
      </c>
      <c r="O1686" s="125">
        <f t="shared" si="78"/>
        <v>2258.69</v>
      </c>
      <c r="P1686" t="str">
        <f>IF(E1686="","Unmapped",IFERROR(INDEX(Supplier_Lookup!$B$2:$B$25,MATCH(E1686,Supplier_Lookup!$A$2:$A$25,0)),"Unmapped"))</f>
        <v>Medical Supplies</v>
      </c>
      <c r="Q1686" s="76">
        <f>IFERROR(INDEX(Category_Targets!$B$2:$B$9,MATCH(F1686,Category_Targets!$A$2:$A$9,0)),0)</f>
        <v>0.06</v>
      </c>
      <c r="R1686" s="125">
        <f t="shared" si="79"/>
        <v>135.5214</v>
      </c>
      <c r="S1686" s="78">
        <f t="shared" si="80"/>
        <v>45717</v>
      </c>
      <c r="T1686" t="str">
        <f>IFERROR(VLOOKUP(B1686,Sites!$A$2:$D$21,4,FALSE()),"Unknown")</f>
        <v>Cardiff</v>
      </c>
      <c r="U1686" t="str">
        <f>IF(N1686="OK","",COUNTIF($N$2:N1686,"&lt;&gt;OK"))</f>
        <v/>
      </c>
      <c r="V1686">
        <f>IF(OR(NOT(EXACT(E1686,TRIM(Procurement_Raw!E1686))),NOT(EXACT(F1686,TRIM(Procurement_Raw!F1686)))),1,0)</f>
        <v>0</v>
      </c>
    </row>
    <row r="1687" spans="1:22" ht="15" customHeight="1" x14ac:dyDescent="0.25">
      <c r="A1687" s="123">
        <f>Procurement_Raw!A1687</f>
        <v>45931</v>
      </c>
      <c r="B1687" t="str">
        <f>TRIM(Procurement_Raw!B1687)</f>
        <v>S004</v>
      </c>
      <c r="C1687" t="str">
        <f>Procurement_Raw!C1687</f>
        <v>Newcastle Care &amp; Education Centre</v>
      </c>
      <c r="D1687" t="str">
        <f>Procurement_Raw!D1687</f>
        <v>North</v>
      </c>
      <c r="E1687" t="str">
        <f>IF(TRIM(Procurement_Raw!E1687)="","",IFERROR(INDEX(Supplier_Lookup!$A$2:$A$25,MATCH(TRIM(Procurement_Raw!E1687),Supplier_Lookup!$A$2:$A$25,0)),TRIM(Procurement_Raw!E1687)))</f>
        <v>UK Energy Partners</v>
      </c>
      <c r="F1687" t="str">
        <f>IFERROR(INDEX(Category_Targets!$A$2:$A$9,MATCH(TRIM(Procurement_Raw!F1687),Category_Targets!$A$2:$A$9,0)),"Unmapped")</f>
        <v>Utilities</v>
      </c>
      <c r="G1687" t="str">
        <f>TRIM(Procurement_Raw!G1687)</f>
        <v>INV-2025-01686</v>
      </c>
      <c r="H1687" s="77">
        <f>Procurement_Raw!H1687</f>
        <v>15</v>
      </c>
      <c r="I1687" s="124">
        <f>Procurement_Raw!I1687</f>
        <v>480.43</v>
      </c>
      <c r="J1687" s="125">
        <f>IF(Procurement_Raw!J1687="","",Procurement_Raw!J1687)</f>
        <v>7206.47</v>
      </c>
      <c r="K1687" s="77">
        <f>Procurement_Raw!K1687</f>
        <v>30</v>
      </c>
      <c r="L1687" t="str">
        <f>Procurement_Raw!L1687</f>
        <v>Legacy Spend File</v>
      </c>
      <c r="M1687" t="str">
        <f>Procurement_Raw!O1687</f>
        <v>N</v>
      </c>
      <c r="N1687" t="str">
        <f>IF(E1687="","Missing supplier",IF(B1687="","Missing site",IF(J1687="","Missing spend",IF(COUNTIFS($G$2:G1687,G1687,$E$2:E1687,E1687,$J$2:J1687,J1687)&gt;1,"Duplicate invoice",IF(COUNTIF($G$2:$G$1801,G1687)&gt;1,"Duplicate ID - review",IF(AND(P1687&lt;&gt;"Unmapped",P1687&lt;&gt;F1687),"Category mismatch","OK"))))))</f>
        <v>OK</v>
      </c>
      <c r="O1687" s="125">
        <f t="shared" si="78"/>
        <v>7206.47</v>
      </c>
      <c r="P1687" t="str">
        <f>IF(E1687="","Unmapped",IFERROR(INDEX(Supplier_Lookup!$B$2:$B$25,MATCH(E1687,Supplier_Lookup!$A$2:$A$25,0)),"Unmapped"))</f>
        <v>Utilities</v>
      </c>
      <c r="Q1687" s="76">
        <f>IFERROR(INDEX(Category_Targets!$B$2:$B$9,MATCH(F1687,Category_Targets!$A$2:$A$9,0)),0)</f>
        <v>0.03</v>
      </c>
      <c r="R1687" s="125">
        <f t="shared" si="79"/>
        <v>216.19409999999999</v>
      </c>
      <c r="S1687" s="78">
        <f t="shared" si="80"/>
        <v>45931</v>
      </c>
      <c r="T1687" t="str">
        <f>IFERROR(VLOOKUP(B1687,Sites!$A$2:$D$21,4,FALSE()),"Unknown")</f>
        <v>Newcastle</v>
      </c>
      <c r="U1687" t="str">
        <f>IF(N1687="OK","",COUNTIF($N$2:N1687,"&lt;&gt;OK"))</f>
        <v/>
      </c>
      <c r="V1687">
        <f>IF(OR(NOT(EXACT(E1687,TRIM(Procurement_Raw!E1687))),NOT(EXACT(F1687,TRIM(Procurement_Raw!F1687)))),1,0)</f>
        <v>0</v>
      </c>
    </row>
    <row r="1688" spans="1:22" ht="15" customHeight="1" x14ac:dyDescent="0.25">
      <c r="A1688" s="123">
        <f>Procurement_Raw!A1688</f>
        <v>45700</v>
      </c>
      <c r="B1688" t="str">
        <f>TRIM(Procurement_Raw!B1688)</f>
        <v>S008</v>
      </c>
      <c r="C1688" t="str">
        <f>Procurement_Raw!C1688</f>
        <v>Leicester Care &amp; Education Centre</v>
      </c>
      <c r="D1688" t="str">
        <f>Procurement_Raw!D1688</f>
        <v>Midlands</v>
      </c>
      <c r="E1688" t="str">
        <f>IF(TRIM(Procurement_Raw!E1688)="","",IFERROR(INDEX(Supplier_Lookup!$A$2:$A$25,MATCH(TRIM(Procurement_Raw!E1688),Supplier_Lookup!$A$2:$A$25,0)),TRIM(Procurement_Raw!E1688)))</f>
        <v>RoadReady</v>
      </c>
      <c r="F1688" t="str">
        <f>IFERROR(INDEX(Category_Targets!$A$2:$A$9,MATCH(TRIM(Procurement_Raw!F1688),Category_Targets!$A$2:$A$9,0)),"Unmapped")</f>
        <v>Vehicle &amp; Fuel</v>
      </c>
      <c r="G1688" t="str">
        <f>TRIM(Procurement_Raw!G1688)</f>
        <v>INV-2025-01687</v>
      </c>
      <c r="H1688" s="77">
        <f>Procurement_Raw!H1688</f>
        <v>71</v>
      </c>
      <c r="I1688" s="124">
        <f>Procurement_Raw!I1688</f>
        <v>73.58</v>
      </c>
      <c r="J1688" s="125">
        <f>IF(Procurement_Raw!J1688="","",Procurement_Raw!J1688)</f>
        <v>5223.99</v>
      </c>
      <c r="K1688" s="77">
        <f>Procurement_Raw!K1688</f>
        <v>45</v>
      </c>
      <c r="L1688" t="str">
        <f>Procurement_Raw!L1688</f>
        <v>Legacy Spend File</v>
      </c>
      <c r="M1688" t="str">
        <f>Procurement_Raw!O1688</f>
        <v>N</v>
      </c>
      <c r="N1688" t="str">
        <f>IF(E1688="","Missing supplier",IF(B1688="","Missing site",IF(J1688="","Missing spend",IF(COUNTIFS($G$2:G1688,G1688,$E$2:E1688,E1688,$J$2:J1688,J1688)&gt;1,"Duplicate invoice",IF(COUNTIF($G$2:$G$1801,G1688)&gt;1,"Duplicate ID - review",IF(AND(P1688&lt;&gt;"Unmapped",P1688&lt;&gt;F1688),"Category mismatch","OK"))))))</f>
        <v>OK</v>
      </c>
      <c r="O1688" s="125">
        <f t="shared" si="78"/>
        <v>5223.99</v>
      </c>
      <c r="P1688" t="str">
        <f>IF(E1688="","Unmapped",IFERROR(INDEX(Supplier_Lookup!$B$2:$B$25,MATCH(E1688,Supplier_Lookup!$A$2:$A$25,0)),"Unmapped"))</f>
        <v>Vehicle &amp; Fuel</v>
      </c>
      <c r="Q1688" s="76">
        <f>IFERROR(INDEX(Category_Targets!$B$2:$B$9,MATCH(F1688,Category_Targets!$A$2:$A$9,0)),0)</f>
        <v>0.05</v>
      </c>
      <c r="R1688" s="125">
        <f t="shared" si="79"/>
        <v>261.1995</v>
      </c>
      <c r="S1688" s="78">
        <f t="shared" si="80"/>
        <v>45689</v>
      </c>
      <c r="T1688" t="str">
        <f>IFERROR(VLOOKUP(B1688,Sites!$A$2:$D$21,4,FALSE()),"Unknown")</f>
        <v>Leicester</v>
      </c>
      <c r="U1688" t="str">
        <f>IF(N1688="OK","",COUNTIF($N$2:N1688,"&lt;&gt;OK"))</f>
        <v/>
      </c>
      <c r="V1688">
        <f>IF(OR(NOT(EXACT(E1688,TRIM(Procurement_Raw!E1688))),NOT(EXACT(F1688,TRIM(Procurement_Raw!F1688)))),1,0)</f>
        <v>0</v>
      </c>
    </row>
    <row r="1689" spans="1:22" ht="15" customHeight="1" x14ac:dyDescent="0.25">
      <c r="A1689" s="123">
        <f>Procurement_Raw!A1689</f>
        <v>45808</v>
      </c>
      <c r="B1689" t="str">
        <f>TRIM(Procurement_Raw!B1689)</f>
        <v>S008</v>
      </c>
      <c r="C1689" t="str">
        <f>Procurement_Raw!C1689</f>
        <v>Leicester Care &amp; Education Centre</v>
      </c>
      <c r="D1689" t="str">
        <f>Procurement_Raw!D1689</f>
        <v>Midlands</v>
      </c>
      <c r="E1689" t="str">
        <f>IF(TRIM(Procurement_Raw!E1689)="","",IFERROR(INDEX(Supplier_Lookup!$A$2:$A$25,MATCH(TRIM(Procurement_Raw!E1689),Supplier_Lookup!$A$2:$A$25,0)),TRIM(Procurement_Raw!E1689)))</f>
        <v>NurseLink</v>
      </c>
      <c r="F1689" t="str">
        <f>IFERROR(INDEX(Category_Targets!$A$2:$A$9,MATCH(TRIM(Procurement_Raw!F1689),Category_Targets!$A$2:$A$9,0)),"Unmapped")</f>
        <v>Agency Labour</v>
      </c>
      <c r="G1689" t="str">
        <f>TRIM(Procurement_Raw!G1689)</f>
        <v>INV-2025-01688</v>
      </c>
      <c r="H1689" s="77">
        <f>Procurement_Raw!H1689</f>
        <v>42</v>
      </c>
      <c r="I1689" s="124">
        <f>Procurement_Raw!I1689</f>
        <v>335.1</v>
      </c>
      <c r="J1689" s="125">
        <f>IF(Procurement_Raw!J1689="","",Procurement_Raw!J1689)</f>
        <v>14074.08</v>
      </c>
      <c r="K1689" s="77">
        <f>Procurement_Raw!K1689</f>
        <v>30</v>
      </c>
      <c r="L1689" t="str">
        <f>Procurement_Raw!L1689</f>
        <v>Legacy Spend File</v>
      </c>
      <c r="M1689" t="str">
        <f>Procurement_Raw!O1689</f>
        <v>N</v>
      </c>
      <c r="N1689" t="str">
        <f>IF(E1689="","Missing supplier",IF(B1689="","Missing site",IF(J1689="","Missing spend",IF(COUNTIFS($G$2:G1689,G1689,$E$2:E1689,E1689,$J$2:J1689,J1689)&gt;1,"Duplicate invoice",IF(COUNTIF($G$2:$G$1801,G1689)&gt;1,"Duplicate ID - review",IF(AND(P1689&lt;&gt;"Unmapped",P1689&lt;&gt;F1689),"Category mismatch","OK"))))))</f>
        <v>OK</v>
      </c>
      <c r="O1689" s="125">
        <f t="shared" si="78"/>
        <v>14074.08</v>
      </c>
      <c r="P1689" t="str">
        <f>IF(E1689="","Unmapped",IFERROR(INDEX(Supplier_Lookup!$B$2:$B$25,MATCH(E1689,Supplier_Lookup!$A$2:$A$25,0)),"Unmapped"))</f>
        <v>Agency Labour</v>
      </c>
      <c r="Q1689" s="76">
        <f>IFERROR(INDEX(Category_Targets!$B$2:$B$9,MATCH(F1689,Category_Targets!$A$2:$A$9,0)),0)</f>
        <v>7.0000000000000007E-2</v>
      </c>
      <c r="R1689" s="125">
        <f t="shared" si="79"/>
        <v>985.18560000000014</v>
      </c>
      <c r="S1689" s="78">
        <f t="shared" si="80"/>
        <v>45778</v>
      </c>
      <c r="T1689" t="str">
        <f>IFERROR(VLOOKUP(B1689,Sites!$A$2:$D$21,4,FALSE()),"Unknown")</f>
        <v>Leicester</v>
      </c>
      <c r="U1689" t="str">
        <f>IF(N1689="OK","",COUNTIF($N$2:N1689,"&lt;&gt;OK"))</f>
        <v/>
      </c>
      <c r="V1689">
        <f>IF(OR(NOT(EXACT(E1689,TRIM(Procurement_Raw!E1689))),NOT(EXACT(F1689,TRIM(Procurement_Raw!F1689)))),1,0)</f>
        <v>0</v>
      </c>
    </row>
    <row r="1690" spans="1:22" ht="15" customHeight="1" x14ac:dyDescent="0.25">
      <c r="A1690" s="123">
        <f>Procurement_Raw!A1690</f>
        <v>45801</v>
      </c>
      <c r="B1690" t="str">
        <f>TRIM(Procurement_Raw!B1690)</f>
        <v>S017</v>
      </c>
      <c r="C1690" t="str">
        <f>Procurement_Raw!C1690</f>
        <v>Swansea Care &amp; Education Centre</v>
      </c>
      <c r="D1690" t="str">
        <f>Procurement_Raw!D1690</f>
        <v>Wales</v>
      </c>
      <c r="E1690" t="str">
        <f>IF(TRIM(Procurement_Raw!E1690)="","",IFERROR(INDEX(Supplier_Lookup!$A$2:$A$25,MATCH(TRIM(Procurement_Raw!E1690),Supplier_Lookup!$A$2:$A$25,0)),TRIM(Procurement_Raw!E1690)))</f>
        <v>FleetFuel</v>
      </c>
      <c r="F1690" t="str">
        <f>IFERROR(INDEX(Category_Targets!$A$2:$A$9,MATCH(TRIM(Procurement_Raw!F1690),Category_Targets!$A$2:$A$9,0)),"Unmapped")</f>
        <v>Vehicle &amp; Fuel</v>
      </c>
      <c r="G1690" t="str">
        <f>TRIM(Procurement_Raw!G1690)</f>
        <v>INV-2025-01689</v>
      </c>
      <c r="H1690" s="77">
        <f>Procurement_Raw!H1690</f>
        <v>23</v>
      </c>
      <c r="I1690" s="124">
        <f>Procurement_Raw!I1690</f>
        <v>111.02</v>
      </c>
      <c r="J1690" s="125">
        <f>IF(Procurement_Raw!J1690="","",Procurement_Raw!J1690)</f>
        <v>2553.4</v>
      </c>
      <c r="K1690" s="77">
        <f>Procurement_Raw!K1690</f>
        <v>45</v>
      </c>
      <c r="L1690" t="str">
        <f>Procurement_Raw!L1690</f>
        <v>ERP</v>
      </c>
      <c r="M1690" t="str">
        <f>Procurement_Raw!O1690</f>
        <v>Y</v>
      </c>
      <c r="N1690" t="str">
        <f>IF(E1690="","Missing supplier",IF(B1690="","Missing site",IF(J1690="","Missing spend",IF(COUNTIFS($G$2:G1690,G1690,$E$2:E1690,E1690,$J$2:J1690,J1690)&gt;1,"Duplicate invoice",IF(COUNTIF($G$2:$G$1801,G1690)&gt;1,"Duplicate ID - review",IF(AND(P1690&lt;&gt;"Unmapped",P1690&lt;&gt;F1690),"Category mismatch","OK"))))))</f>
        <v>OK</v>
      </c>
      <c r="O1690" s="125">
        <f t="shared" si="78"/>
        <v>2553.4</v>
      </c>
      <c r="P1690" t="str">
        <f>IF(E1690="","Unmapped",IFERROR(INDEX(Supplier_Lookup!$B$2:$B$25,MATCH(E1690,Supplier_Lookup!$A$2:$A$25,0)),"Unmapped"))</f>
        <v>Vehicle &amp; Fuel</v>
      </c>
      <c r="Q1690" s="76">
        <f>IFERROR(INDEX(Category_Targets!$B$2:$B$9,MATCH(F1690,Category_Targets!$A$2:$A$9,0)),0)</f>
        <v>0.05</v>
      </c>
      <c r="R1690" s="125">
        <f t="shared" si="79"/>
        <v>127.67000000000002</v>
      </c>
      <c r="S1690" s="78">
        <f t="shared" si="80"/>
        <v>45778</v>
      </c>
      <c r="T1690" t="str">
        <f>IFERROR(VLOOKUP(B1690,Sites!$A$2:$D$21,4,FALSE()),"Unknown")</f>
        <v>Swansea</v>
      </c>
      <c r="U1690" t="str">
        <f>IF(N1690="OK","",COUNTIF($N$2:N1690,"&lt;&gt;OK"))</f>
        <v/>
      </c>
      <c r="V1690">
        <f>IF(OR(NOT(EXACT(E1690,TRIM(Procurement_Raw!E1690))),NOT(EXACT(F1690,TRIM(Procurement_Raw!F1690)))),1,0)</f>
        <v>0</v>
      </c>
    </row>
    <row r="1691" spans="1:22" ht="15" customHeight="1" x14ac:dyDescent="0.25">
      <c r="A1691" s="123">
        <f>Procurement_Raw!A1691</f>
        <v>46010</v>
      </c>
      <c r="B1691" t="str">
        <f>TRIM(Procurement_Raw!B1691)</f>
        <v>S003</v>
      </c>
      <c r="C1691" t="str">
        <f>Procurement_Raw!C1691</f>
        <v>Leeds Care &amp; Education Centre</v>
      </c>
      <c r="D1691" t="str">
        <f>Procurement_Raw!D1691</f>
        <v>North</v>
      </c>
      <c r="E1691" t="str">
        <f>IF(TRIM(Procurement_Raw!E1691)="","",IFERROR(INDEX(Supplier_Lookup!$A$2:$A$25,MATCH(TRIM(Procurement_Raw!E1691),Supplier_Lookup!$A$2:$A$25,0)),TRIM(Procurement_Raw!E1691)))</f>
        <v>KitchenPro</v>
      </c>
      <c r="F1691" t="str">
        <f>IFERROR(INDEX(Category_Targets!$A$2:$A$9,MATCH(TRIM(Procurement_Raw!F1691),Category_Targets!$A$2:$A$9,0)),"Unmapped")</f>
        <v>Food &amp; Catering</v>
      </c>
      <c r="G1691" t="str">
        <f>TRIM(Procurement_Raw!G1691)</f>
        <v>INV-2025-01690</v>
      </c>
      <c r="H1691" s="77">
        <f>Procurement_Raw!H1691</f>
        <v>49</v>
      </c>
      <c r="I1691" s="124">
        <f>Procurement_Raw!I1691</f>
        <v>56.37</v>
      </c>
      <c r="J1691" s="125">
        <f>IF(Procurement_Raw!J1691="","",Procurement_Raw!J1691)</f>
        <v>2762.27</v>
      </c>
      <c r="K1691" s="77">
        <f>Procurement_Raw!K1691</f>
        <v>60</v>
      </c>
      <c r="L1691" t="str">
        <f>Procurement_Raw!L1691</f>
        <v>Procurement Portal</v>
      </c>
      <c r="M1691" t="str">
        <f>Procurement_Raw!O1691</f>
        <v>N</v>
      </c>
      <c r="N1691" t="str">
        <f>IF(E1691="","Missing supplier",IF(B1691="","Missing site",IF(J1691="","Missing spend",IF(COUNTIFS($G$2:G1691,G1691,$E$2:E1691,E1691,$J$2:J1691,J1691)&gt;1,"Duplicate invoice",IF(COUNTIF($G$2:$G$1801,G1691)&gt;1,"Duplicate ID - review",IF(AND(P1691&lt;&gt;"Unmapped",P1691&lt;&gt;F1691),"Category mismatch","OK"))))))</f>
        <v>OK</v>
      </c>
      <c r="O1691" s="125">
        <f t="shared" si="78"/>
        <v>2762.27</v>
      </c>
      <c r="P1691" t="str">
        <f>IF(E1691="","Unmapped",IFERROR(INDEX(Supplier_Lookup!$B$2:$B$25,MATCH(E1691,Supplier_Lookup!$A$2:$A$25,0)),"Unmapped"))</f>
        <v>Food &amp; Catering</v>
      </c>
      <c r="Q1691" s="76">
        <f>IFERROR(INDEX(Category_Targets!$B$2:$B$9,MATCH(F1691,Category_Targets!$A$2:$A$9,0)),0)</f>
        <v>0.04</v>
      </c>
      <c r="R1691" s="125">
        <f t="shared" si="79"/>
        <v>110.49080000000001</v>
      </c>
      <c r="S1691" s="78">
        <f t="shared" si="80"/>
        <v>45992</v>
      </c>
      <c r="T1691" t="str">
        <f>IFERROR(VLOOKUP(B1691,Sites!$A$2:$D$21,4,FALSE()),"Unknown")</f>
        <v>Leeds</v>
      </c>
      <c r="U1691" t="str">
        <f>IF(N1691="OK","",COUNTIF($N$2:N1691,"&lt;&gt;OK"))</f>
        <v/>
      </c>
      <c r="V1691">
        <f>IF(OR(NOT(EXACT(E1691,TRIM(Procurement_Raw!E1691))),NOT(EXACT(F1691,TRIM(Procurement_Raw!F1691)))),1,0)</f>
        <v>0</v>
      </c>
    </row>
    <row r="1692" spans="1:22" ht="15" customHeight="1" x14ac:dyDescent="0.25">
      <c r="A1692" s="123">
        <f>Procurement_Raw!A1692</f>
        <v>45770</v>
      </c>
      <c r="B1692" t="str">
        <f>TRIM(Procurement_Raw!B1692)</f>
        <v>S017</v>
      </c>
      <c r="C1692" t="str">
        <f>Procurement_Raw!C1692</f>
        <v>Swansea Care &amp; Education Centre</v>
      </c>
      <c r="D1692" t="str">
        <f>Procurement_Raw!D1692</f>
        <v>Wales</v>
      </c>
      <c r="E1692" t="str">
        <f>IF(TRIM(Procurement_Raw!E1692)="","",IFERROR(INDEX(Supplier_Lookup!$A$2:$A$25,MATCH(TRIM(Procurement_Raw!E1692),Supplier_Lookup!$A$2:$A$25,0)),TRIM(Procurement_Raw!E1692)))</f>
        <v>WaterGrid</v>
      </c>
      <c r="F1692" t="str">
        <f>IFERROR(INDEX(Category_Targets!$A$2:$A$9,MATCH(TRIM(Procurement_Raw!F1692),Category_Targets!$A$2:$A$9,0)),"Unmapped")</f>
        <v>Utilities</v>
      </c>
      <c r="G1692" t="str">
        <f>TRIM(Procurement_Raw!G1692)</f>
        <v>INV-2025-01691</v>
      </c>
      <c r="H1692" s="77">
        <f>Procurement_Raw!H1692</f>
        <v>42</v>
      </c>
      <c r="I1692" s="124">
        <f>Procurement_Raw!I1692</f>
        <v>345.21</v>
      </c>
      <c r="J1692" s="125">
        <f>IF(Procurement_Raw!J1692="","",Procurement_Raw!J1692)</f>
        <v>14498.67</v>
      </c>
      <c r="K1692" s="77">
        <f>Procurement_Raw!K1692</f>
        <v>45</v>
      </c>
      <c r="L1692" t="str">
        <f>Procurement_Raw!L1692</f>
        <v>ERP</v>
      </c>
      <c r="M1692" t="str">
        <f>Procurement_Raw!O1692</f>
        <v>N</v>
      </c>
      <c r="N1692" t="str">
        <f>IF(E1692="","Missing supplier",IF(B1692="","Missing site",IF(J1692="","Missing spend",IF(COUNTIFS($G$2:G1692,G1692,$E$2:E1692,E1692,$J$2:J1692,J1692)&gt;1,"Duplicate invoice",IF(COUNTIF($G$2:$G$1801,G1692)&gt;1,"Duplicate ID - review",IF(AND(P1692&lt;&gt;"Unmapped",P1692&lt;&gt;F1692),"Category mismatch","OK"))))))</f>
        <v>OK</v>
      </c>
      <c r="O1692" s="125">
        <f t="shared" si="78"/>
        <v>14498.67</v>
      </c>
      <c r="P1692" t="str">
        <f>IF(E1692="","Unmapped",IFERROR(INDEX(Supplier_Lookup!$B$2:$B$25,MATCH(E1692,Supplier_Lookup!$A$2:$A$25,0)),"Unmapped"))</f>
        <v>Utilities</v>
      </c>
      <c r="Q1692" s="76">
        <f>IFERROR(INDEX(Category_Targets!$B$2:$B$9,MATCH(F1692,Category_Targets!$A$2:$A$9,0)),0)</f>
        <v>0.03</v>
      </c>
      <c r="R1692" s="125">
        <f t="shared" si="79"/>
        <v>434.96010000000001</v>
      </c>
      <c r="S1692" s="78">
        <f t="shared" si="80"/>
        <v>45748</v>
      </c>
      <c r="T1692" t="str">
        <f>IFERROR(VLOOKUP(B1692,Sites!$A$2:$D$21,4,FALSE()),"Unknown")</f>
        <v>Swansea</v>
      </c>
      <c r="U1692" t="str">
        <f>IF(N1692="OK","",COUNTIF($N$2:N1692,"&lt;&gt;OK"))</f>
        <v/>
      </c>
      <c r="V1692">
        <f>IF(OR(NOT(EXACT(E1692,TRIM(Procurement_Raw!E1692))),NOT(EXACT(F1692,TRIM(Procurement_Raw!F1692)))),1,0)</f>
        <v>0</v>
      </c>
    </row>
    <row r="1693" spans="1:22" ht="15" customHeight="1" x14ac:dyDescent="0.25">
      <c r="A1693" s="123">
        <f>Procurement_Raw!A1693</f>
        <v>45886</v>
      </c>
      <c r="B1693" t="str">
        <f>TRIM(Procurement_Raw!B1693)</f>
        <v>S013</v>
      </c>
      <c r="C1693" t="str">
        <f>Procurement_Raw!C1693</f>
        <v>Reading Care &amp; Education Centre</v>
      </c>
      <c r="D1693" t="str">
        <f>Procurement_Raw!D1693</f>
        <v>South</v>
      </c>
      <c r="E1693" t="str">
        <f>IF(TRIM(Procurement_Raw!E1693)="","",IFERROR(INDEX(Supplier_Lookup!$A$2:$A$25,MATCH(TRIM(Procurement_Raw!E1693),Supplier_Lookup!$A$2:$A$25,0)),TRIM(Procurement_Raw!E1693)))</f>
        <v>HealthStaffing</v>
      </c>
      <c r="F1693" t="str">
        <f>IFERROR(INDEX(Category_Targets!$A$2:$A$9,MATCH(TRIM(Procurement_Raw!F1693),Category_Targets!$A$2:$A$9,0)),"Unmapped")</f>
        <v>Agency Labour</v>
      </c>
      <c r="G1693" t="str">
        <f>TRIM(Procurement_Raw!G1693)</f>
        <v>INV-2025-01692</v>
      </c>
      <c r="H1693" s="77">
        <f>Procurement_Raw!H1693</f>
        <v>30</v>
      </c>
      <c r="I1693" s="124">
        <f>Procurement_Raw!I1693</f>
        <v>231.04</v>
      </c>
      <c r="J1693" s="125">
        <f>IF(Procurement_Raw!J1693="","",Procurement_Raw!J1693)</f>
        <v>6931.16</v>
      </c>
      <c r="K1693" s="77">
        <f>Procurement_Raw!K1693</f>
        <v>60</v>
      </c>
      <c r="L1693" t="str">
        <f>Procurement_Raw!L1693</f>
        <v>Legacy Spend File</v>
      </c>
      <c r="M1693" t="str">
        <f>Procurement_Raw!O1693</f>
        <v>N</v>
      </c>
      <c r="N1693" t="str">
        <f>IF(E1693="","Missing supplier",IF(B1693="","Missing site",IF(J1693="","Missing spend",IF(COUNTIFS($G$2:G1693,G1693,$E$2:E1693,E1693,$J$2:J1693,J1693)&gt;1,"Duplicate invoice",IF(COUNTIF($G$2:$G$1801,G1693)&gt;1,"Duplicate ID - review",IF(AND(P1693&lt;&gt;"Unmapped",P1693&lt;&gt;F1693),"Category mismatch","OK"))))))</f>
        <v>OK</v>
      </c>
      <c r="O1693" s="125">
        <f t="shared" si="78"/>
        <v>6931.16</v>
      </c>
      <c r="P1693" t="str">
        <f>IF(E1693="","Unmapped",IFERROR(INDEX(Supplier_Lookup!$B$2:$B$25,MATCH(E1693,Supplier_Lookup!$A$2:$A$25,0)),"Unmapped"))</f>
        <v>Agency Labour</v>
      </c>
      <c r="Q1693" s="76">
        <f>IFERROR(INDEX(Category_Targets!$B$2:$B$9,MATCH(F1693,Category_Targets!$A$2:$A$9,0)),0)</f>
        <v>7.0000000000000007E-2</v>
      </c>
      <c r="R1693" s="125">
        <f t="shared" si="79"/>
        <v>485.18120000000005</v>
      </c>
      <c r="S1693" s="78">
        <f t="shared" si="80"/>
        <v>45870</v>
      </c>
      <c r="T1693" t="str">
        <f>IFERROR(VLOOKUP(B1693,Sites!$A$2:$D$21,4,FALSE()),"Unknown")</f>
        <v>Reading</v>
      </c>
      <c r="U1693" t="str">
        <f>IF(N1693="OK","",COUNTIF($N$2:N1693,"&lt;&gt;OK"))</f>
        <v/>
      </c>
      <c r="V1693">
        <f>IF(OR(NOT(EXACT(E1693,TRIM(Procurement_Raw!E1693))),NOT(EXACT(F1693,TRIM(Procurement_Raw!F1693)))),1,0)</f>
        <v>0</v>
      </c>
    </row>
    <row r="1694" spans="1:22" ht="15" customHeight="1" x14ac:dyDescent="0.25">
      <c r="A1694" s="123">
        <f>Procurement_Raw!A1694</f>
        <v>45903</v>
      </c>
      <c r="B1694" t="str">
        <f>TRIM(Procurement_Raw!B1694)</f>
        <v>S006</v>
      </c>
      <c r="C1694" t="str">
        <f>Procurement_Raw!C1694</f>
        <v>Birmingham Care &amp; Education Centre</v>
      </c>
      <c r="D1694" t="str">
        <f>Procurement_Raw!D1694</f>
        <v>Midlands</v>
      </c>
      <c r="E1694" t="str">
        <f>IF(TRIM(Procurement_Raw!E1694)="","",IFERROR(INDEX(Supplier_Lookup!$A$2:$A$25,MATCH(TRIM(Procurement_Raw!E1694),Supplier_Lookup!$A$2:$A$25,0)),TRIM(Procurement_Raw!E1694)))</f>
        <v>FleetFuel</v>
      </c>
      <c r="F1694" t="str">
        <f>IFERROR(INDEX(Category_Targets!$A$2:$A$9,MATCH(TRIM(Procurement_Raw!F1694),Category_Targets!$A$2:$A$9,0)),"Unmapped")</f>
        <v>Vehicle &amp; Fuel</v>
      </c>
      <c r="G1694" t="str">
        <f>TRIM(Procurement_Raw!G1694)</f>
        <v>INV-2025-01693</v>
      </c>
      <c r="H1694" s="77">
        <f>Procurement_Raw!H1694</f>
        <v>12</v>
      </c>
      <c r="I1694" s="124">
        <f>Procurement_Raw!I1694</f>
        <v>153.41</v>
      </c>
      <c r="J1694" s="125">
        <f>IF(Procurement_Raw!J1694="","",Procurement_Raw!J1694)</f>
        <v>1840.88</v>
      </c>
      <c r="K1694" s="77">
        <f>Procurement_Raw!K1694</f>
        <v>45</v>
      </c>
      <c r="L1694" t="str">
        <f>Procurement_Raw!L1694</f>
        <v>ERP</v>
      </c>
      <c r="M1694" t="str">
        <f>Procurement_Raw!O1694</f>
        <v>Y</v>
      </c>
      <c r="N1694" t="str">
        <f>IF(E1694="","Missing supplier",IF(B1694="","Missing site",IF(J1694="","Missing spend",IF(COUNTIFS($G$2:G1694,G1694,$E$2:E1694,E1694,$J$2:J1694,J1694)&gt;1,"Duplicate invoice",IF(COUNTIF($G$2:$G$1801,G1694)&gt;1,"Duplicate ID - review",IF(AND(P1694&lt;&gt;"Unmapped",P1694&lt;&gt;F1694),"Category mismatch","OK"))))))</f>
        <v>OK</v>
      </c>
      <c r="O1694" s="125">
        <f t="shared" si="78"/>
        <v>1840.88</v>
      </c>
      <c r="P1694" t="str">
        <f>IF(E1694="","Unmapped",IFERROR(INDEX(Supplier_Lookup!$B$2:$B$25,MATCH(E1694,Supplier_Lookup!$A$2:$A$25,0)),"Unmapped"))</f>
        <v>Vehicle &amp; Fuel</v>
      </c>
      <c r="Q1694" s="76">
        <f>IFERROR(INDEX(Category_Targets!$B$2:$B$9,MATCH(F1694,Category_Targets!$A$2:$A$9,0)),0)</f>
        <v>0.05</v>
      </c>
      <c r="R1694" s="125">
        <f t="shared" si="79"/>
        <v>92.044000000000011</v>
      </c>
      <c r="S1694" s="78">
        <f t="shared" si="80"/>
        <v>45901</v>
      </c>
      <c r="T1694" t="str">
        <f>IFERROR(VLOOKUP(B1694,Sites!$A$2:$D$21,4,FALSE()),"Unknown")</f>
        <v>Birmingham</v>
      </c>
      <c r="U1694" t="str">
        <f>IF(N1694="OK","",COUNTIF($N$2:N1694,"&lt;&gt;OK"))</f>
        <v/>
      </c>
      <c r="V1694">
        <f>IF(OR(NOT(EXACT(E1694,TRIM(Procurement_Raw!E1694))),NOT(EXACT(F1694,TRIM(Procurement_Raw!F1694)))),1,0)</f>
        <v>0</v>
      </c>
    </row>
    <row r="1695" spans="1:22" ht="15" customHeight="1" x14ac:dyDescent="0.25">
      <c r="A1695" s="123">
        <f>Procurement_Raw!A1695</f>
        <v>45754</v>
      </c>
      <c r="B1695" t="str">
        <f>TRIM(Procurement_Raw!B1695)</f>
        <v>S012</v>
      </c>
      <c r="C1695" t="str">
        <f>Procurement_Raw!C1695</f>
        <v>Bristol Care &amp; Education Centre</v>
      </c>
      <c r="D1695" t="str">
        <f>Procurement_Raw!D1695</f>
        <v>South</v>
      </c>
      <c r="E1695" t="str">
        <f>IF(TRIM(Procurement_Raw!E1695)="","",IFERROR(INDEX(Supplier_Lookup!$A$2:$A$25,MATCH(TRIM(Procurement_Raw!E1695),Supplier_Lookup!$A$2:$A$25,0)),TRIM(Procurement_Raw!E1695)))</f>
        <v>CleanWorks</v>
      </c>
      <c r="F1695" t="str">
        <f>IFERROR(INDEX(Category_Targets!$A$2:$A$9,MATCH(TRIM(Procurement_Raw!F1695),Category_Targets!$A$2:$A$9,0)),"Unmapped")</f>
        <v>Facilities</v>
      </c>
      <c r="G1695" t="str">
        <f>TRIM(Procurement_Raw!G1695)</f>
        <v>INV-2025-01694</v>
      </c>
      <c r="H1695" s="77">
        <f>Procurement_Raw!H1695</f>
        <v>73</v>
      </c>
      <c r="I1695" s="124">
        <f>Procurement_Raw!I1695</f>
        <v>85.86</v>
      </c>
      <c r="J1695" s="125">
        <f>IF(Procurement_Raw!J1695="","",Procurement_Raw!J1695)</f>
        <v>6267.47</v>
      </c>
      <c r="K1695" s="77">
        <f>Procurement_Raw!K1695</f>
        <v>45</v>
      </c>
      <c r="L1695" t="str">
        <f>Procurement_Raw!L1695</f>
        <v>Legacy Spend File</v>
      </c>
      <c r="M1695" t="str">
        <f>Procurement_Raw!O1695</f>
        <v>Y</v>
      </c>
      <c r="N1695" t="str">
        <f>IF(E1695="","Missing supplier",IF(B1695="","Missing site",IF(J1695="","Missing spend",IF(COUNTIFS($G$2:G1695,G1695,$E$2:E1695,E1695,$J$2:J1695,J1695)&gt;1,"Duplicate invoice",IF(COUNTIF($G$2:$G$1801,G1695)&gt;1,"Duplicate ID - review",IF(AND(P1695&lt;&gt;"Unmapped",P1695&lt;&gt;F1695),"Category mismatch","OK"))))))</f>
        <v>OK</v>
      </c>
      <c r="O1695" s="125">
        <f t="shared" si="78"/>
        <v>6267.47</v>
      </c>
      <c r="P1695" t="str">
        <f>IF(E1695="","Unmapped",IFERROR(INDEX(Supplier_Lookup!$B$2:$B$25,MATCH(E1695,Supplier_Lookup!$A$2:$A$25,0)),"Unmapped"))</f>
        <v>Facilities</v>
      </c>
      <c r="Q1695" s="76">
        <f>IFERROR(INDEX(Category_Targets!$B$2:$B$9,MATCH(F1695,Category_Targets!$A$2:$A$9,0)),0)</f>
        <v>0.05</v>
      </c>
      <c r="R1695" s="125">
        <f t="shared" si="79"/>
        <v>313.37350000000004</v>
      </c>
      <c r="S1695" s="78">
        <f t="shared" si="80"/>
        <v>45748</v>
      </c>
      <c r="T1695" t="str">
        <f>IFERROR(VLOOKUP(B1695,Sites!$A$2:$D$21,4,FALSE()),"Unknown")</f>
        <v>Bristol</v>
      </c>
      <c r="U1695" t="str">
        <f>IF(N1695="OK","",COUNTIF($N$2:N1695,"&lt;&gt;OK"))</f>
        <v/>
      </c>
      <c r="V1695">
        <f>IF(OR(NOT(EXACT(E1695,TRIM(Procurement_Raw!E1695))),NOT(EXACT(F1695,TRIM(Procurement_Raw!F1695)))),1,0)</f>
        <v>0</v>
      </c>
    </row>
    <row r="1696" spans="1:22" ht="15" customHeight="1" x14ac:dyDescent="0.25">
      <c r="A1696" s="123">
        <f>Procurement_Raw!A1696</f>
        <v>45816</v>
      </c>
      <c r="B1696" t="str">
        <f>TRIM(Procurement_Raw!B1696)</f>
        <v>S014</v>
      </c>
      <c r="C1696" t="str">
        <f>Procurement_Raw!C1696</f>
        <v>Southampton Care &amp; Education Centre</v>
      </c>
      <c r="D1696" t="str">
        <f>Procurement_Raw!D1696</f>
        <v>South</v>
      </c>
      <c r="E1696" t="str">
        <f>IF(TRIM(Procurement_Raw!E1696)="","",IFERROR(INDEX(Supplier_Lookup!$A$2:$A$25,MATCH(TRIM(Procurement_Raw!E1696),Supplier_Lookup!$A$2:$A$25,0)),TRIM(Procurement_Raw!E1696)))</f>
        <v>CloudLink</v>
      </c>
      <c r="F1696" t="str">
        <f>IFERROR(INDEX(Category_Targets!$A$2:$A$9,MATCH(TRIM(Procurement_Raw!F1696),Category_Targets!$A$2:$A$9,0)),"Unmapped")</f>
        <v>IT &amp; Telecoms</v>
      </c>
      <c r="G1696" t="str">
        <f>TRIM(Procurement_Raw!G1696)</f>
        <v>INV-2025-01695</v>
      </c>
      <c r="H1696" s="77">
        <f>Procurement_Raw!H1696</f>
        <v>21</v>
      </c>
      <c r="I1696" s="124">
        <f>Procurement_Raw!I1696</f>
        <v>235.84</v>
      </c>
      <c r="J1696" s="125">
        <f>IF(Procurement_Raw!J1696="","",Procurement_Raw!J1696)</f>
        <v>4952.55</v>
      </c>
      <c r="K1696" s="77">
        <f>Procurement_Raw!K1696</f>
        <v>30</v>
      </c>
      <c r="L1696" t="str">
        <f>Procurement_Raw!L1696</f>
        <v>Procurement Portal</v>
      </c>
      <c r="M1696" t="str">
        <f>Procurement_Raw!O1696</f>
        <v>Y</v>
      </c>
      <c r="N1696" t="str">
        <f>IF(E1696="","Missing supplier",IF(B1696="","Missing site",IF(J1696="","Missing spend",IF(COUNTIFS($G$2:G1696,G1696,$E$2:E1696,E1696,$J$2:J1696,J1696)&gt;1,"Duplicate invoice",IF(COUNTIF($G$2:$G$1801,G1696)&gt;1,"Duplicate ID - review",IF(AND(P1696&lt;&gt;"Unmapped",P1696&lt;&gt;F1696),"Category mismatch","OK"))))))</f>
        <v>OK</v>
      </c>
      <c r="O1696" s="125">
        <f t="shared" si="78"/>
        <v>4952.55</v>
      </c>
      <c r="P1696" t="str">
        <f>IF(E1696="","Unmapped",IFERROR(INDEX(Supplier_Lookup!$B$2:$B$25,MATCH(E1696,Supplier_Lookup!$A$2:$A$25,0)),"Unmapped"))</f>
        <v>IT &amp; Telecoms</v>
      </c>
      <c r="Q1696" s="76">
        <f>IFERROR(INDEX(Category_Targets!$B$2:$B$9,MATCH(F1696,Category_Targets!$A$2:$A$9,0)),0)</f>
        <v>0.08</v>
      </c>
      <c r="R1696" s="125">
        <f t="shared" si="79"/>
        <v>396.20400000000001</v>
      </c>
      <c r="S1696" s="78">
        <f t="shared" si="80"/>
        <v>45809</v>
      </c>
      <c r="T1696" t="str">
        <f>IFERROR(VLOOKUP(B1696,Sites!$A$2:$D$21,4,FALSE()),"Unknown")</f>
        <v>Southampton</v>
      </c>
      <c r="U1696" t="str">
        <f>IF(N1696="OK","",COUNTIF($N$2:N1696,"&lt;&gt;OK"))</f>
        <v/>
      </c>
      <c r="V1696">
        <f>IF(OR(NOT(EXACT(E1696,TRIM(Procurement_Raw!E1696))),NOT(EXACT(F1696,TRIM(Procurement_Raw!F1696)))),1,0)</f>
        <v>0</v>
      </c>
    </row>
    <row r="1697" spans="1:22" ht="15" customHeight="1" x14ac:dyDescent="0.25">
      <c r="A1697" s="123">
        <f>Procurement_Raw!A1697</f>
        <v>45731</v>
      </c>
      <c r="B1697" t="str">
        <f>TRIM(Procurement_Raw!B1697)</f>
        <v>S016</v>
      </c>
      <c r="C1697" t="str">
        <f>Procurement_Raw!C1697</f>
        <v>Cardiff Care &amp; Education Centre</v>
      </c>
      <c r="D1697" t="str">
        <f>Procurement_Raw!D1697</f>
        <v>Wales</v>
      </c>
      <c r="E1697" t="str">
        <f>IF(TRIM(Procurement_Raw!E1697)="","",IFERROR(INDEX(Supplier_Lookup!$A$2:$A$25,MATCH(TRIM(Procurement_Raw!E1697),Supplier_Lookup!$A$2:$A$25,0)),TRIM(Procurement_Raw!E1697)))</f>
        <v>UK Energy Partners</v>
      </c>
      <c r="F1697" t="str">
        <f>IFERROR(INDEX(Category_Targets!$A$2:$A$9,MATCH(TRIM(Procurement_Raw!F1697),Category_Targets!$A$2:$A$9,0)),"Unmapped")</f>
        <v>Utilities</v>
      </c>
      <c r="G1697" t="str">
        <f>TRIM(Procurement_Raw!G1697)</f>
        <v>INV-2025-01696</v>
      </c>
      <c r="H1697" s="77">
        <f>Procurement_Raw!H1697</f>
        <v>10</v>
      </c>
      <c r="I1697" s="124">
        <f>Procurement_Raw!I1697</f>
        <v>726.23</v>
      </c>
      <c r="J1697" s="125">
        <f>IF(Procurement_Raw!J1697="","",Procurement_Raw!J1697)</f>
        <v>7262.34</v>
      </c>
      <c r="K1697" s="77">
        <f>Procurement_Raw!K1697</f>
        <v>45</v>
      </c>
      <c r="L1697" t="str">
        <f>Procurement_Raw!L1697</f>
        <v>ERP</v>
      </c>
      <c r="M1697" t="str">
        <f>Procurement_Raw!O1697</f>
        <v>N</v>
      </c>
      <c r="N1697" t="str">
        <f>IF(E1697="","Missing supplier",IF(B1697="","Missing site",IF(J1697="","Missing spend",IF(COUNTIFS($G$2:G1697,G1697,$E$2:E1697,E1697,$J$2:J1697,J1697)&gt;1,"Duplicate invoice",IF(COUNTIF($G$2:$G$1801,G1697)&gt;1,"Duplicate ID - review",IF(AND(P1697&lt;&gt;"Unmapped",P1697&lt;&gt;F1697),"Category mismatch","OK"))))))</f>
        <v>OK</v>
      </c>
      <c r="O1697" s="125">
        <f t="shared" si="78"/>
        <v>7262.34</v>
      </c>
      <c r="P1697" t="str">
        <f>IF(E1697="","Unmapped",IFERROR(INDEX(Supplier_Lookup!$B$2:$B$25,MATCH(E1697,Supplier_Lookup!$A$2:$A$25,0)),"Unmapped"))</f>
        <v>Utilities</v>
      </c>
      <c r="Q1697" s="76">
        <f>IFERROR(INDEX(Category_Targets!$B$2:$B$9,MATCH(F1697,Category_Targets!$A$2:$A$9,0)),0)</f>
        <v>0.03</v>
      </c>
      <c r="R1697" s="125">
        <f t="shared" si="79"/>
        <v>217.87019999999998</v>
      </c>
      <c r="S1697" s="78">
        <f t="shared" si="80"/>
        <v>45717</v>
      </c>
      <c r="T1697" t="str">
        <f>IFERROR(VLOOKUP(B1697,Sites!$A$2:$D$21,4,FALSE()),"Unknown")</f>
        <v>Cardiff</v>
      </c>
      <c r="U1697" t="str">
        <f>IF(N1697="OK","",COUNTIF($N$2:N1697,"&lt;&gt;OK"))</f>
        <v/>
      </c>
      <c r="V1697">
        <f>IF(OR(NOT(EXACT(E1697,TRIM(Procurement_Raw!E1697))),NOT(EXACT(F1697,TRIM(Procurement_Raw!F1697)))),1,0)</f>
        <v>0</v>
      </c>
    </row>
    <row r="1698" spans="1:22" ht="15" customHeight="1" x14ac:dyDescent="0.25">
      <c r="A1698" s="123">
        <f>Procurement_Raw!A1698</f>
        <v>45927</v>
      </c>
      <c r="B1698" t="str">
        <f>TRIM(Procurement_Raw!B1698)</f>
        <v>S015</v>
      </c>
      <c r="C1698" t="str">
        <f>Procurement_Raw!C1698</f>
        <v>Brighton Care &amp; Education Centre</v>
      </c>
      <c r="D1698" t="str">
        <f>Procurement_Raw!D1698</f>
        <v>South</v>
      </c>
      <c r="E1698" t="str">
        <f>IF(TRIM(Procurement_Raw!E1698)="","",IFERROR(INDEX(Supplier_Lookup!$A$2:$A$25,MATCH(TRIM(Procurement_Raw!E1698),Supplier_Lookup!$A$2:$A$25,0)),TRIM(Procurement_Raw!E1698)))</f>
        <v>HealthStaffing</v>
      </c>
      <c r="F1698" t="str">
        <f>IFERROR(INDEX(Category_Targets!$A$2:$A$9,MATCH(TRIM(Procurement_Raw!F1698),Category_Targets!$A$2:$A$9,0)),"Unmapped")</f>
        <v>Agency Labour</v>
      </c>
      <c r="G1698" t="str">
        <f>TRIM(Procurement_Raw!G1698)</f>
        <v>INV-2025-01697</v>
      </c>
      <c r="H1698" s="77">
        <f>Procurement_Raw!H1698</f>
        <v>18</v>
      </c>
      <c r="I1698" s="124">
        <f>Procurement_Raw!I1698</f>
        <v>173.05</v>
      </c>
      <c r="J1698" s="125">
        <f>IF(Procurement_Raw!J1698="","",Procurement_Raw!J1698)</f>
        <v>3114.96</v>
      </c>
      <c r="K1698" s="77">
        <f>Procurement_Raw!K1698</f>
        <v>60</v>
      </c>
      <c r="L1698" t="str">
        <f>Procurement_Raw!L1698</f>
        <v>ERP</v>
      </c>
      <c r="M1698" t="str">
        <f>Procurement_Raw!O1698</f>
        <v>N</v>
      </c>
      <c r="N1698" t="str">
        <f>IF(E1698="","Missing supplier",IF(B1698="","Missing site",IF(J1698="","Missing spend",IF(COUNTIFS($G$2:G1698,G1698,$E$2:E1698,E1698,$J$2:J1698,J1698)&gt;1,"Duplicate invoice",IF(COUNTIF($G$2:$G$1801,G1698)&gt;1,"Duplicate ID - review",IF(AND(P1698&lt;&gt;"Unmapped",P1698&lt;&gt;F1698),"Category mismatch","OK"))))))</f>
        <v>OK</v>
      </c>
      <c r="O1698" s="125">
        <f t="shared" si="78"/>
        <v>3114.96</v>
      </c>
      <c r="P1698" t="str">
        <f>IF(E1698="","Unmapped",IFERROR(INDEX(Supplier_Lookup!$B$2:$B$25,MATCH(E1698,Supplier_Lookup!$A$2:$A$25,0)),"Unmapped"))</f>
        <v>Agency Labour</v>
      </c>
      <c r="Q1698" s="76">
        <f>IFERROR(INDEX(Category_Targets!$B$2:$B$9,MATCH(F1698,Category_Targets!$A$2:$A$9,0)),0)</f>
        <v>7.0000000000000007E-2</v>
      </c>
      <c r="R1698" s="125">
        <f t="shared" si="79"/>
        <v>218.04720000000003</v>
      </c>
      <c r="S1698" s="78">
        <f t="shared" si="80"/>
        <v>45901</v>
      </c>
      <c r="T1698" t="str">
        <f>IFERROR(VLOOKUP(B1698,Sites!$A$2:$D$21,4,FALSE()),"Unknown")</f>
        <v>Brighton</v>
      </c>
      <c r="U1698" t="str">
        <f>IF(N1698="OK","",COUNTIF($N$2:N1698,"&lt;&gt;OK"))</f>
        <v/>
      </c>
      <c r="V1698">
        <f>IF(OR(NOT(EXACT(E1698,TRIM(Procurement_Raw!E1698))),NOT(EXACT(F1698,TRIM(Procurement_Raw!F1698)))),1,0)</f>
        <v>0</v>
      </c>
    </row>
    <row r="1699" spans="1:22" ht="15" customHeight="1" x14ac:dyDescent="0.25">
      <c r="A1699" s="123">
        <f>Procurement_Raw!A1699</f>
        <v>45854</v>
      </c>
      <c r="B1699" t="str">
        <f>TRIM(Procurement_Raw!B1699)</f>
        <v>S004</v>
      </c>
      <c r="C1699" t="str">
        <f>Procurement_Raw!C1699</f>
        <v>Newcastle Care &amp; Education Centre</v>
      </c>
      <c r="D1699" t="str">
        <f>Procurement_Raw!D1699</f>
        <v>North</v>
      </c>
      <c r="E1699" t="str">
        <f>IF(TRIM(Procurement_Raw!E1699)="","",IFERROR(INDEX(Supplier_Lookup!$A$2:$A$25,MATCH(TRIM(Procurement_Raw!E1699),Supplier_Lookup!$A$2:$A$25,0)),TRIM(Procurement_Raw!E1699)))</f>
        <v>NourishCo</v>
      </c>
      <c r="F1699" t="str">
        <f>IFERROR(INDEX(Category_Targets!$A$2:$A$9,MATCH(TRIM(Procurement_Raw!F1699),Category_Targets!$A$2:$A$9,0)),"Unmapped")</f>
        <v>Food &amp; Catering</v>
      </c>
      <c r="G1699" t="str">
        <f>TRIM(Procurement_Raw!G1699)</f>
        <v>INV-2025-01698</v>
      </c>
      <c r="H1699" s="77">
        <f>Procurement_Raw!H1699</f>
        <v>3</v>
      </c>
      <c r="I1699" s="124">
        <f>Procurement_Raw!I1699</f>
        <v>44.77</v>
      </c>
      <c r="J1699" s="125">
        <f>IF(Procurement_Raw!J1699="","",Procurement_Raw!J1699)</f>
        <v>134.32</v>
      </c>
      <c r="K1699" s="77">
        <f>Procurement_Raw!K1699</f>
        <v>30</v>
      </c>
      <c r="L1699" t="str">
        <f>Procurement_Raw!L1699</f>
        <v>ERP</v>
      </c>
      <c r="M1699" t="str">
        <f>Procurement_Raw!O1699</f>
        <v>N</v>
      </c>
      <c r="N1699" t="str">
        <f>IF(E1699="","Missing supplier",IF(B1699="","Missing site",IF(J1699="","Missing spend",IF(COUNTIFS($G$2:G1699,G1699,$E$2:E1699,E1699,$J$2:J1699,J1699)&gt;1,"Duplicate invoice",IF(COUNTIF($G$2:$G$1801,G1699)&gt;1,"Duplicate ID - review",IF(AND(P1699&lt;&gt;"Unmapped",P1699&lt;&gt;F1699),"Category mismatch","OK"))))))</f>
        <v>OK</v>
      </c>
      <c r="O1699" s="125">
        <f t="shared" si="78"/>
        <v>134.32</v>
      </c>
      <c r="P1699" t="str">
        <f>IF(E1699="","Unmapped",IFERROR(INDEX(Supplier_Lookup!$B$2:$B$25,MATCH(E1699,Supplier_Lookup!$A$2:$A$25,0)),"Unmapped"))</f>
        <v>Food &amp; Catering</v>
      </c>
      <c r="Q1699" s="76">
        <f>IFERROR(INDEX(Category_Targets!$B$2:$B$9,MATCH(F1699,Category_Targets!$A$2:$A$9,0)),0)</f>
        <v>0.04</v>
      </c>
      <c r="R1699" s="125">
        <f t="shared" si="79"/>
        <v>5.3727999999999998</v>
      </c>
      <c r="S1699" s="78">
        <f t="shared" si="80"/>
        <v>45839</v>
      </c>
      <c r="T1699" t="str">
        <f>IFERROR(VLOOKUP(B1699,Sites!$A$2:$D$21,4,FALSE()),"Unknown")</f>
        <v>Newcastle</v>
      </c>
      <c r="U1699" t="str">
        <f>IF(N1699="OK","",COUNTIF($N$2:N1699,"&lt;&gt;OK"))</f>
        <v/>
      </c>
      <c r="V1699">
        <f>IF(OR(NOT(EXACT(E1699,TRIM(Procurement_Raw!E1699))),NOT(EXACT(F1699,TRIM(Procurement_Raw!F1699)))),1,0)</f>
        <v>0</v>
      </c>
    </row>
    <row r="1700" spans="1:22" ht="15" customHeight="1" x14ac:dyDescent="0.25">
      <c r="A1700" s="123">
        <f>Procurement_Raw!A1700</f>
        <v>45785</v>
      </c>
      <c r="B1700" t="str">
        <f>TRIM(Procurement_Raw!B1700)</f>
        <v>S016</v>
      </c>
      <c r="C1700" t="str">
        <f>Procurement_Raw!C1700</f>
        <v>Cardiff Care &amp; Education Centre</v>
      </c>
      <c r="D1700" t="str">
        <f>Procurement_Raw!D1700</f>
        <v>Wales</v>
      </c>
      <c r="E1700" t="str">
        <f>IF(TRIM(Procurement_Raw!E1700)="","",IFERROR(INDEX(Supplier_Lookup!$A$2:$A$25,MATCH(TRIM(Procurement_Raw!E1700),Supplier_Lookup!$A$2:$A$25,0)),TRIM(Procurement_Raw!E1700)))</f>
        <v>MediSure</v>
      </c>
      <c r="F1700" t="str">
        <f>IFERROR(INDEX(Category_Targets!$A$2:$A$9,MATCH(TRIM(Procurement_Raw!F1700),Category_Targets!$A$2:$A$9,0)),"Unmapped")</f>
        <v>Medical Supplies</v>
      </c>
      <c r="G1700" t="str">
        <f>TRIM(Procurement_Raw!G1700)</f>
        <v>INV-2025-01699</v>
      </c>
      <c r="H1700" s="77">
        <f>Procurement_Raw!H1700</f>
        <v>11</v>
      </c>
      <c r="I1700" s="124">
        <f>Procurement_Raw!I1700</f>
        <v>159.19999999999999</v>
      </c>
      <c r="J1700" s="125">
        <f>IF(Procurement_Raw!J1700="","",Procurement_Raw!J1700)</f>
        <v>1751.16</v>
      </c>
      <c r="K1700" s="77">
        <f>Procurement_Raw!K1700</f>
        <v>45</v>
      </c>
      <c r="L1700" t="str">
        <f>Procurement_Raw!L1700</f>
        <v>ERP</v>
      </c>
      <c r="M1700" t="str">
        <f>Procurement_Raw!O1700</f>
        <v>Y</v>
      </c>
      <c r="N1700" t="str">
        <f>IF(E1700="","Missing supplier",IF(B1700="","Missing site",IF(J1700="","Missing spend",IF(COUNTIFS($G$2:G1700,G1700,$E$2:E1700,E1700,$J$2:J1700,J1700)&gt;1,"Duplicate invoice",IF(COUNTIF($G$2:$G$1801,G1700)&gt;1,"Duplicate ID - review",IF(AND(P1700&lt;&gt;"Unmapped",P1700&lt;&gt;F1700),"Category mismatch","OK"))))))</f>
        <v>OK</v>
      </c>
      <c r="O1700" s="125">
        <f t="shared" si="78"/>
        <v>1751.16</v>
      </c>
      <c r="P1700" t="str">
        <f>IF(E1700="","Unmapped",IFERROR(INDEX(Supplier_Lookup!$B$2:$B$25,MATCH(E1700,Supplier_Lookup!$A$2:$A$25,0)),"Unmapped"))</f>
        <v>Medical Supplies</v>
      </c>
      <c r="Q1700" s="76">
        <f>IFERROR(INDEX(Category_Targets!$B$2:$B$9,MATCH(F1700,Category_Targets!$A$2:$A$9,0)),0)</f>
        <v>0.06</v>
      </c>
      <c r="R1700" s="125">
        <f t="shared" si="79"/>
        <v>105.06959999999999</v>
      </c>
      <c r="S1700" s="78">
        <f t="shared" si="80"/>
        <v>45778</v>
      </c>
      <c r="T1700" t="str">
        <f>IFERROR(VLOOKUP(B1700,Sites!$A$2:$D$21,4,FALSE()),"Unknown")</f>
        <v>Cardiff</v>
      </c>
      <c r="U1700" t="str">
        <f>IF(N1700="OK","",COUNTIF($N$2:N1700,"&lt;&gt;OK"))</f>
        <v/>
      </c>
      <c r="V1700">
        <f>IF(OR(NOT(EXACT(E1700,TRIM(Procurement_Raw!E1700))),NOT(EXACT(F1700,TRIM(Procurement_Raw!F1700)))),1,0)</f>
        <v>0</v>
      </c>
    </row>
    <row r="1701" spans="1:22" ht="15" customHeight="1" x14ac:dyDescent="0.25">
      <c r="A1701" s="123">
        <f>Procurement_Raw!A1701</f>
        <v>45712</v>
      </c>
      <c r="B1701" t="str">
        <f>TRIM(Procurement_Raw!B1701)</f>
        <v>S012</v>
      </c>
      <c r="C1701" t="str">
        <f>Procurement_Raw!C1701</f>
        <v>Bristol Care &amp; Education Centre</v>
      </c>
      <c r="D1701" t="str">
        <f>Procurement_Raw!D1701</f>
        <v>South</v>
      </c>
      <c r="E1701" t="str">
        <f>IF(TRIM(Procurement_Raw!E1701)="","",IFERROR(INDEX(Supplier_Lookup!$A$2:$A$25,MATCH(TRIM(Procurement_Raw!E1701),Supplier_Lookup!$A$2:$A$25,0)),TRIM(Procurement_Raw!E1701)))</f>
        <v>MediSure</v>
      </c>
      <c r="F1701" t="str">
        <f>IFERROR(INDEX(Category_Targets!$A$2:$A$9,MATCH(TRIM(Procurement_Raw!F1701),Category_Targets!$A$2:$A$9,0)),"Unmapped")</f>
        <v>Medical Supplies</v>
      </c>
      <c r="G1701" t="str">
        <f>TRIM(Procurement_Raw!G1701)</f>
        <v>INV-2025-01700</v>
      </c>
      <c r="H1701" s="77">
        <f>Procurement_Raw!H1701</f>
        <v>70</v>
      </c>
      <c r="I1701" s="124">
        <f>Procurement_Raw!I1701</f>
        <v>132.46</v>
      </c>
      <c r="J1701" s="125">
        <f>IF(Procurement_Raw!J1701="","",Procurement_Raw!J1701)</f>
        <v>9272.02</v>
      </c>
      <c r="K1701" s="77">
        <f>Procurement_Raw!K1701</f>
        <v>60</v>
      </c>
      <c r="L1701" t="str">
        <f>Procurement_Raw!L1701</f>
        <v>Procurement Portal</v>
      </c>
      <c r="M1701" t="str">
        <f>Procurement_Raw!O1701</f>
        <v>Y</v>
      </c>
      <c r="N1701" t="str">
        <f>IF(E1701="","Missing supplier",IF(B1701="","Missing site",IF(J1701="","Missing spend",IF(COUNTIFS($G$2:G1701,G1701,$E$2:E1701,E1701,$J$2:J1701,J1701)&gt;1,"Duplicate invoice",IF(COUNTIF($G$2:$G$1801,G1701)&gt;1,"Duplicate ID - review",IF(AND(P1701&lt;&gt;"Unmapped",P1701&lt;&gt;F1701),"Category mismatch","OK"))))))</f>
        <v>OK</v>
      </c>
      <c r="O1701" s="125">
        <f t="shared" si="78"/>
        <v>9272.02</v>
      </c>
      <c r="P1701" t="str">
        <f>IF(E1701="","Unmapped",IFERROR(INDEX(Supplier_Lookup!$B$2:$B$25,MATCH(E1701,Supplier_Lookup!$A$2:$A$25,0)),"Unmapped"))</f>
        <v>Medical Supplies</v>
      </c>
      <c r="Q1701" s="76">
        <f>IFERROR(INDEX(Category_Targets!$B$2:$B$9,MATCH(F1701,Category_Targets!$A$2:$A$9,0)),0)</f>
        <v>0.06</v>
      </c>
      <c r="R1701" s="125">
        <f t="shared" si="79"/>
        <v>556.32119999999998</v>
      </c>
      <c r="S1701" s="78">
        <f t="shared" si="80"/>
        <v>45689</v>
      </c>
      <c r="T1701" t="str">
        <f>IFERROR(VLOOKUP(B1701,Sites!$A$2:$D$21,4,FALSE()),"Unknown")</f>
        <v>Bristol</v>
      </c>
      <c r="U1701" t="str">
        <f>IF(N1701="OK","",COUNTIF($N$2:N1701,"&lt;&gt;OK"))</f>
        <v/>
      </c>
      <c r="V1701">
        <f>IF(OR(NOT(EXACT(E1701,TRIM(Procurement_Raw!E1701))),NOT(EXACT(F1701,TRIM(Procurement_Raw!F1701)))),1,0)</f>
        <v>0</v>
      </c>
    </row>
    <row r="1702" spans="1:22" ht="15" customHeight="1" x14ac:dyDescent="0.25">
      <c r="A1702" s="123">
        <f>Procurement_Raw!A1702</f>
        <v>45729</v>
      </c>
      <c r="B1702" t="str">
        <f>TRIM(Procurement_Raw!B1702)</f>
        <v>S003</v>
      </c>
      <c r="C1702" t="str">
        <f>Procurement_Raw!C1702</f>
        <v>Leeds Care &amp; Education Centre</v>
      </c>
      <c r="D1702" t="str">
        <f>Procurement_Raw!D1702</f>
        <v>North</v>
      </c>
      <c r="E1702" t="str">
        <f>IF(TRIM(Procurement_Raw!E1702)="","",IFERROR(INDEX(Supplier_Lookup!$A$2:$A$25,MATCH(TRIM(Procurement_Raw!E1702),Supplier_Lookup!$A$2:$A$25,0)),TRIM(Procurement_Raw!E1702)))</f>
        <v>FreshServe</v>
      </c>
      <c r="F1702" t="str">
        <f>IFERROR(INDEX(Category_Targets!$A$2:$A$9,MATCH(TRIM(Procurement_Raw!F1702),Category_Targets!$A$2:$A$9,0)),"Unmapped")</f>
        <v>Food &amp; Catering</v>
      </c>
      <c r="G1702" t="str">
        <f>TRIM(Procurement_Raw!G1702)</f>
        <v>INV-2025-01701</v>
      </c>
      <c r="H1702" s="77">
        <f>Procurement_Raw!H1702</f>
        <v>62</v>
      </c>
      <c r="I1702" s="124">
        <f>Procurement_Raw!I1702</f>
        <v>78.83</v>
      </c>
      <c r="J1702" s="125">
        <f>IF(Procurement_Raw!J1702="","",Procurement_Raw!J1702)</f>
        <v>4887.17</v>
      </c>
      <c r="K1702" s="77">
        <f>Procurement_Raw!K1702</f>
        <v>60</v>
      </c>
      <c r="L1702" t="str">
        <f>Procurement_Raw!L1702</f>
        <v>Procurement Portal</v>
      </c>
      <c r="M1702" t="str">
        <f>Procurement_Raw!O1702</f>
        <v>Y</v>
      </c>
      <c r="N1702" t="str">
        <f>IF(E1702="","Missing supplier",IF(B1702="","Missing site",IF(J1702="","Missing spend",IF(COUNTIFS($G$2:G1702,G1702,$E$2:E1702,E1702,$J$2:J1702,J1702)&gt;1,"Duplicate invoice",IF(COUNTIF($G$2:$G$1801,G1702)&gt;1,"Duplicate ID - review",IF(AND(P1702&lt;&gt;"Unmapped",P1702&lt;&gt;F1702),"Category mismatch","OK"))))))</f>
        <v>OK</v>
      </c>
      <c r="O1702" s="125">
        <f t="shared" si="78"/>
        <v>4887.17</v>
      </c>
      <c r="P1702" t="str">
        <f>IF(E1702="","Unmapped",IFERROR(INDEX(Supplier_Lookup!$B$2:$B$25,MATCH(E1702,Supplier_Lookup!$A$2:$A$25,0)),"Unmapped"))</f>
        <v>Food &amp; Catering</v>
      </c>
      <c r="Q1702" s="76">
        <f>IFERROR(INDEX(Category_Targets!$B$2:$B$9,MATCH(F1702,Category_Targets!$A$2:$A$9,0)),0)</f>
        <v>0.04</v>
      </c>
      <c r="R1702" s="125">
        <f t="shared" si="79"/>
        <v>195.48680000000002</v>
      </c>
      <c r="S1702" s="78">
        <f t="shared" si="80"/>
        <v>45717</v>
      </c>
      <c r="T1702" t="str">
        <f>IFERROR(VLOOKUP(B1702,Sites!$A$2:$D$21,4,FALSE()),"Unknown")</f>
        <v>Leeds</v>
      </c>
      <c r="U1702" t="str">
        <f>IF(N1702="OK","",COUNTIF($N$2:N1702,"&lt;&gt;OK"))</f>
        <v/>
      </c>
      <c r="V1702">
        <f>IF(OR(NOT(EXACT(E1702,TRIM(Procurement_Raw!E1702))),NOT(EXACT(F1702,TRIM(Procurement_Raw!F1702)))),1,0)</f>
        <v>0</v>
      </c>
    </row>
    <row r="1703" spans="1:22" ht="15" customHeight="1" x14ac:dyDescent="0.25">
      <c r="A1703" s="123">
        <f>Procurement_Raw!A1703</f>
        <v>45903</v>
      </c>
      <c r="B1703" t="str">
        <f>TRIM(Procurement_Raw!B1703)</f>
        <v>S004</v>
      </c>
      <c r="C1703" t="str">
        <f>Procurement_Raw!C1703</f>
        <v>Newcastle Care &amp; Education Centre</v>
      </c>
      <c r="D1703" t="str">
        <f>Procurement_Raw!D1703</f>
        <v>North</v>
      </c>
      <c r="E1703" t="str">
        <f>IF(TRIM(Procurement_Raw!E1703)="","",IFERROR(INDEX(Supplier_Lookup!$A$2:$A$25,MATCH(TRIM(Procurement_Raw!E1703),Supplier_Lookup!$A$2:$A$25,0)),TRIM(Procurement_Raw!E1703)))</f>
        <v>TeleCare IT</v>
      </c>
      <c r="F1703" t="str">
        <f>IFERROR(INDEX(Category_Targets!$A$2:$A$9,MATCH(TRIM(Procurement_Raw!F1703),Category_Targets!$A$2:$A$9,0)),"Unmapped")</f>
        <v>IT &amp; Telecoms</v>
      </c>
      <c r="G1703" t="str">
        <f>TRIM(Procurement_Raw!G1703)</f>
        <v>INV-2025-01702</v>
      </c>
      <c r="H1703" s="77">
        <f>Procurement_Raw!H1703</f>
        <v>20</v>
      </c>
      <c r="I1703" s="124">
        <f>Procurement_Raw!I1703</f>
        <v>287.92</v>
      </c>
      <c r="J1703" s="125">
        <f>IF(Procurement_Raw!J1703="","",Procurement_Raw!J1703)</f>
        <v>5758.39</v>
      </c>
      <c r="K1703" s="77">
        <f>Procurement_Raw!K1703</f>
        <v>30</v>
      </c>
      <c r="L1703" t="str">
        <f>Procurement_Raw!L1703</f>
        <v>ERP</v>
      </c>
      <c r="M1703" t="str">
        <f>Procurement_Raw!O1703</f>
        <v>N</v>
      </c>
      <c r="N1703" t="str">
        <f>IF(E1703="","Missing supplier",IF(B1703="","Missing site",IF(J1703="","Missing spend",IF(COUNTIFS($G$2:G1703,G1703,$E$2:E1703,E1703,$J$2:J1703,J1703)&gt;1,"Duplicate invoice",IF(COUNTIF($G$2:$G$1801,G1703)&gt;1,"Duplicate ID - review",IF(AND(P1703&lt;&gt;"Unmapped",P1703&lt;&gt;F1703),"Category mismatch","OK"))))))</f>
        <v>OK</v>
      </c>
      <c r="O1703" s="125">
        <f t="shared" si="78"/>
        <v>5758.39</v>
      </c>
      <c r="P1703" t="str">
        <f>IF(E1703="","Unmapped",IFERROR(INDEX(Supplier_Lookup!$B$2:$B$25,MATCH(E1703,Supplier_Lookup!$A$2:$A$25,0)),"Unmapped"))</f>
        <v>IT &amp; Telecoms</v>
      </c>
      <c r="Q1703" s="76">
        <f>IFERROR(INDEX(Category_Targets!$B$2:$B$9,MATCH(F1703,Category_Targets!$A$2:$A$9,0)),0)</f>
        <v>0.08</v>
      </c>
      <c r="R1703" s="125">
        <f t="shared" si="79"/>
        <v>460.67120000000006</v>
      </c>
      <c r="S1703" s="78">
        <f t="shared" si="80"/>
        <v>45901</v>
      </c>
      <c r="T1703" t="str">
        <f>IFERROR(VLOOKUP(B1703,Sites!$A$2:$D$21,4,FALSE()),"Unknown")</f>
        <v>Newcastle</v>
      </c>
      <c r="U1703" t="str">
        <f>IF(N1703="OK","",COUNTIF($N$2:N1703,"&lt;&gt;OK"))</f>
        <v/>
      </c>
      <c r="V1703">
        <f>IF(OR(NOT(EXACT(E1703,TRIM(Procurement_Raw!E1703))),NOT(EXACT(F1703,TRIM(Procurement_Raw!F1703)))),1,0)</f>
        <v>0</v>
      </c>
    </row>
    <row r="1704" spans="1:22" ht="15" customHeight="1" x14ac:dyDescent="0.25">
      <c r="A1704" s="123">
        <f>Procurement_Raw!A1704</f>
        <v>45936</v>
      </c>
      <c r="B1704" t="str">
        <f>TRIM(Procurement_Raw!B1704)</f>
        <v>S017</v>
      </c>
      <c r="C1704" t="str">
        <f>Procurement_Raw!C1704</f>
        <v>Swansea Care &amp; Education Centre</v>
      </c>
      <c r="D1704" t="str">
        <f>Procurement_Raw!D1704</f>
        <v>Wales</v>
      </c>
      <c r="E1704" t="str">
        <f>IF(TRIM(Procurement_Raw!E1704)="","",IFERROR(INDEX(Supplier_Lookup!$A$2:$A$25,MATCH(TRIM(Procurement_Raw!E1704),Supplier_Lookup!$A$2:$A$25,0)),TRIM(Procurement_Raw!E1704)))</f>
        <v>NetServe</v>
      </c>
      <c r="F1704" t="str">
        <f>IFERROR(INDEX(Category_Targets!$A$2:$A$9,MATCH(TRIM(Procurement_Raw!F1704),Category_Targets!$A$2:$A$9,0)),"Unmapped")</f>
        <v>IT &amp; Telecoms</v>
      </c>
      <c r="G1704" t="str">
        <f>TRIM(Procurement_Raw!G1704)</f>
        <v>INV-2025-01703</v>
      </c>
      <c r="H1704" s="77">
        <f>Procurement_Raw!H1704</f>
        <v>16</v>
      </c>
      <c r="I1704" s="124">
        <f>Procurement_Raw!I1704</f>
        <v>311.91000000000003</v>
      </c>
      <c r="J1704" s="125">
        <f>IF(Procurement_Raw!J1704="","",Procurement_Raw!J1704)</f>
        <v>4990.6099999999997</v>
      </c>
      <c r="K1704" s="77">
        <f>Procurement_Raw!K1704</f>
        <v>30</v>
      </c>
      <c r="L1704" t="str">
        <f>Procurement_Raw!L1704</f>
        <v>ERP</v>
      </c>
      <c r="M1704" t="str">
        <f>Procurement_Raw!O1704</f>
        <v>N</v>
      </c>
      <c r="N1704" t="str">
        <f>IF(E1704="","Missing supplier",IF(B1704="","Missing site",IF(J1704="","Missing spend",IF(COUNTIFS($G$2:G1704,G1704,$E$2:E1704,E1704,$J$2:J1704,J1704)&gt;1,"Duplicate invoice",IF(COUNTIF($G$2:$G$1801,G1704)&gt;1,"Duplicate ID - review",IF(AND(P1704&lt;&gt;"Unmapped",P1704&lt;&gt;F1704),"Category mismatch","OK"))))))</f>
        <v>OK</v>
      </c>
      <c r="O1704" s="125">
        <f t="shared" si="78"/>
        <v>4990.6099999999997</v>
      </c>
      <c r="P1704" t="str">
        <f>IF(E1704="","Unmapped",IFERROR(INDEX(Supplier_Lookup!$B$2:$B$25,MATCH(E1704,Supplier_Lookup!$A$2:$A$25,0)),"Unmapped"))</f>
        <v>IT &amp; Telecoms</v>
      </c>
      <c r="Q1704" s="76">
        <f>IFERROR(INDEX(Category_Targets!$B$2:$B$9,MATCH(F1704,Category_Targets!$A$2:$A$9,0)),0)</f>
        <v>0.08</v>
      </c>
      <c r="R1704" s="125">
        <f t="shared" si="79"/>
        <v>399.24879999999996</v>
      </c>
      <c r="S1704" s="78">
        <f t="shared" si="80"/>
        <v>45931</v>
      </c>
      <c r="T1704" t="str">
        <f>IFERROR(VLOOKUP(B1704,Sites!$A$2:$D$21,4,FALSE()),"Unknown")</f>
        <v>Swansea</v>
      </c>
      <c r="U1704" t="str">
        <f>IF(N1704="OK","",COUNTIF($N$2:N1704,"&lt;&gt;OK"))</f>
        <v/>
      </c>
      <c r="V1704">
        <f>IF(OR(NOT(EXACT(E1704,TRIM(Procurement_Raw!E1704))),NOT(EXACT(F1704,TRIM(Procurement_Raw!F1704)))),1,0)</f>
        <v>0</v>
      </c>
    </row>
    <row r="1705" spans="1:22" ht="15" customHeight="1" x14ac:dyDescent="0.25">
      <c r="A1705" s="123">
        <f>Procurement_Raw!A1705</f>
        <v>45919</v>
      </c>
      <c r="B1705" t="str">
        <f>TRIM(Procurement_Raw!B1705)</f>
        <v>S008</v>
      </c>
      <c r="C1705" t="str">
        <f>Procurement_Raw!C1705</f>
        <v>Leicester Care &amp; Education Centre</v>
      </c>
      <c r="D1705" t="str">
        <f>Procurement_Raw!D1705</f>
        <v>Midlands</v>
      </c>
      <c r="E1705" t="str">
        <f>IF(TRIM(Procurement_Raw!E1705)="","",IFERROR(INDEX(Supplier_Lookup!$A$2:$A$25,MATCH(TRIM(Procurement_Raw!E1705),Supplier_Lookup!$A$2:$A$25,0)),TRIM(Procurement_Raw!E1705)))</f>
        <v>CloudLink</v>
      </c>
      <c r="F1705" t="str">
        <f>IFERROR(INDEX(Category_Targets!$A$2:$A$9,MATCH(TRIM(Procurement_Raw!F1705),Category_Targets!$A$2:$A$9,0)),"Unmapped")</f>
        <v>IT &amp; Telecoms</v>
      </c>
      <c r="G1705" t="str">
        <f>TRIM(Procurement_Raw!G1705)</f>
        <v>INV-2025-01704</v>
      </c>
      <c r="H1705" s="77">
        <f>Procurement_Raw!H1705</f>
        <v>54</v>
      </c>
      <c r="I1705" s="124">
        <f>Procurement_Raw!I1705</f>
        <v>405.03</v>
      </c>
      <c r="J1705" s="125">
        <f>IF(Procurement_Raw!J1705="","",Procurement_Raw!J1705)</f>
        <v>21871.65</v>
      </c>
      <c r="K1705" s="77">
        <f>Procurement_Raw!K1705</f>
        <v>30</v>
      </c>
      <c r="L1705" t="str">
        <f>Procurement_Raw!L1705</f>
        <v>ERP</v>
      </c>
      <c r="M1705" t="str">
        <f>Procurement_Raw!O1705</f>
        <v>Y</v>
      </c>
      <c r="N1705" t="str">
        <f>IF(E1705="","Missing supplier",IF(B1705="","Missing site",IF(J1705="","Missing spend",IF(COUNTIFS($G$2:G1705,G1705,$E$2:E1705,E1705,$J$2:J1705,J1705)&gt;1,"Duplicate invoice",IF(COUNTIF($G$2:$G$1801,G1705)&gt;1,"Duplicate ID - review",IF(AND(P1705&lt;&gt;"Unmapped",P1705&lt;&gt;F1705),"Category mismatch","OK"))))))</f>
        <v>OK</v>
      </c>
      <c r="O1705" s="125">
        <f t="shared" si="78"/>
        <v>21871.65</v>
      </c>
      <c r="P1705" t="str">
        <f>IF(E1705="","Unmapped",IFERROR(INDEX(Supplier_Lookup!$B$2:$B$25,MATCH(E1705,Supplier_Lookup!$A$2:$A$25,0)),"Unmapped"))</f>
        <v>IT &amp; Telecoms</v>
      </c>
      <c r="Q1705" s="76">
        <f>IFERROR(INDEX(Category_Targets!$B$2:$B$9,MATCH(F1705,Category_Targets!$A$2:$A$9,0)),0)</f>
        <v>0.08</v>
      </c>
      <c r="R1705" s="125">
        <f t="shared" si="79"/>
        <v>1749.7320000000002</v>
      </c>
      <c r="S1705" s="78">
        <f t="shared" si="80"/>
        <v>45901</v>
      </c>
      <c r="T1705" t="str">
        <f>IFERROR(VLOOKUP(B1705,Sites!$A$2:$D$21,4,FALSE()),"Unknown")</f>
        <v>Leicester</v>
      </c>
      <c r="U1705" t="str">
        <f>IF(N1705="OK","",COUNTIF($N$2:N1705,"&lt;&gt;OK"))</f>
        <v/>
      </c>
      <c r="V1705">
        <f>IF(OR(NOT(EXACT(E1705,TRIM(Procurement_Raw!E1705))),NOT(EXACT(F1705,TRIM(Procurement_Raw!F1705)))),1,0)</f>
        <v>0</v>
      </c>
    </row>
    <row r="1706" spans="1:22" ht="15" customHeight="1" x14ac:dyDescent="0.25">
      <c r="A1706" s="123">
        <f>Procurement_Raw!A1706</f>
        <v>45876</v>
      </c>
      <c r="B1706" t="str">
        <f>TRIM(Procurement_Raw!B1706)</f>
        <v>S020</v>
      </c>
      <c r="C1706" t="str">
        <f>Procurement_Raw!C1706</f>
        <v>Bangor Care &amp; Education Centre</v>
      </c>
      <c r="D1706" t="str">
        <f>Procurement_Raw!D1706</f>
        <v>Wales</v>
      </c>
      <c r="E1706" t="str">
        <f>IF(TRIM(Procurement_Raw!E1706)="","",IFERROR(INDEX(Supplier_Lookup!$A$2:$A$25,MATCH(TRIM(Procurement_Raw!E1706),Supplier_Lookup!$A$2:$A$25,0)),TRIM(Procurement_Raw!E1706)))</f>
        <v>MediSure</v>
      </c>
      <c r="F1706" t="str">
        <f>IFERROR(INDEX(Category_Targets!$A$2:$A$9,MATCH(TRIM(Procurement_Raw!F1706),Category_Targets!$A$2:$A$9,0)),"Unmapped")</f>
        <v>Medical Supplies</v>
      </c>
      <c r="G1706" t="str">
        <f>TRIM(Procurement_Raw!G1706)</f>
        <v>INV-2025-01705</v>
      </c>
      <c r="H1706" s="77">
        <f>Procurement_Raw!H1706</f>
        <v>50</v>
      </c>
      <c r="I1706" s="124">
        <f>Procurement_Raw!I1706</f>
        <v>150.34</v>
      </c>
      <c r="J1706" s="125">
        <f>IF(Procurement_Raw!J1706="","",Procurement_Raw!J1706)</f>
        <v>7516.94</v>
      </c>
      <c r="K1706" s="77">
        <f>Procurement_Raw!K1706</f>
        <v>30</v>
      </c>
      <c r="L1706" t="str">
        <f>Procurement_Raw!L1706</f>
        <v>Procurement Portal</v>
      </c>
      <c r="M1706" t="str">
        <f>Procurement_Raw!O1706</f>
        <v>Y</v>
      </c>
      <c r="N1706" t="str">
        <f>IF(E1706="","Missing supplier",IF(B1706="","Missing site",IF(J1706="","Missing spend",IF(COUNTIFS($G$2:G1706,G1706,$E$2:E1706,E1706,$J$2:J1706,J1706)&gt;1,"Duplicate invoice",IF(COUNTIF($G$2:$G$1801,G1706)&gt;1,"Duplicate ID - review",IF(AND(P1706&lt;&gt;"Unmapped",P1706&lt;&gt;F1706),"Category mismatch","OK"))))))</f>
        <v>OK</v>
      </c>
      <c r="O1706" s="125">
        <f t="shared" si="78"/>
        <v>7516.94</v>
      </c>
      <c r="P1706" t="str">
        <f>IF(E1706="","Unmapped",IFERROR(INDEX(Supplier_Lookup!$B$2:$B$25,MATCH(E1706,Supplier_Lookup!$A$2:$A$25,0)),"Unmapped"))</f>
        <v>Medical Supplies</v>
      </c>
      <c r="Q1706" s="76">
        <f>IFERROR(INDEX(Category_Targets!$B$2:$B$9,MATCH(F1706,Category_Targets!$A$2:$A$9,0)),0)</f>
        <v>0.06</v>
      </c>
      <c r="R1706" s="125">
        <f t="shared" si="79"/>
        <v>451.01639999999998</v>
      </c>
      <c r="S1706" s="78">
        <f t="shared" si="80"/>
        <v>45870</v>
      </c>
      <c r="T1706" t="str">
        <f>IFERROR(VLOOKUP(B1706,Sites!$A$2:$D$21,4,FALSE()),"Unknown")</f>
        <v>Bangor</v>
      </c>
      <c r="U1706" t="str">
        <f>IF(N1706="OK","",COUNTIF($N$2:N1706,"&lt;&gt;OK"))</f>
        <v/>
      </c>
      <c r="V1706">
        <f>IF(OR(NOT(EXACT(E1706,TRIM(Procurement_Raw!E1706))),NOT(EXACT(F1706,TRIM(Procurement_Raw!F1706)))),1,0)</f>
        <v>0</v>
      </c>
    </row>
    <row r="1707" spans="1:22" ht="15" customHeight="1" x14ac:dyDescent="0.25">
      <c r="A1707" s="123">
        <f>Procurement_Raw!A1707</f>
        <v>46008</v>
      </c>
      <c r="B1707" t="str">
        <f>TRIM(Procurement_Raw!B1707)</f>
        <v>S014</v>
      </c>
      <c r="C1707" t="str">
        <f>Procurement_Raw!C1707</f>
        <v>Southampton Care &amp; Education Centre</v>
      </c>
      <c r="D1707" t="str">
        <f>Procurement_Raw!D1707</f>
        <v>South</v>
      </c>
      <c r="E1707" t="str">
        <f>IF(TRIM(Procurement_Raw!E1707)="","",IFERROR(INDEX(Supplier_Lookup!$A$2:$A$25,MATCH(TRIM(Procurement_Raw!E1707),Supplier_Lookup!$A$2:$A$25,0)),TRIM(Procurement_Raw!E1707)))</f>
        <v>CloudLink</v>
      </c>
      <c r="F1707" t="str">
        <f>IFERROR(INDEX(Category_Targets!$A$2:$A$9,MATCH(TRIM(Procurement_Raw!F1707),Category_Targets!$A$2:$A$9,0)),"Unmapped")</f>
        <v>IT &amp; Telecoms</v>
      </c>
      <c r="G1707" t="str">
        <f>TRIM(Procurement_Raw!G1707)</f>
        <v>INV-2025-01706</v>
      </c>
      <c r="H1707" s="77">
        <f>Procurement_Raw!H1707</f>
        <v>50</v>
      </c>
      <c r="I1707" s="124">
        <f>Procurement_Raw!I1707</f>
        <v>192.66</v>
      </c>
      <c r="J1707" s="125">
        <f>IF(Procurement_Raw!J1707="","",Procurement_Raw!J1707)</f>
        <v>9633.09</v>
      </c>
      <c r="K1707" s="77">
        <f>Procurement_Raw!K1707</f>
        <v>60</v>
      </c>
      <c r="L1707" t="str">
        <f>Procurement_Raw!L1707</f>
        <v>Legacy Spend File</v>
      </c>
      <c r="M1707" t="str">
        <f>Procurement_Raw!O1707</f>
        <v>Y</v>
      </c>
      <c r="N1707" t="str">
        <f>IF(E1707="","Missing supplier",IF(B1707="","Missing site",IF(J1707="","Missing spend",IF(COUNTIFS($G$2:G1707,G1707,$E$2:E1707,E1707,$J$2:J1707,J1707)&gt;1,"Duplicate invoice",IF(COUNTIF($G$2:$G$1801,G1707)&gt;1,"Duplicate ID - review",IF(AND(P1707&lt;&gt;"Unmapped",P1707&lt;&gt;F1707),"Category mismatch","OK"))))))</f>
        <v>OK</v>
      </c>
      <c r="O1707" s="125">
        <f t="shared" si="78"/>
        <v>9633.09</v>
      </c>
      <c r="P1707" t="str">
        <f>IF(E1707="","Unmapped",IFERROR(INDEX(Supplier_Lookup!$B$2:$B$25,MATCH(E1707,Supplier_Lookup!$A$2:$A$25,0)),"Unmapped"))</f>
        <v>IT &amp; Telecoms</v>
      </c>
      <c r="Q1707" s="76">
        <f>IFERROR(INDEX(Category_Targets!$B$2:$B$9,MATCH(F1707,Category_Targets!$A$2:$A$9,0)),0)</f>
        <v>0.08</v>
      </c>
      <c r="R1707" s="125">
        <f t="shared" si="79"/>
        <v>770.6472</v>
      </c>
      <c r="S1707" s="78">
        <f t="shared" si="80"/>
        <v>45992</v>
      </c>
      <c r="T1707" t="str">
        <f>IFERROR(VLOOKUP(B1707,Sites!$A$2:$D$21,4,FALSE()),"Unknown")</f>
        <v>Southampton</v>
      </c>
      <c r="U1707" t="str">
        <f>IF(N1707="OK","",COUNTIF($N$2:N1707,"&lt;&gt;OK"))</f>
        <v/>
      </c>
      <c r="V1707">
        <f>IF(OR(NOT(EXACT(E1707,TRIM(Procurement_Raw!E1707))),NOT(EXACT(F1707,TRIM(Procurement_Raw!F1707)))),1,0)</f>
        <v>0</v>
      </c>
    </row>
    <row r="1708" spans="1:22" ht="15" customHeight="1" x14ac:dyDescent="0.25">
      <c r="A1708" s="123">
        <f>Procurement_Raw!A1708</f>
        <v>45714</v>
      </c>
      <c r="B1708" t="str">
        <f>TRIM(Procurement_Raw!B1708)</f>
        <v>S014</v>
      </c>
      <c r="C1708" t="str">
        <f>Procurement_Raw!C1708</f>
        <v>Southampton Care &amp; Education Centre</v>
      </c>
      <c r="D1708" t="str">
        <f>Procurement_Raw!D1708</f>
        <v>South</v>
      </c>
      <c r="E1708" t="str">
        <f>IF(TRIM(Procurement_Raw!E1708)="","",IFERROR(INDEX(Supplier_Lookup!$A$2:$A$25,MATCH(TRIM(Procurement_Raw!E1708),Supplier_Lookup!$A$2:$A$25,0)),TRIM(Procurement_Raw!E1708)))</f>
        <v>OfficePlus</v>
      </c>
      <c r="F1708" t="str">
        <f>IFERROR(INDEX(Category_Targets!$A$2:$A$9,MATCH(TRIM(Procurement_Raw!F1708),Category_Targets!$A$2:$A$9,0)),"Unmapped")</f>
        <v>Office &amp; Training</v>
      </c>
      <c r="G1708" t="str">
        <f>TRIM(Procurement_Raw!G1708)</f>
        <v>INV-2025-01707</v>
      </c>
      <c r="H1708" s="77">
        <f>Procurement_Raw!H1708</f>
        <v>29</v>
      </c>
      <c r="I1708" s="124">
        <f>Procurement_Raw!I1708</f>
        <v>108.57</v>
      </c>
      <c r="J1708" s="125">
        <f>IF(Procurement_Raw!J1708="","",Procurement_Raw!J1708)</f>
        <v>3148.56</v>
      </c>
      <c r="K1708" s="77">
        <f>Procurement_Raw!K1708</f>
        <v>30</v>
      </c>
      <c r="L1708" t="str">
        <f>Procurement_Raw!L1708</f>
        <v>Procurement Portal</v>
      </c>
      <c r="M1708" t="str">
        <f>Procurement_Raw!O1708</f>
        <v>N</v>
      </c>
      <c r="N1708" t="str">
        <f>IF(E1708="","Missing supplier",IF(B1708="","Missing site",IF(J1708="","Missing spend",IF(COUNTIFS($G$2:G1708,G1708,$E$2:E1708,E1708,$J$2:J1708,J1708)&gt;1,"Duplicate invoice",IF(COUNTIF($G$2:$G$1801,G1708)&gt;1,"Duplicate ID - review",IF(AND(P1708&lt;&gt;"Unmapped",P1708&lt;&gt;F1708),"Category mismatch","OK"))))))</f>
        <v>OK</v>
      </c>
      <c r="O1708" s="125">
        <f t="shared" si="78"/>
        <v>3148.56</v>
      </c>
      <c r="P1708" t="str">
        <f>IF(E1708="","Unmapped",IFERROR(INDEX(Supplier_Lookup!$B$2:$B$25,MATCH(E1708,Supplier_Lookup!$A$2:$A$25,0)),"Unmapped"))</f>
        <v>Office &amp; Training</v>
      </c>
      <c r="Q1708" s="76">
        <f>IFERROR(INDEX(Category_Targets!$B$2:$B$9,MATCH(F1708,Category_Targets!$A$2:$A$9,0)),0)</f>
        <v>0.04</v>
      </c>
      <c r="R1708" s="125">
        <f t="shared" si="79"/>
        <v>125.94240000000001</v>
      </c>
      <c r="S1708" s="78">
        <f t="shared" si="80"/>
        <v>45689</v>
      </c>
      <c r="T1708" t="str">
        <f>IFERROR(VLOOKUP(B1708,Sites!$A$2:$D$21,4,FALSE()),"Unknown")</f>
        <v>Southampton</v>
      </c>
      <c r="U1708" t="str">
        <f>IF(N1708="OK","",COUNTIF($N$2:N1708,"&lt;&gt;OK"))</f>
        <v/>
      </c>
      <c r="V1708">
        <f>IF(OR(NOT(EXACT(E1708,TRIM(Procurement_Raw!E1708))),NOT(EXACT(F1708,TRIM(Procurement_Raw!F1708)))),1,0)</f>
        <v>0</v>
      </c>
    </row>
    <row r="1709" spans="1:22" ht="15" customHeight="1" x14ac:dyDescent="0.25">
      <c r="A1709" s="123">
        <f>Procurement_Raw!A1709</f>
        <v>45828</v>
      </c>
      <c r="B1709" t="str">
        <f>TRIM(Procurement_Raw!B1709)</f>
        <v>S017</v>
      </c>
      <c r="C1709" t="str">
        <f>Procurement_Raw!C1709</f>
        <v>Swansea Care &amp; Education Centre</v>
      </c>
      <c r="D1709" t="str">
        <f>Procurement_Raw!D1709</f>
        <v>Wales</v>
      </c>
      <c r="E1709" t="str">
        <f>IF(TRIM(Procurement_Raw!E1709)="","",IFERROR(INDEX(Supplier_Lookup!$A$2:$A$25,MATCH(TRIM(Procurement_Raw!E1709),Supplier_Lookup!$A$2:$A$25,0)),TRIM(Procurement_Raw!E1709)))</f>
        <v>KitchenPro</v>
      </c>
      <c r="F1709" t="str">
        <f>IFERROR(INDEX(Category_Targets!$A$2:$A$9,MATCH(TRIM(Procurement_Raw!F1709),Category_Targets!$A$2:$A$9,0)),"Unmapped")</f>
        <v>Food &amp; Catering</v>
      </c>
      <c r="G1709" t="str">
        <f>TRIM(Procurement_Raw!G1709)</f>
        <v>INV-2025-01708</v>
      </c>
      <c r="H1709" s="77">
        <f>Procurement_Raw!H1709</f>
        <v>16</v>
      </c>
      <c r="I1709" s="124">
        <f>Procurement_Raw!I1709</f>
        <v>184.81</v>
      </c>
      <c r="J1709" s="125">
        <f>IF(Procurement_Raw!J1709="","",Procurement_Raw!J1709)</f>
        <v>2956.94</v>
      </c>
      <c r="K1709" s="77">
        <f>Procurement_Raw!K1709</f>
        <v>45</v>
      </c>
      <c r="L1709" t="str">
        <f>Procurement_Raw!L1709</f>
        <v>ERP</v>
      </c>
      <c r="M1709" t="str">
        <f>Procurement_Raw!O1709</f>
        <v>N</v>
      </c>
      <c r="N1709" t="str">
        <f>IF(E1709="","Missing supplier",IF(B1709="","Missing site",IF(J1709="","Missing spend",IF(COUNTIFS($G$2:G1709,G1709,$E$2:E1709,E1709,$J$2:J1709,J1709)&gt;1,"Duplicate invoice",IF(COUNTIF($G$2:$G$1801,G1709)&gt;1,"Duplicate ID - review",IF(AND(P1709&lt;&gt;"Unmapped",P1709&lt;&gt;F1709),"Category mismatch","OK"))))))</f>
        <v>OK</v>
      </c>
      <c r="O1709" s="125">
        <f t="shared" si="78"/>
        <v>2956.94</v>
      </c>
      <c r="P1709" t="str">
        <f>IF(E1709="","Unmapped",IFERROR(INDEX(Supplier_Lookup!$B$2:$B$25,MATCH(E1709,Supplier_Lookup!$A$2:$A$25,0)),"Unmapped"))</f>
        <v>Food &amp; Catering</v>
      </c>
      <c r="Q1709" s="76">
        <f>IFERROR(INDEX(Category_Targets!$B$2:$B$9,MATCH(F1709,Category_Targets!$A$2:$A$9,0)),0)</f>
        <v>0.04</v>
      </c>
      <c r="R1709" s="125">
        <f t="shared" si="79"/>
        <v>118.27760000000001</v>
      </c>
      <c r="S1709" s="78">
        <f t="shared" si="80"/>
        <v>45809</v>
      </c>
      <c r="T1709" t="str">
        <f>IFERROR(VLOOKUP(B1709,Sites!$A$2:$D$21,4,FALSE()),"Unknown")</f>
        <v>Swansea</v>
      </c>
      <c r="U1709" t="str">
        <f>IF(N1709="OK","",COUNTIF($N$2:N1709,"&lt;&gt;OK"))</f>
        <v/>
      </c>
      <c r="V1709">
        <f>IF(OR(NOT(EXACT(E1709,TRIM(Procurement_Raw!E1709))),NOT(EXACT(F1709,TRIM(Procurement_Raw!F1709)))),1,0)</f>
        <v>0</v>
      </c>
    </row>
    <row r="1710" spans="1:22" ht="15" customHeight="1" x14ac:dyDescent="0.25">
      <c r="A1710" s="123">
        <f>Procurement_Raw!A1710</f>
        <v>45877</v>
      </c>
      <c r="B1710" t="str">
        <f>TRIM(Procurement_Raw!B1710)</f>
        <v>S002</v>
      </c>
      <c r="C1710" t="str">
        <f>Procurement_Raw!C1710</f>
        <v>Manchester Care &amp; Education Centre</v>
      </c>
      <c r="D1710" t="str">
        <f>Procurement_Raw!D1710</f>
        <v>North</v>
      </c>
      <c r="E1710" t="str">
        <f>IF(TRIM(Procurement_Raw!E1710)="","",IFERROR(INDEX(Supplier_Lookup!$A$2:$A$25,MATCH(TRIM(Procurement_Raw!E1710),Supplier_Lookup!$A$2:$A$25,0)),TRIM(Procurement_Raw!E1710)))</f>
        <v>CleanWorks</v>
      </c>
      <c r="F1710" t="str">
        <f>IFERROR(INDEX(Category_Targets!$A$2:$A$9,MATCH(TRIM(Procurement_Raw!F1710),Category_Targets!$A$2:$A$9,0)),"Unmapped")</f>
        <v>Facilities</v>
      </c>
      <c r="G1710" t="str">
        <f>TRIM(Procurement_Raw!G1710)</f>
        <v>INV-2025-01709</v>
      </c>
      <c r="H1710" s="77">
        <f>Procurement_Raw!H1710</f>
        <v>68</v>
      </c>
      <c r="I1710" s="124">
        <f>Procurement_Raw!I1710</f>
        <v>167.34</v>
      </c>
      <c r="J1710" s="125">
        <f>IF(Procurement_Raw!J1710="","",Procurement_Raw!J1710)</f>
        <v>11378.9</v>
      </c>
      <c r="K1710" s="77">
        <f>Procurement_Raw!K1710</f>
        <v>45</v>
      </c>
      <c r="L1710" t="str">
        <f>Procurement_Raw!L1710</f>
        <v>Legacy Spend File</v>
      </c>
      <c r="M1710" t="str">
        <f>Procurement_Raw!O1710</f>
        <v>Y</v>
      </c>
      <c r="N1710" t="str">
        <f>IF(E1710="","Missing supplier",IF(B1710="","Missing site",IF(J1710="","Missing spend",IF(COUNTIFS($G$2:G1710,G1710,$E$2:E1710,E1710,$J$2:J1710,J1710)&gt;1,"Duplicate invoice",IF(COUNTIF($G$2:$G$1801,G1710)&gt;1,"Duplicate ID - review",IF(AND(P1710&lt;&gt;"Unmapped",P1710&lt;&gt;F1710),"Category mismatch","OK"))))))</f>
        <v>OK</v>
      </c>
      <c r="O1710" s="125">
        <f t="shared" si="78"/>
        <v>11378.9</v>
      </c>
      <c r="P1710" t="str">
        <f>IF(E1710="","Unmapped",IFERROR(INDEX(Supplier_Lookup!$B$2:$B$25,MATCH(E1710,Supplier_Lookup!$A$2:$A$25,0)),"Unmapped"))</f>
        <v>Facilities</v>
      </c>
      <c r="Q1710" s="76">
        <f>IFERROR(INDEX(Category_Targets!$B$2:$B$9,MATCH(F1710,Category_Targets!$A$2:$A$9,0)),0)</f>
        <v>0.05</v>
      </c>
      <c r="R1710" s="125">
        <f t="shared" si="79"/>
        <v>568.94500000000005</v>
      </c>
      <c r="S1710" s="78">
        <f t="shared" si="80"/>
        <v>45870</v>
      </c>
      <c r="T1710" t="str">
        <f>IFERROR(VLOOKUP(B1710,Sites!$A$2:$D$21,4,FALSE()),"Unknown")</f>
        <v>Manchester</v>
      </c>
      <c r="U1710" t="str">
        <f>IF(N1710="OK","",COUNTIF($N$2:N1710,"&lt;&gt;OK"))</f>
        <v/>
      </c>
      <c r="V1710">
        <f>IF(OR(NOT(EXACT(E1710,TRIM(Procurement_Raw!E1710))),NOT(EXACT(F1710,TRIM(Procurement_Raw!F1710)))),1,0)</f>
        <v>0</v>
      </c>
    </row>
    <row r="1711" spans="1:22" ht="15" customHeight="1" x14ac:dyDescent="0.25">
      <c r="A1711" s="123">
        <f>Procurement_Raw!A1711</f>
        <v>45999</v>
      </c>
      <c r="B1711" t="str">
        <f>TRIM(Procurement_Raw!B1711)</f>
        <v>S001</v>
      </c>
      <c r="C1711" t="str">
        <f>Procurement_Raw!C1711</f>
        <v>Preston Care &amp; Education Centre</v>
      </c>
      <c r="D1711" t="str">
        <f>Procurement_Raw!D1711</f>
        <v>North</v>
      </c>
      <c r="E1711" t="str">
        <f>IF(TRIM(Procurement_Raw!E1711)="","",IFERROR(INDEX(Supplier_Lookup!$A$2:$A$25,MATCH(TRIM(Procurement_Raw!E1711),Supplier_Lookup!$A$2:$A$25,0)),TRIM(Procurement_Raw!E1711)))</f>
        <v>HealthStaffing</v>
      </c>
      <c r="F1711" t="str">
        <f>IFERROR(INDEX(Category_Targets!$A$2:$A$9,MATCH(TRIM(Procurement_Raw!F1711),Category_Targets!$A$2:$A$9,0)),"Unmapped")</f>
        <v>Agency Labour</v>
      </c>
      <c r="G1711" t="str">
        <f>TRIM(Procurement_Raw!G1711)</f>
        <v>INV-2025-01710</v>
      </c>
      <c r="H1711" s="77">
        <f>Procurement_Raw!H1711</f>
        <v>39</v>
      </c>
      <c r="I1711" s="124">
        <f>Procurement_Raw!I1711</f>
        <v>175.53</v>
      </c>
      <c r="J1711" s="125">
        <f>IF(Procurement_Raw!J1711="","",Procurement_Raw!J1711)</f>
        <v>6845.54</v>
      </c>
      <c r="K1711" s="77">
        <f>Procurement_Raw!K1711</f>
        <v>60</v>
      </c>
      <c r="L1711" t="str">
        <f>Procurement_Raw!L1711</f>
        <v>Procurement Portal</v>
      </c>
      <c r="M1711" t="str">
        <f>Procurement_Raw!O1711</f>
        <v>N</v>
      </c>
      <c r="N1711" t="str">
        <f>IF(E1711="","Missing supplier",IF(B1711="","Missing site",IF(J1711="","Missing spend",IF(COUNTIFS($G$2:G1711,G1711,$E$2:E1711,E1711,$J$2:J1711,J1711)&gt;1,"Duplicate invoice",IF(COUNTIF($G$2:$G$1801,G1711)&gt;1,"Duplicate ID - review",IF(AND(P1711&lt;&gt;"Unmapped",P1711&lt;&gt;F1711),"Category mismatch","OK"))))))</f>
        <v>OK</v>
      </c>
      <c r="O1711" s="125">
        <f t="shared" si="78"/>
        <v>6845.54</v>
      </c>
      <c r="P1711" t="str">
        <f>IF(E1711="","Unmapped",IFERROR(INDEX(Supplier_Lookup!$B$2:$B$25,MATCH(E1711,Supplier_Lookup!$A$2:$A$25,0)),"Unmapped"))</f>
        <v>Agency Labour</v>
      </c>
      <c r="Q1711" s="76">
        <f>IFERROR(INDEX(Category_Targets!$B$2:$B$9,MATCH(F1711,Category_Targets!$A$2:$A$9,0)),0)</f>
        <v>7.0000000000000007E-2</v>
      </c>
      <c r="R1711" s="125">
        <f t="shared" si="79"/>
        <v>479.18780000000004</v>
      </c>
      <c r="S1711" s="78">
        <f t="shared" si="80"/>
        <v>45992</v>
      </c>
      <c r="T1711" t="str">
        <f>IFERROR(VLOOKUP(B1711,Sites!$A$2:$D$21,4,FALSE()),"Unknown")</f>
        <v>Preston</v>
      </c>
      <c r="U1711" t="str">
        <f>IF(N1711="OK","",COUNTIF($N$2:N1711,"&lt;&gt;OK"))</f>
        <v/>
      </c>
      <c r="V1711">
        <f>IF(OR(NOT(EXACT(E1711,TRIM(Procurement_Raw!E1711))),NOT(EXACT(F1711,TRIM(Procurement_Raw!F1711)))),1,0)</f>
        <v>0</v>
      </c>
    </row>
    <row r="1712" spans="1:22" ht="15" customHeight="1" x14ac:dyDescent="0.25">
      <c r="A1712" s="123">
        <f>Procurement_Raw!A1712</f>
        <v>45913</v>
      </c>
      <c r="B1712" t="str">
        <f>TRIM(Procurement_Raw!B1712)</f>
        <v>S009</v>
      </c>
      <c r="C1712" t="str">
        <f>Procurement_Raw!C1712</f>
        <v>Derby Care &amp; Education Centre</v>
      </c>
      <c r="D1712" t="str">
        <f>Procurement_Raw!D1712</f>
        <v>Midlands</v>
      </c>
      <c r="E1712" t="str">
        <f>IF(TRIM(Procurement_Raw!E1712)="","",IFERROR(INDEX(Supplier_Lookup!$A$2:$A$25,MATCH(TRIM(Procurement_Raw!E1712),Supplier_Lookup!$A$2:$A$25,0)),TRIM(Procurement_Raw!E1712)))</f>
        <v>NourishCo</v>
      </c>
      <c r="F1712" t="str">
        <f>IFERROR(INDEX(Category_Targets!$A$2:$A$9,MATCH(TRIM(Procurement_Raw!F1712),Category_Targets!$A$2:$A$9,0)),"Unmapped")</f>
        <v>Food &amp; Catering</v>
      </c>
      <c r="G1712" t="str">
        <f>TRIM(Procurement_Raw!G1712)</f>
        <v>INV-2025-01711</v>
      </c>
      <c r="H1712" s="77">
        <f>Procurement_Raw!H1712</f>
        <v>48</v>
      </c>
      <c r="I1712" s="124">
        <f>Procurement_Raw!I1712</f>
        <v>119.5</v>
      </c>
      <c r="J1712" s="125">
        <f>IF(Procurement_Raw!J1712="","",Procurement_Raw!J1712)</f>
        <v>5735.8</v>
      </c>
      <c r="K1712" s="77">
        <f>Procurement_Raw!K1712</f>
        <v>45</v>
      </c>
      <c r="L1712" t="str">
        <f>Procurement_Raw!L1712</f>
        <v>Legacy Spend File</v>
      </c>
      <c r="M1712" t="str">
        <f>Procurement_Raw!O1712</f>
        <v>N</v>
      </c>
      <c r="N1712" t="str">
        <f>IF(E1712="","Missing supplier",IF(B1712="","Missing site",IF(J1712="","Missing spend",IF(COUNTIFS($G$2:G1712,G1712,$E$2:E1712,E1712,$J$2:J1712,J1712)&gt;1,"Duplicate invoice",IF(COUNTIF($G$2:$G$1801,G1712)&gt;1,"Duplicate ID - review",IF(AND(P1712&lt;&gt;"Unmapped",P1712&lt;&gt;F1712),"Category mismatch","OK"))))))</f>
        <v>OK</v>
      </c>
      <c r="O1712" s="125">
        <f t="shared" si="78"/>
        <v>5735.8</v>
      </c>
      <c r="P1712" t="str">
        <f>IF(E1712="","Unmapped",IFERROR(INDEX(Supplier_Lookup!$B$2:$B$25,MATCH(E1712,Supplier_Lookup!$A$2:$A$25,0)),"Unmapped"))</f>
        <v>Food &amp; Catering</v>
      </c>
      <c r="Q1712" s="76">
        <f>IFERROR(INDEX(Category_Targets!$B$2:$B$9,MATCH(F1712,Category_Targets!$A$2:$A$9,0)),0)</f>
        <v>0.04</v>
      </c>
      <c r="R1712" s="125">
        <f t="shared" si="79"/>
        <v>229.43200000000002</v>
      </c>
      <c r="S1712" s="78">
        <f t="shared" si="80"/>
        <v>45901</v>
      </c>
      <c r="T1712" t="str">
        <f>IFERROR(VLOOKUP(B1712,Sites!$A$2:$D$21,4,FALSE()),"Unknown")</f>
        <v>Derby</v>
      </c>
      <c r="U1712" t="str">
        <f>IF(N1712="OK","",COUNTIF($N$2:N1712,"&lt;&gt;OK"))</f>
        <v/>
      </c>
      <c r="V1712">
        <f>IF(OR(NOT(EXACT(E1712,TRIM(Procurement_Raw!E1712))),NOT(EXACT(F1712,TRIM(Procurement_Raw!F1712)))),1,0)</f>
        <v>0</v>
      </c>
    </row>
    <row r="1713" spans="1:22" ht="15" customHeight="1" x14ac:dyDescent="0.25">
      <c r="A1713" s="123">
        <f>Procurement_Raw!A1713</f>
        <v>45993</v>
      </c>
      <c r="B1713" t="str">
        <f>TRIM(Procurement_Raw!B1713)</f>
        <v>S010</v>
      </c>
      <c r="C1713" t="str">
        <f>Procurement_Raw!C1713</f>
        <v>Coventry Care &amp; Education Centre</v>
      </c>
      <c r="D1713" t="str">
        <f>Procurement_Raw!D1713</f>
        <v>Midlands</v>
      </c>
      <c r="E1713" t="str">
        <f>IF(TRIM(Procurement_Raw!E1713)="","",IFERROR(INDEX(Supplier_Lookup!$A$2:$A$25,MATCH(TRIM(Procurement_Raw!E1713),Supplier_Lookup!$A$2:$A$25,0)),TRIM(Procurement_Raw!E1713)))</f>
        <v>MediSure</v>
      </c>
      <c r="F1713" t="str">
        <f>IFERROR(INDEX(Category_Targets!$A$2:$A$9,MATCH(TRIM(Procurement_Raw!F1713),Category_Targets!$A$2:$A$9,0)),"Unmapped")</f>
        <v>Medical Supplies</v>
      </c>
      <c r="G1713" t="str">
        <f>TRIM(Procurement_Raw!G1713)</f>
        <v>INV-2025-01712</v>
      </c>
      <c r="H1713" s="77">
        <f>Procurement_Raw!H1713</f>
        <v>19</v>
      </c>
      <c r="I1713" s="124">
        <f>Procurement_Raw!I1713</f>
        <v>112.31</v>
      </c>
      <c r="J1713" s="125">
        <f>IF(Procurement_Raw!J1713="","",Procurement_Raw!J1713)</f>
        <v>2133.9299999999998</v>
      </c>
      <c r="K1713" s="77">
        <f>Procurement_Raw!K1713</f>
        <v>45</v>
      </c>
      <c r="L1713" t="str">
        <f>Procurement_Raw!L1713</f>
        <v>ERP</v>
      </c>
      <c r="M1713" t="str">
        <f>Procurement_Raw!O1713</f>
        <v>Y</v>
      </c>
      <c r="N1713" t="str">
        <f>IF(E1713="","Missing supplier",IF(B1713="","Missing site",IF(J1713="","Missing spend",IF(COUNTIFS($G$2:G1713,G1713,$E$2:E1713,E1713,$J$2:J1713,J1713)&gt;1,"Duplicate invoice",IF(COUNTIF($G$2:$G$1801,G1713)&gt;1,"Duplicate ID - review",IF(AND(P1713&lt;&gt;"Unmapped",P1713&lt;&gt;F1713),"Category mismatch","OK"))))))</f>
        <v>OK</v>
      </c>
      <c r="O1713" s="125">
        <f t="shared" si="78"/>
        <v>2133.9299999999998</v>
      </c>
      <c r="P1713" t="str">
        <f>IF(E1713="","Unmapped",IFERROR(INDEX(Supplier_Lookup!$B$2:$B$25,MATCH(E1713,Supplier_Lookup!$A$2:$A$25,0)),"Unmapped"))</f>
        <v>Medical Supplies</v>
      </c>
      <c r="Q1713" s="76">
        <f>IFERROR(INDEX(Category_Targets!$B$2:$B$9,MATCH(F1713,Category_Targets!$A$2:$A$9,0)),0)</f>
        <v>0.06</v>
      </c>
      <c r="R1713" s="125">
        <f t="shared" si="79"/>
        <v>128.03579999999999</v>
      </c>
      <c r="S1713" s="78">
        <f t="shared" si="80"/>
        <v>45992</v>
      </c>
      <c r="T1713" t="str">
        <f>IFERROR(VLOOKUP(B1713,Sites!$A$2:$D$21,4,FALSE()),"Unknown")</f>
        <v>Coventry</v>
      </c>
      <c r="U1713" t="str">
        <f>IF(N1713="OK","",COUNTIF($N$2:N1713,"&lt;&gt;OK"))</f>
        <v/>
      </c>
      <c r="V1713">
        <f>IF(OR(NOT(EXACT(E1713,TRIM(Procurement_Raw!E1713))),NOT(EXACT(F1713,TRIM(Procurement_Raw!F1713)))),1,0)</f>
        <v>0</v>
      </c>
    </row>
    <row r="1714" spans="1:22" ht="15" customHeight="1" x14ac:dyDescent="0.25">
      <c r="A1714" s="123">
        <f>Procurement_Raw!A1714</f>
        <v>45902</v>
      </c>
      <c r="B1714" t="str">
        <f>TRIM(Procurement_Raw!B1714)</f>
        <v>S001</v>
      </c>
      <c r="C1714" t="str">
        <f>Procurement_Raw!C1714</f>
        <v>Preston Care &amp; Education Centre</v>
      </c>
      <c r="D1714" t="str">
        <f>Procurement_Raw!D1714</f>
        <v>North</v>
      </c>
      <c r="E1714" t="str">
        <f>IF(TRIM(Procurement_Raw!E1714)="","",IFERROR(INDEX(Supplier_Lookup!$A$2:$A$25,MATCH(TRIM(Procurement_Raw!E1714),Supplier_Lookup!$A$2:$A$25,0)),TRIM(Procurement_Raw!E1714)))</f>
        <v>PrintCo</v>
      </c>
      <c r="F1714" t="str">
        <f>IFERROR(INDEX(Category_Targets!$A$2:$A$9,MATCH(TRIM(Procurement_Raw!F1714),Category_Targets!$A$2:$A$9,0)),"Unmapped")</f>
        <v>Office &amp; Training</v>
      </c>
      <c r="G1714" t="str">
        <f>TRIM(Procurement_Raw!G1714)</f>
        <v>INV-2025-01713</v>
      </c>
      <c r="H1714" s="77">
        <f>Procurement_Raw!H1714</f>
        <v>9</v>
      </c>
      <c r="I1714" s="124">
        <f>Procurement_Raw!I1714</f>
        <v>22.7</v>
      </c>
      <c r="J1714" s="125">
        <f>IF(Procurement_Raw!J1714="","",Procurement_Raw!J1714)</f>
        <v>204.33</v>
      </c>
      <c r="K1714" s="77">
        <f>Procurement_Raw!K1714</f>
        <v>30</v>
      </c>
      <c r="L1714" t="str">
        <f>Procurement_Raw!L1714</f>
        <v>Legacy Spend File</v>
      </c>
      <c r="M1714" t="str">
        <f>Procurement_Raw!O1714</f>
        <v>N</v>
      </c>
      <c r="N1714" t="str">
        <f>IF(E1714="","Missing supplier",IF(B1714="","Missing site",IF(J1714="","Missing spend",IF(COUNTIFS($G$2:G1714,G1714,$E$2:E1714,E1714,$J$2:J1714,J1714)&gt;1,"Duplicate invoice",IF(COUNTIF($G$2:$G$1801,G1714)&gt;1,"Duplicate ID - review",IF(AND(P1714&lt;&gt;"Unmapped",P1714&lt;&gt;F1714),"Category mismatch","OK"))))))</f>
        <v>OK</v>
      </c>
      <c r="O1714" s="125">
        <f t="shared" si="78"/>
        <v>204.33</v>
      </c>
      <c r="P1714" t="str">
        <f>IF(E1714="","Unmapped",IFERROR(INDEX(Supplier_Lookup!$B$2:$B$25,MATCH(E1714,Supplier_Lookup!$A$2:$A$25,0)),"Unmapped"))</f>
        <v>Office &amp; Training</v>
      </c>
      <c r="Q1714" s="76">
        <f>IFERROR(INDEX(Category_Targets!$B$2:$B$9,MATCH(F1714,Category_Targets!$A$2:$A$9,0)),0)</f>
        <v>0.04</v>
      </c>
      <c r="R1714" s="125">
        <f t="shared" si="79"/>
        <v>8.1732000000000014</v>
      </c>
      <c r="S1714" s="78">
        <f t="shared" si="80"/>
        <v>45901</v>
      </c>
      <c r="T1714" t="str">
        <f>IFERROR(VLOOKUP(B1714,Sites!$A$2:$D$21,4,FALSE()),"Unknown")</f>
        <v>Preston</v>
      </c>
      <c r="U1714" t="str">
        <f>IF(N1714="OK","",COUNTIF($N$2:N1714,"&lt;&gt;OK"))</f>
        <v/>
      </c>
      <c r="V1714">
        <f>IF(OR(NOT(EXACT(E1714,TRIM(Procurement_Raw!E1714))),NOT(EXACT(F1714,TRIM(Procurement_Raw!F1714)))),1,0)</f>
        <v>0</v>
      </c>
    </row>
    <row r="1715" spans="1:22" ht="15" customHeight="1" x14ac:dyDescent="0.25">
      <c r="A1715" s="123">
        <f>Procurement_Raw!A1715</f>
        <v>45704</v>
      </c>
      <c r="B1715" t="str">
        <f>TRIM(Procurement_Raw!B1715)</f>
        <v>S002</v>
      </c>
      <c r="C1715" t="str">
        <f>Procurement_Raw!C1715</f>
        <v>Manchester Care &amp; Education Centre</v>
      </c>
      <c r="D1715" t="str">
        <f>Procurement_Raw!D1715</f>
        <v>North</v>
      </c>
      <c r="E1715" t="str">
        <f>IF(TRIM(Procurement_Raw!E1715)="","",IFERROR(INDEX(Supplier_Lookup!$A$2:$A$25,MATCH(TRIM(Procurement_Raw!E1715),Supplier_Lookup!$A$2:$A$25,0)),TRIM(Procurement_Raw!E1715)))</f>
        <v>CloudLink</v>
      </c>
      <c r="F1715" t="str">
        <f>IFERROR(INDEX(Category_Targets!$A$2:$A$9,MATCH(TRIM(Procurement_Raw!F1715),Category_Targets!$A$2:$A$9,0)),"Unmapped")</f>
        <v>IT &amp; Telecoms</v>
      </c>
      <c r="G1715" t="str">
        <f>TRIM(Procurement_Raw!G1715)</f>
        <v>INV-2025-01714</v>
      </c>
      <c r="H1715" s="77">
        <f>Procurement_Raw!H1715</f>
        <v>42</v>
      </c>
      <c r="I1715" s="124">
        <f>Procurement_Raw!I1715</f>
        <v>350.62</v>
      </c>
      <c r="J1715" s="125">
        <f>IF(Procurement_Raw!J1715="","",Procurement_Raw!J1715)</f>
        <v>14726.14</v>
      </c>
      <c r="K1715" s="77">
        <f>Procurement_Raw!K1715</f>
        <v>30</v>
      </c>
      <c r="L1715" t="str">
        <f>Procurement_Raw!L1715</f>
        <v>ERP</v>
      </c>
      <c r="M1715" t="str">
        <f>Procurement_Raw!O1715</f>
        <v>Y</v>
      </c>
      <c r="N1715" t="str">
        <f>IF(E1715="","Missing supplier",IF(B1715="","Missing site",IF(J1715="","Missing spend",IF(COUNTIFS($G$2:G1715,G1715,$E$2:E1715,E1715,$J$2:J1715,J1715)&gt;1,"Duplicate invoice",IF(COUNTIF($G$2:$G$1801,G1715)&gt;1,"Duplicate ID - review",IF(AND(P1715&lt;&gt;"Unmapped",P1715&lt;&gt;F1715),"Category mismatch","OK"))))))</f>
        <v>OK</v>
      </c>
      <c r="O1715" s="125">
        <f t="shared" si="78"/>
        <v>14726.14</v>
      </c>
      <c r="P1715" t="str">
        <f>IF(E1715="","Unmapped",IFERROR(INDEX(Supplier_Lookup!$B$2:$B$25,MATCH(E1715,Supplier_Lookup!$A$2:$A$25,0)),"Unmapped"))</f>
        <v>IT &amp; Telecoms</v>
      </c>
      <c r="Q1715" s="76">
        <f>IFERROR(INDEX(Category_Targets!$B$2:$B$9,MATCH(F1715,Category_Targets!$A$2:$A$9,0)),0)</f>
        <v>0.08</v>
      </c>
      <c r="R1715" s="125">
        <f t="shared" si="79"/>
        <v>1178.0912000000001</v>
      </c>
      <c r="S1715" s="78">
        <f t="shared" si="80"/>
        <v>45689</v>
      </c>
      <c r="T1715" t="str">
        <f>IFERROR(VLOOKUP(B1715,Sites!$A$2:$D$21,4,FALSE()),"Unknown")</f>
        <v>Manchester</v>
      </c>
      <c r="U1715" t="str">
        <f>IF(N1715="OK","",COUNTIF($N$2:N1715,"&lt;&gt;OK"))</f>
        <v/>
      </c>
      <c r="V1715">
        <f>IF(OR(NOT(EXACT(E1715,TRIM(Procurement_Raw!E1715))),NOT(EXACT(F1715,TRIM(Procurement_Raw!F1715)))),1,0)</f>
        <v>0</v>
      </c>
    </row>
    <row r="1716" spans="1:22" ht="15" customHeight="1" x14ac:dyDescent="0.25">
      <c r="A1716" s="123">
        <f>Procurement_Raw!A1716</f>
        <v>45911</v>
      </c>
      <c r="B1716" t="str">
        <f>TRIM(Procurement_Raw!B1716)</f>
        <v>S011</v>
      </c>
      <c r="C1716" t="str">
        <f>Procurement_Raw!C1716</f>
        <v>London Care &amp; Education Centre</v>
      </c>
      <c r="D1716" t="str">
        <f>Procurement_Raw!D1716</f>
        <v>South</v>
      </c>
      <c r="E1716" t="str">
        <f>IF(TRIM(Procurement_Raw!E1716)="","",IFERROR(INDEX(Supplier_Lookup!$A$2:$A$25,MATCH(TRIM(Procurement_Raw!E1716),Supplier_Lookup!$A$2:$A$25,0)),TRIM(Procurement_Raw!E1716)))</f>
        <v>RoadReady</v>
      </c>
      <c r="F1716" t="str">
        <f>IFERROR(INDEX(Category_Targets!$A$2:$A$9,MATCH(TRIM(Procurement_Raw!F1716),Category_Targets!$A$2:$A$9,0)),"Unmapped")</f>
        <v>Vehicle &amp; Fuel</v>
      </c>
      <c r="G1716" t="str">
        <f>TRIM(Procurement_Raw!G1716)</f>
        <v>INV-2025-01715</v>
      </c>
      <c r="H1716" s="77">
        <f>Procurement_Raw!H1716</f>
        <v>55</v>
      </c>
      <c r="I1716" s="124">
        <f>Procurement_Raw!I1716</f>
        <v>70.77</v>
      </c>
      <c r="J1716" s="125">
        <f>IF(Procurement_Raw!J1716="","",Procurement_Raw!J1716)</f>
        <v>3892.39</v>
      </c>
      <c r="K1716" s="77">
        <f>Procurement_Raw!K1716</f>
        <v>45</v>
      </c>
      <c r="L1716" t="str">
        <f>Procurement_Raw!L1716</f>
        <v>Legacy Spend File</v>
      </c>
      <c r="M1716" t="str">
        <f>Procurement_Raw!O1716</f>
        <v>N</v>
      </c>
      <c r="N1716" t="str">
        <f>IF(E1716="","Missing supplier",IF(B1716="","Missing site",IF(J1716="","Missing spend",IF(COUNTIFS($G$2:G1716,G1716,$E$2:E1716,E1716,$J$2:J1716,J1716)&gt;1,"Duplicate invoice",IF(COUNTIF($G$2:$G$1801,G1716)&gt;1,"Duplicate ID - review",IF(AND(P1716&lt;&gt;"Unmapped",P1716&lt;&gt;F1716),"Category mismatch","OK"))))))</f>
        <v>OK</v>
      </c>
      <c r="O1716" s="125">
        <f t="shared" si="78"/>
        <v>3892.39</v>
      </c>
      <c r="P1716" t="str">
        <f>IF(E1716="","Unmapped",IFERROR(INDEX(Supplier_Lookup!$B$2:$B$25,MATCH(E1716,Supplier_Lookup!$A$2:$A$25,0)),"Unmapped"))</f>
        <v>Vehicle &amp; Fuel</v>
      </c>
      <c r="Q1716" s="76">
        <f>IFERROR(INDEX(Category_Targets!$B$2:$B$9,MATCH(F1716,Category_Targets!$A$2:$A$9,0)),0)</f>
        <v>0.05</v>
      </c>
      <c r="R1716" s="125">
        <f t="shared" si="79"/>
        <v>194.61950000000002</v>
      </c>
      <c r="S1716" s="78">
        <f t="shared" si="80"/>
        <v>45901</v>
      </c>
      <c r="T1716" t="str">
        <f>IFERROR(VLOOKUP(B1716,Sites!$A$2:$D$21,4,FALSE()),"Unknown")</f>
        <v>London</v>
      </c>
      <c r="U1716" t="str">
        <f>IF(N1716="OK","",COUNTIF($N$2:N1716,"&lt;&gt;OK"))</f>
        <v/>
      </c>
      <c r="V1716">
        <f>IF(OR(NOT(EXACT(E1716,TRIM(Procurement_Raw!E1716))),NOT(EXACT(F1716,TRIM(Procurement_Raw!F1716)))),1,0)</f>
        <v>0</v>
      </c>
    </row>
    <row r="1717" spans="1:22" ht="15" customHeight="1" x14ac:dyDescent="0.25">
      <c r="A1717" s="123">
        <f>Procurement_Raw!A1717</f>
        <v>45992</v>
      </c>
      <c r="B1717" t="str">
        <f>TRIM(Procurement_Raw!B1717)</f>
        <v>S003</v>
      </c>
      <c r="C1717" t="str">
        <f>Procurement_Raw!C1717</f>
        <v>Leeds Care &amp; Education Centre</v>
      </c>
      <c r="D1717" t="str">
        <f>Procurement_Raw!D1717</f>
        <v>North</v>
      </c>
      <c r="E1717" t="str">
        <f>IF(TRIM(Procurement_Raw!E1717)="","",IFERROR(INDEX(Supplier_Lookup!$A$2:$A$25,MATCH(TRIM(Procurement_Raw!E1717),Supplier_Lookup!$A$2:$A$25,0)),TRIM(Procurement_Raw!E1717)))</f>
        <v>FleetFuel</v>
      </c>
      <c r="F1717" t="str">
        <f>IFERROR(INDEX(Category_Targets!$A$2:$A$9,MATCH(TRIM(Procurement_Raw!F1717),Category_Targets!$A$2:$A$9,0)),"Unmapped")</f>
        <v>Vehicle &amp; Fuel</v>
      </c>
      <c r="G1717" t="str">
        <f>TRIM(Procurement_Raw!G1717)</f>
        <v>INV-2025-01716</v>
      </c>
      <c r="H1717" s="77">
        <f>Procurement_Raw!H1717</f>
        <v>32</v>
      </c>
      <c r="I1717" s="124">
        <f>Procurement_Raw!I1717</f>
        <v>90.39</v>
      </c>
      <c r="J1717" s="125">
        <f>IF(Procurement_Raw!J1717="","",Procurement_Raw!J1717)</f>
        <v>2892.34</v>
      </c>
      <c r="K1717" s="77">
        <f>Procurement_Raw!K1717</f>
        <v>45</v>
      </c>
      <c r="L1717" t="str">
        <f>Procurement_Raw!L1717</f>
        <v>Procurement Portal</v>
      </c>
      <c r="M1717" t="str">
        <f>Procurement_Raw!O1717</f>
        <v>Y</v>
      </c>
      <c r="N1717" t="str">
        <f>IF(E1717="","Missing supplier",IF(B1717="","Missing site",IF(J1717="","Missing spend",IF(COUNTIFS($G$2:G1717,G1717,$E$2:E1717,E1717,$J$2:J1717,J1717)&gt;1,"Duplicate invoice",IF(COUNTIF($G$2:$G$1801,G1717)&gt;1,"Duplicate ID - review",IF(AND(P1717&lt;&gt;"Unmapped",P1717&lt;&gt;F1717),"Category mismatch","OK"))))))</f>
        <v>OK</v>
      </c>
      <c r="O1717" s="125">
        <f t="shared" si="78"/>
        <v>2892.34</v>
      </c>
      <c r="P1717" t="str">
        <f>IF(E1717="","Unmapped",IFERROR(INDEX(Supplier_Lookup!$B$2:$B$25,MATCH(E1717,Supplier_Lookup!$A$2:$A$25,0)),"Unmapped"))</f>
        <v>Vehicle &amp; Fuel</v>
      </c>
      <c r="Q1717" s="76">
        <f>IFERROR(INDEX(Category_Targets!$B$2:$B$9,MATCH(F1717,Category_Targets!$A$2:$A$9,0)),0)</f>
        <v>0.05</v>
      </c>
      <c r="R1717" s="125">
        <f t="shared" si="79"/>
        <v>144.61700000000002</v>
      </c>
      <c r="S1717" s="78">
        <f t="shared" si="80"/>
        <v>45992</v>
      </c>
      <c r="T1717" t="str">
        <f>IFERROR(VLOOKUP(B1717,Sites!$A$2:$D$21,4,FALSE()),"Unknown")</f>
        <v>Leeds</v>
      </c>
      <c r="U1717" t="str">
        <f>IF(N1717="OK","",COUNTIF($N$2:N1717,"&lt;&gt;OK"))</f>
        <v/>
      </c>
      <c r="V1717">
        <f>IF(OR(NOT(EXACT(E1717,TRIM(Procurement_Raw!E1717))),NOT(EXACT(F1717,TRIM(Procurement_Raw!F1717)))),1,0)</f>
        <v>0</v>
      </c>
    </row>
    <row r="1718" spans="1:22" ht="15" customHeight="1" x14ac:dyDescent="0.25">
      <c r="A1718" s="123">
        <f>Procurement_Raw!A1718</f>
        <v>45931</v>
      </c>
      <c r="B1718" t="str">
        <f>TRIM(Procurement_Raw!B1718)</f>
        <v>S013</v>
      </c>
      <c r="C1718" t="str">
        <f>Procurement_Raw!C1718</f>
        <v>Reading Care &amp; Education Centre</v>
      </c>
      <c r="D1718" t="str">
        <f>Procurement_Raw!D1718</f>
        <v>South</v>
      </c>
      <c r="E1718" t="str">
        <f>IF(TRIM(Procurement_Raw!E1718)="","",IFERROR(INDEX(Supplier_Lookup!$A$2:$A$25,MATCH(TRIM(Procurement_Raw!E1718),Supplier_Lookup!$A$2:$A$25,0)),TRIM(Procurement_Raw!E1718)))</f>
        <v>PrintCo</v>
      </c>
      <c r="F1718" t="str">
        <f>IFERROR(INDEX(Category_Targets!$A$2:$A$9,MATCH(TRIM(Procurement_Raw!F1718),Category_Targets!$A$2:$A$9,0)),"Unmapped")</f>
        <v>Office &amp; Training</v>
      </c>
      <c r="G1718" t="str">
        <f>TRIM(Procurement_Raw!G1718)</f>
        <v>INV-2025-01717</v>
      </c>
      <c r="H1718" s="77">
        <f>Procurement_Raw!H1718</f>
        <v>64</v>
      </c>
      <c r="I1718" s="124">
        <f>Procurement_Raw!I1718</f>
        <v>90.02</v>
      </c>
      <c r="J1718" s="125">
        <f>IF(Procurement_Raw!J1718="","",Procurement_Raw!J1718)</f>
        <v>5761.54</v>
      </c>
      <c r="K1718" s="77">
        <f>Procurement_Raw!K1718</f>
        <v>60</v>
      </c>
      <c r="L1718" t="str">
        <f>Procurement_Raw!L1718</f>
        <v>Legacy Spend File</v>
      </c>
      <c r="M1718" t="str">
        <f>Procurement_Raw!O1718</f>
        <v>N</v>
      </c>
      <c r="N1718" t="str">
        <f>IF(E1718="","Missing supplier",IF(B1718="","Missing site",IF(J1718="","Missing spend",IF(COUNTIFS($G$2:G1718,G1718,$E$2:E1718,E1718,$J$2:J1718,J1718)&gt;1,"Duplicate invoice",IF(COUNTIF($G$2:$G$1801,G1718)&gt;1,"Duplicate ID - review",IF(AND(P1718&lt;&gt;"Unmapped",P1718&lt;&gt;F1718),"Category mismatch","OK"))))))</f>
        <v>OK</v>
      </c>
      <c r="O1718" s="125">
        <f t="shared" si="78"/>
        <v>5761.54</v>
      </c>
      <c r="P1718" t="str">
        <f>IF(E1718="","Unmapped",IFERROR(INDEX(Supplier_Lookup!$B$2:$B$25,MATCH(E1718,Supplier_Lookup!$A$2:$A$25,0)),"Unmapped"))</f>
        <v>Office &amp; Training</v>
      </c>
      <c r="Q1718" s="76">
        <f>IFERROR(INDEX(Category_Targets!$B$2:$B$9,MATCH(F1718,Category_Targets!$A$2:$A$9,0)),0)</f>
        <v>0.04</v>
      </c>
      <c r="R1718" s="125">
        <f t="shared" si="79"/>
        <v>230.4616</v>
      </c>
      <c r="S1718" s="78">
        <f t="shared" si="80"/>
        <v>45931</v>
      </c>
      <c r="T1718" t="str">
        <f>IFERROR(VLOOKUP(B1718,Sites!$A$2:$D$21,4,FALSE()),"Unknown")</f>
        <v>Reading</v>
      </c>
      <c r="U1718" t="str">
        <f>IF(N1718="OK","",COUNTIF($N$2:N1718,"&lt;&gt;OK"))</f>
        <v/>
      </c>
      <c r="V1718">
        <f>IF(OR(NOT(EXACT(E1718,TRIM(Procurement_Raw!E1718))),NOT(EXACT(F1718,TRIM(Procurement_Raw!F1718)))),1,0)</f>
        <v>0</v>
      </c>
    </row>
    <row r="1719" spans="1:22" ht="15" customHeight="1" x14ac:dyDescent="0.25">
      <c r="A1719" s="123">
        <f>Procurement_Raw!A1719</f>
        <v>45955</v>
      </c>
      <c r="B1719" t="str">
        <f>TRIM(Procurement_Raw!B1719)</f>
        <v>S010</v>
      </c>
      <c r="C1719" t="str">
        <f>Procurement_Raw!C1719</f>
        <v>Coventry Care &amp; Education Centre</v>
      </c>
      <c r="D1719" t="str">
        <f>Procurement_Raw!D1719</f>
        <v>Midlands</v>
      </c>
      <c r="E1719" t="str">
        <f>IF(TRIM(Procurement_Raw!E1719)="","",IFERROR(INDEX(Supplier_Lookup!$A$2:$A$25,MATCH(TRIM(Procurement_Raw!E1719),Supplier_Lookup!$A$2:$A$25,0)),TRIM(Procurement_Raw!E1719)))</f>
        <v>HealthStaffing</v>
      </c>
      <c r="F1719" t="str">
        <f>IFERROR(INDEX(Category_Targets!$A$2:$A$9,MATCH(TRIM(Procurement_Raw!F1719),Category_Targets!$A$2:$A$9,0)),"Unmapped")</f>
        <v>Agency Labour</v>
      </c>
      <c r="G1719" t="str">
        <f>TRIM(Procurement_Raw!G1719)</f>
        <v>INV-2025-01718</v>
      </c>
      <c r="H1719" s="77">
        <f>Procurement_Raw!H1719</f>
        <v>54</v>
      </c>
      <c r="I1719" s="124">
        <f>Procurement_Raw!I1719</f>
        <v>333.14</v>
      </c>
      <c r="J1719" s="125">
        <f>IF(Procurement_Raw!J1719="","",Procurement_Raw!J1719)</f>
        <v>17989.46</v>
      </c>
      <c r="K1719" s="77">
        <f>Procurement_Raw!K1719</f>
        <v>60</v>
      </c>
      <c r="L1719" t="str">
        <f>Procurement_Raw!L1719</f>
        <v>Legacy Spend File</v>
      </c>
      <c r="M1719" t="str">
        <f>Procurement_Raw!O1719</f>
        <v>N</v>
      </c>
      <c r="N1719" t="str">
        <f>IF(E1719="","Missing supplier",IF(B1719="","Missing site",IF(J1719="","Missing spend",IF(COUNTIFS($G$2:G1719,G1719,$E$2:E1719,E1719,$J$2:J1719,J1719)&gt;1,"Duplicate invoice",IF(COUNTIF($G$2:$G$1801,G1719)&gt;1,"Duplicate ID - review",IF(AND(P1719&lt;&gt;"Unmapped",P1719&lt;&gt;F1719),"Category mismatch","OK"))))))</f>
        <v>OK</v>
      </c>
      <c r="O1719" s="125">
        <f t="shared" si="78"/>
        <v>17989.46</v>
      </c>
      <c r="P1719" t="str">
        <f>IF(E1719="","Unmapped",IFERROR(INDEX(Supplier_Lookup!$B$2:$B$25,MATCH(E1719,Supplier_Lookup!$A$2:$A$25,0)),"Unmapped"))</f>
        <v>Agency Labour</v>
      </c>
      <c r="Q1719" s="76">
        <f>IFERROR(INDEX(Category_Targets!$B$2:$B$9,MATCH(F1719,Category_Targets!$A$2:$A$9,0)),0)</f>
        <v>7.0000000000000007E-2</v>
      </c>
      <c r="R1719" s="125">
        <f t="shared" si="79"/>
        <v>1259.2622000000001</v>
      </c>
      <c r="S1719" s="78">
        <f t="shared" si="80"/>
        <v>45931</v>
      </c>
      <c r="T1719" t="str">
        <f>IFERROR(VLOOKUP(B1719,Sites!$A$2:$D$21,4,FALSE()),"Unknown")</f>
        <v>Coventry</v>
      </c>
      <c r="U1719" t="str">
        <f>IF(N1719="OK","",COUNTIF($N$2:N1719,"&lt;&gt;OK"))</f>
        <v/>
      </c>
      <c r="V1719">
        <f>IF(OR(NOT(EXACT(E1719,TRIM(Procurement_Raw!E1719))),NOT(EXACT(F1719,TRIM(Procurement_Raw!F1719)))),1,0)</f>
        <v>0</v>
      </c>
    </row>
    <row r="1720" spans="1:22" ht="15" customHeight="1" x14ac:dyDescent="0.25">
      <c r="A1720" s="123">
        <f>Procurement_Raw!A1720</f>
        <v>45702</v>
      </c>
      <c r="B1720" t="str">
        <f>TRIM(Procurement_Raw!B1720)</f>
        <v>S015</v>
      </c>
      <c r="C1720" t="str">
        <f>Procurement_Raw!C1720</f>
        <v>Brighton Care &amp; Education Centre</v>
      </c>
      <c r="D1720" t="str">
        <f>Procurement_Raw!D1720</f>
        <v>South</v>
      </c>
      <c r="E1720" t="str">
        <f>IF(TRIM(Procurement_Raw!E1720)="","",IFERROR(INDEX(Supplier_Lookup!$A$2:$A$25,MATCH(TRIM(Procurement_Raw!E1720),Supplier_Lookup!$A$2:$A$25,0)),TRIM(Procurement_Raw!E1720)))</f>
        <v>PowerDirect</v>
      </c>
      <c r="F1720" t="str">
        <f>IFERROR(INDEX(Category_Targets!$A$2:$A$9,MATCH(TRIM(Procurement_Raw!F1720),Category_Targets!$A$2:$A$9,0)),"Unmapped")</f>
        <v>Utilities</v>
      </c>
      <c r="G1720" t="str">
        <f>TRIM(Procurement_Raw!G1720)</f>
        <v>INV-2025-01719</v>
      </c>
      <c r="H1720" s="77">
        <f>Procurement_Raw!H1720</f>
        <v>31</v>
      </c>
      <c r="I1720" s="124">
        <f>Procurement_Raw!I1720</f>
        <v>369.32</v>
      </c>
      <c r="J1720" s="125">
        <f>IF(Procurement_Raw!J1720="","",Procurement_Raw!J1720)</f>
        <v>11448.87</v>
      </c>
      <c r="K1720" s="77">
        <f>Procurement_Raw!K1720</f>
        <v>45</v>
      </c>
      <c r="L1720" t="str">
        <f>Procurement_Raw!L1720</f>
        <v>ERP</v>
      </c>
      <c r="M1720" t="str">
        <f>Procurement_Raw!O1720</f>
        <v>N</v>
      </c>
      <c r="N1720" t="str">
        <f>IF(E1720="","Missing supplier",IF(B1720="","Missing site",IF(J1720="","Missing spend",IF(COUNTIFS($G$2:G1720,G1720,$E$2:E1720,E1720,$J$2:J1720,J1720)&gt;1,"Duplicate invoice",IF(COUNTIF($G$2:$G$1801,G1720)&gt;1,"Duplicate ID - review",IF(AND(P1720&lt;&gt;"Unmapped",P1720&lt;&gt;F1720),"Category mismatch","OK"))))))</f>
        <v>OK</v>
      </c>
      <c r="O1720" s="125">
        <f t="shared" si="78"/>
        <v>11448.87</v>
      </c>
      <c r="P1720" t="str">
        <f>IF(E1720="","Unmapped",IFERROR(INDEX(Supplier_Lookup!$B$2:$B$25,MATCH(E1720,Supplier_Lookup!$A$2:$A$25,0)),"Unmapped"))</f>
        <v>Utilities</v>
      </c>
      <c r="Q1720" s="76">
        <f>IFERROR(INDEX(Category_Targets!$B$2:$B$9,MATCH(F1720,Category_Targets!$A$2:$A$9,0)),0)</f>
        <v>0.03</v>
      </c>
      <c r="R1720" s="125">
        <f t="shared" si="79"/>
        <v>343.46609999999998</v>
      </c>
      <c r="S1720" s="78">
        <f t="shared" si="80"/>
        <v>45689</v>
      </c>
      <c r="T1720" t="str">
        <f>IFERROR(VLOOKUP(B1720,Sites!$A$2:$D$21,4,FALSE()),"Unknown")</f>
        <v>Brighton</v>
      </c>
      <c r="U1720" t="str">
        <f>IF(N1720="OK","",COUNTIF($N$2:N1720,"&lt;&gt;OK"))</f>
        <v/>
      </c>
      <c r="V1720">
        <f>IF(OR(NOT(EXACT(E1720,TRIM(Procurement_Raw!E1720))),NOT(EXACT(F1720,TRIM(Procurement_Raw!F1720)))),1,0)</f>
        <v>0</v>
      </c>
    </row>
    <row r="1721" spans="1:22" ht="15" customHeight="1" x14ac:dyDescent="0.25">
      <c r="A1721" s="123">
        <f>Procurement_Raw!A1721</f>
        <v>45943</v>
      </c>
      <c r="B1721" t="str">
        <f>TRIM(Procurement_Raw!B1721)</f>
        <v>S017</v>
      </c>
      <c r="C1721" t="str">
        <f>Procurement_Raw!C1721</f>
        <v>Swansea Care &amp; Education Centre</v>
      </c>
      <c r="D1721" t="str">
        <f>Procurement_Raw!D1721</f>
        <v>Wales</v>
      </c>
      <c r="E1721" t="str">
        <f>IF(TRIM(Procurement_Raw!E1721)="","",IFERROR(INDEX(Supplier_Lookup!$A$2:$A$25,MATCH(TRIM(Procurement_Raw!E1721),Supplier_Lookup!$A$2:$A$25,0)),TRIM(Procurement_Raw!E1721)))</f>
        <v>CareMed</v>
      </c>
      <c r="F1721" t="str">
        <f>IFERROR(INDEX(Category_Targets!$A$2:$A$9,MATCH(TRIM(Procurement_Raw!F1721),Category_Targets!$A$2:$A$9,0)),"Unmapped")</f>
        <v>Medical Supplies</v>
      </c>
      <c r="G1721" t="str">
        <f>TRIM(Procurement_Raw!G1721)</f>
        <v>INV-2025-01720</v>
      </c>
      <c r="H1721" s="77">
        <f>Procurement_Raw!H1721</f>
        <v>61</v>
      </c>
      <c r="I1721" s="124">
        <f>Procurement_Raw!I1721</f>
        <v>94.44</v>
      </c>
      <c r="J1721" s="125">
        <f>IF(Procurement_Raw!J1721="","",Procurement_Raw!J1721)</f>
        <v>5760.89</v>
      </c>
      <c r="K1721" s="77">
        <f>Procurement_Raw!K1721</f>
        <v>30</v>
      </c>
      <c r="L1721" t="str">
        <f>Procurement_Raw!L1721</f>
        <v>ERP</v>
      </c>
      <c r="M1721" t="str">
        <f>Procurement_Raw!O1721</f>
        <v>N</v>
      </c>
      <c r="N1721" t="str">
        <f>IF(E1721="","Missing supplier",IF(B1721="","Missing site",IF(J1721="","Missing spend",IF(COUNTIFS($G$2:G1721,G1721,$E$2:E1721,E1721,$J$2:J1721,J1721)&gt;1,"Duplicate invoice",IF(COUNTIF($G$2:$G$1801,G1721)&gt;1,"Duplicate ID - review",IF(AND(P1721&lt;&gt;"Unmapped",P1721&lt;&gt;F1721),"Category mismatch","OK"))))))</f>
        <v>OK</v>
      </c>
      <c r="O1721" s="125">
        <f t="shared" si="78"/>
        <v>5760.89</v>
      </c>
      <c r="P1721" t="str">
        <f>IF(E1721="","Unmapped",IFERROR(INDEX(Supplier_Lookup!$B$2:$B$25,MATCH(E1721,Supplier_Lookup!$A$2:$A$25,0)),"Unmapped"))</f>
        <v>Medical Supplies</v>
      </c>
      <c r="Q1721" s="76">
        <f>IFERROR(INDEX(Category_Targets!$B$2:$B$9,MATCH(F1721,Category_Targets!$A$2:$A$9,0)),0)</f>
        <v>0.06</v>
      </c>
      <c r="R1721" s="125">
        <f t="shared" si="79"/>
        <v>345.65340000000003</v>
      </c>
      <c r="S1721" s="78">
        <f t="shared" si="80"/>
        <v>45931</v>
      </c>
      <c r="T1721" t="str">
        <f>IFERROR(VLOOKUP(B1721,Sites!$A$2:$D$21,4,FALSE()),"Unknown")</f>
        <v>Swansea</v>
      </c>
      <c r="U1721" t="str">
        <f>IF(N1721="OK","",COUNTIF($N$2:N1721,"&lt;&gt;OK"))</f>
        <v/>
      </c>
      <c r="V1721">
        <f>IF(OR(NOT(EXACT(E1721,TRIM(Procurement_Raw!E1721))),NOT(EXACT(F1721,TRIM(Procurement_Raw!F1721)))),1,0)</f>
        <v>0</v>
      </c>
    </row>
    <row r="1722" spans="1:22" ht="15" customHeight="1" x14ac:dyDescent="0.25">
      <c r="A1722" s="123">
        <f>Procurement_Raw!A1722</f>
        <v>45729</v>
      </c>
      <c r="B1722" t="str">
        <f>TRIM(Procurement_Raw!B1722)</f>
        <v>S002</v>
      </c>
      <c r="C1722" t="str">
        <f>Procurement_Raw!C1722</f>
        <v>Manchester Care &amp; Education Centre</v>
      </c>
      <c r="D1722" t="str">
        <f>Procurement_Raw!D1722</f>
        <v>North</v>
      </c>
      <c r="E1722" t="str">
        <f>IF(TRIM(Procurement_Raw!E1722)="","",IFERROR(INDEX(Supplier_Lookup!$A$2:$A$25,MATCH(TRIM(Procurement_Raw!E1722),Supplier_Lookup!$A$2:$A$25,0)),TRIM(Procurement_Raw!E1722)))</f>
        <v>RoadReady</v>
      </c>
      <c r="F1722" t="str">
        <f>IFERROR(INDEX(Category_Targets!$A$2:$A$9,MATCH(TRIM(Procurement_Raw!F1722),Category_Targets!$A$2:$A$9,0)),"Unmapped")</f>
        <v>Vehicle &amp; Fuel</v>
      </c>
      <c r="G1722" t="str">
        <f>TRIM(Procurement_Raw!G1722)</f>
        <v>INV-2025-01721</v>
      </c>
      <c r="H1722" s="77">
        <f>Procurement_Raw!H1722</f>
        <v>38</v>
      </c>
      <c r="I1722" s="124">
        <f>Procurement_Raw!I1722</f>
        <v>125.98</v>
      </c>
      <c r="J1722" s="125">
        <f>IF(Procurement_Raw!J1722="","",Procurement_Raw!J1722)</f>
        <v>4787.0600000000004</v>
      </c>
      <c r="K1722" s="77">
        <f>Procurement_Raw!K1722</f>
        <v>45</v>
      </c>
      <c r="L1722" t="str">
        <f>Procurement_Raw!L1722</f>
        <v>ERP</v>
      </c>
      <c r="M1722" t="str">
        <f>Procurement_Raw!O1722</f>
        <v>N</v>
      </c>
      <c r="N1722" t="str">
        <f>IF(E1722="","Missing supplier",IF(B1722="","Missing site",IF(J1722="","Missing spend",IF(COUNTIFS($G$2:G1722,G1722,$E$2:E1722,E1722,$J$2:J1722,J1722)&gt;1,"Duplicate invoice",IF(COUNTIF($G$2:$G$1801,G1722)&gt;1,"Duplicate ID - review",IF(AND(P1722&lt;&gt;"Unmapped",P1722&lt;&gt;F1722),"Category mismatch","OK"))))))</f>
        <v>OK</v>
      </c>
      <c r="O1722" s="125">
        <f t="shared" si="78"/>
        <v>4787.0600000000004</v>
      </c>
      <c r="P1722" t="str">
        <f>IF(E1722="","Unmapped",IFERROR(INDEX(Supplier_Lookup!$B$2:$B$25,MATCH(E1722,Supplier_Lookup!$A$2:$A$25,0)),"Unmapped"))</f>
        <v>Vehicle &amp; Fuel</v>
      </c>
      <c r="Q1722" s="76">
        <f>IFERROR(INDEX(Category_Targets!$B$2:$B$9,MATCH(F1722,Category_Targets!$A$2:$A$9,0)),0)</f>
        <v>0.05</v>
      </c>
      <c r="R1722" s="125">
        <f t="shared" si="79"/>
        <v>239.35300000000004</v>
      </c>
      <c r="S1722" s="78">
        <f t="shared" si="80"/>
        <v>45717</v>
      </c>
      <c r="T1722" t="str">
        <f>IFERROR(VLOOKUP(B1722,Sites!$A$2:$D$21,4,FALSE()),"Unknown")</f>
        <v>Manchester</v>
      </c>
      <c r="U1722" t="str">
        <f>IF(N1722="OK","",COUNTIF($N$2:N1722,"&lt;&gt;OK"))</f>
        <v/>
      </c>
      <c r="V1722">
        <f>IF(OR(NOT(EXACT(E1722,TRIM(Procurement_Raw!E1722))),NOT(EXACT(F1722,TRIM(Procurement_Raw!F1722)))),1,0)</f>
        <v>0</v>
      </c>
    </row>
    <row r="1723" spans="1:22" ht="15" customHeight="1" x14ac:dyDescent="0.25">
      <c r="A1723" s="123">
        <f>Procurement_Raw!A1723</f>
        <v>45765</v>
      </c>
      <c r="B1723" t="str">
        <f>TRIM(Procurement_Raw!B1723)</f>
        <v>S011</v>
      </c>
      <c r="C1723" t="str">
        <f>Procurement_Raw!C1723</f>
        <v>London Care &amp; Education Centre</v>
      </c>
      <c r="D1723" t="str">
        <f>Procurement_Raw!D1723</f>
        <v>South</v>
      </c>
      <c r="E1723" t="str">
        <f>IF(TRIM(Procurement_Raw!E1723)="","",IFERROR(INDEX(Supplier_Lookup!$A$2:$A$25,MATCH(TRIM(Procurement_Raw!E1723),Supplier_Lookup!$A$2:$A$25,0)),TRIM(Procurement_Raw!E1723)))</f>
        <v>HealthStaffing</v>
      </c>
      <c r="F1723" t="str">
        <f>IFERROR(INDEX(Category_Targets!$A$2:$A$9,MATCH(TRIM(Procurement_Raw!F1723),Category_Targets!$A$2:$A$9,0)),"Unmapped")</f>
        <v>Agency Labour</v>
      </c>
      <c r="G1723" t="str">
        <f>TRIM(Procurement_Raw!G1723)</f>
        <v>INV-2025-01722</v>
      </c>
      <c r="H1723" s="77">
        <f>Procurement_Raw!H1723</f>
        <v>29</v>
      </c>
      <c r="I1723" s="124">
        <f>Procurement_Raw!I1723</f>
        <v>260.08999999999997</v>
      </c>
      <c r="J1723" s="125">
        <f>IF(Procurement_Raw!J1723="","",Procurement_Raw!J1723)</f>
        <v>7542.64</v>
      </c>
      <c r="K1723" s="77">
        <f>Procurement_Raw!K1723</f>
        <v>30</v>
      </c>
      <c r="L1723" t="str">
        <f>Procurement_Raw!L1723</f>
        <v>Legacy Spend File</v>
      </c>
      <c r="M1723" t="str">
        <f>Procurement_Raw!O1723</f>
        <v>N</v>
      </c>
      <c r="N1723" t="str">
        <f>IF(E1723="","Missing supplier",IF(B1723="","Missing site",IF(J1723="","Missing spend",IF(COUNTIFS($G$2:G1723,G1723,$E$2:E1723,E1723,$J$2:J1723,J1723)&gt;1,"Duplicate invoice",IF(COUNTIF($G$2:$G$1801,G1723)&gt;1,"Duplicate ID - review",IF(AND(P1723&lt;&gt;"Unmapped",P1723&lt;&gt;F1723),"Category mismatch","OK"))))))</f>
        <v>OK</v>
      </c>
      <c r="O1723" s="125">
        <f t="shared" si="78"/>
        <v>7542.64</v>
      </c>
      <c r="P1723" t="str">
        <f>IF(E1723="","Unmapped",IFERROR(INDEX(Supplier_Lookup!$B$2:$B$25,MATCH(E1723,Supplier_Lookup!$A$2:$A$25,0)),"Unmapped"))</f>
        <v>Agency Labour</v>
      </c>
      <c r="Q1723" s="76">
        <f>IFERROR(INDEX(Category_Targets!$B$2:$B$9,MATCH(F1723,Category_Targets!$A$2:$A$9,0)),0)</f>
        <v>7.0000000000000007E-2</v>
      </c>
      <c r="R1723" s="125">
        <f t="shared" si="79"/>
        <v>527.98480000000006</v>
      </c>
      <c r="S1723" s="78">
        <f t="shared" si="80"/>
        <v>45748</v>
      </c>
      <c r="T1723" t="str">
        <f>IFERROR(VLOOKUP(B1723,Sites!$A$2:$D$21,4,FALSE()),"Unknown")</f>
        <v>London</v>
      </c>
      <c r="U1723" t="str">
        <f>IF(N1723="OK","",COUNTIF($N$2:N1723,"&lt;&gt;OK"))</f>
        <v/>
      </c>
      <c r="V1723">
        <f>IF(OR(NOT(EXACT(E1723,TRIM(Procurement_Raw!E1723))),NOT(EXACT(F1723,TRIM(Procurement_Raw!F1723)))),1,0)</f>
        <v>0</v>
      </c>
    </row>
    <row r="1724" spans="1:22" ht="15" customHeight="1" x14ac:dyDescent="0.25">
      <c r="A1724" s="123">
        <f>Procurement_Raw!A1724</f>
        <v>46018</v>
      </c>
      <c r="B1724" t="str">
        <f>TRIM(Procurement_Raw!B1724)</f>
        <v>S001</v>
      </c>
      <c r="C1724" t="str">
        <f>Procurement_Raw!C1724</f>
        <v>Preston Care &amp; Education Centre</v>
      </c>
      <c r="D1724" t="str">
        <f>Procurement_Raw!D1724</f>
        <v>North</v>
      </c>
      <c r="E1724" t="str">
        <f>IF(TRIM(Procurement_Raw!E1724)="","",IFERROR(INDEX(Supplier_Lookup!$A$2:$A$25,MATCH(TRIM(Procurement_Raw!E1724),Supplier_Lookup!$A$2:$A$25,0)),TRIM(Procurement_Raw!E1724)))</f>
        <v>KitchenPro</v>
      </c>
      <c r="F1724" t="str">
        <f>IFERROR(INDEX(Category_Targets!$A$2:$A$9,MATCH(TRIM(Procurement_Raw!F1724),Category_Targets!$A$2:$A$9,0)),"Unmapped")</f>
        <v>Food &amp; Catering</v>
      </c>
      <c r="G1724" t="str">
        <f>TRIM(Procurement_Raw!G1724)</f>
        <v>INV-2025-01723</v>
      </c>
      <c r="H1724" s="77">
        <f>Procurement_Raw!H1724</f>
        <v>19</v>
      </c>
      <c r="I1724" s="124">
        <f>Procurement_Raw!I1724</f>
        <v>97.59</v>
      </c>
      <c r="J1724" s="125">
        <f>IF(Procurement_Raw!J1724="","",Procurement_Raw!J1724)</f>
        <v>1854.13</v>
      </c>
      <c r="K1724" s="77">
        <f>Procurement_Raw!K1724</f>
        <v>45</v>
      </c>
      <c r="L1724" t="str">
        <f>Procurement_Raw!L1724</f>
        <v>Legacy Spend File</v>
      </c>
      <c r="M1724" t="str">
        <f>Procurement_Raw!O1724</f>
        <v>N</v>
      </c>
      <c r="N1724" t="str">
        <f>IF(E1724="","Missing supplier",IF(B1724="","Missing site",IF(J1724="","Missing spend",IF(COUNTIFS($G$2:G1724,G1724,$E$2:E1724,E1724,$J$2:J1724,J1724)&gt;1,"Duplicate invoice",IF(COUNTIF($G$2:$G$1801,G1724)&gt;1,"Duplicate ID - review",IF(AND(P1724&lt;&gt;"Unmapped",P1724&lt;&gt;F1724),"Category mismatch","OK"))))))</f>
        <v>OK</v>
      </c>
      <c r="O1724" s="125">
        <f t="shared" si="78"/>
        <v>1854.13</v>
      </c>
      <c r="P1724" t="str">
        <f>IF(E1724="","Unmapped",IFERROR(INDEX(Supplier_Lookup!$B$2:$B$25,MATCH(E1724,Supplier_Lookup!$A$2:$A$25,0)),"Unmapped"))</f>
        <v>Food &amp; Catering</v>
      </c>
      <c r="Q1724" s="76">
        <f>IFERROR(INDEX(Category_Targets!$B$2:$B$9,MATCH(F1724,Category_Targets!$A$2:$A$9,0)),0)</f>
        <v>0.04</v>
      </c>
      <c r="R1724" s="125">
        <f t="shared" si="79"/>
        <v>74.165200000000013</v>
      </c>
      <c r="S1724" s="78">
        <f t="shared" si="80"/>
        <v>45992</v>
      </c>
      <c r="T1724" t="str">
        <f>IFERROR(VLOOKUP(B1724,Sites!$A$2:$D$21,4,FALSE()),"Unknown")</f>
        <v>Preston</v>
      </c>
      <c r="U1724" t="str">
        <f>IF(N1724="OK","",COUNTIF($N$2:N1724,"&lt;&gt;OK"))</f>
        <v/>
      </c>
      <c r="V1724">
        <f>IF(OR(NOT(EXACT(E1724,TRIM(Procurement_Raw!E1724))),NOT(EXACT(F1724,TRIM(Procurement_Raw!F1724)))),1,0)</f>
        <v>0</v>
      </c>
    </row>
    <row r="1725" spans="1:22" ht="15" customHeight="1" x14ac:dyDescent="0.25">
      <c r="A1725" s="123">
        <f>Procurement_Raw!A1725</f>
        <v>45685</v>
      </c>
      <c r="B1725" t="str">
        <f>TRIM(Procurement_Raw!B1725)</f>
        <v>S017</v>
      </c>
      <c r="C1725" t="str">
        <f>Procurement_Raw!C1725</f>
        <v>Swansea Care &amp; Education Centre</v>
      </c>
      <c r="D1725" t="str">
        <f>Procurement_Raw!D1725</f>
        <v>Wales</v>
      </c>
      <c r="E1725" t="str">
        <f>IF(TRIM(Procurement_Raw!E1725)="","",IFERROR(INDEX(Supplier_Lookup!$A$2:$A$25,MATCH(TRIM(Procurement_Raw!E1725),Supplier_Lookup!$A$2:$A$25,0)),TRIM(Procurement_Raw!E1725)))</f>
        <v>CareTemps</v>
      </c>
      <c r="F1725" t="str">
        <f>IFERROR(INDEX(Category_Targets!$A$2:$A$9,MATCH(TRIM(Procurement_Raw!F1725),Category_Targets!$A$2:$A$9,0)),"Unmapped")</f>
        <v>Agency Labour</v>
      </c>
      <c r="G1725" t="str">
        <f>TRIM(Procurement_Raw!G1725)</f>
        <v>INV-2025-01724</v>
      </c>
      <c r="H1725" s="77">
        <f>Procurement_Raw!H1725</f>
        <v>14</v>
      </c>
      <c r="I1725" s="124">
        <f>Procurement_Raw!I1725</f>
        <v>420.83</v>
      </c>
      <c r="J1725" s="125">
        <f>IF(Procurement_Raw!J1725="","",Procurement_Raw!J1725)</f>
        <v>5891.65</v>
      </c>
      <c r="K1725" s="77">
        <f>Procurement_Raw!K1725</f>
        <v>60</v>
      </c>
      <c r="L1725" t="str">
        <f>Procurement_Raw!L1725</f>
        <v>Legacy Spend File</v>
      </c>
      <c r="M1725" t="str">
        <f>Procurement_Raw!O1725</f>
        <v>N</v>
      </c>
      <c r="N1725" t="str">
        <f>IF(E1725="","Missing supplier",IF(B1725="","Missing site",IF(J1725="","Missing spend",IF(COUNTIFS($G$2:G1725,G1725,$E$2:E1725,E1725,$J$2:J1725,J1725)&gt;1,"Duplicate invoice",IF(COUNTIF($G$2:$G$1801,G1725)&gt;1,"Duplicate ID - review",IF(AND(P1725&lt;&gt;"Unmapped",P1725&lt;&gt;F1725),"Category mismatch","OK"))))))</f>
        <v>OK</v>
      </c>
      <c r="O1725" s="125">
        <f t="shared" si="78"/>
        <v>5891.65</v>
      </c>
      <c r="P1725" t="str">
        <f>IF(E1725="","Unmapped",IFERROR(INDEX(Supplier_Lookup!$B$2:$B$25,MATCH(E1725,Supplier_Lookup!$A$2:$A$25,0)),"Unmapped"))</f>
        <v>Agency Labour</v>
      </c>
      <c r="Q1725" s="76">
        <f>IFERROR(INDEX(Category_Targets!$B$2:$B$9,MATCH(F1725,Category_Targets!$A$2:$A$9,0)),0)</f>
        <v>7.0000000000000007E-2</v>
      </c>
      <c r="R1725" s="125">
        <f t="shared" si="79"/>
        <v>412.41550000000001</v>
      </c>
      <c r="S1725" s="78">
        <f t="shared" si="80"/>
        <v>45658</v>
      </c>
      <c r="T1725" t="str">
        <f>IFERROR(VLOOKUP(B1725,Sites!$A$2:$D$21,4,FALSE()),"Unknown")</f>
        <v>Swansea</v>
      </c>
      <c r="U1725" t="str">
        <f>IF(N1725="OK","",COUNTIF($N$2:N1725,"&lt;&gt;OK"))</f>
        <v/>
      </c>
      <c r="V1725">
        <f>IF(OR(NOT(EXACT(E1725,TRIM(Procurement_Raw!E1725))),NOT(EXACT(F1725,TRIM(Procurement_Raw!F1725)))),1,0)</f>
        <v>0</v>
      </c>
    </row>
    <row r="1726" spans="1:22" ht="15" customHeight="1" x14ac:dyDescent="0.25">
      <c r="A1726" s="123">
        <f>Procurement_Raw!A1726</f>
        <v>45738</v>
      </c>
      <c r="B1726" t="str">
        <f>TRIM(Procurement_Raw!B1726)</f>
        <v>S017</v>
      </c>
      <c r="C1726" t="str">
        <f>Procurement_Raw!C1726</f>
        <v>Swansea Care &amp; Education Centre</v>
      </c>
      <c r="D1726" t="str">
        <f>Procurement_Raw!D1726</f>
        <v>Wales</v>
      </c>
      <c r="E1726" t="str">
        <f>IF(TRIM(Procurement_Raw!E1726)="","",IFERROR(INDEX(Supplier_Lookup!$A$2:$A$25,MATCH(TRIM(Procurement_Raw!E1726),Supplier_Lookup!$A$2:$A$25,0)),TRIM(Procurement_Raw!E1726)))</f>
        <v>PrintCo</v>
      </c>
      <c r="F1726" t="str">
        <f>IFERROR(INDEX(Category_Targets!$A$2:$A$9,MATCH(TRIM(Procurement_Raw!F1726),Category_Targets!$A$2:$A$9,0)),"Unmapped")</f>
        <v>Office &amp; Training</v>
      </c>
      <c r="G1726" t="str">
        <f>TRIM(Procurement_Raw!G1726)</f>
        <v>INV-2025-01725</v>
      </c>
      <c r="H1726" s="77">
        <f>Procurement_Raw!H1726</f>
        <v>4</v>
      </c>
      <c r="I1726" s="124">
        <f>Procurement_Raw!I1726</f>
        <v>44.84</v>
      </c>
      <c r="J1726" s="125">
        <f>IF(Procurement_Raw!J1726="","",Procurement_Raw!J1726)</f>
        <v>179.34</v>
      </c>
      <c r="K1726" s="77">
        <f>Procurement_Raw!K1726</f>
        <v>30</v>
      </c>
      <c r="L1726" t="str">
        <f>Procurement_Raw!L1726</f>
        <v>Procurement Portal</v>
      </c>
      <c r="M1726" t="str">
        <f>Procurement_Raw!O1726</f>
        <v>N</v>
      </c>
      <c r="N1726" t="str">
        <f>IF(E1726="","Missing supplier",IF(B1726="","Missing site",IF(J1726="","Missing spend",IF(COUNTIFS($G$2:G1726,G1726,$E$2:E1726,E1726,$J$2:J1726,J1726)&gt;1,"Duplicate invoice",IF(COUNTIF($G$2:$G$1801,G1726)&gt;1,"Duplicate ID - review",IF(AND(P1726&lt;&gt;"Unmapped",P1726&lt;&gt;F1726),"Category mismatch","OK"))))))</f>
        <v>OK</v>
      </c>
      <c r="O1726" s="125">
        <f t="shared" si="78"/>
        <v>179.34</v>
      </c>
      <c r="P1726" t="str">
        <f>IF(E1726="","Unmapped",IFERROR(INDEX(Supplier_Lookup!$B$2:$B$25,MATCH(E1726,Supplier_Lookup!$A$2:$A$25,0)),"Unmapped"))</f>
        <v>Office &amp; Training</v>
      </c>
      <c r="Q1726" s="76">
        <f>IFERROR(INDEX(Category_Targets!$B$2:$B$9,MATCH(F1726,Category_Targets!$A$2:$A$9,0)),0)</f>
        <v>0.04</v>
      </c>
      <c r="R1726" s="125">
        <f t="shared" si="79"/>
        <v>7.1736000000000004</v>
      </c>
      <c r="S1726" s="78">
        <f t="shared" si="80"/>
        <v>45717</v>
      </c>
      <c r="T1726" t="str">
        <f>IFERROR(VLOOKUP(B1726,Sites!$A$2:$D$21,4,FALSE()),"Unknown")</f>
        <v>Swansea</v>
      </c>
      <c r="U1726" t="str">
        <f>IF(N1726="OK","",COUNTIF($N$2:N1726,"&lt;&gt;OK"))</f>
        <v/>
      </c>
      <c r="V1726">
        <f>IF(OR(NOT(EXACT(E1726,TRIM(Procurement_Raw!E1726))),NOT(EXACT(F1726,TRIM(Procurement_Raw!F1726)))),1,0)</f>
        <v>0</v>
      </c>
    </row>
    <row r="1727" spans="1:22" ht="15" customHeight="1" x14ac:dyDescent="0.25">
      <c r="A1727" s="123">
        <f>Procurement_Raw!A1727</f>
        <v>45697</v>
      </c>
      <c r="B1727" t="str">
        <f>TRIM(Procurement_Raw!B1727)</f>
        <v>S017</v>
      </c>
      <c r="C1727" t="str">
        <f>Procurement_Raw!C1727</f>
        <v>Swansea Care &amp; Education Centre</v>
      </c>
      <c r="D1727" t="str">
        <f>Procurement_Raw!D1727</f>
        <v>Wales</v>
      </c>
      <c r="E1727" t="str">
        <f>IF(TRIM(Procurement_Raw!E1727)="","",IFERROR(INDEX(Supplier_Lookup!$A$2:$A$25,MATCH(TRIM(Procurement_Raw!E1727),Supplier_Lookup!$A$2:$A$25,0)),TRIM(Procurement_Raw!E1727)))</f>
        <v>FreshServe</v>
      </c>
      <c r="F1727" t="str">
        <f>IFERROR(INDEX(Category_Targets!$A$2:$A$9,MATCH(TRIM(Procurement_Raw!F1727),Category_Targets!$A$2:$A$9,0)),"Unmapped")</f>
        <v>Food &amp; Catering</v>
      </c>
      <c r="G1727" t="str">
        <f>TRIM(Procurement_Raw!G1727)</f>
        <v>INV-2025-01726</v>
      </c>
      <c r="H1727" s="77">
        <f>Procurement_Raw!H1727</f>
        <v>2</v>
      </c>
      <c r="I1727" s="124">
        <f>Procurement_Raw!I1727</f>
        <v>118.12</v>
      </c>
      <c r="J1727" s="125">
        <f>IF(Procurement_Raw!J1727="","",Procurement_Raw!J1727)</f>
        <v>236.23</v>
      </c>
      <c r="K1727" s="77">
        <f>Procurement_Raw!K1727</f>
        <v>60</v>
      </c>
      <c r="L1727" t="str">
        <f>Procurement_Raw!L1727</f>
        <v>Procurement Portal</v>
      </c>
      <c r="M1727" t="str">
        <f>Procurement_Raw!O1727</f>
        <v>Y</v>
      </c>
      <c r="N1727" t="str">
        <f>IF(E1727="","Missing supplier",IF(B1727="","Missing site",IF(J1727="","Missing spend",IF(COUNTIFS($G$2:G1727,G1727,$E$2:E1727,E1727,$J$2:J1727,J1727)&gt;1,"Duplicate invoice",IF(COUNTIF($G$2:$G$1801,G1727)&gt;1,"Duplicate ID - review",IF(AND(P1727&lt;&gt;"Unmapped",P1727&lt;&gt;F1727),"Category mismatch","OK"))))))</f>
        <v>OK</v>
      </c>
      <c r="O1727" s="125">
        <f t="shared" si="78"/>
        <v>236.23</v>
      </c>
      <c r="P1727" t="str">
        <f>IF(E1727="","Unmapped",IFERROR(INDEX(Supplier_Lookup!$B$2:$B$25,MATCH(E1727,Supplier_Lookup!$A$2:$A$25,0)),"Unmapped"))</f>
        <v>Food &amp; Catering</v>
      </c>
      <c r="Q1727" s="76">
        <f>IFERROR(INDEX(Category_Targets!$B$2:$B$9,MATCH(F1727,Category_Targets!$A$2:$A$9,0)),0)</f>
        <v>0.04</v>
      </c>
      <c r="R1727" s="125">
        <f t="shared" si="79"/>
        <v>9.4491999999999994</v>
      </c>
      <c r="S1727" s="78">
        <f t="shared" si="80"/>
        <v>45689</v>
      </c>
      <c r="T1727" t="str">
        <f>IFERROR(VLOOKUP(B1727,Sites!$A$2:$D$21,4,FALSE()),"Unknown")</f>
        <v>Swansea</v>
      </c>
      <c r="U1727" t="str">
        <f>IF(N1727="OK","",COUNTIF($N$2:N1727,"&lt;&gt;OK"))</f>
        <v/>
      </c>
      <c r="V1727">
        <f>IF(OR(NOT(EXACT(E1727,TRIM(Procurement_Raw!E1727))),NOT(EXACT(F1727,TRIM(Procurement_Raw!F1727)))),1,0)</f>
        <v>0</v>
      </c>
    </row>
    <row r="1728" spans="1:22" ht="15" customHeight="1" x14ac:dyDescent="0.25">
      <c r="A1728" s="123">
        <f>Procurement_Raw!A1728</f>
        <v>45729</v>
      </c>
      <c r="B1728" t="str">
        <f>TRIM(Procurement_Raw!B1728)</f>
        <v>S002</v>
      </c>
      <c r="C1728" t="str">
        <f>Procurement_Raw!C1728</f>
        <v>Manchester Care &amp; Education Centre</v>
      </c>
      <c r="D1728" t="str">
        <f>Procurement_Raw!D1728</f>
        <v>North</v>
      </c>
      <c r="E1728" t="str">
        <f>IF(TRIM(Procurement_Raw!E1728)="","",IFERROR(INDEX(Supplier_Lookup!$A$2:$A$25,MATCH(TRIM(Procurement_Raw!E1728),Supplier_Lookup!$A$2:$A$25,0)),TRIM(Procurement_Raw!E1728)))</f>
        <v>SafeGuard FM</v>
      </c>
      <c r="F1728" t="str">
        <f>IFERROR(INDEX(Category_Targets!$A$2:$A$9,MATCH(TRIM(Procurement_Raw!F1728),Category_Targets!$A$2:$A$9,0)),"Unmapped")</f>
        <v>Facilities</v>
      </c>
      <c r="G1728" t="str">
        <f>TRIM(Procurement_Raw!G1728)</f>
        <v>INV-2025-01727</v>
      </c>
      <c r="H1728" s="77">
        <f>Procurement_Raw!H1728</f>
        <v>68</v>
      </c>
      <c r="I1728" s="124">
        <f>Procurement_Raw!I1728</f>
        <v>134.05000000000001</v>
      </c>
      <c r="J1728" s="125">
        <f>IF(Procurement_Raw!J1728="","",Procurement_Raw!J1728)</f>
        <v>9115.07</v>
      </c>
      <c r="K1728" s="77">
        <f>Procurement_Raw!K1728</f>
        <v>60</v>
      </c>
      <c r="L1728" t="str">
        <f>Procurement_Raw!L1728</f>
        <v>Procurement Portal</v>
      </c>
      <c r="M1728" t="str">
        <f>Procurement_Raw!O1728</f>
        <v>N</v>
      </c>
      <c r="N1728" t="str">
        <f>IF(E1728="","Missing supplier",IF(B1728="","Missing site",IF(J1728="","Missing spend",IF(COUNTIFS($G$2:G1728,G1728,$E$2:E1728,E1728,$J$2:J1728,J1728)&gt;1,"Duplicate invoice",IF(COUNTIF($G$2:$G$1801,G1728)&gt;1,"Duplicate ID - review",IF(AND(P1728&lt;&gt;"Unmapped",P1728&lt;&gt;F1728),"Category mismatch","OK"))))))</f>
        <v>OK</v>
      </c>
      <c r="O1728" s="125">
        <f t="shared" si="78"/>
        <v>9115.07</v>
      </c>
      <c r="P1728" t="str">
        <f>IF(E1728="","Unmapped",IFERROR(INDEX(Supplier_Lookup!$B$2:$B$25,MATCH(E1728,Supplier_Lookup!$A$2:$A$25,0)),"Unmapped"))</f>
        <v>Facilities</v>
      </c>
      <c r="Q1728" s="76">
        <f>IFERROR(INDEX(Category_Targets!$B$2:$B$9,MATCH(F1728,Category_Targets!$A$2:$A$9,0)),0)</f>
        <v>0.05</v>
      </c>
      <c r="R1728" s="125">
        <f t="shared" si="79"/>
        <v>455.75350000000003</v>
      </c>
      <c r="S1728" s="78">
        <f t="shared" si="80"/>
        <v>45717</v>
      </c>
      <c r="T1728" t="str">
        <f>IFERROR(VLOOKUP(B1728,Sites!$A$2:$D$21,4,FALSE()),"Unknown")</f>
        <v>Manchester</v>
      </c>
      <c r="U1728" t="str">
        <f>IF(N1728="OK","",COUNTIF($N$2:N1728,"&lt;&gt;OK"))</f>
        <v/>
      </c>
      <c r="V1728">
        <f>IF(OR(NOT(EXACT(E1728,TRIM(Procurement_Raw!E1728))),NOT(EXACT(F1728,TRIM(Procurement_Raw!F1728)))),1,0)</f>
        <v>0</v>
      </c>
    </row>
    <row r="1729" spans="1:22" ht="15" customHeight="1" x14ac:dyDescent="0.25">
      <c r="A1729" s="123">
        <f>Procurement_Raw!A1729</f>
        <v>45830</v>
      </c>
      <c r="B1729" t="str">
        <f>TRIM(Procurement_Raw!B1729)</f>
        <v>S004</v>
      </c>
      <c r="C1729" t="str">
        <f>Procurement_Raw!C1729</f>
        <v>Newcastle Care &amp; Education Centre</v>
      </c>
      <c r="D1729" t="str">
        <f>Procurement_Raw!D1729</f>
        <v>North</v>
      </c>
      <c r="E1729" t="str">
        <f>IF(TRIM(Procurement_Raw!E1729)="","",IFERROR(INDEX(Supplier_Lookup!$A$2:$A$25,MATCH(TRIM(Procurement_Raw!E1729),Supplier_Lookup!$A$2:$A$25,0)),TRIM(Procurement_Raw!E1729)))</f>
        <v>NurseLink</v>
      </c>
      <c r="F1729" t="str">
        <f>IFERROR(INDEX(Category_Targets!$A$2:$A$9,MATCH(TRIM(Procurement_Raw!F1729),Category_Targets!$A$2:$A$9,0)),"Unmapped")</f>
        <v>Agency Labour</v>
      </c>
      <c r="G1729" t="str">
        <f>TRIM(Procurement_Raw!G1729)</f>
        <v>INV-2025-01728</v>
      </c>
      <c r="H1729" s="77">
        <f>Procurement_Raw!H1729</f>
        <v>57</v>
      </c>
      <c r="I1729" s="124">
        <f>Procurement_Raw!I1729</f>
        <v>467.88</v>
      </c>
      <c r="J1729" s="125">
        <f>IF(Procurement_Raw!J1729="","",Procurement_Raw!J1729)</f>
        <v>26669.22</v>
      </c>
      <c r="K1729" s="77">
        <f>Procurement_Raw!K1729</f>
        <v>60</v>
      </c>
      <c r="L1729" t="str">
        <f>Procurement_Raw!L1729</f>
        <v>Legacy Spend File</v>
      </c>
      <c r="M1729" t="str">
        <f>Procurement_Raw!O1729</f>
        <v>N</v>
      </c>
      <c r="N1729" t="str">
        <f>IF(E1729="","Missing supplier",IF(B1729="","Missing site",IF(J1729="","Missing spend",IF(COUNTIFS($G$2:G1729,G1729,$E$2:E1729,E1729,$J$2:J1729,J1729)&gt;1,"Duplicate invoice",IF(COUNTIF($G$2:$G$1801,G1729)&gt;1,"Duplicate ID - review",IF(AND(P1729&lt;&gt;"Unmapped",P1729&lt;&gt;F1729),"Category mismatch","OK"))))))</f>
        <v>OK</v>
      </c>
      <c r="O1729" s="125">
        <f t="shared" si="78"/>
        <v>26669.22</v>
      </c>
      <c r="P1729" t="str">
        <f>IF(E1729="","Unmapped",IFERROR(INDEX(Supplier_Lookup!$B$2:$B$25,MATCH(E1729,Supplier_Lookup!$A$2:$A$25,0)),"Unmapped"))</f>
        <v>Agency Labour</v>
      </c>
      <c r="Q1729" s="76">
        <f>IFERROR(INDEX(Category_Targets!$B$2:$B$9,MATCH(F1729,Category_Targets!$A$2:$A$9,0)),0)</f>
        <v>7.0000000000000007E-2</v>
      </c>
      <c r="R1729" s="125">
        <f t="shared" si="79"/>
        <v>1866.8454000000002</v>
      </c>
      <c r="S1729" s="78">
        <f t="shared" si="80"/>
        <v>45809</v>
      </c>
      <c r="T1729" t="str">
        <f>IFERROR(VLOOKUP(B1729,Sites!$A$2:$D$21,4,FALSE()),"Unknown")</f>
        <v>Newcastle</v>
      </c>
      <c r="U1729" t="str">
        <f>IF(N1729="OK","",COUNTIF($N$2:N1729,"&lt;&gt;OK"))</f>
        <v/>
      </c>
      <c r="V1729">
        <f>IF(OR(NOT(EXACT(E1729,TRIM(Procurement_Raw!E1729))),NOT(EXACT(F1729,TRIM(Procurement_Raw!F1729)))),1,0)</f>
        <v>0</v>
      </c>
    </row>
    <row r="1730" spans="1:22" ht="15" customHeight="1" x14ac:dyDescent="0.25">
      <c r="A1730" s="123">
        <f>Procurement_Raw!A1730</f>
        <v>45737</v>
      </c>
      <c r="B1730" t="str">
        <f>TRIM(Procurement_Raw!B1730)</f>
        <v>S012</v>
      </c>
      <c r="C1730" t="str">
        <f>Procurement_Raw!C1730</f>
        <v>Bristol Care &amp; Education Centre</v>
      </c>
      <c r="D1730" t="str">
        <f>Procurement_Raw!D1730</f>
        <v>South</v>
      </c>
      <c r="E1730" t="str">
        <f>IF(TRIM(Procurement_Raw!E1730)="","",IFERROR(INDEX(Supplier_Lookup!$A$2:$A$25,MATCH(TRIM(Procurement_Raw!E1730),Supplier_Lookup!$A$2:$A$25,0)),TRIM(Procurement_Raw!E1730)))</f>
        <v>CloudLink</v>
      </c>
      <c r="F1730" t="str">
        <f>IFERROR(INDEX(Category_Targets!$A$2:$A$9,MATCH(TRIM(Procurement_Raw!F1730),Category_Targets!$A$2:$A$9,0)),"Unmapped")</f>
        <v>IT &amp; Telecoms</v>
      </c>
      <c r="G1730" t="str">
        <f>TRIM(Procurement_Raw!G1730)</f>
        <v>INV-2025-01729</v>
      </c>
      <c r="H1730" s="77">
        <f>Procurement_Raw!H1730</f>
        <v>8</v>
      </c>
      <c r="I1730" s="124">
        <f>Procurement_Raw!I1730</f>
        <v>269.25</v>
      </c>
      <c r="J1730" s="125">
        <f>IF(Procurement_Raw!J1730="","",Procurement_Raw!J1730)</f>
        <v>2153.9899999999998</v>
      </c>
      <c r="K1730" s="77">
        <f>Procurement_Raw!K1730</f>
        <v>60</v>
      </c>
      <c r="L1730" t="str">
        <f>Procurement_Raw!L1730</f>
        <v>ERP</v>
      </c>
      <c r="M1730" t="str">
        <f>Procurement_Raw!O1730</f>
        <v>Y</v>
      </c>
      <c r="N1730" t="str">
        <f>IF(E1730="","Missing supplier",IF(B1730="","Missing site",IF(J1730="","Missing spend",IF(COUNTIFS($G$2:G1730,G1730,$E$2:E1730,E1730,$J$2:J1730,J1730)&gt;1,"Duplicate invoice",IF(COUNTIF($G$2:$G$1801,G1730)&gt;1,"Duplicate ID - review",IF(AND(P1730&lt;&gt;"Unmapped",P1730&lt;&gt;F1730),"Category mismatch","OK"))))))</f>
        <v>OK</v>
      </c>
      <c r="O1730" s="125">
        <f t="shared" ref="O1730:O1793" si="81">IF(OR(N1730="Missing spend",N1730="Duplicate invoice"),0,J1730)</f>
        <v>2153.9899999999998</v>
      </c>
      <c r="P1730" t="str">
        <f>IF(E1730="","Unmapped",IFERROR(INDEX(Supplier_Lookup!$B$2:$B$25,MATCH(E1730,Supplier_Lookup!$A$2:$A$25,0)),"Unmapped"))</f>
        <v>IT &amp; Telecoms</v>
      </c>
      <c r="Q1730" s="76">
        <f>IFERROR(INDEX(Category_Targets!$B$2:$B$9,MATCH(F1730,Category_Targets!$A$2:$A$9,0)),0)</f>
        <v>0.08</v>
      </c>
      <c r="R1730" s="125">
        <f t="shared" ref="R1730:R1793" si="82">O1730*Q1730</f>
        <v>172.3192</v>
      </c>
      <c r="S1730" s="78">
        <f t="shared" ref="S1730:S1793" si="83">DATE(YEAR(A1730),MONTH(A1730),1)</f>
        <v>45717</v>
      </c>
      <c r="T1730" t="str">
        <f>IFERROR(VLOOKUP(B1730,Sites!$A$2:$D$21,4,FALSE()),"Unknown")</f>
        <v>Bristol</v>
      </c>
      <c r="U1730" t="str">
        <f>IF(N1730="OK","",COUNTIF($N$2:N1730,"&lt;&gt;OK"))</f>
        <v/>
      </c>
      <c r="V1730">
        <f>IF(OR(NOT(EXACT(E1730,TRIM(Procurement_Raw!E1730))),NOT(EXACT(F1730,TRIM(Procurement_Raw!F1730)))),1,0)</f>
        <v>0</v>
      </c>
    </row>
    <row r="1731" spans="1:22" ht="15" customHeight="1" x14ac:dyDescent="0.25">
      <c r="A1731" s="123">
        <f>Procurement_Raw!A1731</f>
        <v>45740</v>
      </c>
      <c r="B1731" t="str">
        <f>TRIM(Procurement_Raw!B1731)</f>
        <v>S010</v>
      </c>
      <c r="C1731" t="str">
        <f>Procurement_Raw!C1731</f>
        <v>Coventry Care &amp; Education Centre</v>
      </c>
      <c r="D1731" t="str">
        <f>Procurement_Raw!D1731</f>
        <v>Midlands</v>
      </c>
      <c r="E1731" t="str">
        <f>IF(TRIM(Procurement_Raw!E1731)="","",IFERROR(INDEX(Supplier_Lookup!$A$2:$A$25,MATCH(TRIM(Procurement_Raw!E1731),Supplier_Lookup!$A$2:$A$25,0)),TRIM(Procurement_Raw!E1731)))</f>
        <v>BuildCare</v>
      </c>
      <c r="F1731" t="str">
        <f>IFERROR(INDEX(Category_Targets!$A$2:$A$9,MATCH(TRIM(Procurement_Raw!F1731),Category_Targets!$A$2:$A$9,0)),"Unmapped")</f>
        <v>Facilities</v>
      </c>
      <c r="G1731" t="str">
        <f>TRIM(Procurement_Raw!G1731)</f>
        <v>INV-2025-01730</v>
      </c>
      <c r="H1731" s="77">
        <f>Procurement_Raw!H1731</f>
        <v>2</v>
      </c>
      <c r="I1731" s="124">
        <f>Procurement_Raw!I1731</f>
        <v>494.7</v>
      </c>
      <c r="J1731" s="125">
        <f>IF(Procurement_Raw!J1731="","",Procurement_Raw!J1731)</f>
        <v>989.41</v>
      </c>
      <c r="K1731" s="77">
        <f>Procurement_Raw!K1731</f>
        <v>45</v>
      </c>
      <c r="L1731" t="str">
        <f>Procurement_Raw!L1731</f>
        <v>Procurement Portal</v>
      </c>
      <c r="M1731" t="str">
        <f>Procurement_Raw!O1731</f>
        <v>N</v>
      </c>
      <c r="N1731" t="str">
        <f>IF(E1731="","Missing supplier",IF(B1731="","Missing site",IF(J1731="","Missing spend",IF(COUNTIFS($G$2:G1731,G1731,$E$2:E1731,E1731,$J$2:J1731,J1731)&gt;1,"Duplicate invoice",IF(COUNTIF($G$2:$G$1801,G1731)&gt;1,"Duplicate ID - review",IF(AND(P1731&lt;&gt;"Unmapped",P1731&lt;&gt;F1731),"Category mismatch","OK"))))))</f>
        <v>OK</v>
      </c>
      <c r="O1731" s="125">
        <f t="shared" si="81"/>
        <v>989.41</v>
      </c>
      <c r="P1731" t="str">
        <f>IF(E1731="","Unmapped",IFERROR(INDEX(Supplier_Lookup!$B$2:$B$25,MATCH(E1731,Supplier_Lookup!$A$2:$A$25,0)),"Unmapped"))</f>
        <v>Facilities</v>
      </c>
      <c r="Q1731" s="76">
        <f>IFERROR(INDEX(Category_Targets!$B$2:$B$9,MATCH(F1731,Category_Targets!$A$2:$A$9,0)),0)</f>
        <v>0.05</v>
      </c>
      <c r="R1731" s="125">
        <f t="shared" si="82"/>
        <v>49.470500000000001</v>
      </c>
      <c r="S1731" s="78">
        <f t="shared" si="83"/>
        <v>45717</v>
      </c>
      <c r="T1731" t="str">
        <f>IFERROR(VLOOKUP(B1731,Sites!$A$2:$D$21,4,FALSE()),"Unknown")</f>
        <v>Coventry</v>
      </c>
      <c r="U1731" t="str">
        <f>IF(N1731="OK","",COUNTIF($N$2:N1731,"&lt;&gt;OK"))</f>
        <v/>
      </c>
      <c r="V1731">
        <f>IF(OR(NOT(EXACT(E1731,TRIM(Procurement_Raw!E1731))),NOT(EXACT(F1731,TRIM(Procurement_Raw!F1731)))),1,0)</f>
        <v>0</v>
      </c>
    </row>
    <row r="1732" spans="1:22" ht="15" customHeight="1" x14ac:dyDescent="0.25">
      <c r="A1732" s="123">
        <f>Procurement_Raw!A1732</f>
        <v>46022</v>
      </c>
      <c r="B1732" t="str">
        <f>TRIM(Procurement_Raw!B1732)</f>
        <v>S005</v>
      </c>
      <c r="C1732" t="str">
        <f>Procurement_Raw!C1732</f>
        <v>Sheffield Care &amp; Education Centre</v>
      </c>
      <c r="D1732" t="str">
        <f>Procurement_Raw!D1732</f>
        <v>North</v>
      </c>
      <c r="E1732" t="str">
        <f>IF(TRIM(Procurement_Raw!E1732)="","",IFERROR(INDEX(Supplier_Lookup!$A$2:$A$25,MATCH(TRIM(Procurement_Raw!E1732),Supplier_Lookup!$A$2:$A$25,0)),TRIM(Procurement_Raw!E1732)))</f>
        <v>PrintCo</v>
      </c>
      <c r="F1732" t="str">
        <f>IFERROR(INDEX(Category_Targets!$A$2:$A$9,MATCH(TRIM(Procurement_Raw!F1732),Category_Targets!$A$2:$A$9,0)),"Unmapped")</f>
        <v>Office &amp; Training</v>
      </c>
      <c r="G1732" t="str">
        <f>TRIM(Procurement_Raw!G1732)</f>
        <v>INV-2025-01731</v>
      </c>
      <c r="H1732" s="77">
        <f>Procurement_Raw!H1732</f>
        <v>34</v>
      </c>
      <c r="I1732" s="124">
        <f>Procurement_Raw!I1732</f>
        <v>66.33</v>
      </c>
      <c r="J1732" s="125">
        <f>IF(Procurement_Raw!J1732="","",Procurement_Raw!J1732)</f>
        <v>2255.08</v>
      </c>
      <c r="K1732" s="77">
        <f>Procurement_Raw!K1732</f>
        <v>60</v>
      </c>
      <c r="L1732" t="str">
        <f>Procurement_Raw!L1732</f>
        <v>Legacy Spend File</v>
      </c>
      <c r="M1732" t="str">
        <f>Procurement_Raw!O1732</f>
        <v>N</v>
      </c>
      <c r="N1732" t="str">
        <f>IF(E1732="","Missing supplier",IF(B1732="","Missing site",IF(J1732="","Missing spend",IF(COUNTIFS($G$2:G1732,G1732,$E$2:E1732,E1732,$J$2:J1732,J1732)&gt;1,"Duplicate invoice",IF(COUNTIF($G$2:$G$1801,G1732)&gt;1,"Duplicate ID - review",IF(AND(P1732&lt;&gt;"Unmapped",P1732&lt;&gt;F1732),"Category mismatch","OK"))))))</f>
        <v>OK</v>
      </c>
      <c r="O1732" s="125">
        <f t="shared" si="81"/>
        <v>2255.08</v>
      </c>
      <c r="P1732" t="str">
        <f>IF(E1732="","Unmapped",IFERROR(INDEX(Supplier_Lookup!$B$2:$B$25,MATCH(E1732,Supplier_Lookup!$A$2:$A$25,0)),"Unmapped"))</f>
        <v>Office &amp; Training</v>
      </c>
      <c r="Q1732" s="76">
        <f>IFERROR(INDEX(Category_Targets!$B$2:$B$9,MATCH(F1732,Category_Targets!$A$2:$A$9,0)),0)</f>
        <v>0.04</v>
      </c>
      <c r="R1732" s="125">
        <f t="shared" si="82"/>
        <v>90.203199999999995</v>
      </c>
      <c r="S1732" s="78">
        <f t="shared" si="83"/>
        <v>45992</v>
      </c>
      <c r="T1732" t="str">
        <f>IFERROR(VLOOKUP(B1732,Sites!$A$2:$D$21,4,FALSE()),"Unknown")</f>
        <v>Sheffield</v>
      </c>
      <c r="U1732" t="str">
        <f>IF(N1732="OK","",COUNTIF($N$2:N1732,"&lt;&gt;OK"))</f>
        <v/>
      </c>
      <c r="V1732">
        <f>IF(OR(NOT(EXACT(E1732,TRIM(Procurement_Raw!E1732))),NOT(EXACT(F1732,TRIM(Procurement_Raw!F1732)))),1,0)</f>
        <v>0</v>
      </c>
    </row>
    <row r="1733" spans="1:22" ht="15" customHeight="1" x14ac:dyDescent="0.25">
      <c r="A1733" s="123">
        <f>Procurement_Raw!A1733</f>
        <v>45738</v>
      </c>
      <c r="B1733" t="str">
        <f>TRIM(Procurement_Raw!B1733)</f>
        <v>S019</v>
      </c>
      <c r="C1733" t="str">
        <f>Procurement_Raw!C1733</f>
        <v>Wrexham Care &amp; Education Centre</v>
      </c>
      <c r="D1733" t="str">
        <f>Procurement_Raw!D1733</f>
        <v>Wales</v>
      </c>
      <c r="E1733" t="str">
        <f>IF(TRIM(Procurement_Raw!E1733)="","",IFERROR(INDEX(Supplier_Lookup!$A$2:$A$25,MATCH(TRIM(Procurement_Raw!E1733),Supplier_Lookup!$A$2:$A$25,0)),TRIM(Procurement_Raw!E1733)))</f>
        <v>WaterGrid</v>
      </c>
      <c r="F1733" t="str">
        <f>IFERROR(INDEX(Category_Targets!$A$2:$A$9,MATCH(TRIM(Procurement_Raw!F1733),Category_Targets!$A$2:$A$9,0)),"Unmapped")</f>
        <v>Utilities</v>
      </c>
      <c r="G1733" t="str">
        <f>TRIM(Procurement_Raw!G1733)</f>
        <v>INV-2025-01732</v>
      </c>
      <c r="H1733" s="77">
        <f>Procurement_Raw!H1733</f>
        <v>35</v>
      </c>
      <c r="I1733" s="124">
        <f>Procurement_Raw!I1733</f>
        <v>206.3</v>
      </c>
      <c r="J1733" s="125">
        <f>IF(Procurement_Raw!J1733="","",Procurement_Raw!J1733)</f>
        <v>7220.54</v>
      </c>
      <c r="K1733" s="77">
        <f>Procurement_Raw!K1733</f>
        <v>30</v>
      </c>
      <c r="L1733" t="str">
        <f>Procurement_Raw!L1733</f>
        <v>Legacy Spend File</v>
      </c>
      <c r="M1733" t="str">
        <f>Procurement_Raw!O1733</f>
        <v>N</v>
      </c>
      <c r="N1733" t="str">
        <f>IF(E1733="","Missing supplier",IF(B1733="","Missing site",IF(J1733="","Missing spend",IF(COUNTIFS($G$2:G1733,G1733,$E$2:E1733,E1733,$J$2:J1733,J1733)&gt;1,"Duplicate invoice",IF(COUNTIF($G$2:$G$1801,G1733)&gt;1,"Duplicate ID - review",IF(AND(P1733&lt;&gt;"Unmapped",P1733&lt;&gt;F1733),"Category mismatch","OK"))))))</f>
        <v>OK</v>
      </c>
      <c r="O1733" s="125">
        <f t="shared" si="81"/>
        <v>7220.54</v>
      </c>
      <c r="P1733" t="str">
        <f>IF(E1733="","Unmapped",IFERROR(INDEX(Supplier_Lookup!$B$2:$B$25,MATCH(E1733,Supplier_Lookup!$A$2:$A$25,0)),"Unmapped"))</f>
        <v>Utilities</v>
      </c>
      <c r="Q1733" s="76">
        <f>IFERROR(INDEX(Category_Targets!$B$2:$B$9,MATCH(F1733,Category_Targets!$A$2:$A$9,0)),0)</f>
        <v>0.03</v>
      </c>
      <c r="R1733" s="125">
        <f t="shared" si="82"/>
        <v>216.61619999999999</v>
      </c>
      <c r="S1733" s="78">
        <f t="shared" si="83"/>
        <v>45717</v>
      </c>
      <c r="T1733" t="str">
        <f>IFERROR(VLOOKUP(B1733,Sites!$A$2:$D$21,4,FALSE()),"Unknown")</f>
        <v>Wrexham</v>
      </c>
      <c r="U1733" t="str">
        <f>IF(N1733="OK","",COUNTIF($N$2:N1733,"&lt;&gt;OK"))</f>
        <v/>
      </c>
      <c r="V1733">
        <f>IF(OR(NOT(EXACT(E1733,TRIM(Procurement_Raw!E1733))),NOT(EXACT(F1733,TRIM(Procurement_Raw!F1733)))),1,0)</f>
        <v>0</v>
      </c>
    </row>
    <row r="1734" spans="1:22" ht="15" customHeight="1" x14ac:dyDescent="0.25">
      <c r="A1734" s="123">
        <f>Procurement_Raw!A1734</f>
        <v>45766</v>
      </c>
      <c r="B1734" t="str">
        <f>TRIM(Procurement_Raw!B1734)</f>
        <v>S011</v>
      </c>
      <c r="C1734" t="str">
        <f>Procurement_Raw!C1734</f>
        <v>London Care &amp; Education Centre</v>
      </c>
      <c r="D1734" t="str">
        <f>Procurement_Raw!D1734</f>
        <v>South</v>
      </c>
      <c r="E1734" t="str">
        <f>IF(TRIM(Procurement_Raw!E1734)="","",IFERROR(INDEX(Supplier_Lookup!$A$2:$A$25,MATCH(TRIM(Procurement_Raw!E1734),Supplier_Lookup!$A$2:$A$25,0)),TRIM(Procurement_Raw!E1734)))</f>
        <v>BuildCare</v>
      </c>
      <c r="F1734" t="str">
        <f>IFERROR(INDEX(Category_Targets!$A$2:$A$9,MATCH(TRIM(Procurement_Raw!F1734),Category_Targets!$A$2:$A$9,0)),"Unmapped")</f>
        <v>Facilities</v>
      </c>
      <c r="G1734" t="str">
        <f>TRIM(Procurement_Raw!G1734)</f>
        <v>INV-2025-01733</v>
      </c>
      <c r="H1734" s="77">
        <f>Procurement_Raw!H1734</f>
        <v>52</v>
      </c>
      <c r="I1734" s="124">
        <f>Procurement_Raw!I1734</f>
        <v>178.09</v>
      </c>
      <c r="J1734" s="125">
        <f>IF(Procurement_Raw!J1734="","",Procurement_Raw!J1734)</f>
        <v>9260.56</v>
      </c>
      <c r="K1734" s="77">
        <f>Procurement_Raw!K1734</f>
        <v>60</v>
      </c>
      <c r="L1734" t="str">
        <f>Procurement_Raw!L1734</f>
        <v>ERP</v>
      </c>
      <c r="M1734" t="str">
        <f>Procurement_Raw!O1734</f>
        <v>N</v>
      </c>
      <c r="N1734" t="str">
        <f>IF(E1734="","Missing supplier",IF(B1734="","Missing site",IF(J1734="","Missing spend",IF(COUNTIFS($G$2:G1734,G1734,$E$2:E1734,E1734,$J$2:J1734,J1734)&gt;1,"Duplicate invoice",IF(COUNTIF($G$2:$G$1801,G1734)&gt;1,"Duplicate ID - review",IF(AND(P1734&lt;&gt;"Unmapped",P1734&lt;&gt;F1734),"Category mismatch","OK"))))))</f>
        <v>OK</v>
      </c>
      <c r="O1734" s="125">
        <f t="shared" si="81"/>
        <v>9260.56</v>
      </c>
      <c r="P1734" t="str">
        <f>IF(E1734="","Unmapped",IFERROR(INDEX(Supplier_Lookup!$B$2:$B$25,MATCH(E1734,Supplier_Lookup!$A$2:$A$25,0)),"Unmapped"))</f>
        <v>Facilities</v>
      </c>
      <c r="Q1734" s="76">
        <f>IFERROR(INDEX(Category_Targets!$B$2:$B$9,MATCH(F1734,Category_Targets!$A$2:$A$9,0)),0)</f>
        <v>0.05</v>
      </c>
      <c r="R1734" s="125">
        <f t="shared" si="82"/>
        <v>463.02800000000002</v>
      </c>
      <c r="S1734" s="78">
        <f t="shared" si="83"/>
        <v>45748</v>
      </c>
      <c r="T1734" t="str">
        <f>IFERROR(VLOOKUP(B1734,Sites!$A$2:$D$21,4,FALSE()),"Unknown")</f>
        <v>London</v>
      </c>
      <c r="U1734" t="str">
        <f>IF(N1734="OK","",COUNTIF($N$2:N1734,"&lt;&gt;OK"))</f>
        <v/>
      </c>
      <c r="V1734">
        <f>IF(OR(NOT(EXACT(E1734,TRIM(Procurement_Raw!E1734))),NOT(EXACT(F1734,TRIM(Procurement_Raw!F1734)))),1,0)</f>
        <v>0</v>
      </c>
    </row>
    <row r="1735" spans="1:22" ht="15" customHeight="1" x14ac:dyDescent="0.25">
      <c r="A1735" s="123">
        <f>Procurement_Raw!A1735</f>
        <v>45944</v>
      </c>
      <c r="B1735" t="str">
        <f>TRIM(Procurement_Raw!B1735)</f>
        <v>S004</v>
      </c>
      <c r="C1735" t="str">
        <f>Procurement_Raw!C1735</f>
        <v>Newcastle Care &amp; Education Centre</v>
      </c>
      <c r="D1735" t="str">
        <f>Procurement_Raw!D1735</f>
        <v>North</v>
      </c>
      <c r="E1735" t="str">
        <f>IF(TRIM(Procurement_Raw!E1735)="","",IFERROR(INDEX(Supplier_Lookup!$A$2:$A$25,MATCH(TRIM(Procurement_Raw!E1735),Supplier_Lookup!$A$2:$A$25,0)),TRIM(Procurement_Raw!E1735)))</f>
        <v>HealthStaffing</v>
      </c>
      <c r="F1735" t="str">
        <f>IFERROR(INDEX(Category_Targets!$A$2:$A$9,MATCH(TRIM(Procurement_Raw!F1735),Category_Targets!$A$2:$A$9,0)),"Unmapped")</f>
        <v>Agency Labour</v>
      </c>
      <c r="G1735" t="str">
        <f>TRIM(Procurement_Raw!G1735)</f>
        <v>INV-2025-01734</v>
      </c>
      <c r="H1735" s="77">
        <f>Procurement_Raw!H1735</f>
        <v>78</v>
      </c>
      <c r="I1735" s="124">
        <f>Procurement_Raw!I1735</f>
        <v>253.92</v>
      </c>
      <c r="J1735" s="125">
        <f>IF(Procurement_Raw!J1735="","",Procurement_Raw!J1735)</f>
        <v>19806.04</v>
      </c>
      <c r="K1735" s="77">
        <f>Procurement_Raw!K1735</f>
        <v>30</v>
      </c>
      <c r="L1735" t="str">
        <f>Procurement_Raw!L1735</f>
        <v>Legacy Spend File</v>
      </c>
      <c r="M1735" t="str">
        <f>Procurement_Raw!O1735</f>
        <v>N</v>
      </c>
      <c r="N1735" t="str">
        <f>IF(E1735="","Missing supplier",IF(B1735="","Missing site",IF(J1735="","Missing spend",IF(COUNTIFS($G$2:G1735,G1735,$E$2:E1735,E1735,$J$2:J1735,J1735)&gt;1,"Duplicate invoice",IF(COUNTIF($G$2:$G$1801,G1735)&gt;1,"Duplicate ID - review",IF(AND(P1735&lt;&gt;"Unmapped",P1735&lt;&gt;F1735),"Category mismatch","OK"))))))</f>
        <v>OK</v>
      </c>
      <c r="O1735" s="125">
        <f t="shared" si="81"/>
        <v>19806.04</v>
      </c>
      <c r="P1735" t="str">
        <f>IF(E1735="","Unmapped",IFERROR(INDEX(Supplier_Lookup!$B$2:$B$25,MATCH(E1735,Supplier_Lookup!$A$2:$A$25,0)),"Unmapped"))</f>
        <v>Agency Labour</v>
      </c>
      <c r="Q1735" s="76">
        <f>IFERROR(INDEX(Category_Targets!$B$2:$B$9,MATCH(F1735,Category_Targets!$A$2:$A$9,0)),0)</f>
        <v>7.0000000000000007E-2</v>
      </c>
      <c r="R1735" s="125">
        <f t="shared" si="82"/>
        <v>1386.4228000000003</v>
      </c>
      <c r="S1735" s="78">
        <f t="shared" si="83"/>
        <v>45931</v>
      </c>
      <c r="T1735" t="str">
        <f>IFERROR(VLOOKUP(B1735,Sites!$A$2:$D$21,4,FALSE()),"Unknown")</f>
        <v>Newcastle</v>
      </c>
      <c r="U1735" t="str">
        <f>IF(N1735="OK","",COUNTIF($N$2:N1735,"&lt;&gt;OK"))</f>
        <v/>
      </c>
      <c r="V1735">
        <f>IF(OR(NOT(EXACT(E1735,TRIM(Procurement_Raw!E1735))),NOT(EXACT(F1735,TRIM(Procurement_Raw!F1735)))),1,0)</f>
        <v>0</v>
      </c>
    </row>
    <row r="1736" spans="1:22" ht="15" customHeight="1" x14ac:dyDescent="0.25">
      <c r="A1736" s="123">
        <f>Procurement_Raw!A1736</f>
        <v>45992</v>
      </c>
      <c r="B1736" t="str">
        <f>TRIM(Procurement_Raw!B1736)</f>
        <v>S008</v>
      </c>
      <c r="C1736" t="str">
        <f>Procurement_Raw!C1736</f>
        <v>Leicester Care &amp; Education Centre</v>
      </c>
      <c r="D1736" t="str">
        <f>Procurement_Raw!D1736</f>
        <v>Midlands</v>
      </c>
      <c r="E1736" t="str">
        <f>IF(TRIM(Procurement_Raw!E1736)="","",IFERROR(INDEX(Supplier_Lookup!$A$2:$A$25,MATCH(TRIM(Procurement_Raw!E1736),Supplier_Lookup!$A$2:$A$25,0)),TRIM(Procurement_Raw!E1736)))</f>
        <v>LearnWell</v>
      </c>
      <c r="F1736" t="str">
        <f>IFERROR(INDEX(Category_Targets!$A$2:$A$9,MATCH(TRIM(Procurement_Raw!F1736),Category_Targets!$A$2:$A$9,0)),"Unmapped")</f>
        <v>Office &amp; Training</v>
      </c>
      <c r="G1736" t="str">
        <f>TRIM(Procurement_Raw!G1736)</f>
        <v>INV-2025-01735</v>
      </c>
      <c r="H1736" s="77">
        <f>Procurement_Raw!H1736</f>
        <v>52</v>
      </c>
      <c r="I1736" s="124">
        <f>Procurement_Raw!I1736</f>
        <v>116.45</v>
      </c>
      <c r="J1736" s="125">
        <f>IF(Procurement_Raw!J1736="","",Procurement_Raw!J1736)</f>
        <v>6055.36</v>
      </c>
      <c r="K1736" s="77">
        <f>Procurement_Raw!K1736</f>
        <v>45</v>
      </c>
      <c r="L1736" t="str">
        <f>Procurement_Raw!L1736</f>
        <v>ERP</v>
      </c>
      <c r="M1736" t="str">
        <f>Procurement_Raw!O1736</f>
        <v>N</v>
      </c>
      <c r="N1736" t="str">
        <f>IF(E1736="","Missing supplier",IF(B1736="","Missing site",IF(J1736="","Missing spend",IF(COUNTIFS($G$2:G1736,G1736,$E$2:E1736,E1736,$J$2:J1736,J1736)&gt;1,"Duplicate invoice",IF(COUNTIF($G$2:$G$1801,G1736)&gt;1,"Duplicate ID - review",IF(AND(P1736&lt;&gt;"Unmapped",P1736&lt;&gt;F1736),"Category mismatch","OK"))))))</f>
        <v>OK</v>
      </c>
      <c r="O1736" s="125">
        <f t="shared" si="81"/>
        <v>6055.36</v>
      </c>
      <c r="P1736" t="str">
        <f>IF(E1736="","Unmapped",IFERROR(INDEX(Supplier_Lookup!$B$2:$B$25,MATCH(E1736,Supplier_Lookup!$A$2:$A$25,0)),"Unmapped"))</f>
        <v>Office &amp; Training</v>
      </c>
      <c r="Q1736" s="76">
        <f>IFERROR(INDEX(Category_Targets!$B$2:$B$9,MATCH(F1736,Category_Targets!$A$2:$A$9,0)),0)</f>
        <v>0.04</v>
      </c>
      <c r="R1736" s="125">
        <f t="shared" si="82"/>
        <v>242.21439999999998</v>
      </c>
      <c r="S1736" s="78">
        <f t="shared" si="83"/>
        <v>45992</v>
      </c>
      <c r="T1736" t="str">
        <f>IFERROR(VLOOKUP(B1736,Sites!$A$2:$D$21,4,FALSE()),"Unknown")</f>
        <v>Leicester</v>
      </c>
      <c r="U1736" t="str">
        <f>IF(N1736="OK","",COUNTIF($N$2:N1736,"&lt;&gt;OK"))</f>
        <v/>
      </c>
      <c r="V1736">
        <f>IF(OR(NOT(EXACT(E1736,TRIM(Procurement_Raw!E1736))),NOT(EXACT(F1736,TRIM(Procurement_Raw!F1736)))),1,0)</f>
        <v>0</v>
      </c>
    </row>
    <row r="1737" spans="1:22" ht="15" customHeight="1" x14ac:dyDescent="0.25">
      <c r="A1737" s="123">
        <f>Procurement_Raw!A1737</f>
        <v>45875</v>
      </c>
      <c r="B1737" t="str">
        <f>TRIM(Procurement_Raw!B1737)</f>
        <v>S007</v>
      </c>
      <c r="C1737" t="str">
        <f>Procurement_Raw!C1737</f>
        <v>Nottingham Care &amp; Education Centre</v>
      </c>
      <c r="D1737" t="str">
        <f>Procurement_Raw!D1737</f>
        <v>Midlands</v>
      </c>
      <c r="E1737" t="str">
        <f>IF(TRIM(Procurement_Raw!E1737)="","",IFERROR(INDEX(Supplier_Lookup!$A$2:$A$25,MATCH(TRIM(Procurement_Raw!E1737),Supplier_Lookup!$A$2:$A$25,0)),TRIM(Procurement_Raw!E1737)))</f>
        <v>AutoCare</v>
      </c>
      <c r="F1737" t="str">
        <f>IFERROR(INDEX(Category_Targets!$A$2:$A$9,MATCH(TRIM(Procurement_Raw!F1737),Category_Targets!$A$2:$A$9,0)),"Unmapped")</f>
        <v>Vehicle &amp; Fuel</v>
      </c>
      <c r="G1737" t="str">
        <f>TRIM(Procurement_Raw!G1737)</f>
        <v>INV-2025-01736</v>
      </c>
      <c r="H1737" s="77">
        <f>Procurement_Raw!H1737</f>
        <v>25</v>
      </c>
      <c r="I1737" s="124">
        <f>Procurement_Raw!I1737</f>
        <v>39.049999999999997</v>
      </c>
      <c r="J1737" s="125">
        <f>IF(Procurement_Raw!J1737="","",Procurement_Raw!J1737)</f>
        <v>976.31</v>
      </c>
      <c r="K1737" s="77">
        <f>Procurement_Raw!K1737</f>
        <v>45</v>
      </c>
      <c r="L1737" t="str">
        <f>Procurement_Raw!L1737</f>
        <v>ERP</v>
      </c>
      <c r="M1737" t="str">
        <f>Procurement_Raw!O1737</f>
        <v>N</v>
      </c>
      <c r="N1737" t="str">
        <f>IF(E1737="","Missing supplier",IF(B1737="","Missing site",IF(J1737="","Missing spend",IF(COUNTIFS($G$2:G1737,G1737,$E$2:E1737,E1737,$J$2:J1737,J1737)&gt;1,"Duplicate invoice",IF(COUNTIF($G$2:$G$1801,G1737)&gt;1,"Duplicate ID - review",IF(AND(P1737&lt;&gt;"Unmapped",P1737&lt;&gt;F1737),"Category mismatch","OK"))))))</f>
        <v>OK</v>
      </c>
      <c r="O1737" s="125">
        <f t="shared" si="81"/>
        <v>976.31</v>
      </c>
      <c r="P1737" t="str">
        <f>IF(E1737="","Unmapped",IFERROR(INDEX(Supplier_Lookup!$B$2:$B$25,MATCH(E1737,Supplier_Lookup!$A$2:$A$25,0)),"Unmapped"))</f>
        <v>Vehicle &amp; Fuel</v>
      </c>
      <c r="Q1737" s="76">
        <f>IFERROR(INDEX(Category_Targets!$B$2:$B$9,MATCH(F1737,Category_Targets!$A$2:$A$9,0)),0)</f>
        <v>0.05</v>
      </c>
      <c r="R1737" s="125">
        <f t="shared" si="82"/>
        <v>48.8155</v>
      </c>
      <c r="S1737" s="78">
        <f t="shared" si="83"/>
        <v>45870</v>
      </c>
      <c r="T1737" t="str">
        <f>IFERROR(VLOOKUP(B1737,Sites!$A$2:$D$21,4,FALSE()),"Unknown")</f>
        <v>Nottingham</v>
      </c>
      <c r="U1737" t="str">
        <f>IF(N1737="OK","",COUNTIF($N$2:N1737,"&lt;&gt;OK"))</f>
        <v/>
      </c>
      <c r="V1737">
        <f>IF(OR(NOT(EXACT(E1737,TRIM(Procurement_Raw!E1737))),NOT(EXACT(F1737,TRIM(Procurement_Raw!F1737)))),1,0)</f>
        <v>0</v>
      </c>
    </row>
    <row r="1738" spans="1:22" ht="15" customHeight="1" x14ac:dyDescent="0.25">
      <c r="A1738" s="123">
        <f>Procurement_Raw!A1738</f>
        <v>45966</v>
      </c>
      <c r="B1738" t="str">
        <f>TRIM(Procurement_Raw!B1738)</f>
        <v>S011</v>
      </c>
      <c r="C1738" t="str">
        <f>Procurement_Raw!C1738</f>
        <v>London Care &amp; Education Centre</v>
      </c>
      <c r="D1738" t="str">
        <f>Procurement_Raw!D1738</f>
        <v>South</v>
      </c>
      <c r="E1738" t="str">
        <f>IF(TRIM(Procurement_Raw!E1738)="","",IFERROR(INDEX(Supplier_Lookup!$A$2:$A$25,MATCH(TRIM(Procurement_Raw!E1738),Supplier_Lookup!$A$2:$A$25,0)),TRIM(Procurement_Raw!E1738)))</f>
        <v>NourishCo</v>
      </c>
      <c r="F1738" t="str">
        <f>IFERROR(INDEX(Category_Targets!$A$2:$A$9,MATCH(TRIM(Procurement_Raw!F1738),Category_Targets!$A$2:$A$9,0)),"Unmapped")</f>
        <v>Food &amp; Catering</v>
      </c>
      <c r="G1738" t="str">
        <f>TRIM(Procurement_Raw!G1738)</f>
        <v>INV-2025-01737</v>
      </c>
      <c r="H1738" s="77">
        <f>Procurement_Raw!H1738</f>
        <v>43</v>
      </c>
      <c r="I1738" s="124">
        <f>Procurement_Raw!I1738</f>
        <v>36.409999999999997</v>
      </c>
      <c r="J1738" s="125">
        <f>IF(Procurement_Raw!J1738="","",Procurement_Raw!J1738)</f>
        <v>1565.66</v>
      </c>
      <c r="K1738" s="77">
        <f>Procurement_Raw!K1738</f>
        <v>30</v>
      </c>
      <c r="L1738" t="str">
        <f>Procurement_Raw!L1738</f>
        <v>ERP</v>
      </c>
      <c r="M1738" t="str">
        <f>Procurement_Raw!O1738</f>
        <v>N</v>
      </c>
      <c r="N1738" t="str">
        <f>IF(E1738="","Missing supplier",IF(B1738="","Missing site",IF(J1738="","Missing spend",IF(COUNTIFS($G$2:G1738,G1738,$E$2:E1738,E1738,$J$2:J1738,J1738)&gt;1,"Duplicate invoice",IF(COUNTIF($G$2:$G$1801,G1738)&gt;1,"Duplicate ID - review",IF(AND(P1738&lt;&gt;"Unmapped",P1738&lt;&gt;F1738),"Category mismatch","OK"))))))</f>
        <v>OK</v>
      </c>
      <c r="O1738" s="125">
        <f t="shared" si="81"/>
        <v>1565.66</v>
      </c>
      <c r="P1738" t="str">
        <f>IF(E1738="","Unmapped",IFERROR(INDEX(Supplier_Lookup!$B$2:$B$25,MATCH(E1738,Supplier_Lookup!$A$2:$A$25,0)),"Unmapped"))</f>
        <v>Food &amp; Catering</v>
      </c>
      <c r="Q1738" s="76">
        <f>IFERROR(INDEX(Category_Targets!$B$2:$B$9,MATCH(F1738,Category_Targets!$A$2:$A$9,0)),0)</f>
        <v>0.04</v>
      </c>
      <c r="R1738" s="125">
        <f t="shared" si="82"/>
        <v>62.626400000000004</v>
      </c>
      <c r="S1738" s="78">
        <f t="shared" si="83"/>
        <v>45962</v>
      </c>
      <c r="T1738" t="str">
        <f>IFERROR(VLOOKUP(B1738,Sites!$A$2:$D$21,4,FALSE()),"Unknown")</f>
        <v>London</v>
      </c>
      <c r="U1738" t="str">
        <f>IF(N1738="OK","",COUNTIF($N$2:N1738,"&lt;&gt;OK"))</f>
        <v/>
      </c>
      <c r="V1738">
        <f>IF(OR(NOT(EXACT(E1738,TRIM(Procurement_Raw!E1738))),NOT(EXACT(F1738,TRIM(Procurement_Raw!F1738)))),1,0)</f>
        <v>0</v>
      </c>
    </row>
    <row r="1739" spans="1:22" ht="15" customHeight="1" x14ac:dyDescent="0.25">
      <c r="A1739" s="123">
        <f>Procurement_Raw!A1739</f>
        <v>45712</v>
      </c>
      <c r="B1739" t="str">
        <f>TRIM(Procurement_Raw!B1739)</f>
        <v>S020</v>
      </c>
      <c r="C1739" t="str">
        <f>Procurement_Raw!C1739</f>
        <v>Bangor Care &amp; Education Centre</v>
      </c>
      <c r="D1739" t="str">
        <f>Procurement_Raw!D1739</f>
        <v>Wales</v>
      </c>
      <c r="E1739" t="str">
        <f>IF(TRIM(Procurement_Raw!E1739)="","",IFERROR(INDEX(Supplier_Lookup!$A$2:$A$25,MATCH(TRIM(Procurement_Raw!E1739),Supplier_Lookup!$A$2:$A$25,0)),TRIM(Procurement_Raw!E1739)))</f>
        <v>BuildCare</v>
      </c>
      <c r="F1739" t="str">
        <f>IFERROR(INDEX(Category_Targets!$A$2:$A$9,MATCH(TRIM(Procurement_Raw!F1739),Category_Targets!$A$2:$A$9,0)),"Unmapped")</f>
        <v>Facilities</v>
      </c>
      <c r="G1739" t="str">
        <f>TRIM(Procurement_Raw!G1739)</f>
        <v>INV-2025-01738</v>
      </c>
      <c r="H1739" s="77">
        <f>Procurement_Raw!H1739</f>
        <v>9</v>
      </c>
      <c r="I1739" s="124">
        <f>Procurement_Raw!I1739</f>
        <v>100.05</v>
      </c>
      <c r="J1739" s="125">
        <f>IF(Procurement_Raw!J1739="","",Procurement_Raw!J1739)</f>
        <v>900.45</v>
      </c>
      <c r="K1739" s="77">
        <f>Procurement_Raw!K1739</f>
        <v>30</v>
      </c>
      <c r="L1739" t="str">
        <f>Procurement_Raw!L1739</f>
        <v>Legacy Spend File</v>
      </c>
      <c r="M1739" t="str">
        <f>Procurement_Raw!O1739</f>
        <v>N</v>
      </c>
      <c r="N1739" t="str">
        <f>IF(E1739="","Missing supplier",IF(B1739="","Missing site",IF(J1739="","Missing spend",IF(COUNTIFS($G$2:G1739,G1739,$E$2:E1739,E1739,$J$2:J1739,J1739)&gt;1,"Duplicate invoice",IF(COUNTIF($G$2:$G$1801,G1739)&gt;1,"Duplicate ID - review",IF(AND(P1739&lt;&gt;"Unmapped",P1739&lt;&gt;F1739),"Category mismatch","OK"))))))</f>
        <v>OK</v>
      </c>
      <c r="O1739" s="125">
        <f t="shared" si="81"/>
        <v>900.45</v>
      </c>
      <c r="P1739" t="str">
        <f>IF(E1739="","Unmapped",IFERROR(INDEX(Supplier_Lookup!$B$2:$B$25,MATCH(E1739,Supplier_Lookup!$A$2:$A$25,0)),"Unmapped"))</f>
        <v>Facilities</v>
      </c>
      <c r="Q1739" s="76">
        <f>IFERROR(INDEX(Category_Targets!$B$2:$B$9,MATCH(F1739,Category_Targets!$A$2:$A$9,0)),0)</f>
        <v>0.05</v>
      </c>
      <c r="R1739" s="125">
        <f t="shared" si="82"/>
        <v>45.022500000000008</v>
      </c>
      <c r="S1739" s="78">
        <f t="shared" si="83"/>
        <v>45689</v>
      </c>
      <c r="T1739" t="str">
        <f>IFERROR(VLOOKUP(B1739,Sites!$A$2:$D$21,4,FALSE()),"Unknown")</f>
        <v>Bangor</v>
      </c>
      <c r="U1739" t="str">
        <f>IF(N1739="OK","",COUNTIF($N$2:N1739,"&lt;&gt;OK"))</f>
        <v/>
      </c>
      <c r="V1739">
        <f>IF(OR(NOT(EXACT(E1739,TRIM(Procurement_Raw!E1739))),NOT(EXACT(F1739,TRIM(Procurement_Raw!F1739)))),1,0)</f>
        <v>0</v>
      </c>
    </row>
    <row r="1740" spans="1:22" ht="15" customHeight="1" x14ac:dyDescent="0.25">
      <c r="A1740" s="123">
        <f>Procurement_Raw!A1740</f>
        <v>45940</v>
      </c>
      <c r="B1740" t="str">
        <f>TRIM(Procurement_Raw!B1740)</f>
        <v>S001</v>
      </c>
      <c r="C1740" t="str">
        <f>Procurement_Raw!C1740</f>
        <v>Preston Care &amp; Education Centre</v>
      </c>
      <c r="D1740" t="str">
        <f>Procurement_Raw!D1740</f>
        <v>North</v>
      </c>
      <c r="E1740" t="str">
        <f>IF(TRIM(Procurement_Raw!E1740)="","",IFERROR(INDEX(Supplier_Lookup!$A$2:$A$25,MATCH(TRIM(Procurement_Raw!E1740),Supplier_Lookup!$A$2:$A$25,0)),TRIM(Procurement_Raw!E1740)))</f>
        <v>CloudLink</v>
      </c>
      <c r="F1740" t="str">
        <f>IFERROR(INDEX(Category_Targets!$A$2:$A$9,MATCH(TRIM(Procurement_Raw!F1740),Category_Targets!$A$2:$A$9,0)),"Unmapped")</f>
        <v>IT &amp; Telecoms</v>
      </c>
      <c r="G1740" t="str">
        <f>TRIM(Procurement_Raw!G1740)</f>
        <v>INV-2025-01739</v>
      </c>
      <c r="H1740" s="77">
        <f>Procurement_Raw!H1740</f>
        <v>26</v>
      </c>
      <c r="I1740" s="124">
        <f>Procurement_Raw!I1740</f>
        <v>371.04</v>
      </c>
      <c r="J1740" s="125">
        <f>IF(Procurement_Raw!J1740="","",Procurement_Raw!J1740)</f>
        <v>9646.91</v>
      </c>
      <c r="K1740" s="77">
        <f>Procurement_Raw!K1740</f>
        <v>60</v>
      </c>
      <c r="L1740" t="str">
        <f>Procurement_Raw!L1740</f>
        <v>ERP</v>
      </c>
      <c r="M1740" t="str">
        <f>Procurement_Raw!O1740</f>
        <v>Y</v>
      </c>
      <c r="N1740" t="str">
        <f>IF(E1740="","Missing supplier",IF(B1740="","Missing site",IF(J1740="","Missing spend",IF(COUNTIFS($G$2:G1740,G1740,$E$2:E1740,E1740,$J$2:J1740,J1740)&gt;1,"Duplicate invoice",IF(COUNTIF($G$2:$G$1801,G1740)&gt;1,"Duplicate ID - review",IF(AND(P1740&lt;&gt;"Unmapped",P1740&lt;&gt;F1740),"Category mismatch","OK"))))))</f>
        <v>OK</v>
      </c>
      <c r="O1740" s="125">
        <f t="shared" si="81"/>
        <v>9646.91</v>
      </c>
      <c r="P1740" t="str">
        <f>IF(E1740="","Unmapped",IFERROR(INDEX(Supplier_Lookup!$B$2:$B$25,MATCH(E1740,Supplier_Lookup!$A$2:$A$25,0)),"Unmapped"))</f>
        <v>IT &amp; Telecoms</v>
      </c>
      <c r="Q1740" s="76">
        <f>IFERROR(INDEX(Category_Targets!$B$2:$B$9,MATCH(F1740,Category_Targets!$A$2:$A$9,0)),0)</f>
        <v>0.08</v>
      </c>
      <c r="R1740" s="125">
        <f t="shared" si="82"/>
        <v>771.75279999999998</v>
      </c>
      <c r="S1740" s="78">
        <f t="shared" si="83"/>
        <v>45931</v>
      </c>
      <c r="T1740" t="str">
        <f>IFERROR(VLOOKUP(B1740,Sites!$A$2:$D$21,4,FALSE()),"Unknown")</f>
        <v>Preston</v>
      </c>
      <c r="U1740" t="str">
        <f>IF(N1740="OK","",COUNTIF($N$2:N1740,"&lt;&gt;OK"))</f>
        <v/>
      </c>
      <c r="V1740">
        <f>IF(OR(NOT(EXACT(E1740,TRIM(Procurement_Raw!E1740))),NOT(EXACT(F1740,TRIM(Procurement_Raw!F1740)))),1,0)</f>
        <v>0</v>
      </c>
    </row>
    <row r="1741" spans="1:22" ht="15" customHeight="1" x14ac:dyDescent="0.25">
      <c r="A1741" s="123">
        <f>Procurement_Raw!A1741</f>
        <v>45949</v>
      </c>
      <c r="B1741" t="str">
        <f>TRIM(Procurement_Raw!B1741)</f>
        <v>S015</v>
      </c>
      <c r="C1741" t="str">
        <f>Procurement_Raw!C1741</f>
        <v>Brighton Care &amp; Education Centre</v>
      </c>
      <c r="D1741" t="str">
        <f>Procurement_Raw!D1741</f>
        <v>South</v>
      </c>
      <c r="E1741" t="str">
        <f>IF(TRIM(Procurement_Raw!E1741)="","",IFERROR(INDEX(Supplier_Lookup!$A$2:$A$25,MATCH(TRIM(Procurement_Raw!E1741),Supplier_Lookup!$A$2:$A$25,0)),TRIM(Procurement_Raw!E1741)))</f>
        <v>CloudLink</v>
      </c>
      <c r="F1741" t="str">
        <f>IFERROR(INDEX(Category_Targets!$A$2:$A$9,MATCH(TRIM(Procurement_Raw!F1741),Category_Targets!$A$2:$A$9,0)),"Unmapped")</f>
        <v>IT &amp; Telecoms</v>
      </c>
      <c r="G1741" t="str">
        <f>TRIM(Procurement_Raw!G1741)</f>
        <v>INV-2025-01740</v>
      </c>
      <c r="H1741" s="77">
        <f>Procurement_Raw!H1741</f>
        <v>73</v>
      </c>
      <c r="I1741" s="124">
        <f>Procurement_Raw!I1741</f>
        <v>563.66999999999996</v>
      </c>
      <c r="J1741" s="125">
        <f>IF(Procurement_Raw!J1741="","",Procurement_Raw!J1741)</f>
        <v>41147.74</v>
      </c>
      <c r="K1741" s="77">
        <f>Procurement_Raw!K1741</f>
        <v>30</v>
      </c>
      <c r="L1741" t="str">
        <f>Procurement_Raw!L1741</f>
        <v>Legacy Spend File</v>
      </c>
      <c r="M1741" t="str">
        <f>Procurement_Raw!O1741</f>
        <v>Y</v>
      </c>
      <c r="N1741" t="str">
        <f>IF(E1741="","Missing supplier",IF(B1741="","Missing site",IF(J1741="","Missing spend",IF(COUNTIFS($G$2:G1741,G1741,$E$2:E1741,E1741,$J$2:J1741,J1741)&gt;1,"Duplicate invoice",IF(COUNTIF($G$2:$G$1801,G1741)&gt;1,"Duplicate ID - review",IF(AND(P1741&lt;&gt;"Unmapped",P1741&lt;&gt;F1741),"Category mismatch","OK"))))))</f>
        <v>OK</v>
      </c>
      <c r="O1741" s="125">
        <f t="shared" si="81"/>
        <v>41147.74</v>
      </c>
      <c r="P1741" t="str">
        <f>IF(E1741="","Unmapped",IFERROR(INDEX(Supplier_Lookup!$B$2:$B$25,MATCH(E1741,Supplier_Lookup!$A$2:$A$25,0)),"Unmapped"))</f>
        <v>IT &amp; Telecoms</v>
      </c>
      <c r="Q1741" s="76">
        <f>IFERROR(INDEX(Category_Targets!$B$2:$B$9,MATCH(F1741,Category_Targets!$A$2:$A$9,0)),0)</f>
        <v>0.08</v>
      </c>
      <c r="R1741" s="125">
        <f t="shared" si="82"/>
        <v>3291.8191999999999</v>
      </c>
      <c r="S1741" s="78">
        <f t="shared" si="83"/>
        <v>45931</v>
      </c>
      <c r="T1741" t="str">
        <f>IFERROR(VLOOKUP(B1741,Sites!$A$2:$D$21,4,FALSE()),"Unknown")</f>
        <v>Brighton</v>
      </c>
      <c r="U1741" t="str">
        <f>IF(N1741="OK","",COUNTIF($N$2:N1741,"&lt;&gt;OK"))</f>
        <v/>
      </c>
      <c r="V1741">
        <f>IF(OR(NOT(EXACT(E1741,TRIM(Procurement_Raw!E1741))),NOT(EXACT(F1741,TRIM(Procurement_Raw!F1741)))),1,0)</f>
        <v>0</v>
      </c>
    </row>
    <row r="1742" spans="1:22" ht="15" customHeight="1" x14ac:dyDescent="0.25">
      <c r="A1742" s="123">
        <f>Procurement_Raw!A1742</f>
        <v>45819</v>
      </c>
      <c r="B1742" t="str">
        <f>TRIM(Procurement_Raw!B1742)</f>
        <v>S010</v>
      </c>
      <c r="C1742" t="str">
        <f>Procurement_Raw!C1742</f>
        <v>Coventry Care &amp; Education Centre</v>
      </c>
      <c r="D1742" t="str">
        <f>Procurement_Raw!D1742</f>
        <v>Midlands</v>
      </c>
      <c r="E1742" t="str">
        <f>IF(TRIM(Procurement_Raw!E1742)="","",IFERROR(INDEX(Supplier_Lookup!$A$2:$A$25,MATCH(TRIM(Procurement_Raw!E1742),Supplier_Lookup!$A$2:$A$25,0)),TRIM(Procurement_Raw!E1742)))</f>
        <v>MediSure</v>
      </c>
      <c r="F1742" t="str">
        <f>IFERROR(INDEX(Category_Targets!$A$2:$A$9,MATCH(TRIM(Procurement_Raw!F1742),Category_Targets!$A$2:$A$9,0)),"Unmapped")</f>
        <v>Medical Supplies</v>
      </c>
      <c r="G1742" t="str">
        <f>TRIM(Procurement_Raw!G1742)</f>
        <v>INV-2025-01741</v>
      </c>
      <c r="H1742" s="77">
        <f>Procurement_Raw!H1742</f>
        <v>12</v>
      </c>
      <c r="I1742" s="124">
        <f>Procurement_Raw!I1742</f>
        <v>113.3</v>
      </c>
      <c r="J1742" s="125">
        <f>IF(Procurement_Raw!J1742="","",Procurement_Raw!J1742)</f>
        <v>1359.61</v>
      </c>
      <c r="K1742" s="77">
        <f>Procurement_Raw!K1742</f>
        <v>45</v>
      </c>
      <c r="L1742" t="str">
        <f>Procurement_Raw!L1742</f>
        <v>ERP</v>
      </c>
      <c r="M1742" t="str">
        <f>Procurement_Raw!O1742</f>
        <v>Y</v>
      </c>
      <c r="N1742" t="str">
        <f>IF(E1742="","Missing supplier",IF(B1742="","Missing site",IF(J1742="","Missing spend",IF(COUNTIFS($G$2:G1742,G1742,$E$2:E1742,E1742,$J$2:J1742,J1742)&gt;1,"Duplicate invoice",IF(COUNTIF($G$2:$G$1801,G1742)&gt;1,"Duplicate ID - review",IF(AND(P1742&lt;&gt;"Unmapped",P1742&lt;&gt;F1742),"Category mismatch","OK"))))))</f>
        <v>OK</v>
      </c>
      <c r="O1742" s="125">
        <f t="shared" si="81"/>
        <v>1359.61</v>
      </c>
      <c r="P1742" t="str">
        <f>IF(E1742="","Unmapped",IFERROR(INDEX(Supplier_Lookup!$B$2:$B$25,MATCH(E1742,Supplier_Lookup!$A$2:$A$25,0)),"Unmapped"))</f>
        <v>Medical Supplies</v>
      </c>
      <c r="Q1742" s="76">
        <f>IFERROR(INDEX(Category_Targets!$B$2:$B$9,MATCH(F1742,Category_Targets!$A$2:$A$9,0)),0)</f>
        <v>0.06</v>
      </c>
      <c r="R1742" s="125">
        <f t="shared" si="82"/>
        <v>81.576599999999985</v>
      </c>
      <c r="S1742" s="78">
        <f t="shared" si="83"/>
        <v>45809</v>
      </c>
      <c r="T1742" t="str">
        <f>IFERROR(VLOOKUP(B1742,Sites!$A$2:$D$21,4,FALSE()),"Unknown")</f>
        <v>Coventry</v>
      </c>
      <c r="U1742" t="str">
        <f>IF(N1742="OK","",COUNTIF($N$2:N1742,"&lt;&gt;OK"))</f>
        <v/>
      </c>
      <c r="V1742">
        <f>IF(OR(NOT(EXACT(E1742,TRIM(Procurement_Raw!E1742))),NOT(EXACT(F1742,TRIM(Procurement_Raw!F1742)))),1,0)</f>
        <v>0</v>
      </c>
    </row>
    <row r="1743" spans="1:22" ht="15" customHeight="1" x14ac:dyDescent="0.25">
      <c r="A1743" s="123">
        <f>Procurement_Raw!A1743</f>
        <v>45914</v>
      </c>
      <c r="B1743" t="str">
        <f>TRIM(Procurement_Raw!B1743)</f>
        <v>S003</v>
      </c>
      <c r="C1743" t="str">
        <f>Procurement_Raw!C1743</f>
        <v>Leeds Care &amp; Education Centre</v>
      </c>
      <c r="D1743" t="str">
        <f>Procurement_Raw!D1743</f>
        <v>North</v>
      </c>
      <c r="E1743" t="str">
        <f>IF(TRIM(Procurement_Raw!E1743)="","",IFERROR(INDEX(Supplier_Lookup!$A$2:$A$25,MATCH(TRIM(Procurement_Raw!E1743),Supplier_Lookup!$A$2:$A$25,0)),TRIM(Procurement_Raw!E1743)))</f>
        <v>TeleCare IT</v>
      </c>
      <c r="F1743" t="str">
        <f>IFERROR(INDEX(Category_Targets!$A$2:$A$9,MATCH(TRIM(Procurement_Raw!F1743),Category_Targets!$A$2:$A$9,0)),"Unmapped")</f>
        <v>IT &amp; Telecoms</v>
      </c>
      <c r="G1743" t="str">
        <f>TRIM(Procurement_Raw!G1743)</f>
        <v>INV-2025-01742</v>
      </c>
      <c r="H1743" s="77">
        <f>Procurement_Raw!H1743</f>
        <v>25</v>
      </c>
      <c r="I1743" s="124">
        <f>Procurement_Raw!I1743</f>
        <v>200.49</v>
      </c>
      <c r="J1743" s="125">
        <f>IF(Procurement_Raw!J1743="","",Procurement_Raw!J1743)</f>
        <v>5012.3100000000004</v>
      </c>
      <c r="K1743" s="77">
        <f>Procurement_Raw!K1743</f>
        <v>45</v>
      </c>
      <c r="L1743" t="str">
        <f>Procurement_Raw!L1743</f>
        <v>Procurement Portal</v>
      </c>
      <c r="M1743" t="str">
        <f>Procurement_Raw!O1743</f>
        <v>N</v>
      </c>
      <c r="N1743" t="str">
        <f>IF(E1743="","Missing supplier",IF(B1743="","Missing site",IF(J1743="","Missing spend",IF(COUNTIFS($G$2:G1743,G1743,$E$2:E1743,E1743,$J$2:J1743,J1743)&gt;1,"Duplicate invoice",IF(COUNTIF($G$2:$G$1801,G1743)&gt;1,"Duplicate ID - review",IF(AND(P1743&lt;&gt;"Unmapped",P1743&lt;&gt;F1743),"Category mismatch","OK"))))))</f>
        <v>OK</v>
      </c>
      <c r="O1743" s="125">
        <f t="shared" si="81"/>
        <v>5012.3100000000004</v>
      </c>
      <c r="P1743" t="str">
        <f>IF(E1743="","Unmapped",IFERROR(INDEX(Supplier_Lookup!$B$2:$B$25,MATCH(E1743,Supplier_Lookup!$A$2:$A$25,0)),"Unmapped"))</f>
        <v>IT &amp; Telecoms</v>
      </c>
      <c r="Q1743" s="76">
        <f>IFERROR(INDEX(Category_Targets!$B$2:$B$9,MATCH(F1743,Category_Targets!$A$2:$A$9,0)),0)</f>
        <v>0.08</v>
      </c>
      <c r="R1743" s="125">
        <f t="shared" si="82"/>
        <v>400.98480000000006</v>
      </c>
      <c r="S1743" s="78">
        <f t="shared" si="83"/>
        <v>45901</v>
      </c>
      <c r="T1743" t="str">
        <f>IFERROR(VLOOKUP(B1743,Sites!$A$2:$D$21,4,FALSE()),"Unknown")</f>
        <v>Leeds</v>
      </c>
      <c r="U1743" t="str">
        <f>IF(N1743="OK","",COUNTIF($N$2:N1743,"&lt;&gt;OK"))</f>
        <v/>
      </c>
      <c r="V1743">
        <f>IF(OR(NOT(EXACT(E1743,TRIM(Procurement_Raw!E1743))),NOT(EXACT(F1743,TRIM(Procurement_Raw!F1743)))),1,0)</f>
        <v>0</v>
      </c>
    </row>
    <row r="1744" spans="1:22" ht="15" customHeight="1" x14ac:dyDescent="0.25">
      <c r="A1744" s="123">
        <f>Procurement_Raw!A1744</f>
        <v>46017</v>
      </c>
      <c r="B1744" t="str">
        <f>TRIM(Procurement_Raw!B1744)</f>
        <v>S001</v>
      </c>
      <c r="C1744" t="str">
        <f>Procurement_Raw!C1744</f>
        <v>Preston Care &amp; Education Centre</v>
      </c>
      <c r="D1744" t="str">
        <f>Procurement_Raw!D1744</f>
        <v>North</v>
      </c>
      <c r="E1744" t="str">
        <f>IF(TRIM(Procurement_Raw!E1744)="","",IFERROR(INDEX(Supplier_Lookup!$A$2:$A$25,MATCH(TRIM(Procurement_Raw!E1744),Supplier_Lookup!$A$2:$A$25,0)),TRIM(Procurement_Raw!E1744)))</f>
        <v>FleetFuel</v>
      </c>
      <c r="F1744" t="str">
        <f>IFERROR(INDEX(Category_Targets!$A$2:$A$9,MATCH(TRIM(Procurement_Raw!F1744),Category_Targets!$A$2:$A$9,0)),"Unmapped")</f>
        <v>Vehicle &amp; Fuel</v>
      </c>
      <c r="G1744" t="str">
        <f>TRIM(Procurement_Raw!G1744)</f>
        <v>INV-2025-01743</v>
      </c>
      <c r="H1744" s="77">
        <f>Procurement_Raw!H1744</f>
        <v>13</v>
      </c>
      <c r="I1744" s="124">
        <f>Procurement_Raw!I1744</f>
        <v>98.73</v>
      </c>
      <c r="J1744" s="125">
        <f>IF(Procurement_Raw!J1744="","",Procurement_Raw!J1744)</f>
        <v>1283.51</v>
      </c>
      <c r="K1744" s="77">
        <f>Procurement_Raw!K1744</f>
        <v>45</v>
      </c>
      <c r="L1744" t="str">
        <f>Procurement_Raw!L1744</f>
        <v>Procurement Portal</v>
      </c>
      <c r="M1744" t="str">
        <f>Procurement_Raw!O1744</f>
        <v>Y</v>
      </c>
      <c r="N1744" t="str">
        <f>IF(E1744="","Missing supplier",IF(B1744="","Missing site",IF(J1744="","Missing spend",IF(COUNTIFS($G$2:G1744,G1744,$E$2:E1744,E1744,$J$2:J1744,J1744)&gt;1,"Duplicate invoice",IF(COUNTIF($G$2:$G$1801,G1744)&gt;1,"Duplicate ID - review",IF(AND(P1744&lt;&gt;"Unmapped",P1744&lt;&gt;F1744),"Category mismatch","OK"))))))</f>
        <v>OK</v>
      </c>
      <c r="O1744" s="125">
        <f t="shared" si="81"/>
        <v>1283.51</v>
      </c>
      <c r="P1744" t="str">
        <f>IF(E1744="","Unmapped",IFERROR(INDEX(Supplier_Lookup!$B$2:$B$25,MATCH(E1744,Supplier_Lookup!$A$2:$A$25,0)),"Unmapped"))</f>
        <v>Vehicle &amp; Fuel</v>
      </c>
      <c r="Q1744" s="76">
        <f>IFERROR(INDEX(Category_Targets!$B$2:$B$9,MATCH(F1744,Category_Targets!$A$2:$A$9,0)),0)</f>
        <v>0.05</v>
      </c>
      <c r="R1744" s="125">
        <f t="shared" si="82"/>
        <v>64.1755</v>
      </c>
      <c r="S1744" s="78">
        <f t="shared" si="83"/>
        <v>45992</v>
      </c>
      <c r="T1744" t="str">
        <f>IFERROR(VLOOKUP(B1744,Sites!$A$2:$D$21,4,FALSE()),"Unknown")</f>
        <v>Preston</v>
      </c>
      <c r="U1744" t="str">
        <f>IF(N1744="OK","",COUNTIF($N$2:N1744,"&lt;&gt;OK"))</f>
        <v/>
      </c>
      <c r="V1744">
        <f>IF(OR(NOT(EXACT(E1744,TRIM(Procurement_Raw!E1744))),NOT(EXACT(F1744,TRIM(Procurement_Raw!F1744)))),1,0)</f>
        <v>0</v>
      </c>
    </row>
    <row r="1745" spans="1:22" ht="15" customHeight="1" x14ac:dyDescent="0.25">
      <c r="A1745" s="123">
        <f>Procurement_Raw!A1745</f>
        <v>45734</v>
      </c>
      <c r="B1745" t="str">
        <f>TRIM(Procurement_Raw!B1745)</f>
        <v>S011</v>
      </c>
      <c r="C1745" t="str">
        <f>Procurement_Raw!C1745</f>
        <v>London Care &amp; Education Centre</v>
      </c>
      <c r="D1745" t="str">
        <f>Procurement_Raw!D1745</f>
        <v>South</v>
      </c>
      <c r="E1745" t="str">
        <f>IF(TRIM(Procurement_Raw!E1745)="","",IFERROR(INDEX(Supplier_Lookup!$A$2:$A$25,MATCH(TRIM(Procurement_Raw!E1745),Supplier_Lookup!$A$2:$A$25,0)),TRIM(Procurement_Raw!E1745)))</f>
        <v>KitchenPro</v>
      </c>
      <c r="F1745" t="str">
        <f>IFERROR(INDEX(Category_Targets!$A$2:$A$9,MATCH(TRIM(Procurement_Raw!F1745),Category_Targets!$A$2:$A$9,0)),"Unmapped")</f>
        <v>Food &amp; Catering</v>
      </c>
      <c r="G1745" t="str">
        <f>TRIM(Procurement_Raw!G1745)</f>
        <v>INV-2025-01744</v>
      </c>
      <c r="H1745" s="77">
        <f>Procurement_Raw!H1745</f>
        <v>4</v>
      </c>
      <c r="I1745" s="124">
        <f>Procurement_Raw!I1745</f>
        <v>123.15</v>
      </c>
      <c r="J1745" s="125">
        <f>IF(Procurement_Raw!J1745="","",Procurement_Raw!J1745)</f>
        <v>492.61</v>
      </c>
      <c r="K1745" s="77">
        <f>Procurement_Raw!K1745</f>
        <v>60</v>
      </c>
      <c r="L1745" t="str">
        <f>Procurement_Raw!L1745</f>
        <v>Procurement Portal</v>
      </c>
      <c r="M1745" t="str">
        <f>Procurement_Raw!O1745</f>
        <v>N</v>
      </c>
      <c r="N1745" t="str">
        <f>IF(E1745="","Missing supplier",IF(B1745="","Missing site",IF(J1745="","Missing spend",IF(COUNTIFS($G$2:G1745,G1745,$E$2:E1745,E1745,$J$2:J1745,J1745)&gt;1,"Duplicate invoice",IF(COUNTIF($G$2:$G$1801,G1745)&gt;1,"Duplicate ID - review",IF(AND(P1745&lt;&gt;"Unmapped",P1745&lt;&gt;F1745),"Category mismatch","OK"))))))</f>
        <v>OK</v>
      </c>
      <c r="O1745" s="125">
        <f t="shared" si="81"/>
        <v>492.61</v>
      </c>
      <c r="P1745" t="str">
        <f>IF(E1745="","Unmapped",IFERROR(INDEX(Supplier_Lookup!$B$2:$B$25,MATCH(E1745,Supplier_Lookup!$A$2:$A$25,0)),"Unmapped"))</f>
        <v>Food &amp; Catering</v>
      </c>
      <c r="Q1745" s="76">
        <f>IFERROR(INDEX(Category_Targets!$B$2:$B$9,MATCH(F1745,Category_Targets!$A$2:$A$9,0)),0)</f>
        <v>0.04</v>
      </c>
      <c r="R1745" s="125">
        <f t="shared" si="82"/>
        <v>19.7044</v>
      </c>
      <c r="S1745" s="78">
        <f t="shared" si="83"/>
        <v>45717</v>
      </c>
      <c r="T1745" t="str">
        <f>IFERROR(VLOOKUP(B1745,Sites!$A$2:$D$21,4,FALSE()),"Unknown")</f>
        <v>London</v>
      </c>
      <c r="U1745" t="str">
        <f>IF(N1745="OK","",COUNTIF($N$2:N1745,"&lt;&gt;OK"))</f>
        <v/>
      </c>
      <c r="V1745">
        <f>IF(OR(NOT(EXACT(E1745,TRIM(Procurement_Raw!E1745))),NOT(EXACT(F1745,TRIM(Procurement_Raw!F1745)))),1,0)</f>
        <v>0</v>
      </c>
    </row>
    <row r="1746" spans="1:22" ht="15" customHeight="1" x14ac:dyDescent="0.25">
      <c r="A1746" s="123">
        <f>Procurement_Raw!A1746</f>
        <v>45740</v>
      </c>
      <c r="B1746" t="str">
        <f>TRIM(Procurement_Raw!B1746)</f>
        <v>S008</v>
      </c>
      <c r="C1746" t="str">
        <f>Procurement_Raw!C1746</f>
        <v>Leicester Care &amp; Education Centre</v>
      </c>
      <c r="D1746" t="str">
        <f>Procurement_Raw!D1746</f>
        <v>Midlands</v>
      </c>
      <c r="E1746" t="str">
        <f>IF(TRIM(Procurement_Raw!E1746)="","",IFERROR(INDEX(Supplier_Lookup!$A$2:$A$25,MATCH(TRIM(Procurement_Raw!E1746),Supplier_Lookup!$A$2:$A$25,0)),TRIM(Procurement_Raw!E1746)))</f>
        <v>CareMed</v>
      </c>
      <c r="F1746" t="str">
        <f>IFERROR(INDEX(Category_Targets!$A$2:$A$9,MATCH(TRIM(Procurement_Raw!F1746),Category_Targets!$A$2:$A$9,0)),"Unmapped")</f>
        <v>Medical Supplies</v>
      </c>
      <c r="G1746" t="str">
        <f>TRIM(Procurement_Raw!G1746)</f>
        <v>INV-2025-01745</v>
      </c>
      <c r="H1746" s="77">
        <f>Procurement_Raw!H1746</f>
        <v>20</v>
      </c>
      <c r="I1746" s="124">
        <f>Procurement_Raw!I1746</f>
        <v>72.06</v>
      </c>
      <c r="J1746" s="125">
        <f>IF(Procurement_Raw!J1746="","",Procurement_Raw!J1746)</f>
        <v>1441.13</v>
      </c>
      <c r="K1746" s="77">
        <f>Procurement_Raw!K1746</f>
        <v>60</v>
      </c>
      <c r="L1746" t="str">
        <f>Procurement_Raw!L1746</f>
        <v>Procurement Portal</v>
      </c>
      <c r="M1746" t="str">
        <f>Procurement_Raw!O1746</f>
        <v>N</v>
      </c>
      <c r="N1746" t="str">
        <f>IF(E1746="","Missing supplier",IF(B1746="","Missing site",IF(J1746="","Missing spend",IF(COUNTIFS($G$2:G1746,G1746,$E$2:E1746,E1746,$J$2:J1746,J1746)&gt;1,"Duplicate invoice",IF(COUNTIF($G$2:$G$1801,G1746)&gt;1,"Duplicate ID - review",IF(AND(P1746&lt;&gt;"Unmapped",P1746&lt;&gt;F1746),"Category mismatch","OK"))))))</f>
        <v>OK</v>
      </c>
      <c r="O1746" s="125">
        <f t="shared" si="81"/>
        <v>1441.13</v>
      </c>
      <c r="P1746" t="str">
        <f>IF(E1746="","Unmapped",IFERROR(INDEX(Supplier_Lookup!$B$2:$B$25,MATCH(E1746,Supplier_Lookup!$A$2:$A$25,0)),"Unmapped"))</f>
        <v>Medical Supplies</v>
      </c>
      <c r="Q1746" s="76">
        <f>IFERROR(INDEX(Category_Targets!$B$2:$B$9,MATCH(F1746,Category_Targets!$A$2:$A$9,0)),0)</f>
        <v>0.06</v>
      </c>
      <c r="R1746" s="125">
        <f t="shared" si="82"/>
        <v>86.467799999999997</v>
      </c>
      <c r="S1746" s="78">
        <f t="shared" si="83"/>
        <v>45717</v>
      </c>
      <c r="T1746" t="str">
        <f>IFERROR(VLOOKUP(B1746,Sites!$A$2:$D$21,4,FALSE()),"Unknown")</f>
        <v>Leicester</v>
      </c>
      <c r="U1746" t="str">
        <f>IF(N1746="OK","",COUNTIF($N$2:N1746,"&lt;&gt;OK"))</f>
        <v/>
      </c>
      <c r="V1746">
        <f>IF(OR(NOT(EXACT(E1746,TRIM(Procurement_Raw!E1746))),NOT(EXACT(F1746,TRIM(Procurement_Raw!F1746)))),1,0)</f>
        <v>0</v>
      </c>
    </row>
    <row r="1747" spans="1:22" ht="15" customHeight="1" x14ac:dyDescent="0.25">
      <c r="A1747" s="123">
        <f>Procurement_Raw!A1747</f>
        <v>45776</v>
      </c>
      <c r="B1747" t="str">
        <f>TRIM(Procurement_Raw!B1747)</f>
        <v>S011</v>
      </c>
      <c r="C1747" t="str">
        <f>Procurement_Raw!C1747</f>
        <v>London Care &amp; Education Centre</v>
      </c>
      <c r="D1747" t="str">
        <f>Procurement_Raw!D1747</f>
        <v>South</v>
      </c>
      <c r="E1747" t="str">
        <f>IF(TRIM(Procurement_Raw!E1747)="","",IFERROR(INDEX(Supplier_Lookup!$A$2:$A$25,MATCH(TRIM(Procurement_Raw!E1747),Supplier_Lookup!$A$2:$A$25,0)),TRIM(Procurement_Raw!E1747)))</f>
        <v>KitchenPro</v>
      </c>
      <c r="F1747" t="str">
        <f>IFERROR(INDEX(Category_Targets!$A$2:$A$9,MATCH(TRIM(Procurement_Raw!F1747),Category_Targets!$A$2:$A$9,0)),"Unmapped")</f>
        <v>Food &amp; Catering</v>
      </c>
      <c r="G1747" t="str">
        <f>TRIM(Procurement_Raw!G1747)</f>
        <v>INV-2025-01746</v>
      </c>
      <c r="H1747" s="77">
        <f>Procurement_Raw!H1747</f>
        <v>28</v>
      </c>
      <c r="I1747" s="124">
        <f>Procurement_Raw!I1747</f>
        <v>74.11</v>
      </c>
      <c r="J1747" s="125">
        <f>IF(Procurement_Raw!J1747="","",Procurement_Raw!J1747)</f>
        <v>2074.9499999999998</v>
      </c>
      <c r="K1747" s="77">
        <f>Procurement_Raw!K1747</f>
        <v>60</v>
      </c>
      <c r="L1747" t="str">
        <f>Procurement_Raw!L1747</f>
        <v>Legacy Spend File</v>
      </c>
      <c r="M1747" t="str">
        <f>Procurement_Raw!O1747</f>
        <v>N</v>
      </c>
      <c r="N1747" t="str">
        <f>IF(E1747="","Missing supplier",IF(B1747="","Missing site",IF(J1747="","Missing spend",IF(COUNTIFS($G$2:G1747,G1747,$E$2:E1747,E1747,$J$2:J1747,J1747)&gt;1,"Duplicate invoice",IF(COUNTIF($G$2:$G$1801,G1747)&gt;1,"Duplicate ID - review",IF(AND(P1747&lt;&gt;"Unmapped",P1747&lt;&gt;F1747),"Category mismatch","OK"))))))</f>
        <v>OK</v>
      </c>
      <c r="O1747" s="125">
        <f t="shared" si="81"/>
        <v>2074.9499999999998</v>
      </c>
      <c r="P1747" t="str">
        <f>IF(E1747="","Unmapped",IFERROR(INDEX(Supplier_Lookup!$B$2:$B$25,MATCH(E1747,Supplier_Lookup!$A$2:$A$25,0)),"Unmapped"))</f>
        <v>Food &amp; Catering</v>
      </c>
      <c r="Q1747" s="76">
        <f>IFERROR(INDEX(Category_Targets!$B$2:$B$9,MATCH(F1747,Category_Targets!$A$2:$A$9,0)),0)</f>
        <v>0.04</v>
      </c>
      <c r="R1747" s="125">
        <f t="shared" si="82"/>
        <v>82.99799999999999</v>
      </c>
      <c r="S1747" s="78">
        <f t="shared" si="83"/>
        <v>45748</v>
      </c>
      <c r="T1747" t="str">
        <f>IFERROR(VLOOKUP(B1747,Sites!$A$2:$D$21,4,FALSE()),"Unknown")</f>
        <v>London</v>
      </c>
      <c r="U1747" t="str">
        <f>IF(N1747="OK","",COUNTIF($N$2:N1747,"&lt;&gt;OK"))</f>
        <v/>
      </c>
      <c r="V1747">
        <f>IF(OR(NOT(EXACT(E1747,TRIM(Procurement_Raw!E1747))),NOT(EXACT(F1747,TRIM(Procurement_Raw!F1747)))),1,0)</f>
        <v>0</v>
      </c>
    </row>
    <row r="1748" spans="1:22" ht="15" customHeight="1" x14ac:dyDescent="0.25">
      <c r="A1748" s="123">
        <f>Procurement_Raw!A1748</f>
        <v>45922</v>
      </c>
      <c r="B1748" t="str">
        <f>TRIM(Procurement_Raw!B1748)</f>
        <v>S011</v>
      </c>
      <c r="C1748" t="str">
        <f>Procurement_Raw!C1748</f>
        <v>London Care &amp; Education Centre</v>
      </c>
      <c r="D1748" t="str">
        <f>Procurement_Raw!D1748</f>
        <v>South</v>
      </c>
      <c r="E1748" t="str">
        <f>IF(TRIM(Procurement_Raw!E1748)="","",IFERROR(INDEX(Supplier_Lookup!$A$2:$A$25,MATCH(TRIM(Procurement_Raw!E1748),Supplier_Lookup!$A$2:$A$25,0)),TRIM(Procurement_Raw!E1748)))</f>
        <v>BuildCare</v>
      </c>
      <c r="F1748" t="str">
        <f>IFERROR(INDEX(Category_Targets!$A$2:$A$9,MATCH(TRIM(Procurement_Raw!F1748),Category_Targets!$A$2:$A$9,0)),"Unmapped")</f>
        <v>Facilities</v>
      </c>
      <c r="G1748" t="str">
        <f>TRIM(Procurement_Raw!G1748)</f>
        <v>INV-2025-01747</v>
      </c>
      <c r="H1748" s="77">
        <f>Procurement_Raw!H1748</f>
        <v>78</v>
      </c>
      <c r="I1748" s="124">
        <f>Procurement_Raw!I1748</f>
        <v>307.76</v>
      </c>
      <c r="J1748" s="125">
        <f>IF(Procurement_Raw!J1748="","",Procurement_Raw!J1748)</f>
        <v>24005.17</v>
      </c>
      <c r="K1748" s="77">
        <f>Procurement_Raw!K1748</f>
        <v>60</v>
      </c>
      <c r="L1748" t="str">
        <f>Procurement_Raw!L1748</f>
        <v>Legacy Spend File</v>
      </c>
      <c r="M1748" t="str">
        <f>Procurement_Raw!O1748</f>
        <v>N</v>
      </c>
      <c r="N1748" t="str">
        <f>IF(E1748="","Missing supplier",IF(B1748="","Missing site",IF(J1748="","Missing spend",IF(COUNTIFS($G$2:G1748,G1748,$E$2:E1748,E1748,$J$2:J1748,J1748)&gt;1,"Duplicate invoice",IF(COUNTIF($G$2:$G$1801,G1748)&gt;1,"Duplicate ID - review",IF(AND(P1748&lt;&gt;"Unmapped",P1748&lt;&gt;F1748),"Category mismatch","OK"))))))</f>
        <v>OK</v>
      </c>
      <c r="O1748" s="125">
        <f t="shared" si="81"/>
        <v>24005.17</v>
      </c>
      <c r="P1748" t="str">
        <f>IF(E1748="","Unmapped",IFERROR(INDEX(Supplier_Lookup!$B$2:$B$25,MATCH(E1748,Supplier_Lookup!$A$2:$A$25,0)),"Unmapped"))</f>
        <v>Facilities</v>
      </c>
      <c r="Q1748" s="76">
        <f>IFERROR(INDEX(Category_Targets!$B$2:$B$9,MATCH(F1748,Category_Targets!$A$2:$A$9,0)),0)</f>
        <v>0.05</v>
      </c>
      <c r="R1748" s="125">
        <f t="shared" si="82"/>
        <v>1200.2584999999999</v>
      </c>
      <c r="S1748" s="78">
        <f t="shared" si="83"/>
        <v>45901</v>
      </c>
      <c r="T1748" t="str">
        <f>IFERROR(VLOOKUP(B1748,Sites!$A$2:$D$21,4,FALSE()),"Unknown")</f>
        <v>London</v>
      </c>
      <c r="U1748" t="str">
        <f>IF(N1748="OK","",COUNTIF($N$2:N1748,"&lt;&gt;OK"))</f>
        <v/>
      </c>
      <c r="V1748">
        <f>IF(OR(NOT(EXACT(E1748,TRIM(Procurement_Raw!E1748))),NOT(EXACT(F1748,TRIM(Procurement_Raw!F1748)))),1,0)</f>
        <v>0</v>
      </c>
    </row>
    <row r="1749" spans="1:22" ht="15" customHeight="1" x14ac:dyDescent="0.25">
      <c r="A1749" s="123">
        <f>Procurement_Raw!A1749</f>
        <v>45831</v>
      </c>
      <c r="B1749" t="str">
        <f>TRIM(Procurement_Raw!B1749)</f>
        <v>S014</v>
      </c>
      <c r="C1749" t="str">
        <f>Procurement_Raw!C1749</f>
        <v>Southampton Care &amp; Education Centre</v>
      </c>
      <c r="D1749" t="str">
        <f>Procurement_Raw!D1749</f>
        <v>South</v>
      </c>
      <c r="E1749" t="str">
        <f>IF(TRIM(Procurement_Raw!E1749)="","",IFERROR(INDEX(Supplier_Lookup!$A$2:$A$25,MATCH(TRIM(Procurement_Raw!E1749),Supplier_Lookup!$A$2:$A$25,0)),TRIM(Procurement_Raw!E1749)))</f>
        <v>OfficePlus</v>
      </c>
      <c r="F1749" t="str">
        <f>IFERROR(INDEX(Category_Targets!$A$2:$A$9,MATCH(TRIM(Procurement_Raw!F1749),Category_Targets!$A$2:$A$9,0)),"Unmapped")</f>
        <v>Office &amp; Training</v>
      </c>
      <c r="G1749" t="str">
        <f>TRIM(Procurement_Raw!G1749)</f>
        <v>INV-2025-01748</v>
      </c>
      <c r="H1749" s="77">
        <f>Procurement_Raw!H1749</f>
        <v>38</v>
      </c>
      <c r="I1749" s="124">
        <f>Procurement_Raw!I1749</f>
        <v>98.8</v>
      </c>
      <c r="J1749" s="125">
        <f>IF(Procurement_Raw!J1749="","",Procurement_Raw!J1749)</f>
        <v>3754.37</v>
      </c>
      <c r="K1749" s="77">
        <f>Procurement_Raw!K1749</f>
        <v>45</v>
      </c>
      <c r="L1749" t="str">
        <f>Procurement_Raw!L1749</f>
        <v>Legacy Spend File</v>
      </c>
      <c r="M1749" t="str">
        <f>Procurement_Raw!O1749</f>
        <v>N</v>
      </c>
      <c r="N1749" t="str">
        <f>IF(E1749="","Missing supplier",IF(B1749="","Missing site",IF(J1749="","Missing spend",IF(COUNTIFS($G$2:G1749,G1749,$E$2:E1749,E1749,$J$2:J1749,J1749)&gt;1,"Duplicate invoice",IF(COUNTIF($G$2:$G$1801,G1749)&gt;1,"Duplicate ID - review",IF(AND(P1749&lt;&gt;"Unmapped",P1749&lt;&gt;F1749),"Category mismatch","OK"))))))</f>
        <v>OK</v>
      </c>
      <c r="O1749" s="125">
        <f t="shared" si="81"/>
        <v>3754.37</v>
      </c>
      <c r="P1749" t="str">
        <f>IF(E1749="","Unmapped",IFERROR(INDEX(Supplier_Lookup!$B$2:$B$25,MATCH(E1749,Supplier_Lookup!$A$2:$A$25,0)),"Unmapped"))</f>
        <v>Office &amp; Training</v>
      </c>
      <c r="Q1749" s="76">
        <f>IFERROR(INDEX(Category_Targets!$B$2:$B$9,MATCH(F1749,Category_Targets!$A$2:$A$9,0)),0)</f>
        <v>0.04</v>
      </c>
      <c r="R1749" s="125">
        <f t="shared" si="82"/>
        <v>150.1748</v>
      </c>
      <c r="S1749" s="78">
        <f t="shared" si="83"/>
        <v>45809</v>
      </c>
      <c r="T1749" t="str">
        <f>IFERROR(VLOOKUP(B1749,Sites!$A$2:$D$21,4,FALSE()),"Unknown")</f>
        <v>Southampton</v>
      </c>
      <c r="U1749" t="str">
        <f>IF(N1749="OK","",COUNTIF($N$2:N1749,"&lt;&gt;OK"))</f>
        <v/>
      </c>
      <c r="V1749">
        <f>IF(OR(NOT(EXACT(E1749,TRIM(Procurement_Raw!E1749))),NOT(EXACT(F1749,TRIM(Procurement_Raw!F1749)))),1,0)</f>
        <v>0</v>
      </c>
    </row>
    <row r="1750" spans="1:22" ht="15" customHeight="1" x14ac:dyDescent="0.25">
      <c r="A1750" s="123">
        <f>Procurement_Raw!A1750</f>
        <v>46007</v>
      </c>
      <c r="B1750" t="str">
        <f>TRIM(Procurement_Raw!B1750)</f>
        <v>S002</v>
      </c>
      <c r="C1750" t="str">
        <f>Procurement_Raw!C1750</f>
        <v>Manchester Care &amp; Education Centre</v>
      </c>
      <c r="D1750" t="str">
        <f>Procurement_Raw!D1750</f>
        <v>North</v>
      </c>
      <c r="E1750" t="str">
        <f>IF(TRIM(Procurement_Raw!E1750)="","",IFERROR(INDEX(Supplier_Lookup!$A$2:$A$25,MATCH(TRIM(Procurement_Raw!E1750),Supplier_Lookup!$A$2:$A$25,0)),TRIM(Procurement_Raw!E1750)))</f>
        <v>ClinEquip</v>
      </c>
      <c r="F1750" t="str">
        <f>IFERROR(INDEX(Category_Targets!$A$2:$A$9,MATCH(TRIM(Procurement_Raw!F1750),Category_Targets!$A$2:$A$9,0)),"Unmapped")</f>
        <v>Medical Supplies</v>
      </c>
      <c r="G1750" t="str">
        <f>TRIM(Procurement_Raw!G1750)</f>
        <v>INV-2025-01749</v>
      </c>
      <c r="H1750" s="77">
        <f>Procurement_Raw!H1750</f>
        <v>50</v>
      </c>
      <c r="I1750" s="124">
        <f>Procurement_Raw!I1750</f>
        <v>133.19</v>
      </c>
      <c r="J1750" s="125">
        <f>IF(Procurement_Raw!J1750="","",Procurement_Raw!J1750)</f>
        <v>6659.4</v>
      </c>
      <c r="K1750" s="77">
        <f>Procurement_Raw!K1750</f>
        <v>30</v>
      </c>
      <c r="L1750" t="str">
        <f>Procurement_Raw!L1750</f>
        <v>ERP</v>
      </c>
      <c r="M1750" t="str">
        <f>Procurement_Raw!O1750</f>
        <v>N</v>
      </c>
      <c r="N1750" t="str">
        <f>IF(E1750="","Missing supplier",IF(B1750="","Missing site",IF(J1750="","Missing spend",IF(COUNTIFS($G$2:G1750,G1750,$E$2:E1750,E1750,$J$2:J1750,J1750)&gt;1,"Duplicate invoice",IF(COUNTIF($G$2:$G$1801,G1750)&gt;1,"Duplicate ID - review",IF(AND(P1750&lt;&gt;"Unmapped",P1750&lt;&gt;F1750),"Category mismatch","OK"))))))</f>
        <v>OK</v>
      </c>
      <c r="O1750" s="125">
        <f t="shared" si="81"/>
        <v>6659.4</v>
      </c>
      <c r="P1750" t="str">
        <f>IF(E1750="","Unmapped",IFERROR(INDEX(Supplier_Lookup!$B$2:$B$25,MATCH(E1750,Supplier_Lookup!$A$2:$A$25,0)),"Unmapped"))</f>
        <v>Medical Supplies</v>
      </c>
      <c r="Q1750" s="76">
        <f>IFERROR(INDEX(Category_Targets!$B$2:$B$9,MATCH(F1750,Category_Targets!$A$2:$A$9,0)),0)</f>
        <v>0.06</v>
      </c>
      <c r="R1750" s="125">
        <f t="shared" si="82"/>
        <v>399.56399999999996</v>
      </c>
      <c r="S1750" s="78">
        <f t="shared" si="83"/>
        <v>45992</v>
      </c>
      <c r="T1750" t="str">
        <f>IFERROR(VLOOKUP(B1750,Sites!$A$2:$D$21,4,FALSE()),"Unknown")</f>
        <v>Manchester</v>
      </c>
      <c r="U1750" t="str">
        <f>IF(N1750="OK","",COUNTIF($N$2:N1750,"&lt;&gt;OK"))</f>
        <v/>
      </c>
      <c r="V1750">
        <f>IF(OR(NOT(EXACT(E1750,TRIM(Procurement_Raw!E1750))),NOT(EXACT(F1750,TRIM(Procurement_Raw!F1750)))),1,0)</f>
        <v>0</v>
      </c>
    </row>
    <row r="1751" spans="1:22" ht="15" customHeight="1" x14ac:dyDescent="0.25">
      <c r="A1751" s="123">
        <f>Procurement_Raw!A1751</f>
        <v>45948</v>
      </c>
      <c r="B1751" t="str">
        <f>TRIM(Procurement_Raw!B1751)</f>
        <v>S014</v>
      </c>
      <c r="C1751" t="str">
        <f>Procurement_Raw!C1751</f>
        <v>Southampton Care &amp; Education Centre</v>
      </c>
      <c r="D1751" t="str">
        <f>Procurement_Raw!D1751</f>
        <v>South</v>
      </c>
      <c r="E1751" t="str">
        <f>IF(TRIM(Procurement_Raw!E1751)="","",IFERROR(INDEX(Supplier_Lookup!$A$2:$A$25,MATCH(TRIM(Procurement_Raw!E1751),Supplier_Lookup!$A$2:$A$25,0)),TRIM(Procurement_Raw!E1751)))</f>
        <v>FreshServe</v>
      </c>
      <c r="F1751" t="str">
        <f>IFERROR(INDEX(Category_Targets!$A$2:$A$9,MATCH(TRIM(Procurement_Raw!F1751),Category_Targets!$A$2:$A$9,0)),"Unmapped")</f>
        <v>Food &amp; Catering</v>
      </c>
      <c r="G1751" t="str">
        <f>TRIM(Procurement_Raw!G1751)</f>
        <v>INV-2025-01750</v>
      </c>
      <c r="H1751" s="77">
        <f>Procurement_Raw!H1751</f>
        <v>64</v>
      </c>
      <c r="I1751" s="124">
        <f>Procurement_Raw!I1751</f>
        <v>112.73</v>
      </c>
      <c r="J1751" s="125">
        <f>IF(Procurement_Raw!J1751="","",Procurement_Raw!J1751)</f>
        <v>7214.48</v>
      </c>
      <c r="K1751" s="77">
        <f>Procurement_Raw!K1751</f>
        <v>30</v>
      </c>
      <c r="L1751" t="str">
        <f>Procurement_Raw!L1751</f>
        <v>ERP</v>
      </c>
      <c r="M1751" t="str">
        <f>Procurement_Raw!O1751</f>
        <v>Y</v>
      </c>
      <c r="N1751" t="str">
        <f>IF(E1751="","Missing supplier",IF(B1751="","Missing site",IF(J1751="","Missing spend",IF(COUNTIFS($G$2:G1751,G1751,$E$2:E1751,E1751,$J$2:J1751,J1751)&gt;1,"Duplicate invoice",IF(COUNTIF($G$2:$G$1801,G1751)&gt;1,"Duplicate ID - review",IF(AND(P1751&lt;&gt;"Unmapped",P1751&lt;&gt;F1751),"Category mismatch","OK"))))))</f>
        <v>OK</v>
      </c>
      <c r="O1751" s="125">
        <f t="shared" si="81"/>
        <v>7214.48</v>
      </c>
      <c r="P1751" t="str">
        <f>IF(E1751="","Unmapped",IFERROR(INDEX(Supplier_Lookup!$B$2:$B$25,MATCH(E1751,Supplier_Lookup!$A$2:$A$25,0)),"Unmapped"))</f>
        <v>Food &amp; Catering</v>
      </c>
      <c r="Q1751" s="76">
        <f>IFERROR(INDEX(Category_Targets!$B$2:$B$9,MATCH(F1751,Category_Targets!$A$2:$A$9,0)),0)</f>
        <v>0.04</v>
      </c>
      <c r="R1751" s="125">
        <f t="shared" si="82"/>
        <v>288.57920000000001</v>
      </c>
      <c r="S1751" s="78">
        <f t="shared" si="83"/>
        <v>45931</v>
      </c>
      <c r="T1751" t="str">
        <f>IFERROR(VLOOKUP(B1751,Sites!$A$2:$D$21,4,FALSE()),"Unknown")</f>
        <v>Southampton</v>
      </c>
      <c r="U1751" t="str">
        <f>IF(N1751="OK","",COUNTIF($N$2:N1751,"&lt;&gt;OK"))</f>
        <v/>
      </c>
      <c r="V1751">
        <f>IF(OR(NOT(EXACT(E1751,TRIM(Procurement_Raw!E1751))),NOT(EXACT(F1751,TRIM(Procurement_Raw!F1751)))),1,0)</f>
        <v>0</v>
      </c>
    </row>
    <row r="1752" spans="1:22" ht="15" customHeight="1" x14ac:dyDescent="0.25">
      <c r="A1752" s="123">
        <f>Procurement_Raw!A1752</f>
        <v>45702</v>
      </c>
      <c r="B1752" t="str">
        <f>TRIM(Procurement_Raw!B1752)</f>
        <v>S004</v>
      </c>
      <c r="C1752" t="str">
        <f>Procurement_Raw!C1752</f>
        <v>Newcastle Care &amp; Education Centre</v>
      </c>
      <c r="D1752" t="str">
        <f>Procurement_Raw!D1752</f>
        <v>North</v>
      </c>
      <c r="E1752" t="str">
        <f>IF(TRIM(Procurement_Raw!E1752)="","",IFERROR(INDEX(Supplier_Lookup!$A$2:$A$25,MATCH(TRIM(Procurement_Raw!E1752),Supplier_Lookup!$A$2:$A$25,0)),TRIM(Procurement_Raw!E1752)))</f>
        <v>NetServe</v>
      </c>
      <c r="F1752" t="str">
        <f>IFERROR(INDEX(Category_Targets!$A$2:$A$9,MATCH(TRIM(Procurement_Raw!F1752),Category_Targets!$A$2:$A$9,0)),"Unmapped")</f>
        <v>IT &amp; Telecoms</v>
      </c>
      <c r="G1752" t="str">
        <f>TRIM(Procurement_Raw!G1752)</f>
        <v>INV-2025-01751</v>
      </c>
      <c r="H1752" s="77">
        <f>Procurement_Raw!H1752</f>
        <v>64</v>
      </c>
      <c r="I1752" s="124">
        <f>Procurement_Raw!I1752</f>
        <v>49.74</v>
      </c>
      <c r="J1752" s="125">
        <f>IF(Procurement_Raw!J1752="","",Procurement_Raw!J1752)</f>
        <v>3183.49</v>
      </c>
      <c r="K1752" s="77">
        <f>Procurement_Raw!K1752</f>
        <v>30</v>
      </c>
      <c r="L1752" t="str">
        <f>Procurement_Raw!L1752</f>
        <v>Procurement Portal</v>
      </c>
      <c r="M1752" t="str">
        <f>Procurement_Raw!O1752</f>
        <v>N</v>
      </c>
      <c r="N1752" t="str">
        <f>IF(E1752="","Missing supplier",IF(B1752="","Missing site",IF(J1752="","Missing spend",IF(COUNTIFS($G$2:G1752,G1752,$E$2:E1752,E1752,$J$2:J1752,J1752)&gt;1,"Duplicate invoice",IF(COUNTIF($G$2:$G$1801,G1752)&gt;1,"Duplicate ID - review",IF(AND(P1752&lt;&gt;"Unmapped",P1752&lt;&gt;F1752),"Category mismatch","OK"))))))</f>
        <v>OK</v>
      </c>
      <c r="O1752" s="125">
        <f t="shared" si="81"/>
        <v>3183.49</v>
      </c>
      <c r="P1752" t="str">
        <f>IF(E1752="","Unmapped",IFERROR(INDEX(Supplier_Lookup!$B$2:$B$25,MATCH(E1752,Supplier_Lookup!$A$2:$A$25,0)),"Unmapped"))</f>
        <v>IT &amp; Telecoms</v>
      </c>
      <c r="Q1752" s="76">
        <f>IFERROR(INDEX(Category_Targets!$B$2:$B$9,MATCH(F1752,Category_Targets!$A$2:$A$9,0)),0)</f>
        <v>0.08</v>
      </c>
      <c r="R1752" s="125">
        <f t="shared" si="82"/>
        <v>254.67919999999998</v>
      </c>
      <c r="S1752" s="78">
        <f t="shared" si="83"/>
        <v>45689</v>
      </c>
      <c r="T1752" t="str">
        <f>IFERROR(VLOOKUP(B1752,Sites!$A$2:$D$21,4,FALSE()),"Unknown")</f>
        <v>Newcastle</v>
      </c>
      <c r="U1752" t="str">
        <f>IF(N1752="OK","",COUNTIF($N$2:N1752,"&lt;&gt;OK"))</f>
        <v/>
      </c>
      <c r="V1752">
        <f>IF(OR(NOT(EXACT(E1752,TRIM(Procurement_Raw!E1752))),NOT(EXACT(F1752,TRIM(Procurement_Raw!F1752)))),1,0)</f>
        <v>0</v>
      </c>
    </row>
    <row r="1753" spans="1:22" ht="15" customHeight="1" x14ac:dyDescent="0.25">
      <c r="A1753" s="123">
        <f>Procurement_Raw!A1753</f>
        <v>45740</v>
      </c>
      <c r="B1753" t="str">
        <f>TRIM(Procurement_Raw!B1753)</f>
        <v>S011</v>
      </c>
      <c r="C1753" t="str">
        <f>Procurement_Raw!C1753</f>
        <v>London Care &amp; Education Centre</v>
      </c>
      <c r="D1753" t="str">
        <f>Procurement_Raw!D1753</f>
        <v>South</v>
      </c>
      <c r="E1753" t="str">
        <f>IF(TRIM(Procurement_Raw!E1753)="","",IFERROR(INDEX(Supplier_Lookup!$A$2:$A$25,MATCH(TRIM(Procurement_Raw!E1753),Supplier_Lookup!$A$2:$A$25,0)),TRIM(Procurement_Raw!E1753)))</f>
        <v>SafeGuard FM</v>
      </c>
      <c r="F1753" t="str">
        <f>IFERROR(INDEX(Category_Targets!$A$2:$A$9,MATCH(TRIM(Procurement_Raw!F1753),Category_Targets!$A$2:$A$9,0)),"Unmapped")</f>
        <v>Facilities</v>
      </c>
      <c r="G1753" t="str">
        <f>TRIM(Procurement_Raw!G1753)</f>
        <v>INV-2025-01752</v>
      </c>
      <c r="H1753" s="77">
        <f>Procurement_Raw!H1753</f>
        <v>9</v>
      </c>
      <c r="I1753" s="124">
        <f>Procurement_Raw!I1753</f>
        <v>261.33</v>
      </c>
      <c r="J1753" s="125">
        <f>IF(Procurement_Raw!J1753="","",Procurement_Raw!J1753)</f>
        <v>2351.98</v>
      </c>
      <c r="K1753" s="77">
        <f>Procurement_Raw!K1753</f>
        <v>45</v>
      </c>
      <c r="L1753" t="str">
        <f>Procurement_Raw!L1753</f>
        <v>Legacy Spend File</v>
      </c>
      <c r="M1753" t="str">
        <f>Procurement_Raw!O1753</f>
        <v>N</v>
      </c>
      <c r="N1753" t="str">
        <f>IF(E1753="","Missing supplier",IF(B1753="","Missing site",IF(J1753="","Missing spend",IF(COUNTIFS($G$2:G1753,G1753,$E$2:E1753,E1753,$J$2:J1753,J1753)&gt;1,"Duplicate invoice",IF(COUNTIF($G$2:$G$1801,G1753)&gt;1,"Duplicate ID - review",IF(AND(P1753&lt;&gt;"Unmapped",P1753&lt;&gt;F1753),"Category mismatch","OK"))))))</f>
        <v>OK</v>
      </c>
      <c r="O1753" s="125">
        <f t="shared" si="81"/>
        <v>2351.98</v>
      </c>
      <c r="P1753" t="str">
        <f>IF(E1753="","Unmapped",IFERROR(INDEX(Supplier_Lookup!$B$2:$B$25,MATCH(E1753,Supplier_Lookup!$A$2:$A$25,0)),"Unmapped"))</f>
        <v>Facilities</v>
      </c>
      <c r="Q1753" s="76">
        <f>IFERROR(INDEX(Category_Targets!$B$2:$B$9,MATCH(F1753,Category_Targets!$A$2:$A$9,0)),0)</f>
        <v>0.05</v>
      </c>
      <c r="R1753" s="125">
        <f t="shared" si="82"/>
        <v>117.599</v>
      </c>
      <c r="S1753" s="78">
        <f t="shared" si="83"/>
        <v>45717</v>
      </c>
      <c r="T1753" t="str">
        <f>IFERROR(VLOOKUP(B1753,Sites!$A$2:$D$21,4,FALSE()),"Unknown")</f>
        <v>London</v>
      </c>
      <c r="U1753" t="str">
        <f>IF(N1753="OK","",COUNTIF($N$2:N1753,"&lt;&gt;OK"))</f>
        <v/>
      </c>
      <c r="V1753">
        <f>IF(OR(NOT(EXACT(E1753,TRIM(Procurement_Raw!E1753))),NOT(EXACT(F1753,TRIM(Procurement_Raw!F1753)))),1,0)</f>
        <v>0</v>
      </c>
    </row>
    <row r="1754" spans="1:22" ht="15" customHeight="1" x14ac:dyDescent="0.25">
      <c r="A1754" s="123">
        <f>Procurement_Raw!A1754</f>
        <v>45694</v>
      </c>
      <c r="B1754" t="str">
        <f>TRIM(Procurement_Raw!B1754)</f>
        <v>S005</v>
      </c>
      <c r="C1754" t="str">
        <f>Procurement_Raw!C1754</f>
        <v>Sheffield Care &amp; Education Centre</v>
      </c>
      <c r="D1754" t="str">
        <f>Procurement_Raw!D1754</f>
        <v>North</v>
      </c>
      <c r="E1754" t="str">
        <f>IF(TRIM(Procurement_Raw!E1754)="","",IFERROR(INDEX(Supplier_Lookup!$A$2:$A$25,MATCH(TRIM(Procurement_Raw!E1754),Supplier_Lookup!$A$2:$A$25,0)),TRIM(Procurement_Raw!E1754)))</f>
        <v>FleetFuel</v>
      </c>
      <c r="F1754" t="str">
        <f>IFERROR(INDEX(Category_Targets!$A$2:$A$9,MATCH(TRIM(Procurement_Raw!F1754),Category_Targets!$A$2:$A$9,0)),"Unmapped")</f>
        <v>Vehicle &amp; Fuel</v>
      </c>
      <c r="G1754" t="str">
        <f>TRIM(Procurement_Raw!G1754)</f>
        <v>INV-2025-01753</v>
      </c>
      <c r="H1754" s="77">
        <f>Procurement_Raw!H1754</f>
        <v>23</v>
      </c>
      <c r="I1754" s="124">
        <f>Procurement_Raw!I1754</f>
        <v>66.3</v>
      </c>
      <c r="J1754" s="125">
        <f>IF(Procurement_Raw!J1754="","",Procurement_Raw!J1754)</f>
        <v>1524.82</v>
      </c>
      <c r="K1754" s="77">
        <f>Procurement_Raw!K1754</f>
        <v>60</v>
      </c>
      <c r="L1754" t="str">
        <f>Procurement_Raw!L1754</f>
        <v>Procurement Portal</v>
      </c>
      <c r="M1754" t="str">
        <f>Procurement_Raw!O1754</f>
        <v>Y</v>
      </c>
      <c r="N1754" t="str">
        <f>IF(E1754="","Missing supplier",IF(B1754="","Missing site",IF(J1754="","Missing spend",IF(COUNTIFS($G$2:G1754,G1754,$E$2:E1754,E1754,$J$2:J1754,J1754)&gt;1,"Duplicate invoice",IF(COUNTIF($G$2:$G$1801,G1754)&gt;1,"Duplicate ID - review",IF(AND(P1754&lt;&gt;"Unmapped",P1754&lt;&gt;F1754),"Category mismatch","OK"))))))</f>
        <v>OK</v>
      </c>
      <c r="O1754" s="125">
        <f t="shared" si="81"/>
        <v>1524.82</v>
      </c>
      <c r="P1754" t="str">
        <f>IF(E1754="","Unmapped",IFERROR(INDEX(Supplier_Lookup!$B$2:$B$25,MATCH(E1754,Supplier_Lookup!$A$2:$A$25,0)),"Unmapped"))</f>
        <v>Vehicle &amp; Fuel</v>
      </c>
      <c r="Q1754" s="76">
        <f>IFERROR(INDEX(Category_Targets!$B$2:$B$9,MATCH(F1754,Category_Targets!$A$2:$A$9,0)),0)</f>
        <v>0.05</v>
      </c>
      <c r="R1754" s="125">
        <f t="shared" si="82"/>
        <v>76.241</v>
      </c>
      <c r="S1754" s="78">
        <f t="shared" si="83"/>
        <v>45689</v>
      </c>
      <c r="T1754" t="str">
        <f>IFERROR(VLOOKUP(B1754,Sites!$A$2:$D$21,4,FALSE()),"Unknown")</f>
        <v>Sheffield</v>
      </c>
      <c r="U1754" t="str">
        <f>IF(N1754="OK","",COUNTIF($N$2:N1754,"&lt;&gt;OK"))</f>
        <v/>
      </c>
      <c r="V1754">
        <f>IF(OR(NOT(EXACT(E1754,TRIM(Procurement_Raw!E1754))),NOT(EXACT(F1754,TRIM(Procurement_Raw!F1754)))),1,0)</f>
        <v>0</v>
      </c>
    </row>
    <row r="1755" spans="1:22" ht="15" customHeight="1" x14ac:dyDescent="0.25">
      <c r="A1755" s="123">
        <f>Procurement_Raw!A1755</f>
        <v>45884</v>
      </c>
      <c r="B1755" t="str">
        <f>TRIM(Procurement_Raw!B1755)</f>
        <v>S007</v>
      </c>
      <c r="C1755" t="str">
        <f>Procurement_Raw!C1755</f>
        <v>Nottingham Care &amp; Education Centre</v>
      </c>
      <c r="D1755" t="str">
        <f>Procurement_Raw!D1755</f>
        <v>Midlands</v>
      </c>
      <c r="E1755" t="str">
        <f>IF(TRIM(Procurement_Raw!E1755)="","",IFERROR(INDEX(Supplier_Lookup!$A$2:$A$25,MATCH(TRIM(Procurement_Raw!E1755),Supplier_Lookup!$A$2:$A$25,0)),TRIM(Procurement_Raw!E1755)))</f>
        <v>LearnWell</v>
      </c>
      <c r="F1755" t="str">
        <f>IFERROR(INDEX(Category_Targets!$A$2:$A$9,MATCH(TRIM(Procurement_Raw!F1755),Category_Targets!$A$2:$A$9,0)),"Unmapped")</f>
        <v>Office &amp; Training</v>
      </c>
      <c r="G1755" t="str">
        <f>TRIM(Procurement_Raw!G1755)</f>
        <v>INV-2025-01754</v>
      </c>
      <c r="H1755" s="77">
        <f>Procurement_Raw!H1755</f>
        <v>18</v>
      </c>
      <c r="I1755" s="124">
        <f>Procurement_Raw!I1755</f>
        <v>27.4</v>
      </c>
      <c r="J1755" s="125">
        <f>IF(Procurement_Raw!J1755="","",Procurement_Raw!J1755)</f>
        <v>493.25</v>
      </c>
      <c r="K1755" s="77">
        <f>Procurement_Raw!K1755</f>
        <v>30</v>
      </c>
      <c r="L1755" t="str">
        <f>Procurement_Raw!L1755</f>
        <v>Legacy Spend File</v>
      </c>
      <c r="M1755" t="str">
        <f>Procurement_Raw!O1755</f>
        <v>N</v>
      </c>
      <c r="N1755" t="str">
        <f>IF(E1755="","Missing supplier",IF(B1755="","Missing site",IF(J1755="","Missing spend",IF(COUNTIFS($G$2:G1755,G1755,$E$2:E1755,E1755,$J$2:J1755,J1755)&gt;1,"Duplicate invoice",IF(COUNTIF($G$2:$G$1801,G1755)&gt;1,"Duplicate ID - review",IF(AND(P1755&lt;&gt;"Unmapped",P1755&lt;&gt;F1755),"Category mismatch","OK"))))))</f>
        <v>OK</v>
      </c>
      <c r="O1755" s="125">
        <f t="shared" si="81"/>
        <v>493.25</v>
      </c>
      <c r="P1755" t="str">
        <f>IF(E1755="","Unmapped",IFERROR(INDEX(Supplier_Lookup!$B$2:$B$25,MATCH(E1755,Supplier_Lookup!$A$2:$A$25,0)),"Unmapped"))</f>
        <v>Office &amp; Training</v>
      </c>
      <c r="Q1755" s="76">
        <f>IFERROR(INDEX(Category_Targets!$B$2:$B$9,MATCH(F1755,Category_Targets!$A$2:$A$9,0)),0)</f>
        <v>0.04</v>
      </c>
      <c r="R1755" s="125">
        <f t="shared" si="82"/>
        <v>19.73</v>
      </c>
      <c r="S1755" s="78">
        <f t="shared" si="83"/>
        <v>45870</v>
      </c>
      <c r="T1755" t="str">
        <f>IFERROR(VLOOKUP(B1755,Sites!$A$2:$D$21,4,FALSE()),"Unknown")</f>
        <v>Nottingham</v>
      </c>
      <c r="U1755" t="str">
        <f>IF(N1755="OK","",COUNTIF($N$2:N1755,"&lt;&gt;OK"))</f>
        <v/>
      </c>
      <c r="V1755">
        <f>IF(OR(NOT(EXACT(E1755,TRIM(Procurement_Raw!E1755))),NOT(EXACT(F1755,TRIM(Procurement_Raw!F1755)))),1,0)</f>
        <v>0</v>
      </c>
    </row>
    <row r="1756" spans="1:22" ht="15" customHeight="1" x14ac:dyDescent="0.25">
      <c r="A1756" s="123">
        <f>Procurement_Raw!A1756</f>
        <v>45804</v>
      </c>
      <c r="B1756" t="str">
        <f>TRIM(Procurement_Raw!B1756)</f>
        <v>S013</v>
      </c>
      <c r="C1756" t="str">
        <f>Procurement_Raw!C1756</f>
        <v>Reading Care &amp; Education Centre</v>
      </c>
      <c r="D1756" t="str">
        <f>Procurement_Raw!D1756</f>
        <v>South</v>
      </c>
      <c r="E1756" t="str">
        <f>IF(TRIM(Procurement_Raw!E1756)="","",IFERROR(INDEX(Supplier_Lookup!$A$2:$A$25,MATCH(TRIM(Procurement_Raw!E1756),Supplier_Lookup!$A$2:$A$25,0)),TRIM(Procurement_Raw!E1756)))</f>
        <v>CareMed</v>
      </c>
      <c r="F1756" t="str">
        <f>IFERROR(INDEX(Category_Targets!$A$2:$A$9,MATCH(TRIM(Procurement_Raw!F1756),Category_Targets!$A$2:$A$9,0)),"Unmapped")</f>
        <v>Medical Supplies</v>
      </c>
      <c r="G1756" t="str">
        <f>TRIM(Procurement_Raw!G1756)</f>
        <v>INV-2025-01755</v>
      </c>
      <c r="H1756" s="77">
        <f>Procurement_Raw!H1756</f>
        <v>52</v>
      </c>
      <c r="I1756" s="124">
        <f>Procurement_Raw!I1756</f>
        <v>158.96</v>
      </c>
      <c r="J1756" s="125">
        <f>IF(Procurement_Raw!J1756="","",Procurement_Raw!J1756)</f>
        <v>8265.92</v>
      </c>
      <c r="K1756" s="77">
        <f>Procurement_Raw!K1756</f>
        <v>45</v>
      </c>
      <c r="L1756" t="str">
        <f>Procurement_Raw!L1756</f>
        <v>Legacy Spend File</v>
      </c>
      <c r="M1756" t="str">
        <f>Procurement_Raw!O1756</f>
        <v>N</v>
      </c>
      <c r="N1756" t="str">
        <f>IF(E1756="","Missing supplier",IF(B1756="","Missing site",IF(J1756="","Missing spend",IF(COUNTIFS($G$2:G1756,G1756,$E$2:E1756,E1756,$J$2:J1756,J1756)&gt;1,"Duplicate invoice",IF(COUNTIF($G$2:$G$1801,G1756)&gt;1,"Duplicate ID - review",IF(AND(P1756&lt;&gt;"Unmapped",P1756&lt;&gt;F1756),"Category mismatch","OK"))))))</f>
        <v>OK</v>
      </c>
      <c r="O1756" s="125">
        <f t="shared" si="81"/>
        <v>8265.92</v>
      </c>
      <c r="P1756" t="str">
        <f>IF(E1756="","Unmapped",IFERROR(INDEX(Supplier_Lookup!$B$2:$B$25,MATCH(E1756,Supplier_Lookup!$A$2:$A$25,0)),"Unmapped"))</f>
        <v>Medical Supplies</v>
      </c>
      <c r="Q1756" s="76">
        <f>IFERROR(INDEX(Category_Targets!$B$2:$B$9,MATCH(F1756,Category_Targets!$A$2:$A$9,0)),0)</f>
        <v>0.06</v>
      </c>
      <c r="R1756" s="125">
        <f t="shared" si="82"/>
        <v>495.95519999999999</v>
      </c>
      <c r="S1756" s="78">
        <f t="shared" si="83"/>
        <v>45778</v>
      </c>
      <c r="T1756" t="str">
        <f>IFERROR(VLOOKUP(B1756,Sites!$A$2:$D$21,4,FALSE()),"Unknown")</f>
        <v>Reading</v>
      </c>
      <c r="U1756" t="str">
        <f>IF(N1756="OK","",COUNTIF($N$2:N1756,"&lt;&gt;OK"))</f>
        <v/>
      </c>
      <c r="V1756">
        <f>IF(OR(NOT(EXACT(E1756,TRIM(Procurement_Raw!E1756))),NOT(EXACT(F1756,TRIM(Procurement_Raw!F1756)))),1,0)</f>
        <v>0</v>
      </c>
    </row>
    <row r="1757" spans="1:22" ht="15" customHeight="1" x14ac:dyDescent="0.25">
      <c r="A1757" s="123">
        <f>Procurement_Raw!A1757</f>
        <v>45845</v>
      </c>
      <c r="B1757" t="str">
        <f>TRIM(Procurement_Raw!B1757)</f>
        <v>S015</v>
      </c>
      <c r="C1757" t="str">
        <f>Procurement_Raw!C1757</f>
        <v>Brighton Care &amp; Education Centre</v>
      </c>
      <c r="D1757" t="str">
        <f>Procurement_Raw!D1757</f>
        <v>South</v>
      </c>
      <c r="E1757" t="str">
        <f>IF(TRIM(Procurement_Raw!E1757)="","",IFERROR(INDEX(Supplier_Lookup!$A$2:$A$25,MATCH(TRIM(Procurement_Raw!E1757),Supplier_Lookup!$A$2:$A$25,0)),TRIM(Procurement_Raw!E1757)))</f>
        <v>SafeGuard FM</v>
      </c>
      <c r="F1757" t="str">
        <f>IFERROR(INDEX(Category_Targets!$A$2:$A$9,MATCH(TRIM(Procurement_Raw!F1757),Category_Targets!$A$2:$A$9,0)),"Unmapped")</f>
        <v>Facilities</v>
      </c>
      <c r="G1757" t="str">
        <f>TRIM(Procurement_Raw!G1757)</f>
        <v>INV-2025-01756</v>
      </c>
      <c r="H1757" s="77">
        <f>Procurement_Raw!H1757</f>
        <v>66</v>
      </c>
      <c r="I1757" s="124">
        <f>Procurement_Raw!I1757</f>
        <v>383.17</v>
      </c>
      <c r="J1757" s="125">
        <f>IF(Procurement_Raw!J1757="","",Procurement_Raw!J1757)</f>
        <v>25288.97</v>
      </c>
      <c r="K1757" s="77">
        <f>Procurement_Raw!K1757</f>
        <v>60</v>
      </c>
      <c r="L1757" t="str">
        <f>Procurement_Raw!L1757</f>
        <v>Procurement Portal</v>
      </c>
      <c r="M1757" t="str">
        <f>Procurement_Raw!O1757</f>
        <v>N</v>
      </c>
      <c r="N1757" t="str">
        <f>IF(E1757="","Missing supplier",IF(B1757="","Missing site",IF(J1757="","Missing spend",IF(COUNTIFS($G$2:G1757,G1757,$E$2:E1757,E1757,$J$2:J1757,J1757)&gt;1,"Duplicate invoice",IF(COUNTIF($G$2:$G$1801,G1757)&gt;1,"Duplicate ID - review",IF(AND(P1757&lt;&gt;"Unmapped",P1757&lt;&gt;F1757),"Category mismatch","OK"))))))</f>
        <v>OK</v>
      </c>
      <c r="O1757" s="125">
        <f t="shared" si="81"/>
        <v>25288.97</v>
      </c>
      <c r="P1757" t="str">
        <f>IF(E1757="","Unmapped",IFERROR(INDEX(Supplier_Lookup!$B$2:$B$25,MATCH(E1757,Supplier_Lookup!$A$2:$A$25,0)),"Unmapped"))</f>
        <v>Facilities</v>
      </c>
      <c r="Q1757" s="76">
        <f>IFERROR(INDEX(Category_Targets!$B$2:$B$9,MATCH(F1757,Category_Targets!$A$2:$A$9,0)),0)</f>
        <v>0.05</v>
      </c>
      <c r="R1757" s="125">
        <f t="shared" si="82"/>
        <v>1264.4485000000002</v>
      </c>
      <c r="S1757" s="78">
        <f t="shared" si="83"/>
        <v>45839</v>
      </c>
      <c r="T1757" t="str">
        <f>IFERROR(VLOOKUP(B1757,Sites!$A$2:$D$21,4,FALSE()),"Unknown")</f>
        <v>Brighton</v>
      </c>
      <c r="U1757" t="str">
        <f>IF(N1757="OK","",COUNTIF($N$2:N1757,"&lt;&gt;OK"))</f>
        <v/>
      </c>
      <c r="V1757">
        <f>IF(OR(NOT(EXACT(E1757,TRIM(Procurement_Raw!E1757))),NOT(EXACT(F1757,TRIM(Procurement_Raw!F1757)))),1,0)</f>
        <v>0</v>
      </c>
    </row>
    <row r="1758" spans="1:22" ht="15" customHeight="1" x14ac:dyDescent="0.25">
      <c r="A1758" s="123">
        <f>Procurement_Raw!A1758</f>
        <v>45869</v>
      </c>
      <c r="B1758" t="str">
        <f>TRIM(Procurement_Raw!B1758)</f>
        <v>S006</v>
      </c>
      <c r="C1758" t="str">
        <f>Procurement_Raw!C1758</f>
        <v>Birmingham Care &amp; Education Centre</v>
      </c>
      <c r="D1758" t="str">
        <f>Procurement_Raw!D1758</f>
        <v>Midlands</v>
      </c>
      <c r="E1758" t="str">
        <f>IF(TRIM(Procurement_Raw!E1758)="","",IFERROR(INDEX(Supplier_Lookup!$A$2:$A$25,MATCH(TRIM(Procurement_Raw!E1758),Supplier_Lookup!$A$2:$A$25,0)),TRIM(Procurement_Raw!E1758)))</f>
        <v>KitchenPro</v>
      </c>
      <c r="F1758" t="str">
        <f>IFERROR(INDEX(Category_Targets!$A$2:$A$9,MATCH(TRIM(Procurement_Raw!F1758),Category_Targets!$A$2:$A$9,0)),"Unmapped")</f>
        <v>Food &amp; Catering</v>
      </c>
      <c r="G1758" t="str">
        <f>TRIM(Procurement_Raw!G1758)</f>
        <v>INV-2025-01757</v>
      </c>
      <c r="H1758" s="77">
        <f>Procurement_Raw!H1758</f>
        <v>65</v>
      </c>
      <c r="I1758" s="124">
        <f>Procurement_Raw!I1758</f>
        <v>60.27</v>
      </c>
      <c r="J1758" s="125">
        <f>IF(Procurement_Raw!J1758="","",Procurement_Raw!J1758)</f>
        <v>3917.38</v>
      </c>
      <c r="K1758" s="77">
        <f>Procurement_Raw!K1758</f>
        <v>45</v>
      </c>
      <c r="L1758" t="str">
        <f>Procurement_Raw!L1758</f>
        <v>Procurement Portal</v>
      </c>
      <c r="M1758" t="str">
        <f>Procurement_Raw!O1758</f>
        <v>N</v>
      </c>
      <c r="N1758" t="str">
        <f>IF(E1758="","Missing supplier",IF(B1758="","Missing site",IF(J1758="","Missing spend",IF(COUNTIFS($G$2:G1758,G1758,$E$2:E1758,E1758,$J$2:J1758,J1758)&gt;1,"Duplicate invoice",IF(COUNTIF($G$2:$G$1801,G1758)&gt;1,"Duplicate ID - review",IF(AND(P1758&lt;&gt;"Unmapped",P1758&lt;&gt;F1758),"Category mismatch","OK"))))))</f>
        <v>OK</v>
      </c>
      <c r="O1758" s="125">
        <f t="shared" si="81"/>
        <v>3917.38</v>
      </c>
      <c r="P1758" t="str">
        <f>IF(E1758="","Unmapped",IFERROR(INDEX(Supplier_Lookup!$B$2:$B$25,MATCH(E1758,Supplier_Lookup!$A$2:$A$25,0)),"Unmapped"))</f>
        <v>Food &amp; Catering</v>
      </c>
      <c r="Q1758" s="76">
        <f>IFERROR(INDEX(Category_Targets!$B$2:$B$9,MATCH(F1758,Category_Targets!$A$2:$A$9,0)),0)</f>
        <v>0.04</v>
      </c>
      <c r="R1758" s="125">
        <f t="shared" si="82"/>
        <v>156.6952</v>
      </c>
      <c r="S1758" s="78">
        <f t="shared" si="83"/>
        <v>45839</v>
      </c>
      <c r="T1758" t="str">
        <f>IFERROR(VLOOKUP(B1758,Sites!$A$2:$D$21,4,FALSE()),"Unknown")</f>
        <v>Birmingham</v>
      </c>
      <c r="U1758" t="str">
        <f>IF(N1758="OK","",COUNTIF($N$2:N1758,"&lt;&gt;OK"))</f>
        <v/>
      </c>
      <c r="V1758">
        <f>IF(OR(NOT(EXACT(E1758,TRIM(Procurement_Raw!E1758))),NOT(EXACT(F1758,TRIM(Procurement_Raw!F1758)))),1,0)</f>
        <v>0</v>
      </c>
    </row>
    <row r="1759" spans="1:22" ht="15" customHeight="1" x14ac:dyDescent="0.25">
      <c r="A1759" s="123">
        <f>Procurement_Raw!A1759</f>
        <v>45987</v>
      </c>
      <c r="B1759" t="str">
        <f>TRIM(Procurement_Raw!B1759)</f>
        <v>S019</v>
      </c>
      <c r="C1759" t="str">
        <f>Procurement_Raw!C1759</f>
        <v>Wrexham Care &amp; Education Centre</v>
      </c>
      <c r="D1759" t="str">
        <f>Procurement_Raw!D1759</f>
        <v>Wales</v>
      </c>
      <c r="E1759" t="str">
        <f>IF(TRIM(Procurement_Raw!E1759)="","",IFERROR(INDEX(Supplier_Lookup!$A$2:$A$25,MATCH(TRIM(Procurement_Raw!E1759),Supplier_Lookup!$A$2:$A$25,0)),TRIM(Procurement_Raw!E1759)))</f>
        <v>ClinEquip</v>
      </c>
      <c r="F1759" t="str">
        <f>IFERROR(INDEX(Category_Targets!$A$2:$A$9,MATCH(TRIM(Procurement_Raw!F1759),Category_Targets!$A$2:$A$9,0)),"Unmapped")</f>
        <v>Medical Supplies</v>
      </c>
      <c r="G1759" t="str">
        <f>TRIM(Procurement_Raw!G1759)</f>
        <v>INV-2025-01758</v>
      </c>
      <c r="H1759" s="77">
        <f>Procurement_Raw!H1759</f>
        <v>8</v>
      </c>
      <c r="I1759" s="124">
        <f>Procurement_Raw!I1759</f>
        <v>202.67</v>
      </c>
      <c r="J1759" s="125">
        <f>IF(Procurement_Raw!J1759="","",Procurement_Raw!J1759)</f>
        <v>1621.35</v>
      </c>
      <c r="K1759" s="77">
        <f>Procurement_Raw!K1759</f>
        <v>60</v>
      </c>
      <c r="L1759" t="str">
        <f>Procurement_Raw!L1759</f>
        <v>ERP</v>
      </c>
      <c r="M1759" t="str">
        <f>Procurement_Raw!O1759</f>
        <v>N</v>
      </c>
      <c r="N1759" t="str">
        <f>IF(E1759="","Missing supplier",IF(B1759="","Missing site",IF(J1759="","Missing spend",IF(COUNTIFS($G$2:G1759,G1759,$E$2:E1759,E1759,$J$2:J1759,J1759)&gt;1,"Duplicate invoice",IF(COUNTIF($G$2:$G$1801,G1759)&gt;1,"Duplicate ID - review",IF(AND(P1759&lt;&gt;"Unmapped",P1759&lt;&gt;F1759),"Category mismatch","OK"))))))</f>
        <v>OK</v>
      </c>
      <c r="O1759" s="125">
        <f t="shared" si="81"/>
        <v>1621.35</v>
      </c>
      <c r="P1759" t="str">
        <f>IF(E1759="","Unmapped",IFERROR(INDEX(Supplier_Lookup!$B$2:$B$25,MATCH(E1759,Supplier_Lookup!$A$2:$A$25,0)),"Unmapped"))</f>
        <v>Medical Supplies</v>
      </c>
      <c r="Q1759" s="76">
        <f>IFERROR(INDEX(Category_Targets!$B$2:$B$9,MATCH(F1759,Category_Targets!$A$2:$A$9,0)),0)</f>
        <v>0.06</v>
      </c>
      <c r="R1759" s="125">
        <f t="shared" si="82"/>
        <v>97.280999999999992</v>
      </c>
      <c r="S1759" s="78">
        <f t="shared" si="83"/>
        <v>45962</v>
      </c>
      <c r="T1759" t="str">
        <f>IFERROR(VLOOKUP(B1759,Sites!$A$2:$D$21,4,FALSE()),"Unknown")</f>
        <v>Wrexham</v>
      </c>
      <c r="U1759" t="str">
        <f>IF(N1759="OK","",COUNTIF($N$2:N1759,"&lt;&gt;OK"))</f>
        <v/>
      </c>
      <c r="V1759">
        <f>IF(OR(NOT(EXACT(E1759,TRIM(Procurement_Raw!E1759))),NOT(EXACT(F1759,TRIM(Procurement_Raw!F1759)))),1,0)</f>
        <v>0</v>
      </c>
    </row>
    <row r="1760" spans="1:22" ht="15" customHeight="1" x14ac:dyDescent="0.25">
      <c r="A1760" s="123">
        <f>Procurement_Raw!A1760</f>
        <v>45711</v>
      </c>
      <c r="B1760" t="str">
        <f>TRIM(Procurement_Raw!B1760)</f>
        <v>S013</v>
      </c>
      <c r="C1760" t="str">
        <f>Procurement_Raw!C1760</f>
        <v>Reading Care &amp; Education Centre</v>
      </c>
      <c r="D1760" t="str">
        <f>Procurement_Raw!D1760</f>
        <v>South</v>
      </c>
      <c r="E1760" t="str">
        <f>IF(TRIM(Procurement_Raw!E1760)="","",IFERROR(INDEX(Supplier_Lookup!$A$2:$A$25,MATCH(TRIM(Procurement_Raw!E1760),Supplier_Lookup!$A$2:$A$25,0)),TRIM(Procurement_Raw!E1760)))</f>
        <v>MediSure</v>
      </c>
      <c r="F1760" t="str">
        <f>IFERROR(INDEX(Category_Targets!$A$2:$A$9,MATCH(TRIM(Procurement_Raw!F1760),Category_Targets!$A$2:$A$9,0)),"Unmapped")</f>
        <v>Medical Supplies</v>
      </c>
      <c r="G1760" t="str">
        <f>TRIM(Procurement_Raw!G1760)</f>
        <v>INV-2025-01759</v>
      </c>
      <c r="H1760" s="77">
        <f>Procurement_Raw!H1760</f>
        <v>38</v>
      </c>
      <c r="I1760" s="124">
        <f>Procurement_Raw!I1760</f>
        <v>291.27</v>
      </c>
      <c r="J1760" s="125">
        <f>IF(Procurement_Raw!J1760="","",Procurement_Raw!J1760)</f>
        <v>11068.19</v>
      </c>
      <c r="K1760" s="77">
        <f>Procurement_Raw!K1760</f>
        <v>45</v>
      </c>
      <c r="L1760" t="str">
        <f>Procurement_Raw!L1760</f>
        <v>ERP</v>
      </c>
      <c r="M1760" t="str">
        <f>Procurement_Raw!O1760</f>
        <v>Y</v>
      </c>
      <c r="N1760" t="str">
        <f>IF(E1760="","Missing supplier",IF(B1760="","Missing site",IF(J1760="","Missing spend",IF(COUNTIFS($G$2:G1760,G1760,$E$2:E1760,E1760,$J$2:J1760,J1760)&gt;1,"Duplicate invoice",IF(COUNTIF($G$2:$G$1801,G1760)&gt;1,"Duplicate ID - review",IF(AND(P1760&lt;&gt;"Unmapped",P1760&lt;&gt;F1760),"Category mismatch","OK"))))))</f>
        <v>OK</v>
      </c>
      <c r="O1760" s="125">
        <f t="shared" si="81"/>
        <v>11068.19</v>
      </c>
      <c r="P1760" t="str">
        <f>IF(E1760="","Unmapped",IFERROR(INDEX(Supplier_Lookup!$B$2:$B$25,MATCH(E1760,Supplier_Lookup!$A$2:$A$25,0)),"Unmapped"))</f>
        <v>Medical Supplies</v>
      </c>
      <c r="Q1760" s="76">
        <f>IFERROR(INDEX(Category_Targets!$B$2:$B$9,MATCH(F1760,Category_Targets!$A$2:$A$9,0)),0)</f>
        <v>0.06</v>
      </c>
      <c r="R1760" s="125">
        <f t="shared" si="82"/>
        <v>664.09140000000002</v>
      </c>
      <c r="S1760" s="78">
        <f t="shared" si="83"/>
        <v>45689</v>
      </c>
      <c r="T1760" t="str">
        <f>IFERROR(VLOOKUP(B1760,Sites!$A$2:$D$21,4,FALSE()),"Unknown")</f>
        <v>Reading</v>
      </c>
      <c r="U1760" t="str">
        <f>IF(N1760="OK","",COUNTIF($N$2:N1760,"&lt;&gt;OK"))</f>
        <v/>
      </c>
      <c r="V1760">
        <f>IF(OR(NOT(EXACT(E1760,TRIM(Procurement_Raw!E1760))),NOT(EXACT(F1760,TRIM(Procurement_Raw!F1760)))),1,0)</f>
        <v>0</v>
      </c>
    </row>
    <row r="1761" spans="1:22" ht="15" customHeight="1" x14ac:dyDescent="0.25">
      <c r="A1761" s="123">
        <f>Procurement_Raw!A1761</f>
        <v>45772</v>
      </c>
      <c r="B1761" t="str">
        <f>TRIM(Procurement_Raw!B1761)</f>
        <v>S009</v>
      </c>
      <c r="C1761" t="str">
        <f>Procurement_Raw!C1761</f>
        <v>Derby Care &amp; Education Centre</v>
      </c>
      <c r="D1761" t="str">
        <f>Procurement_Raw!D1761</f>
        <v>Midlands</v>
      </c>
      <c r="E1761" t="str">
        <f>IF(TRIM(Procurement_Raw!E1761)="","",IFERROR(INDEX(Supplier_Lookup!$A$2:$A$25,MATCH(TRIM(Procurement_Raw!E1761),Supplier_Lookup!$A$2:$A$25,0)),TRIM(Procurement_Raw!E1761)))</f>
        <v>HealthStaffing</v>
      </c>
      <c r="F1761" t="str">
        <f>IFERROR(INDEX(Category_Targets!$A$2:$A$9,MATCH(TRIM(Procurement_Raw!F1761),Category_Targets!$A$2:$A$9,0)),"Unmapped")</f>
        <v>Agency Labour</v>
      </c>
      <c r="G1761" t="str">
        <f>TRIM(Procurement_Raw!G1761)</f>
        <v>INV-2025-01760</v>
      </c>
      <c r="H1761" s="77">
        <f>Procurement_Raw!H1761</f>
        <v>50</v>
      </c>
      <c r="I1761" s="124">
        <f>Procurement_Raw!I1761</f>
        <v>618.30999999999995</v>
      </c>
      <c r="J1761" s="125">
        <f>IF(Procurement_Raw!J1761="","",Procurement_Raw!J1761)</f>
        <v>30915.360000000001</v>
      </c>
      <c r="K1761" s="77">
        <f>Procurement_Raw!K1761</f>
        <v>45</v>
      </c>
      <c r="L1761" t="str">
        <f>Procurement_Raw!L1761</f>
        <v>Legacy Spend File</v>
      </c>
      <c r="M1761" t="str">
        <f>Procurement_Raw!O1761</f>
        <v>N</v>
      </c>
      <c r="N1761" t="str">
        <f>IF(E1761="","Missing supplier",IF(B1761="","Missing site",IF(J1761="","Missing spend",IF(COUNTIFS($G$2:G1761,G1761,$E$2:E1761,E1761,$J$2:J1761,J1761)&gt;1,"Duplicate invoice",IF(COUNTIF($G$2:$G$1801,G1761)&gt;1,"Duplicate ID - review",IF(AND(P1761&lt;&gt;"Unmapped",P1761&lt;&gt;F1761),"Category mismatch","OK"))))))</f>
        <v>OK</v>
      </c>
      <c r="O1761" s="125">
        <f t="shared" si="81"/>
        <v>30915.360000000001</v>
      </c>
      <c r="P1761" t="str">
        <f>IF(E1761="","Unmapped",IFERROR(INDEX(Supplier_Lookup!$B$2:$B$25,MATCH(E1761,Supplier_Lookup!$A$2:$A$25,0)),"Unmapped"))</f>
        <v>Agency Labour</v>
      </c>
      <c r="Q1761" s="76">
        <f>IFERROR(INDEX(Category_Targets!$B$2:$B$9,MATCH(F1761,Category_Targets!$A$2:$A$9,0)),0)</f>
        <v>7.0000000000000007E-2</v>
      </c>
      <c r="R1761" s="125">
        <f t="shared" si="82"/>
        <v>2164.0752000000002</v>
      </c>
      <c r="S1761" s="78">
        <f t="shared" si="83"/>
        <v>45748</v>
      </c>
      <c r="T1761" t="str">
        <f>IFERROR(VLOOKUP(B1761,Sites!$A$2:$D$21,4,FALSE()),"Unknown")</f>
        <v>Derby</v>
      </c>
      <c r="U1761" t="str">
        <f>IF(N1761="OK","",COUNTIF($N$2:N1761,"&lt;&gt;OK"))</f>
        <v/>
      </c>
      <c r="V1761">
        <f>IF(OR(NOT(EXACT(E1761,TRIM(Procurement_Raw!E1761))),NOT(EXACT(F1761,TRIM(Procurement_Raw!F1761)))),1,0)</f>
        <v>0</v>
      </c>
    </row>
    <row r="1762" spans="1:22" ht="15" customHeight="1" x14ac:dyDescent="0.25">
      <c r="A1762" s="123">
        <f>Procurement_Raw!A1762</f>
        <v>45897</v>
      </c>
      <c r="B1762" t="str">
        <f>TRIM(Procurement_Raw!B1762)</f>
        <v>S012</v>
      </c>
      <c r="C1762" t="str">
        <f>Procurement_Raw!C1762</f>
        <v>Bristol Care &amp; Education Centre</v>
      </c>
      <c r="D1762" t="str">
        <f>Procurement_Raw!D1762</f>
        <v>South</v>
      </c>
      <c r="E1762" t="str">
        <f>IF(TRIM(Procurement_Raw!E1762)="","",IFERROR(INDEX(Supplier_Lookup!$A$2:$A$25,MATCH(TRIM(Procurement_Raw!E1762),Supplier_Lookup!$A$2:$A$25,0)),TRIM(Procurement_Raw!E1762)))</f>
        <v>RoadReady</v>
      </c>
      <c r="F1762" t="str">
        <f>IFERROR(INDEX(Category_Targets!$A$2:$A$9,MATCH(TRIM(Procurement_Raw!F1762),Category_Targets!$A$2:$A$9,0)),"Unmapped")</f>
        <v>Vehicle &amp; Fuel</v>
      </c>
      <c r="G1762" t="str">
        <f>TRIM(Procurement_Raw!G1762)</f>
        <v>INV-2025-01761</v>
      </c>
      <c r="H1762" s="77">
        <f>Procurement_Raw!H1762</f>
        <v>69</v>
      </c>
      <c r="I1762" s="124">
        <f>Procurement_Raw!I1762</f>
        <v>234.13</v>
      </c>
      <c r="J1762" s="125">
        <f>IF(Procurement_Raw!J1762="","",Procurement_Raw!J1762)</f>
        <v>16154.66</v>
      </c>
      <c r="K1762" s="77">
        <f>Procurement_Raw!K1762</f>
        <v>45</v>
      </c>
      <c r="L1762" t="str">
        <f>Procurement_Raw!L1762</f>
        <v>ERP</v>
      </c>
      <c r="M1762" t="str">
        <f>Procurement_Raw!O1762</f>
        <v>N</v>
      </c>
      <c r="N1762" t="str">
        <f>IF(E1762="","Missing supplier",IF(B1762="","Missing site",IF(J1762="","Missing spend",IF(COUNTIFS($G$2:G1762,G1762,$E$2:E1762,E1762,$J$2:J1762,J1762)&gt;1,"Duplicate invoice",IF(COUNTIF($G$2:$G$1801,G1762)&gt;1,"Duplicate ID - review",IF(AND(P1762&lt;&gt;"Unmapped",P1762&lt;&gt;F1762),"Category mismatch","OK"))))))</f>
        <v>OK</v>
      </c>
      <c r="O1762" s="125">
        <f t="shared" si="81"/>
        <v>16154.66</v>
      </c>
      <c r="P1762" t="str">
        <f>IF(E1762="","Unmapped",IFERROR(INDEX(Supplier_Lookup!$B$2:$B$25,MATCH(E1762,Supplier_Lookup!$A$2:$A$25,0)),"Unmapped"))</f>
        <v>Vehicle &amp; Fuel</v>
      </c>
      <c r="Q1762" s="76">
        <f>IFERROR(INDEX(Category_Targets!$B$2:$B$9,MATCH(F1762,Category_Targets!$A$2:$A$9,0)),0)</f>
        <v>0.05</v>
      </c>
      <c r="R1762" s="125">
        <f t="shared" si="82"/>
        <v>807.73300000000006</v>
      </c>
      <c r="S1762" s="78">
        <f t="shared" si="83"/>
        <v>45870</v>
      </c>
      <c r="T1762" t="str">
        <f>IFERROR(VLOOKUP(B1762,Sites!$A$2:$D$21,4,FALSE()),"Unknown")</f>
        <v>Bristol</v>
      </c>
      <c r="U1762" t="str">
        <f>IF(N1762="OK","",COUNTIF($N$2:N1762,"&lt;&gt;OK"))</f>
        <v/>
      </c>
      <c r="V1762">
        <f>IF(OR(NOT(EXACT(E1762,TRIM(Procurement_Raw!E1762))),NOT(EXACT(F1762,TRIM(Procurement_Raw!F1762)))),1,0)</f>
        <v>0</v>
      </c>
    </row>
    <row r="1763" spans="1:22" ht="15" customHeight="1" x14ac:dyDescent="0.25">
      <c r="A1763" s="123">
        <f>Procurement_Raw!A1763</f>
        <v>45713</v>
      </c>
      <c r="B1763" t="str">
        <f>TRIM(Procurement_Raw!B1763)</f>
        <v>S006</v>
      </c>
      <c r="C1763" t="str">
        <f>Procurement_Raw!C1763</f>
        <v>Birmingham Care &amp; Education Centre</v>
      </c>
      <c r="D1763" t="str">
        <f>Procurement_Raw!D1763</f>
        <v>Midlands</v>
      </c>
      <c r="E1763" t="str">
        <f>IF(TRIM(Procurement_Raw!E1763)="","",IFERROR(INDEX(Supplier_Lookup!$A$2:$A$25,MATCH(TRIM(Procurement_Raw!E1763),Supplier_Lookup!$A$2:$A$25,0)),TRIM(Procurement_Raw!E1763)))</f>
        <v>BuildCare</v>
      </c>
      <c r="F1763" t="str">
        <f>IFERROR(INDEX(Category_Targets!$A$2:$A$9,MATCH(TRIM(Procurement_Raw!F1763),Category_Targets!$A$2:$A$9,0)),"Unmapped")</f>
        <v>Facilities</v>
      </c>
      <c r="G1763" t="str">
        <f>TRIM(Procurement_Raw!G1763)</f>
        <v>INV-2025-01762</v>
      </c>
      <c r="H1763" s="77">
        <f>Procurement_Raw!H1763</f>
        <v>51</v>
      </c>
      <c r="I1763" s="124">
        <f>Procurement_Raw!I1763</f>
        <v>270.73</v>
      </c>
      <c r="J1763" s="125">
        <f>IF(Procurement_Raw!J1763="","",Procurement_Raw!J1763)</f>
        <v>13807.3</v>
      </c>
      <c r="K1763" s="77">
        <f>Procurement_Raw!K1763</f>
        <v>45</v>
      </c>
      <c r="L1763" t="str">
        <f>Procurement_Raw!L1763</f>
        <v>ERP</v>
      </c>
      <c r="M1763" t="str">
        <f>Procurement_Raw!O1763</f>
        <v>N</v>
      </c>
      <c r="N1763" t="str">
        <f>IF(E1763="","Missing supplier",IF(B1763="","Missing site",IF(J1763="","Missing spend",IF(COUNTIFS($G$2:G1763,G1763,$E$2:E1763,E1763,$J$2:J1763,J1763)&gt;1,"Duplicate invoice",IF(COUNTIF($G$2:$G$1801,G1763)&gt;1,"Duplicate ID - review",IF(AND(P1763&lt;&gt;"Unmapped",P1763&lt;&gt;F1763),"Category mismatch","OK"))))))</f>
        <v>OK</v>
      </c>
      <c r="O1763" s="125">
        <f t="shared" si="81"/>
        <v>13807.3</v>
      </c>
      <c r="P1763" t="str">
        <f>IF(E1763="","Unmapped",IFERROR(INDEX(Supplier_Lookup!$B$2:$B$25,MATCH(E1763,Supplier_Lookup!$A$2:$A$25,0)),"Unmapped"))</f>
        <v>Facilities</v>
      </c>
      <c r="Q1763" s="76">
        <f>IFERROR(INDEX(Category_Targets!$B$2:$B$9,MATCH(F1763,Category_Targets!$A$2:$A$9,0)),0)</f>
        <v>0.05</v>
      </c>
      <c r="R1763" s="125">
        <f t="shared" si="82"/>
        <v>690.36500000000001</v>
      </c>
      <c r="S1763" s="78">
        <f t="shared" si="83"/>
        <v>45689</v>
      </c>
      <c r="T1763" t="str">
        <f>IFERROR(VLOOKUP(B1763,Sites!$A$2:$D$21,4,FALSE()),"Unknown")</f>
        <v>Birmingham</v>
      </c>
      <c r="U1763" t="str">
        <f>IF(N1763="OK","",COUNTIF($N$2:N1763,"&lt;&gt;OK"))</f>
        <v/>
      </c>
      <c r="V1763">
        <f>IF(OR(NOT(EXACT(E1763,TRIM(Procurement_Raw!E1763))),NOT(EXACT(F1763,TRIM(Procurement_Raw!F1763)))),1,0)</f>
        <v>0</v>
      </c>
    </row>
    <row r="1764" spans="1:22" ht="15" customHeight="1" x14ac:dyDescent="0.25">
      <c r="A1764" s="123">
        <f>Procurement_Raw!A1764</f>
        <v>45820</v>
      </c>
      <c r="B1764" t="str">
        <f>TRIM(Procurement_Raw!B1764)</f>
        <v>S002</v>
      </c>
      <c r="C1764" t="str">
        <f>Procurement_Raw!C1764</f>
        <v>Manchester Care &amp; Education Centre</v>
      </c>
      <c r="D1764" t="str">
        <f>Procurement_Raw!D1764</f>
        <v>North</v>
      </c>
      <c r="E1764" t="str">
        <f>IF(TRIM(Procurement_Raw!E1764)="","",IFERROR(INDEX(Supplier_Lookup!$A$2:$A$25,MATCH(TRIM(Procurement_Raw!E1764),Supplier_Lookup!$A$2:$A$25,0)),TRIM(Procurement_Raw!E1764)))</f>
        <v>FleetFuel</v>
      </c>
      <c r="F1764" t="str">
        <f>IFERROR(INDEX(Category_Targets!$A$2:$A$9,MATCH(TRIM(Procurement_Raw!F1764),Category_Targets!$A$2:$A$9,0)),"Unmapped")</f>
        <v>Vehicle &amp; Fuel</v>
      </c>
      <c r="G1764" t="str">
        <f>TRIM(Procurement_Raw!G1764)</f>
        <v>INV-2025-01763</v>
      </c>
      <c r="H1764" s="77">
        <f>Procurement_Raw!H1764</f>
        <v>44</v>
      </c>
      <c r="I1764" s="124">
        <f>Procurement_Raw!I1764</f>
        <v>99.02</v>
      </c>
      <c r="J1764" s="125">
        <f>IF(Procurement_Raw!J1764="","",Procurement_Raw!J1764)</f>
        <v>4357.07</v>
      </c>
      <c r="K1764" s="77">
        <f>Procurement_Raw!K1764</f>
        <v>60</v>
      </c>
      <c r="L1764" t="str">
        <f>Procurement_Raw!L1764</f>
        <v>Procurement Portal</v>
      </c>
      <c r="M1764" t="str">
        <f>Procurement_Raw!O1764</f>
        <v>Y</v>
      </c>
      <c r="N1764" t="str">
        <f>IF(E1764="","Missing supplier",IF(B1764="","Missing site",IF(J1764="","Missing spend",IF(COUNTIFS($G$2:G1764,G1764,$E$2:E1764,E1764,$J$2:J1764,J1764)&gt;1,"Duplicate invoice",IF(COUNTIF($G$2:$G$1801,G1764)&gt;1,"Duplicate ID - review",IF(AND(P1764&lt;&gt;"Unmapped",P1764&lt;&gt;F1764),"Category mismatch","OK"))))))</f>
        <v>OK</v>
      </c>
      <c r="O1764" s="125">
        <f t="shared" si="81"/>
        <v>4357.07</v>
      </c>
      <c r="P1764" t="str">
        <f>IF(E1764="","Unmapped",IFERROR(INDEX(Supplier_Lookup!$B$2:$B$25,MATCH(E1764,Supplier_Lookup!$A$2:$A$25,0)),"Unmapped"))</f>
        <v>Vehicle &amp; Fuel</v>
      </c>
      <c r="Q1764" s="76">
        <f>IFERROR(INDEX(Category_Targets!$B$2:$B$9,MATCH(F1764,Category_Targets!$A$2:$A$9,0)),0)</f>
        <v>0.05</v>
      </c>
      <c r="R1764" s="125">
        <f t="shared" si="82"/>
        <v>217.8535</v>
      </c>
      <c r="S1764" s="78">
        <f t="shared" si="83"/>
        <v>45809</v>
      </c>
      <c r="T1764" t="str">
        <f>IFERROR(VLOOKUP(B1764,Sites!$A$2:$D$21,4,FALSE()),"Unknown")</f>
        <v>Manchester</v>
      </c>
      <c r="U1764" t="str">
        <f>IF(N1764="OK","",COUNTIF($N$2:N1764,"&lt;&gt;OK"))</f>
        <v/>
      </c>
      <c r="V1764">
        <f>IF(OR(NOT(EXACT(E1764,TRIM(Procurement_Raw!E1764))),NOT(EXACT(F1764,TRIM(Procurement_Raw!F1764)))),1,0)</f>
        <v>0</v>
      </c>
    </row>
    <row r="1765" spans="1:22" ht="15" customHeight="1" x14ac:dyDescent="0.25">
      <c r="A1765" s="123">
        <f>Procurement_Raw!A1765</f>
        <v>45800</v>
      </c>
      <c r="B1765" t="str">
        <f>TRIM(Procurement_Raw!B1765)</f>
        <v>S017</v>
      </c>
      <c r="C1765" t="str">
        <f>Procurement_Raw!C1765</f>
        <v>Swansea Care &amp; Education Centre</v>
      </c>
      <c r="D1765" t="str">
        <f>Procurement_Raw!D1765</f>
        <v>Wales</v>
      </c>
      <c r="E1765" t="str">
        <f>IF(TRIM(Procurement_Raw!E1765)="","",IFERROR(INDEX(Supplier_Lookup!$A$2:$A$25,MATCH(TRIM(Procurement_Raw!E1765),Supplier_Lookup!$A$2:$A$25,0)),TRIM(Procurement_Raw!E1765)))</f>
        <v>OfficePlus</v>
      </c>
      <c r="F1765" t="str">
        <f>IFERROR(INDEX(Category_Targets!$A$2:$A$9,MATCH(TRIM(Procurement_Raw!F1765),Category_Targets!$A$2:$A$9,0)),"Unmapped")</f>
        <v>Office &amp; Training</v>
      </c>
      <c r="G1765" t="str">
        <f>TRIM(Procurement_Raw!G1765)</f>
        <v>INV-2025-01764</v>
      </c>
      <c r="H1765" s="77">
        <f>Procurement_Raw!H1765</f>
        <v>59</v>
      </c>
      <c r="I1765" s="124">
        <f>Procurement_Raw!I1765</f>
        <v>31.08</v>
      </c>
      <c r="J1765" s="125">
        <f>IF(Procurement_Raw!J1765="","",Procurement_Raw!J1765)</f>
        <v>1833.43</v>
      </c>
      <c r="K1765" s="77">
        <f>Procurement_Raw!K1765</f>
        <v>30</v>
      </c>
      <c r="L1765" t="str">
        <f>Procurement_Raw!L1765</f>
        <v>Legacy Spend File</v>
      </c>
      <c r="M1765" t="str">
        <f>Procurement_Raw!O1765</f>
        <v>N</v>
      </c>
      <c r="N1765" t="str">
        <f>IF(E1765="","Missing supplier",IF(B1765="","Missing site",IF(J1765="","Missing spend",IF(COUNTIFS($G$2:G1765,G1765,$E$2:E1765,E1765,$J$2:J1765,J1765)&gt;1,"Duplicate invoice",IF(COUNTIF($G$2:$G$1801,G1765)&gt;1,"Duplicate ID - review",IF(AND(P1765&lt;&gt;"Unmapped",P1765&lt;&gt;F1765),"Category mismatch","OK"))))))</f>
        <v>OK</v>
      </c>
      <c r="O1765" s="125">
        <f t="shared" si="81"/>
        <v>1833.43</v>
      </c>
      <c r="P1765" t="str">
        <f>IF(E1765="","Unmapped",IFERROR(INDEX(Supplier_Lookup!$B$2:$B$25,MATCH(E1765,Supplier_Lookup!$A$2:$A$25,0)),"Unmapped"))</f>
        <v>Office &amp; Training</v>
      </c>
      <c r="Q1765" s="76">
        <f>IFERROR(INDEX(Category_Targets!$B$2:$B$9,MATCH(F1765,Category_Targets!$A$2:$A$9,0)),0)</f>
        <v>0.04</v>
      </c>
      <c r="R1765" s="125">
        <f t="shared" si="82"/>
        <v>73.33720000000001</v>
      </c>
      <c r="S1765" s="78">
        <f t="shared" si="83"/>
        <v>45778</v>
      </c>
      <c r="T1765" t="str">
        <f>IFERROR(VLOOKUP(B1765,Sites!$A$2:$D$21,4,FALSE()),"Unknown")</f>
        <v>Swansea</v>
      </c>
      <c r="U1765" t="str">
        <f>IF(N1765="OK","",COUNTIF($N$2:N1765,"&lt;&gt;OK"))</f>
        <v/>
      </c>
      <c r="V1765">
        <f>IF(OR(NOT(EXACT(E1765,TRIM(Procurement_Raw!E1765))),NOT(EXACT(F1765,TRIM(Procurement_Raw!F1765)))),1,0)</f>
        <v>0</v>
      </c>
    </row>
    <row r="1766" spans="1:22" ht="15" customHeight="1" x14ac:dyDescent="0.25">
      <c r="A1766" s="123">
        <f>Procurement_Raw!A1766</f>
        <v>45985</v>
      </c>
      <c r="B1766" t="str">
        <f>TRIM(Procurement_Raw!B1766)</f>
        <v>S002</v>
      </c>
      <c r="C1766" t="str">
        <f>Procurement_Raw!C1766</f>
        <v>Manchester Care &amp; Education Centre</v>
      </c>
      <c r="D1766" t="str">
        <f>Procurement_Raw!D1766</f>
        <v>North</v>
      </c>
      <c r="E1766" t="str">
        <f>IF(TRIM(Procurement_Raw!E1766)="","",IFERROR(INDEX(Supplier_Lookup!$A$2:$A$25,MATCH(TRIM(Procurement_Raw!E1766),Supplier_Lookup!$A$2:$A$25,0)),TRIM(Procurement_Raw!E1766)))</f>
        <v>OfficePlus</v>
      </c>
      <c r="F1766" t="str">
        <f>IFERROR(INDEX(Category_Targets!$A$2:$A$9,MATCH(TRIM(Procurement_Raw!F1766),Category_Targets!$A$2:$A$9,0)),"Unmapped")</f>
        <v>Office &amp; Training</v>
      </c>
      <c r="G1766" t="str">
        <f>TRIM(Procurement_Raw!G1766)</f>
        <v>INV-2025-01765</v>
      </c>
      <c r="H1766" s="77">
        <f>Procurement_Raw!H1766</f>
        <v>28</v>
      </c>
      <c r="I1766" s="124">
        <f>Procurement_Raw!I1766</f>
        <v>65.510000000000005</v>
      </c>
      <c r="J1766" s="125">
        <f>IF(Procurement_Raw!J1766="","",Procurement_Raw!J1766)</f>
        <v>1834.19</v>
      </c>
      <c r="K1766" s="77">
        <f>Procurement_Raw!K1766</f>
        <v>45</v>
      </c>
      <c r="L1766" t="str">
        <f>Procurement_Raw!L1766</f>
        <v>Legacy Spend File</v>
      </c>
      <c r="M1766" t="str">
        <f>Procurement_Raw!O1766</f>
        <v>N</v>
      </c>
      <c r="N1766" t="str">
        <f>IF(E1766="","Missing supplier",IF(B1766="","Missing site",IF(J1766="","Missing spend",IF(COUNTIFS($G$2:G1766,G1766,$E$2:E1766,E1766,$J$2:J1766,J1766)&gt;1,"Duplicate invoice",IF(COUNTIF($G$2:$G$1801,G1766)&gt;1,"Duplicate ID - review",IF(AND(P1766&lt;&gt;"Unmapped",P1766&lt;&gt;F1766),"Category mismatch","OK"))))))</f>
        <v>OK</v>
      </c>
      <c r="O1766" s="125">
        <f t="shared" si="81"/>
        <v>1834.19</v>
      </c>
      <c r="P1766" t="str">
        <f>IF(E1766="","Unmapped",IFERROR(INDEX(Supplier_Lookup!$B$2:$B$25,MATCH(E1766,Supplier_Lookup!$A$2:$A$25,0)),"Unmapped"))</f>
        <v>Office &amp; Training</v>
      </c>
      <c r="Q1766" s="76">
        <f>IFERROR(INDEX(Category_Targets!$B$2:$B$9,MATCH(F1766,Category_Targets!$A$2:$A$9,0)),0)</f>
        <v>0.04</v>
      </c>
      <c r="R1766" s="125">
        <f t="shared" si="82"/>
        <v>73.36760000000001</v>
      </c>
      <c r="S1766" s="78">
        <f t="shared" si="83"/>
        <v>45962</v>
      </c>
      <c r="T1766" t="str">
        <f>IFERROR(VLOOKUP(B1766,Sites!$A$2:$D$21,4,FALSE()),"Unknown")</f>
        <v>Manchester</v>
      </c>
      <c r="U1766" t="str">
        <f>IF(N1766="OK","",COUNTIF($N$2:N1766,"&lt;&gt;OK"))</f>
        <v/>
      </c>
      <c r="V1766">
        <f>IF(OR(NOT(EXACT(E1766,TRIM(Procurement_Raw!E1766))),NOT(EXACT(F1766,TRIM(Procurement_Raw!F1766)))),1,0)</f>
        <v>0</v>
      </c>
    </row>
    <row r="1767" spans="1:22" ht="15" customHeight="1" x14ac:dyDescent="0.25">
      <c r="A1767" s="123">
        <f>Procurement_Raw!A1767</f>
        <v>45843</v>
      </c>
      <c r="B1767" t="str">
        <f>TRIM(Procurement_Raw!B1767)</f>
        <v>S004</v>
      </c>
      <c r="C1767" t="str">
        <f>Procurement_Raw!C1767</f>
        <v>Newcastle Care &amp; Education Centre</v>
      </c>
      <c r="D1767" t="str">
        <f>Procurement_Raw!D1767</f>
        <v>North</v>
      </c>
      <c r="E1767" t="str">
        <f>IF(TRIM(Procurement_Raw!E1767)="","",IFERROR(INDEX(Supplier_Lookup!$A$2:$A$25,MATCH(TRIM(Procurement_Raw!E1767),Supplier_Lookup!$A$2:$A$25,0)),TRIM(Procurement_Raw!E1767)))</f>
        <v>HealthStaffing</v>
      </c>
      <c r="F1767" t="str">
        <f>IFERROR(INDEX(Category_Targets!$A$2:$A$9,MATCH(TRIM(Procurement_Raw!F1767),Category_Targets!$A$2:$A$9,0)),"Unmapped")</f>
        <v>Agency Labour</v>
      </c>
      <c r="G1767" t="str">
        <f>TRIM(Procurement_Raw!G1767)</f>
        <v>INV-2025-01766</v>
      </c>
      <c r="H1767" s="77">
        <f>Procurement_Raw!H1767</f>
        <v>56</v>
      </c>
      <c r="I1767" s="124">
        <f>Procurement_Raw!I1767</f>
        <v>188.67</v>
      </c>
      <c r="J1767" s="125">
        <f>IF(Procurement_Raw!J1767="","",Procurement_Raw!J1767)</f>
        <v>10565.49</v>
      </c>
      <c r="K1767" s="77">
        <f>Procurement_Raw!K1767</f>
        <v>45</v>
      </c>
      <c r="L1767" t="str">
        <f>Procurement_Raw!L1767</f>
        <v>ERP</v>
      </c>
      <c r="M1767" t="str">
        <f>Procurement_Raw!O1767</f>
        <v>N</v>
      </c>
      <c r="N1767" t="str">
        <f>IF(E1767="","Missing supplier",IF(B1767="","Missing site",IF(J1767="","Missing spend",IF(COUNTIFS($G$2:G1767,G1767,$E$2:E1767,E1767,$J$2:J1767,J1767)&gt;1,"Duplicate invoice",IF(COUNTIF($G$2:$G$1801,G1767)&gt;1,"Duplicate ID - review",IF(AND(P1767&lt;&gt;"Unmapped",P1767&lt;&gt;F1767),"Category mismatch","OK"))))))</f>
        <v>OK</v>
      </c>
      <c r="O1767" s="125">
        <f t="shared" si="81"/>
        <v>10565.49</v>
      </c>
      <c r="P1767" t="str">
        <f>IF(E1767="","Unmapped",IFERROR(INDEX(Supplier_Lookup!$B$2:$B$25,MATCH(E1767,Supplier_Lookup!$A$2:$A$25,0)),"Unmapped"))</f>
        <v>Agency Labour</v>
      </c>
      <c r="Q1767" s="76">
        <f>IFERROR(INDEX(Category_Targets!$B$2:$B$9,MATCH(F1767,Category_Targets!$A$2:$A$9,0)),0)</f>
        <v>7.0000000000000007E-2</v>
      </c>
      <c r="R1767" s="125">
        <f t="shared" si="82"/>
        <v>739.5843000000001</v>
      </c>
      <c r="S1767" s="78">
        <f t="shared" si="83"/>
        <v>45839</v>
      </c>
      <c r="T1767" t="str">
        <f>IFERROR(VLOOKUP(B1767,Sites!$A$2:$D$21,4,FALSE()),"Unknown")</f>
        <v>Newcastle</v>
      </c>
      <c r="U1767" t="str">
        <f>IF(N1767="OK","",COUNTIF($N$2:N1767,"&lt;&gt;OK"))</f>
        <v/>
      </c>
      <c r="V1767">
        <f>IF(OR(NOT(EXACT(E1767,TRIM(Procurement_Raw!E1767))),NOT(EXACT(F1767,TRIM(Procurement_Raw!F1767)))),1,0)</f>
        <v>0</v>
      </c>
    </row>
    <row r="1768" spans="1:22" ht="15" customHeight="1" x14ac:dyDescent="0.25">
      <c r="A1768" s="123">
        <f>Procurement_Raw!A1768</f>
        <v>46008</v>
      </c>
      <c r="B1768" t="str">
        <f>TRIM(Procurement_Raw!B1768)</f>
        <v>S013</v>
      </c>
      <c r="C1768" t="str">
        <f>Procurement_Raw!C1768</f>
        <v>Reading Care &amp; Education Centre</v>
      </c>
      <c r="D1768" t="str">
        <f>Procurement_Raw!D1768</f>
        <v>South</v>
      </c>
      <c r="E1768" t="str">
        <f>IF(TRIM(Procurement_Raw!E1768)="","",IFERROR(INDEX(Supplier_Lookup!$A$2:$A$25,MATCH(TRIM(Procurement_Raw!E1768),Supplier_Lookup!$A$2:$A$25,0)),TRIM(Procurement_Raw!E1768)))</f>
        <v>UK Energy Partners</v>
      </c>
      <c r="F1768" t="str">
        <f>IFERROR(INDEX(Category_Targets!$A$2:$A$9,MATCH(TRIM(Procurement_Raw!F1768),Category_Targets!$A$2:$A$9,0)),"Unmapped")</f>
        <v>Utilities</v>
      </c>
      <c r="G1768" t="str">
        <f>TRIM(Procurement_Raw!G1768)</f>
        <v>INV-2025-01767</v>
      </c>
      <c r="H1768" s="77">
        <f>Procurement_Raw!H1768</f>
        <v>55</v>
      </c>
      <c r="I1768" s="124">
        <f>Procurement_Raw!I1768</f>
        <v>825.08</v>
      </c>
      <c r="J1768" s="125">
        <f>IF(Procurement_Raw!J1768="","",Procurement_Raw!J1768)</f>
        <v>45379.360000000001</v>
      </c>
      <c r="K1768" s="77">
        <f>Procurement_Raw!K1768</f>
        <v>45</v>
      </c>
      <c r="L1768" t="str">
        <f>Procurement_Raw!L1768</f>
        <v>Procurement Portal</v>
      </c>
      <c r="M1768" t="str">
        <f>Procurement_Raw!O1768</f>
        <v>N</v>
      </c>
      <c r="N1768" t="str">
        <f>IF(E1768="","Missing supplier",IF(B1768="","Missing site",IF(J1768="","Missing spend",IF(COUNTIFS($G$2:G1768,G1768,$E$2:E1768,E1768,$J$2:J1768,J1768)&gt;1,"Duplicate invoice",IF(COUNTIF($G$2:$G$1801,G1768)&gt;1,"Duplicate ID - review",IF(AND(P1768&lt;&gt;"Unmapped",P1768&lt;&gt;F1768),"Category mismatch","OK"))))))</f>
        <v>OK</v>
      </c>
      <c r="O1768" s="125">
        <f t="shared" si="81"/>
        <v>45379.360000000001</v>
      </c>
      <c r="P1768" t="str">
        <f>IF(E1768="","Unmapped",IFERROR(INDEX(Supplier_Lookup!$B$2:$B$25,MATCH(E1768,Supplier_Lookup!$A$2:$A$25,0)),"Unmapped"))</f>
        <v>Utilities</v>
      </c>
      <c r="Q1768" s="76">
        <f>IFERROR(INDEX(Category_Targets!$B$2:$B$9,MATCH(F1768,Category_Targets!$A$2:$A$9,0)),0)</f>
        <v>0.03</v>
      </c>
      <c r="R1768" s="125">
        <f t="shared" si="82"/>
        <v>1361.3807999999999</v>
      </c>
      <c r="S1768" s="78">
        <f t="shared" si="83"/>
        <v>45992</v>
      </c>
      <c r="T1768" t="str">
        <f>IFERROR(VLOOKUP(B1768,Sites!$A$2:$D$21,4,FALSE()),"Unknown")</f>
        <v>Reading</v>
      </c>
      <c r="U1768" t="str">
        <f>IF(N1768="OK","",COUNTIF($N$2:N1768,"&lt;&gt;OK"))</f>
        <v/>
      </c>
      <c r="V1768">
        <f>IF(OR(NOT(EXACT(E1768,TRIM(Procurement_Raw!E1768))),NOT(EXACT(F1768,TRIM(Procurement_Raw!F1768)))),1,0)</f>
        <v>0</v>
      </c>
    </row>
    <row r="1769" spans="1:22" ht="15" customHeight="1" x14ac:dyDescent="0.25">
      <c r="A1769" s="123">
        <f>Procurement_Raw!A1769</f>
        <v>45730</v>
      </c>
      <c r="B1769" t="str">
        <f>TRIM(Procurement_Raw!B1769)</f>
        <v>S006</v>
      </c>
      <c r="C1769" t="str">
        <f>Procurement_Raw!C1769</f>
        <v>Birmingham Care &amp; Education Centre</v>
      </c>
      <c r="D1769" t="str">
        <f>Procurement_Raw!D1769</f>
        <v>Midlands</v>
      </c>
      <c r="E1769" t="str">
        <f>IF(TRIM(Procurement_Raw!E1769)="","",IFERROR(INDEX(Supplier_Lookup!$A$2:$A$25,MATCH(TRIM(Procurement_Raw!E1769),Supplier_Lookup!$A$2:$A$25,0)),TRIM(Procurement_Raw!E1769)))</f>
        <v>CleanWorks</v>
      </c>
      <c r="F1769" t="str">
        <f>IFERROR(INDEX(Category_Targets!$A$2:$A$9,MATCH(TRIM(Procurement_Raw!F1769),Category_Targets!$A$2:$A$9,0)),"Unmapped")</f>
        <v>Facilities</v>
      </c>
      <c r="G1769" t="str">
        <f>TRIM(Procurement_Raw!G1769)</f>
        <v>INV-2025-01768</v>
      </c>
      <c r="H1769" s="77">
        <f>Procurement_Raw!H1769</f>
        <v>9</v>
      </c>
      <c r="I1769" s="124">
        <f>Procurement_Raw!I1769</f>
        <v>163.4</v>
      </c>
      <c r="J1769" s="125">
        <f>IF(Procurement_Raw!J1769="","",Procurement_Raw!J1769)</f>
        <v>1470.63</v>
      </c>
      <c r="K1769" s="77">
        <f>Procurement_Raw!K1769</f>
        <v>45</v>
      </c>
      <c r="L1769" t="str">
        <f>Procurement_Raw!L1769</f>
        <v>Procurement Portal</v>
      </c>
      <c r="M1769" t="str">
        <f>Procurement_Raw!O1769</f>
        <v>Y</v>
      </c>
      <c r="N1769" t="str">
        <f>IF(E1769="","Missing supplier",IF(B1769="","Missing site",IF(J1769="","Missing spend",IF(COUNTIFS($G$2:G1769,G1769,$E$2:E1769,E1769,$J$2:J1769,J1769)&gt;1,"Duplicate invoice",IF(COUNTIF($G$2:$G$1801,G1769)&gt;1,"Duplicate ID - review",IF(AND(P1769&lt;&gt;"Unmapped",P1769&lt;&gt;F1769),"Category mismatch","OK"))))))</f>
        <v>OK</v>
      </c>
      <c r="O1769" s="125">
        <f t="shared" si="81"/>
        <v>1470.63</v>
      </c>
      <c r="P1769" t="str">
        <f>IF(E1769="","Unmapped",IFERROR(INDEX(Supplier_Lookup!$B$2:$B$25,MATCH(E1769,Supplier_Lookup!$A$2:$A$25,0)),"Unmapped"))</f>
        <v>Facilities</v>
      </c>
      <c r="Q1769" s="76">
        <f>IFERROR(INDEX(Category_Targets!$B$2:$B$9,MATCH(F1769,Category_Targets!$A$2:$A$9,0)),0)</f>
        <v>0.05</v>
      </c>
      <c r="R1769" s="125">
        <f t="shared" si="82"/>
        <v>73.531500000000008</v>
      </c>
      <c r="S1769" s="78">
        <f t="shared" si="83"/>
        <v>45717</v>
      </c>
      <c r="T1769" t="str">
        <f>IFERROR(VLOOKUP(B1769,Sites!$A$2:$D$21,4,FALSE()),"Unknown")</f>
        <v>Birmingham</v>
      </c>
      <c r="U1769" t="str">
        <f>IF(N1769="OK","",COUNTIF($N$2:N1769,"&lt;&gt;OK"))</f>
        <v/>
      </c>
      <c r="V1769">
        <f>IF(OR(NOT(EXACT(E1769,TRIM(Procurement_Raw!E1769))),NOT(EXACT(F1769,TRIM(Procurement_Raw!F1769)))),1,0)</f>
        <v>0</v>
      </c>
    </row>
    <row r="1770" spans="1:22" ht="15" customHeight="1" x14ac:dyDescent="0.25">
      <c r="A1770" s="123">
        <f>Procurement_Raw!A1770</f>
        <v>45889</v>
      </c>
      <c r="B1770" t="str">
        <f>TRIM(Procurement_Raw!B1770)</f>
        <v>S009</v>
      </c>
      <c r="C1770" t="str">
        <f>Procurement_Raw!C1770</f>
        <v>Derby Care &amp; Education Centre</v>
      </c>
      <c r="D1770" t="str">
        <f>Procurement_Raw!D1770</f>
        <v>Midlands</v>
      </c>
      <c r="E1770" t="str">
        <f>IF(TRIM(Procurement_Raw!E1770)="","",IFERROR(INDEX(Supplier_Lookup!$A$2:$A$25,MATCH(TRIM(Procurement_Raw!E1770),Supplier_Lookup!$A$2:$A$25,0)),TRIM(Procurement_Raw!E1770)))</f>
        <v>NetServe</v>
      </c>
      <c r="F1770" t="str">
        <f>IFERROR(INDEX(Category_Targets!$A$2:$A$9,MATCH(TRIM(Procurement_Raw!F1770),Category_Targets!$A$2:$A$9,0)),"Unmapped")</f>
        <v>IT &amp; Telecoms</v>
      </c>
      <c r="G1770" t="str">
        <f>TRIM(Procurement_Raw!G1770)</f>
        <v>INV-2025-01769</v>
      </c>
      <c r="H1770" s="77">
        <f>Procurement_Raw!H1770</f>
        <v>54</v>
      </c>
      <c r="I1770" s="124">
        <f>Procurement_Raw!I1770</f>
        <v>235.42</v>
      </c>
      <c r="J1770" s="125">
        <f>IF(Procurement_Raw!J1770="","",Procurement_Raw!J1770)</f>
        <v>12712.92</v>
      </c>
      <c r="K1770" s="77">
        <f>Procurement_Raw!K1770</f>
        <v>60</v>
      </c>
      <c r="L1770" t="str">
        <f>Procurement_Raw!L1770</f>
        <v>ERP</v>
      </c>
      <c r="M1770" t="str">
        <f>Procurement_Raw!O1770</f>
        <v>N</v>
      </c>
      <c r="N1770" t="str">
        <f>IF(E1770="","Missing supplier",IF(B1770="","Missing site",IF(J1770="","Missing spend",IF(COUNTIFS($G$2:G1770,G1770,$E$2:E1770,E1770,$J$2:J1770,J1770)&gt;1,"Duplicate invoice",IF(COUNTIF($G$2:$G$1801,G1770)&gt;1,"Duplicate ID - review",IF(AND(P1770&lt;&gt;"Unmapped",P1770&lt;&gt;F1770),"Category mismatch","OK"))))))</f>
        <v>OK</v>
      </c>
      <c r="O1770" s="125">
        <f t="shared" si="81"/>
        <v>12712.92</v>
      </c>
      <c r="P1770" t="str">
        <f>IF(E1770="","Unmapped",IFERROR(INDEX(Supplier_Lookup!$B$2:$B$25,MATCH(E1770,Supplier_Lookup!$A$2:$A$25,0)),"Unmapped"))</f>
        <v>IT &amp; Telecoms</v>
      </c>
      <c r="Q1770" s="76">
        <f>IFERROR(INDEX(Category_Targets!$B$2:$B$9,MATCH(F1770,Category_Targets!$A$2:$A$9,0)),0)</f>
        <v>0.08</v>
      </c>
      <c r="R1770" s="125">
        <f t="shared" si="82"/>
        <v>1017.0336</v>
      </c>
      <c r="S1770" s="78">
        <f t="shared" si="83"/>
        <v>45870</v>
      </c>
      <c r="T1770" t="str">
        <f>IFERROR(VLOOKUP(B1770,Sites!$A$2:$D$21,4,FALSE()),"Unknown")</f>
        <v>Derby</v>
      </c>
      <c r="U1770" t="str">
        <f>IF(N1770="OK","",COUNTIF($N$2:N1770,"&lt;&gt;OK"))</f>
        <v/>
      </c>
      <c r="V1770">
        <f>IF(OR(NOT(EXACT(E1770,TRIM(Procurement_Raw!E1770))),NOT(EXACT(F1770,TRIM(Procurement_Raw!F1770)))),1,0)</f>
        <v>0</v>
      </c>
    </row>
    <row r="1771" spans="1:22" ht="15" customHeight="1" x14ac:dyDescent="0.25">
      <c r="A1771" s="123">
        <f>Procurement_Raw!A1771</f>
        <v>45685</v>
      </c>
      <c r="B1771" t="str">
        <f>TRIM(Procurement_Raw!B1771)</f>
        <v>S011</v>
      </c>
      <c r="C1771" t="str">
        <f>Procurement_Raw!C1771</f>
        <v>London Care &amp; Education Centre</v>
      </c>
      <c r="D1771" t="str">
        <f>Procurement_Raw!D1771</f>
        <v>South</v>
      </c>
      <c r="E1771" t="str">
        <f>IF(TRIM(Procurement_Raw!E1771)="","",IFERROR(INDEX(Supplier_Lookup!$A$2:$A$25,MATCH(TRIM(Procurement_Raw!E1771),Supplier_Lookup!$A$2:$A$25,0)),TRIM(Procurement_Raw!E1771)))</f>
        <v>CloudLink</v>
      </c>
      <c r="F1771" t="str">
        <f>IFERROR(INDEX(Category_Targets!$A$2:$A$9,MATCH(TRIM(Procurement_Raw!F1771),Category_Targets!$A$2:$A$9,0)),"Unmapped")</f>
        <v>IT &amp; Telecoms</v>
      </c>
      <c r="G1771" t="str">
        <f>TRIM(Procurement_Raw!G1771)</f>
        <v>INV-2025-01770</v>
      </c>
      <c r="H1771" s="77">
        <f>Procurement_Raw!H1771</f>
        <v>12</v>
      </c>
      <c r="I1771" s="124">
        <f>Procurement_Raw!I1771</f>
        <v>297.95999999999998</v>
      </c>
      <c r="J1771" s="125">
        <f>IF(Procurement_Raw!J1771="","",Procurement_Raw!J1771)</f>
        <v>3575.47</v>
      </c>
      <c r="K1771" s="77">
        <f>Procurement_Raw!K1771</f>
        <v>45</v>
      </c>
      <c r="L1771" t="str">
        <f>Procurement_Raw!L1771</f>
        <v>Procurement Portal</v>
      </c>
      <c r="M1771" t="str">
        <f>Procurement_Raw!O1771</f>
        <v>Y</v>
      </c>
      <c r="N1771" t="str">
        <f>IF(E1771="","Missing supplier",IF(B1771="","Missing site",IF(J1771="","Missing spend",IF(COUNTIFS($G$2:G1771,G1771,$E$2:E1771,E1771,$J$2:J1771,J1771)&gt;1,"Duplicate invoice",IF(COUNTIF($G$2:$G$1801,G1771)&gt;1,"Duplicate ID - review",IF(AND(P1771&lt;&gt;"Unmapped",P1771&lt;&gt;F1771),"Category mismatch","OK"))))))</f>
        <v>OK</v>
      </c>
      <c r="O1771" s="125">
        <f t="shared" si="81"/>
        <v>3575.47</v>
      </c>
      <c r="P1771" t="str">
        <f>IF(E1771="","Unmapped",IFERROR(INDEX(Supplier_Lookup!$B$2:$B$25,MATCH(E1771,Supplier_Lookup!$A$2:$A$25,0)),"Unmapped"))</f>
        <v>IT &amp; Telecoms</v>
      </c>
      <c r="Q1771" s="76">
        <f>IFERROR(INDEX(Category_Targets!$B$2:$B$9,MATCH(F1771,Category_Targets!$A$2:$A$9,0)),0)</f>
        <v>0.08</v>
      </c>
      <c r="R1771" s="125">
        <f t="shared" si="82"/>
        <v>286.0376</v>
      </c>
      <c r="S1771" s="78">
        <f t="shared" si="83"/>
        <v>45658</v>
      </c>
      <c r="T1771" t="str">
        <f>IFERROR(VLOOKUP(B1771,Sites!$A$2:$D$21,4,FALSE()),"Unknown")</f>
        <v>London</v>
      </c>
      <c r="U1771" t="str">
        <f>IF(N1771="OK","",COUNTIF($N$2:N1771,"&lt;&gt;OK"))</f>
        <v/>
      </c>
      <c r="V1771">
        <f>IF(OR(NOT(EXACT(E1771,TRIM(Procurement_Raw!E1771))),NOT(EXACT(F1771,TRIM(Procurement_Raw!F1771)))),1,0)</f>
        <v>0</v>
      </c>
    </row>
    <row r="1772" spans="1:22" ht="15" customHeight="1" x14ac:dyDescent="0.25">
      <c r="A1772" s="123">
        <f>Procurement_Raw!A1772</f>
        <v>45759</v>
      </c>
      <c r="B1772" t="str">
        <f>TRIM(Procurement_Raw!B1772)</f>
        <v>S014</v>
      </c>
      <c r="C1772" t="str">
        <f>Procurement_Raw!C1772</f>
        <v>Southampton Care &amp; Education Centre</v>
      </c>
      <c r="D1772" t="str">
        <f>Procurement_Raw!D1772</f>
        <v>South</v>
      </c>
      <c r="E1772" t="str">
        <f>IF(TRIM(Procurement_Raw!E1772)="","",IFERROR(INDEX(Supplier_Lookup!$A$2:$A$25,MATCH(TRIM(Procurement_Raw!E1772),Supplier_Lookup!$A$2:$A$25,0)),TRIM(Procurement_Raw!E1772)))</f>
        <v>CloudLink</v>
      </c>
      <c r="F1772" t="str">
        <f>IFERROR(INDEX(Category_Targets!$A$2:$A$9,MATCH(TRIM(Procurement_Raw!F1772),Category_Targets!$A$2:$A$9,0)),"Unmapped")</f>
        <v>IT &amp; Telecoms</v>
      </c>
      <c r="G1772" t="str">
        <f>TRIM(Procurement_Raw!G1772)</f>
        <v>INV-2025-01771</v>
      </c>
      <c r="H1772" s="77">
        <f>Procurement_Raw!H1772</f>
        <v>45</v>
      </c>
      <c r="I1772" s="124">
        <f>Procurement_Raw!I1772</f>
        <v>225.34</v>
      </c>
      <c r="J1772" s="125">
        <f>IF(Procurement_Raw!J1772="","",Procurement_Raw!J1772)</f>
        <v>10140.280000000001</v>
      </c>
      <c r="K1772" s="77">
        <f>Procurement_Raw!K1772</f>
        <v>45</v>
      </c>
      <c r="L1772" t="str">
        <f>Procurement_Raw!L1772</f>
        <v>Procurement Portal</v>
      </c>
      <c r="M1772" t="str">
        <f>Procurement_Raw!O1772</f>
        <v>Y</v>
      </c>
      <c r="N1772" t="str">
        <f>IF(E1772="","Missing supplier",IF(B1772="","Missing site",IF(J1772="","Missing spend",IF(COUNTIFS($G$2:G1772,G1772,$E$2:E1772,E1772,$J$2:J1772,J1772)&gt;1,"Duplicate invoice",IF(COUNTIF($G$2:$G$1801,G1772)&gt;1,"Duplicate ID - review",IF(AND(P1772&lt;&gt;"Unmapped",P1772&lt;&gt;F1772),"Category mismatch","OK"))))))</f>
        <v>OK</v>
      </c>
      <c r="O1772" s="125">
        <f t="shared" si="81"/>
        <v>10140.280000000001</v>
      </c>
      <c r="P1772" t="str">
        <f>IF(E1772="","Unmapped",IFERROR(INDEX(Supplier_Lookup!$B$2:$B$25,MATCH(E1772,Supplier_Lookup!$A$2:$A$25,0)),"Unmapped"))</f>
        <v>IT &amp; Telecoms</v>
      </c>
      <c r="Q1772" s="76">
        <f>IFERROR(INDEX(Category_Targets!$B$2:$B$9,MATCH(F1772,Category_Targets!$A$2:$A$9,0)),0)</f>
        <v>0.08</v>
      </c>
      <c r="R1772" s="125">
        <f t="shared" si="82"/>
        <v>811.22240000000011</v>
      </c>
      <c r="S1772" s="78">
        <f t="shared" si="83"/>
        <v>45748</v>
      </c>
      <c r="T1772" t="str">
        <f>IFERROR(VLOOKUP(B1772,Sites!$A$2:$D$21,4,FALSE()),"Unknown")</f>
        <v>Southampton</v>
      </c>
      <c r="U1772" t="str">
        <f>IF(N1772="OK","",COUNTIF($N$2:N1772,"&lt;&gt;OK"))</f>
        <v/>
      </c>
      <c r="V1772">
        <f>IF(OR(NOT(EXACT(E1772,TRIM(Procurement_Raw!E1772))),NOT(EXACT(F1772,TRIM(Procurement_Raw!F1772)))),1,0)</f>
        <v>0</v>
      </c>
    </row>
    <row r="1773" spans="1:22" ht="15" customHeight="1" x14ac:dyDescent="0.25">
      <c r="A1773" s="123">
        <f>Procurement_Raw!A1773</f>
        <v>45881</v>
      </c>
      <c r="B1773" t="str">
        <f>TRIM(Procurement_Raw!B1773)</f>
        <v>S010</v>
      </c>
      <c r="C1773" t="str">
        <f>Procurement_Raw!C1773</f>
        <v>Coventry Care &amp; Education Centre</v>
      </c>
      <c r="D1773" t="str">
        <f>Procurement_Raw!D1773</f>
        <v>Midlands</v>
      </c>
      <c r="E1773" t="str">
        <f>IF(TRIM(Procurement_Raw!E1773)="","",IFERROR(INDEX(Supplier_Lookup!$A$2:$A$25,MATCH(TRIM(Procurement_Raw!E1773),Supplier_Lookup!$A$2:$A$25,0)),TRIM(Procurement_Raw!E1773)))</f>
        <v>BuildCare</v>
      </c>
      <c r="F1773" t="str">
        <f>IFERROR(INDEX(Category_Targets!$A$2:$A$9,MATCH(TRIM(Procurement_Raw!F1773),Category_Targets!$A$2:$A$9,0)),"Unmapped")</f>
        <v>Facilities</v>
      </c>
      <c r="G1773" t="str">
        <f>TRIM(Procurement_Raw!G1773)</f>
        <v>INV-2025-01772</v>
      </c>
      <c r="H1773" s="77">
        <f>Procurement_Raw!H1773</f>
        <v>46</v>
      </c>
      <c r="I1773" s="124">
        <f>Procurement_Raw!I1773</f>
        <v>457.25</v>
      </c>
      <c r="J1773" s="125">
        <f>IF(Procurement_Raw!J1773="","",Procurement_Raw!J1773)</f>
        <v>21033.599999999999</v>
      </c>
      <c r="K1773" s="77">
        <f>Procurement_Raw!K1773</f>
        <v>60</v>
      </c>
      <c r="L1773" t="str">
        <f>Procurement_Raw!L1773</f>
        <v>Legacy Spend File</v>
      </c>
      <c r="M1773" t="str">
        <f>Procurement_Raw!O1773</f>
        <v>N</v>
      </c>
      <c r="N1773" t="str">
        <f>IF(E1773="","Missing supplier",IF(B1773="","Missing site",IF(J1773="","Missing spend",IF(COUNTIFS($G$2:G1773,G1773,$E$2:E1773,E1773,$J$2:J1773,J1773)&gt;1,"Duplicate invoice",IF(COUNTIF($G$2:$G$1801,G1773)&gt;1,"Duplicate ID - review",IF(AND(P1773&lt;&gt;"Unmapped",P1773&lt;&gt;F1773),"Category mismatch","OK"))))))</f>
        <v>OK</v>
      </c>
      <c r="O1773" s="125">
        <f t="shared" si="81"/>
        <v>21033.599999999999</v>
      </c>
      <c r="P1773" t="str">
        <f>IF(E1773="","Unmapped",IFERROR(INDEX(Supplier_Lookup!$B$2:$B$25,MATCH(E1773,Supplier_Lookup!$A$2:$A$25,0)),"Unmapped"))</f>
        <v>Facilities</v>
      </c>
      <c r="Q1773" s="76">
        <f>IFERROR(INDEX(Category_Targets!$B$2:$B$9,MATCH(F1773,Category_Targets!$A$2:$A$9,0)),0)</f>
        <v>0.05</v>
      </c>
      <c r="R1773" s="125">
        <f t="shared" si="82"/>
        <v>1051.68</v>
      </c>
      <c r="S1773" s="78">
        <f t="shared" si="83"/>
        <v>45870</v>
      </c>
      <c r="T1773" t="str">
        <f>IFERROR(VLOOKUP(B1773,Sites!$A$2:$D$21,4,FALSE()),"Unknown")</f>
        <v>Coventry</v>
      </c>
      <c r="U1773" t="str">
        <f>IF(N1773="OK","",COUNTIF($N$2:N1773,"&lt;&gt;OK"))</f>
        <v/>
      </c>
      <c r="V1773">
        <f>IF(OR(NOT(EXACT(E1773,TRIM(Procurement_Raw!E1773))),NOT(EXACT(F1773,TRIM(Procurement_Raw!F1773)))),1,0)</f>
        <v>0</v>
      </c>
    </row>
    <row r="1774" spans="1:22" ht="15" customHeight="1" x14ac:dyDescent="0.25">
      <c r="A1774" s="123">
        <f>Procurement_Raw!A1774</f>
        <v>45963</v>
      </c>
      <c r="B1774" t="str">
        <f>TRIM(Procurement_Raw!B1774)</f>
        <v>S013</v>
      </c>
      <c r="C1774" t="str">
        <f>Procurement_Raw!C1774</f>
        <v>Reading Care &amp; Education Centre</v>
      </c>
      <c r="D1774" t="str">
        <f>Procurement_Raw!D1774</f>
        <v>South</v>
      </c>
      <c r="E1774" t="str">
        <f>IF(TRIM(Procurement_Raw!E1774)="","",IFERROR(INDEX(Supplier_Lookup!$A$2:$A$25,MATCH(TRIM(Procurement_Raw!E1774),Supplier_Lookup!$A$2:$A$25,0)),TRIM(Procurement_Raw!E1774)))</f>
        <v>ClinEquip</v>
      </c>
      <c r="F1774" t="str">
        <f>IFERROR(INDEX(Category_Targets!$A$2:$A$9,MATCH(TRIM(Procurement_Raw!F1774),Category_Targets!$A$2:$A$9,0)),"Unmapped")</f>
        <v>Medical Supplies</v>
      </c>
      <c r="G1774" t="str">
        <f>TRIM(Procurement_Raw!G1774)</f>
        <v>INV-2025-01773</v>
      </c>
      <c r="H1774" s="77">
        <f>Procurement_Raw!H1774</f>
        <v>26</v>
      </c>
      <c r="I1774" s="124">
        <f>Procurement_Raw!I1774</f>
        <v>85.2</v>
      </c>
      <c r="J1774" s="125">
        <f>IF(Procurement_Raw!J1774="","",Procurement_Raw!J1774)</f>
        <v>2215.27</v>
      </c>
      <c r="K1774" s="77">
        <f>Procurement_Raw!K1774</f>
        <v>30</v>
      </c>
      <c r="L1774" t="str">
        <f>Procurement_Raw!L1774</f>
        <v>Legacy Spend File</v>
      </c>
      <c r="M1774" t="str">
        <f>Procurement_Raw!O1774</f>
        <v>N</v>
      </c>
      <c r="N1774" t="str">
        <f>IF(E1774="","Missing supplier",IF(B1774="","Missing site",IF(J1774="","Missing spend",IF(COUNTIFS($G$2:G1774,G1774,$E$2:E1774,E1774,$J$2:J1774,J1774)&gt;1,"Duplicate invoice",IF(COUNTIF($G$2:$G$1801,G1774)&gt;1,"Duplicate ID - review",IF(AND(P1774&lt;&gt;"Unmapped",P1774&lt;&gt;F1774),"Category mismatch","OK"))))))</f>
        <v>OK</v>
      </c>
      <c r="O1774" s="125">
        <f t="shared" si="81"/>
        <v>2215.27</v>
      </c>
      <c r="P1774" t="str">
        <f>IF(E1774="","Unmapped",IFERROR(INDEX(Supplier_Lookup!$B$2:$B$25,MATCH(E1774,Supplier_Lookup!$A$2:$A$25,0)),"Unmapped"))</f>
        <v>Medical Supplies</v>
      </c>
      <c r="Q1774" s="76">
        <f>IFERROR(INDEX(Category_Targets!$B$2:$B$9,MATCH(F1774,Category_Targets!$A$2:$A$9,0)),0)</f>
        <v>0.06</v>
      </c>
      <c r="R1774" s="125">
        <f t="shared" si="82"/>
        <v>132.9162</v>
      </c>
      <c r="S1774" s="78">
        <f t="shared" si="83"/>
        <v>45962</v>
      </c>
      <c r="T1774" t="str">
        <f>IFERROR(VLOOKUP(B1774,Sites!$A$2:$D$21,4,FALSE()),"Unknown")</f>
        <v>Reading</v>
      </c>
      <c r="U1774" t="str">
        <f>IF(N1774="OK","",COUNTIF($N$2:N1774,"&lt;&gt;OK"))</f>
        <v/>
      </c>
      <c r="V1774">
        <f>IF(OR(NOT(EXACT(E1774,TRIM(Procurement_Raw!E1774))),NOT(EXACT(F1774,TRIM(Procurement_Raw!F1774)))),1,0)</f>
        <v>0</v>
      </c>
    </row>
    <row r="1775" spans="1:22" ht="15" customHeight="1" x14ac:dyDescent="0.25">
      <c r="A1775" s="123">
        <f>Procurement_Raw!A1775</f>
        <v>45998</v>
      </c>
      <c r="B1775" t="str">
        <f>TRIM(Procurement_Raw!B1775)</f>
        <v>S015</v>
      </c>
      <c r="C1775" t="str">
        <f>Procurement_Raw!C1775</f>
        <v>Brighton Care &amp; Education Centre</v>
      </c>
      <c r="D1775" t="str">
        <f>Procurement_Raw!D1775</f>
        <v>South</v>
      </c>
      <c r="E1775" t="str">
        <f>IF(TRIM(Procurement_Raw!E1775)="","",IFERROR(INDEX(Supplier_Lookup!$A$2:$A$25,MATCH(TRIM(Procurement_Raw!E1775),Supplier_Lookup!$A$2:$A$25,0)),TRIM(Procurement_Raw!E1775)))</f>
        <v>SafeGuard FM</v>
      </c>
      <c r="F1775" t="str">
        <f>IFERROR(INDEX(Category_Targets!$A$2:$A$9,MATCH(TRIM(Procurement_Raw!F1775),Category_Targets!$A$2:$A$9,0)),"Unmapped")</f>
        <v>Facilities</v>
      </c>
      <c r="G1775" t="str">
        <f>TRIM(Procurement_Raw!G1775)</f>
        <v>INV-2025-01774</v>
      </c>
      <c r="H1775" s="77">
        <f>Procurement_Raw!H1775</f>
        <v>41</v>
      </c>
      <c r="I1775" s="124">
        <f>Procurement_Raw!I1775</f>
        <v>200.33</v>
      </c>
      <c r="J1775" s="125">
        <f>IF(Procurement_Raw!J1775="","",Procurement_Raw!J1775)</f>
        <v>8213.73</v>
      </c>
      <c r="K1775" s="77">
        <f>Procurement_Raw!K1775</f>
        <v>30</v>
      </c>
      <c r="L1775" t="str">
        <f>Procurement_Raw!L1775</f>
        <v>ERP</v>
      </c>
      <c r="M1775" t="str">
        <f>Procurement_Raw!O1775</f>
        <v>N</v>
      </c>
      <c r="N1775" t="str">
        <f>IF(E1775="","Missing supplier",IF(B1775="","Missing site",IF(J1775="","Missing spend",IF(COUNTIFS($G$2:G1775,G1775,$E$2:E1775,E1775,$J$2:J1775,J1775)&gt;1,"Duplicate invoice",IF(COUNTIF($G$2:$G$1801,G1775)&gt;1,"Duplicate ID - review",IF(AND(P1775&lt;&gt;"Unmapped",P1775&lt;&gt;F1775),"Category mismatch","OK"))))))</f>
        <v>OK</v>
      </c>
      <c r="O1775" s="125">
        <f t="shared" si="81"/>
        <v>8213.73</v>
      </c>
      <c r="P1775" t="str">
        <f>IF(E1775="","Unmapped",IFERROR(INDEX(Supplier_Lookup!$B$2:$B$25,MATCH(E1775,Supplier_Lookup!$A$2:$A$25,0)),"Unmapped"))</f>
        <v>Facilities</v>
      </c>
      <c r="Q1775" s="76">
        <f>IFERROR(INDEX(Category_Targets!$B$2:$B$9,MATCH(F1775,Category_Targets!$A$2:$A$9,0)),0)</f>
        <v>0.05</v>
      </c>
      <c r="R1775" s="125">
        <f t="shared" si="82"/>
        <v>410.68650000000002</v>
      </c>
      <c r="S1775" s="78">
        <f t="shared" si="83"/>
        <v>45992</v>
      </c>
      <c r="T1775" t="str">
        <f>IFERROR(VLOOKUP(B1775,Sites!$A$2:$D$21,4,FALSE()),"Unknown")</f>
        <v>Brighton</v>
      </c>
      <c r="U1775" t="str">
        <f>IF(N1775="OK","",COUNTIF($N$2:N1775,"&lt;&gt;OK"))</f>
        <v/>
      </c>
      <c r="V1775">
        <f>IF(OR(NOT(EXACT(E1775,TRIM(Procurement_Raw!E1775))),NOT(EXACT(F1775,TRIM(Procurement_Raw!F1775)))),1,0)</f>
        <v>0</v>
      </c>
    </row>
    <row r="1776" spans="1:22" ht="15" customHeight="1" x14ac:dyDescent="0.25">
      <c r="A1776" s="123">
        <f>Procurement_Raw!A1776</f>
        <v>45820</v>
      </c>
      <c r="B1776" t="str">
        <f>TRIM(Procurement_Raw!B1776)</f>
        <v>S008</v>
      </c>
      <c r="C1776" t="str">
        <f>Procurement_Raw!C1776</f>
        <v>Leicester Care &amp; Education Centre</v>
      </c>
      <c r="D1776" t="str">
        <f>Procurement_Raw!D1776</f>
        <v>Midlands</v>
      </c>
      <c r="E1776" t="str">
        <f>IF(TRIM(Procurement_Raw!E1776)="","",IFERROR(INDEX(Supplier_Lookup!$A$2:$A$25,MATCH(TRIM(Procurement_Raw!E1776),Supplier_Lookup!$A$2:$A$25,0)),TRIM(Procurement_Raw!E1776)))</f>
        <v>SafeGuard FM</v>
      </c>
      <c r="F1776" t="str">
        <f>IFERROR(INDEX(Category_Targets!$A$2:$A$9,MATCH(TRIM(Procurement_Raw!F1776),Category_Targets!$A$2:$A$9,0)),"Unmapped")</f>
        <v>Facilities</v>
      </c>
      <c r="G1776" t="str">
        <f>TRIM(Procurement_Raw!G1776)</f>
        <v>INV-2025-01775</v>
      </c>
      <c r="H1776" s="77">
        <f>Procurement_Raw!H1776</f>
        <v>15</v>
      </c>
      <c r="I1776" s="124">
        <f>Procurement_Raw!I1776</f>
        <v>119.65</v>
      </c>
      <c r="J1776" s="125">
        <f>IF(Procurement_Raw!J1776="","",Procurement_Raw!J1776)</f>
        <v>1794.8</v>
      </c>
      <c r="K1776" s="77">
        <f>Procurement_Raw!K1776</f>
        <v>60</v>
      </c>
      <c r="L1776" t="str">
        <f>Procurement_Raw!L1776</f>
        <v>Procurement Portal</v>
      </c>
      <c r="M1776" t="str">
        <f>Procurement_Raw!O1776</f>
        <v>N</v>
      </c>
      <c r="N1776" t="str">
        <f>IF(E1776="","Missing supplier",IF(B1776="","Missing site",IF(J1776="","Missing spend",IF(COUNTIFS($G$2:G1776,G1776,$E$2:E1776,E1776,$J$2:J1776,J1776)&gt;1,"Duplicate invoice",IF(COUNTIF($G$2:$G$1801,G1776)&gt;1,"Duplicate ID - review",IF(AND(P1776&lt;&gt;"Unmapped",P1776&lt;&gt;F1776),"Category mismatch","OK"))))))</f>
        <v>OK</v>
      </c>
      <c r="O1776" s="125">
        <f t="shared" si="81"/>
        <v>1794.8</v>
      </c>
      <c r="P1776" t="str">
        <f>IF(E1776="","Unmapped",IFERROR(INDEX(Supplier_Lookup!$B$2:$B$25,MATCH(E1776,Supplier_Lookup!$A$2:$A$25,0)),"Unmapped"))</f>
        <v>Facilities</v>
      </c>
      <c r="Q1776" s="76">
        <f>IFERROR(INDEX(Category_Targets!$B$2:$B$9,MATCH(F1776,Category_Targets!$A$2:$A$9,0)),0)</f>
        <v>0.05</v>
      </c>
      <c r="R1776" s="125">
        <f t="shared" si="82"/>
        <v>89.740000000000009</v>
      </c>
      <c r="S1776" s="78">
        <f t="shared" si="83"/>
        <v>45809</v>
      </c>
      <c r="T1776" t="str">
        <f>IFERROR(VLOOKUP(B1776,Sites!$A$2:$D$21,4,FALSE()),"Unknown")</f>
        <v>Leicester</v>
      </c>
      <c r="U1776" t="str">
        <f>IF(N1776="OK","",COUNTIF($N$2:N1776,"&lt;&gt;OK"))</f>
        <v/>
      </c>
      <c r="V1776">
        <f>IF(OR(NOT(EXACT(E1776,TRIM(Procurement_Raw!E1776))),NOT(EXACT(F1776,TRIM(Procurement_Raw!F1776)))),1,0)</f>
        <v>0</v>
      </c>
    </row>
    <row r="1777" spans="1:22" ht="15" customHeight="1" x14ac:dyDescent="0.25">
      <c r="A1777" s="123">
        <f>Procurement_Raw!A1777</f>
        <v>45722</v>
      </c>
      <c r="B1777" t="str">
        <f>TRIM(Procurement_Raw!B1777)</f>
        <v>S017</v>
      </c>
      <c r="C1777" t="str">
        <f>Procurement_Raw!C1777</f>
        <v>Swansea Care &amp; Education Centre</v>
      </c>
      <c r="D1777" t="str">
        <f>Procurement_Raw!D1777</f>
        <v>Wales</v>
      </c>
      <c r="E1777" t="str">
        <f>IF(TRIM(Procurement_Raw!E1777)="","",IFERROR(INDEX(Supplier_Lookup!$A$2:$A$25,MATCH(TRIM(Procurement_Raw!E1777),Supplier_Lookup!$A$2:$A$25,0)),TRIM(Procurement_Raw!E1777)))</f>
        <v>CareMed</v>
      </c>
      <c r="F1777" t="str">
        <f>IFERROR(INDEX(Category_Targets!$A$2:$A$9,MATCH(TRIM(Procurement_Raw!F1777),Category_Targets!$A$2:$A$9,0)),"Unmapped")</f>
        <v>Medical Supplies</v>
      </c>
      <c r="G1777" t="str">
        <f>TRIM(Procurement_Raw!G1777)</f>
        <v>INV-2025-01776</v>
      </c>
      <c r="H1777" s="77">
        <f>Procurement_Raw!H1777</f>
        <v>58</v>
      </c>
      <c r="I1777" s="124">
        <f>Procurement_Raw!I1777</f>
        <v>58.06</v>
      </c>
      <c r="J1777" s="125">
        <f>IF(Procurement_Raw!J1777="","",Procurement_Raw!J1777)</f>
        <v>3367.49</v>
      </c>
      <c r="K1777" s="77">
        <f>Procurement_Raw!K1777</f>
        <v>60</v>
      </c>
      <c r="L1777" t="str">
        <f>Procurement_Raw!L1777</f>
        <v>Legacy Spend File</v>
      </c>
      <c r="M1777" t="str">
        <f>Procurement_Raw!O1777</f>
        <v>N</v>
      </c>
      <c r="N1777" t="str">
        <f>IF(E1777="","Missing supplier",IF(B1777="","Missing site",IF(J1777="","Missing spend",IF(COUNTIFS($G$2:G1777,G1777,$E$2:E1777,E1777,$J$2:J1777,J1777)&gt;1,"Duplicate invoice",IF(COUNTIF($G$2:$G$1801,G1777)&gt;1,"Duplicate ID - review",IF(AND(P1777&lt;&gt;"Unmapped",P1777&lt;&gt;F1777),"Category mismatch","OK"))))))</f>
        <v>OK</v>
      </c>
      <c r="O1777" s="125">
        <f t="shared" si="81"/>
        <v>3367.49</v>
      </c>
      <c r="P1777" t="str">
        <f>IF(E1777="","Unmapped",IFERROR(INDEX(Supplier_Lookup!$B$2:$B$25,MATCH(E1777,Supplier_Lookup!$A$2:$A$25,0)),"Unmapped"))</f>
        <v>Medical Supplies</v>
      </c>
      <c r="Q1777" s="76">
        <f>IFERROR(INDEX(Category_Targets!$B$2:$B$9,MATCH(F1777,Category_Targets!$A$2:$A$9,0)),0)</f>
        <v>0.06</v>
      </c>
      <c r="R1777" s="125">
        <f t="shared" si="82"/>
        <v>202.04939999999999</v>
      </c>
      <c r="S1777" s="78">
        <f t="shared" si="83"/>
        <v>45717</v>
      </c>
      <c r="T1777" t="str">
        <f>IFERROR(VLOOKUP(B1777,Sites!$A$2:$D$21,4,FALSE()),"Unknown")</f>
        <v>Swansea</v>
      </c>
      <c r="U1777" t="str">
        <f>IF(N1777="OK","",COUNTIF($N$2:N1777,"&lt;&gt;OK"))</f>
        <v/>
      </c>
      <c r="V1777">
        <f>IF(OR(NOT(EXACT(E1777,TRIM(Procurement_Raw!E1777))),NOT(EXACT(F1777,TRIM(Procurement_Raw!F1777)))),1,0)</f>
        <v>0</v>
      </c>
    </row>
    <row r="1778" spans="1:22" ht="15" customHeight="1" x14ac:dyDescent="0.25">
      <c r="A1778" s="123">
        <f>Procurement_Raw!A1778</f>
        <v>45754</v>
      </c>
      <c r="B1778" t="str">
        <f>TRIM(Procurement_Raw!B1778)</f>
        <v>S005</v>
      </c>
      <c r="C1778" t="str">
        <f>Procurement_Raw!C1778</f>
        <v>Sheffield Care &amp; Education Centre</v>
      </c>
      <c r="D1778" t="str">
        <f>Procurement_Raw!D1778</f>
        <v>North</v>
      </c>
      <c r="E1778" t="str">
        <f>IF(TRIM(Procurement_Raw!E1778)="","",IFERROR(INDEX(Supplier_Lookup!$A$2:$A$25,MATCH(TRIM(Procurement_Raw!E1778),Supplier_Lookup!$A$2:$A$25,0)),TRIM(Procurement_Raw!E1778)))</f>
        <v>MediSure</v>
      </c>
      <c r="F1778" t="str">
        <f>IFERROR(INDEX(Category_Targets!$A$2:$A$9,MATCH(TRIM(Procurement_Raw!F1778),Category_Targets!$A$2:$A$9,0)),"Unmapped")</f>
        <v>Medical Supplies</v>
      </c>
      <c r="G1778" t="str">
        <f>TRIM(Procurement_Raw!G1778)</f>
        <v>INV-2025-01777</v>
      </c>
      <c r="H1778" s="77">
        <f>Procurement_Raw!H1778</f>
        <v>54</v>
      </c>
      <c r="I1778" s="124">
        <f>Procurement_Raw!I1778</f>
        <v>85.71</v>
      </c>
      <c r="J1778" s="125">
        <f>IF(Procurement_Raw!J1778="","",Procurement_Raw!J1778)</f>
        <v>4628.57</v>
      </c>
      <c r="K1778" s="77">
        <f>Procurement_Raw!K1778</f>
        <v>60</v>
      </c>
      <c r="L1778" t="str">
        <f>Procurement_Raw!L1778</f>
        <v>Legacy Spend File</v>
      </c>
      <c r="M1778" t="str">
        <f>Procurement_Raw!O1778</f>
        <v>Y</v>
      </c>
      <c r="N1778" t="str">
        <f>IF(E1778="","Missing supplier",IF(B1778="","Missing site",IF(J1778="","Missing spend",IF(COUNTIFS($G$2:G1778,G1778,$E$2:E1778,E1778,$J$2:J1778,J1778)&gt;1,"Duplicate invoice",IF(COUNTIF($G$2:$G$1801,G1778)&gt;1,"Duplicate ID - review",IF(AND(P1778&lt;&gt;"Unmapped",P1778&lt;&gt;F1778),"Category mismatch","OK"))))))</f>
        <v>OK</v>
      </c>
      <c r="O1778" s="125">
        <f t="shared" si="81"/>
        <v>4628.57</v>
      </c>
      <c r="P1778" t="str">
        <f>IF(E1778="","Unmapped",IFERROR(INDEX(Supplier_Lookup!$B$2:$B$25,MATCH(E1778,Supplier_Lookup!$A$2:$A$25,0)),"Unmapped"))</f>
        <v>Medical Supplies</v>
      </c>
      <c r="Q1778" s="76">
        <f>IFERROR(INDEX(Category_Targets!$B$2:$B$9,MATCH(F1778,Category_Targets!$A$2:$A$9,0)),0)</f>
        <v>0.06</v>
      </c>
      <c r="R1778" s="125">
        <f t="shared" si="82"/>
        <v>277.71419999999995</v>
      </c>
      <c r="S1778" s="78">
        <f t="shared" si="83"/>
        <v>45748</v>
      </c>
      <c r="T1778" t="str">
        <f>IFERROR(VLOOKUP(B1778,Sites!$A$2:$D$21,4,FALSE()),"Unknown")</f>
        <v>Sheffield</v>
      </c>
      <c r="U1778" t="str">
        <f>IF(N1778="OK","",COUNTIF($N$2:N1778,"&lt;&gt;OK"))</f>
        <v/>
      </c>
      <c r="V1778">
        <f>IF(OR(NOT(EXACT(E1778,TRIM(Procurement_Raw!E1778))),NOT(EXACT(F1778,TRIM(Procurement_Raw!F1778)))),1,0)</f>
        <v>0</v>
      </c>
    </row>
    <row r="1779" spans="1:22" ht="15" customHeight="1" x14ac:dyDescent="0.25">
      <c r="A1779" s="123">
        <f>Procurement_Raw!A1779</f>
        <v>45836</v>
      </c>
      <c r="B1779" t="str">
        <f>TRIM(Procurement_Raw!B1779)</f>
        <v>S017</v>
      </c>
      <c r="C1779" t="str">
        <f>Procurement_Raw!C1779</f>
        <v>Swansea Care &amp; Education Centre</v>
      </c>
      <c r="D1779" t="str">
        <f>Procurement_Raw!D1779</f>
        <v>Wales</v>
      </c>
      <c r="E1779" t="str">
        <f>IF(TRIM(Procurement_Raw!E1779)="","",IFERROR(INDEX(Supplier_Lookup!$A$2:$A$25,MATCH(TRIM(Procurement_Raw!E1779),Supplier_Lookup!$A$2:$A$25,0)),TRIM(Procurement_Raw!E1779)))</f>
        <v>HealthStaffing</v>
      </c>
      <c r="F1779" t="str">
        <f>IFERROR(INDEX(Category_Targets!$A$2:$A$9,MATCH(TRIM(Procurement_Raw!F1779),Category_Targets!$A$2:$A$9,0)),"Unmapped")</f>
        <v>Agency Labour</v>
      </c>
      <c r="G1779" t="str">
        <f>TRIM(Procurement_Raw!G1779)</f>
        <v>INV-2025-01778</v>
      </c>
      <c r="H1779" s="77">
        <f>Procurement_Raw!H1779</f>
        <v>27</v>
      </c>
      <c r="I1779" s="124">
        <f>Procurement_Raw!I1779</f>
        <v>293.95</v>
      </c>
      <c r="J1779" s="125">
        <f>IF(Procurement_Raw!J1779="","",Procurement_Raw!J1779)</f>
        <v>7936.67</v>
      </c>
      <c r="K1779" s="77">
        <f>Procurement_Raw!K1779</f>
        <v>30</v>
      </c>
      <c r="L1779" t="str">
        <f>Procurement_Raw!L1779</f>
        <v>Legacy Spend File</v>
      </c>
      <c r="M1779" t="str">
        <f>Procurement_Raw!O1779</f>
        <v>N</v>
      </c>
      <c r="N1779" t="str">
        <f>IF(E1779="","Missing supplier",IF(B1779="","Missing site",IF(J1779="","Missing spend",IF(COUNTIFS($G$2:G1779,G1779,$E$2:E1779,E1779,$J$2:J1779,J1779)&gt;1,"Duplicate invoice",IF(COUNTIF($G$2:$G$1801,G1779)&gt;1,"Duplicate ID - review",IF(AND(P1779&lt;&gt;"Unmapped",P1779&lt;&gt;F1779),"Category mismatch","OK"))))))</f>
        <v>OK</v>
      </c>
      <c r="O1779" s="125">
        <f t="shared" si="81"/>
        <v>7936.67</v>
      </c>
      <c r="P1779" t="str">
        <f>IF(E1779="","Unmapped",IFERROR(INDEX(Supplier_Lookup!$B$2:$B$25,MATCH(E1779,Supplier_Lookup!$A$2:$A$25,0)),"Unmapped"))</f>
        <v>Agency Labour</v>
      </c>
      <c r="Q1779" s="76">
        <f>IFERROR(INDEX(Category_Targets!$B$2:$B$9,MATCH(F1779,Category_Targets!$A$2:$A$9,0)),0)</f>
        <v>7.0000000000000007E-2</v>
      </c>
      <c r="R1779" s="125">
        <f t="shared" si="82"/>
        <v>555.56690000000003</v>
      </c>
      <c r="S1779" s="78">
        <f t="shared" si="83"/>
        <v>45809</v>
      </c>
      <c r="T1779" t="str">
        <f>IFERROR(VLOOKUP(B1779,Sites!$A$2:$D$21,4,FALSE()),"Unknown")</f>
        <v>Swansea</v>
      </c>
      <c r="U1779" t="str">
        <f>IF(N1779="OK","",COUNTIF($N$2:N1779,"&lt;&gt;OK"))</f>
        <v/>
      </c>
      <c r="V1779">
        <f>IF(OR(NOT(EXACT(E1779,TRIM(Procurement_Raw!E1779))),NOT(EXACT(F1779,TRIM(Procurement_Raw!F1779)))),1,0)</f>
        <v>0</v>
      </c>
    </row>
    <row r="1780" spans="1:22" ht="15" customHeight="1" x14ac:dyDescent="0.25">
      <c r="A1780" s="123">
        <f>Procurement_Raw!A1780</f>
        <v>45844</v>
      </c>
      <c r="B1780" t="str">
        <f>TRIM(Procurement_Raw!B1780)</f>
        <v>S014</v>
      </c>
      <c r="C1780" t="str">
        <f>Procurement_Raw!C1780</f>
        <v>Southampton Care &amp; Education Centre</v>
      </c>
      <c r="D1780" t="str">
        <f>Procurement_Raw!D1780</f>
        <v>South</v>
      </c>
      <c r="E1780" t="str">
        <f>IF(TRIM(Procurement_Raw!E1780)="","",IFERROR(INDEX(Supplier_Lookup!$A$2:$A$25,MATCH(TRIM(Procurement_Raw!E1780),Supplier_Lookup!$A$2:$A$25,0)),TRIM(Procurement_Raw!E1780)))</f>
        <v>CareMed</v>
      </c>
      <c r="F1780" t="str">
        <f>IFERROR(INDEX(Category_Targets!$A$2:$A$9,MATCH(TRIM(Procurement_Raw!F1780),Category_Targets!$A$2:$A$9,0)),"Unmapped")</f>
        <v>Medical Supplies</v>
      </c>
      <c r="G1780" t="str">
        <f>TRIM(Procurement_Raw!G1780)</f>
        <v>INV-2025-01779</v>
      </c>
      <c r="H1780" s="77">
        <f>Procurement_Raw!H1780</f>
        <v>3</v>
      </c>
      <c r="I1780" s="124">
        <f>Procurement_Raw!I1780</f>
        <v>94.76</v>
      </c>
      <c r="J1780" s="125">
        <f>IF(Procurement_Raw!J1780="","",Procurement_Raw!J1780)</f>
        <v>284.29000000000002</v>
      </c>
      <c r="K1780" s="77">
        <f>Procurement_Raw!K1780</f>
        <v>45</v>
      </c>
      <c r="L1780" t="str">
        <f>Procurement_Raw!L1780</f>
        <v>Procurement Portal</v>
      </c>
      <c r="M1780" t="str">
        <f>Procurement_Raw!O1780</f>
        <v>N</v>
      </c>
      <c r="N1780" t="str">
        <f>IF(E1780="","Missing supplier",IF(B1780="","Missing site",IF(J1780="","Missing spend",IF(COUNTIFS($G$2:G1780,G1780,$E$2:E1780,E1780,$J$2:J1780,J1780)&gt;1,"Duplicate invoice",IF(COUNTIF($G$2:$G$1801,G1780)&gt;1,"Duplicate ID - review",IF(AND(P1780&lt;&gt;"Unmapped",P1780&lt;&gt;F1780),"Category mismatch","OK"))))))</f>
        <v>OK</v>
      </c>
      <c r="O1780" s="125">
        <f t="shared" si="81"/>
        <v>284.29000000000002</v>
      </c>
      <c r="P1780" t="str">
        <f>IF(E1780="","Unmapped",IFERROR(INDEX(Supplier_Lookup!$B$2:$B$25,MATCH(E1780,Supplier_Lookup!$A$2:$A$25,0)),"Unmapped"))</f>
        <v>Medical Supplies</v>
      </c>
      <c r="Q1780" s="76">
        <f>IFERROR(INDEX(Category_Targets!$B$2:$B$9,MATCH(F1780,Category_Targets!$A$2:$A$9,0)),0)</f>
        <v>0.06</v>
      </c>
      <c r="R1780" s="125">
        <f t="shared" si="82"/>
        <v>17.057400000000001</v>
      </c>
      <c r="S1780" s="78">
        <f t="shared" si="83"/>
        <v>45839</v>
      </c>
      <c r="T1780" t="str">
        <f>IFERROR(VLOOKUP(B1780,Sites!$A$2:$D$21,4,FALSE()),"Unknown")</f>
        <v>Southampton</v>
      </c>
      <c r="U1780" t="str">
        <f>IF(N1780="OK","",COUNTIF($N$2:N1780,"&lt;&gt;OK"))</f>
        <v/>
      </c>
      <c r="V1780">
        <f>IF(OR(NOT(EXACT(E1780,TRIM(Procurement_Raw!E1780))),NOT(EXACT(F1780,TRIM(Procurement_Raw!F1780)))),1,0)</f>
        <v>0</v>
      </c>
    </row>
    <row r="1781" spans="1:22" ht="15" customHeight="1" x14ac:dyDescent="0.25">
      <c r="A1781" s="123">
        <f>Procurement_Raw!A1781</f>
        <v>45913</v>
      </c>
      <c r="B1781" t="str">
        <f>TRIM(Procurement_Raw!B1781)</f>
        <v>S018</v>
      </c>
      <c r="C1781" t="str">
        <f>Procurement_Raw!C1781</f>
        <v>Newport Care &amp; Education Centre</v>
      </c>
      <c r="D1781" t="str">
        <f>Procurement_Raw!D1781</f>
        <v>Wales</v>
      </c>
      <c r="E1781" t="str">
        <f>IF(TRIM(Procurement_Raw!E1781)="","",IFERROR(INDEX(Supplier_Lookup!$A$2:$A$25,MATCH(TRIM(Procurement_Raw!E1781),Supplier_Lookup!$A$2:$A$25,0)),TRIM(Procurement_Raw!E1781)))</f>
        <v>KitchenPro</v>
      </c>
      <c r="F1781" t="str">
        <f>IFERROR(INDEX(Category_Targets!$A$2:$A$9,MATCH(TRIM(Procurement_Raw!F1781),Category_Targets!$A$2:$A$9,0)),"Unmapped")</f>
        <v>Food &amp; Catering</v>
      </c>
      <c r="G1781" t="str">
        <f>TRIM(Procurement_Raw!G1781)</f>
        <v>INV-2025-01780</v>
      </c>
      <c r="H1781" s="77">
        <f>Procurement_Raw!H1781</f>
        <v>59</v>
      </c>
      <c r="I1781" s="124">
        <f>Procurement_Raw!I1781</f>
        <v>44.41</v>
      </c>
      <c r="J1781" s="125">
        <f>IF(Procurement_Raw!J1781="","",Procurement_Raw!J1781)</f>
        <v>2620.4299999999998</v>
      </c>
      <c r="K1781" s="77">
        <f>Procurement_Raw!K1781</f>
        <v>45</v>
      </c>
      <c r="L1781" t="str">
        <f>Procurement_Raw!L1781</f>
        <v>Procurement Portal</v>
      </c>
      <c r="M1781" t="str">
        <f>Procurement_Raw!O1781</f>
        <v>N</v>
      </c>
      <c r="N1781" t="str">
        <f>IF(E1781="","Missing supplier",IF(B1781="","Missing site",IF(J1781="","Missing spend",IF(COUNTIFS($G$2:G1781,G1781,$E$2:E1781,E1781,$J$2:J1781,J1781)&gt;1,"Duplicate invoice",IF(COUNTIF($G$2:$G$1801,G1781)&gt;1,"Duplicate ID - review",IF(AND(P1781&lt;&gt;"Unmapped",P1781&lt;&gt;F1781),"Category mismatch","OK"))))))</f>
        <v>OK</v>
      </c>
      <c r="O1781" s="125">
        <f t="shared" si="81"/>
        <v>2620.4299999999998</v>
      </c>
      <c r="P1781" t="str">
        <f>IF(E1781="","Unmapped",IFERROR(INDEX(Supplier_Lookup!$B$2:$B$25,MATCH(E1781,Supplier_Lookup!$A$2:$A$25,0)),"Unmapped"))</f>
        <v>Food &amp; Catering</v>
      </c>
      <c r="Q1781" s="76">
        <f>IFERROR(INDEX(Category_Targets!$B$2:$B$9,MATCH(F1781,Category_Targets!$A$2:$A$9,0)),0)</f>
        <v>0.04</v>
      </c>
      <c r="R1781" s="125">
        <f t="shared" si="82"/>
        <v>104.8172</v>
      </c>
      <c r="S1781" s="78">
        <f t="shared" si="83"/>
        <v>45901</v>
      </c>
      <c r="T1781" t="str">
        <f>IFERROR(VLOOKUP(B1781,Sites!$A$2:$D$21,4,FALSE()),"Unknown")</f>
        <v>Newport</v>
      </c>
      <c r="U1781" t="str">
        <f>IF(N1781="OK","",COUNTIF($N$2:N1781,"&lt;&gt;OK"))</f>
        <v/>
      </c>
      <c r="V1781">
        <f>IF(OR(NOT(EXACT(E1781,TRIM(Procurement_Raw!E1781))),NOT(EXACT(F1781,TRIM(Procurement_Raw!F1781)))),1,0)</f>
        <v>0</v>
      </c>
    </row>
    <row r="1782" spans="1:22" ht="15" customHeight="1" x14ac:dyDescent="0.25">
      <c r="A1782" s="123">
        <f>Procurement_Raw!A1782</f>
        <v>45876</v>
      </c>
      <c r="B1782" t="str">
        <f>TRIM(Procurement_Raw!B1782)</f>
        <v>S002</v>
      </c>
      <c r="C1782" t="str">
        <f>Procurement_Raw!C1782</f>
        <v>Manchester Care &amp; Education Centre</v>
      </c>
      <c r="D1782" t="str">
        <f>Procurement_Raw!D1782</f>
        <v>North</v>
      </c>
      <c r="E1782" t="str">
        <f>IF(TRIM(Procurement_Raw!E1782)="","",IFERROR(INDEX(Supplier_Lookup!$A$2:$A$25,MATCH(TRIM(Procurement_Raw!E1782),Supplier_Lookup!$A$2:$A$25,0)),TRIM(Procurement_Raw!E1782)))</f>
        <v>AutoCare</v>
      </c>
      <c r="F1782" t="str">
        <f>IFERROR(INDEX(Category_Targets!$A$2:$A$9,MATCH(TRIM(Procurement_Raw!F1782),Category_Targets!$A$2:$A$9,0)),"Unmapped")</f>
        <v>Vehicle &amp; Fuel</v>
      </c>
      <c r="G1782" t="str">
        <f>TRIM(Procurement_Raw!G1782)</f>
        <v>INV-2025-01781</v>
      </c>
      <c r="H1782" s="77">
        <f>Procurement_Raw!H1782</f>
        <v>67</v>
      </c>
      <c r="I1782" s="124">
        <f>Procurement_Raw!I1782</f>
        <v>43.83</v>
      </c>
      <c r="J1782" s="125">
        <f>IF(Procurement_Raw!J1782="","",Procurement_Raw!J1782)</f>
        <v>2936.86</v>
      </c>
      <c r="K1782" s="77">
        <f>Procurement_Raw!K1782</f>
        <v>45</v>
      </c>
      <c r="L1782" t="str">
        <f>Procurement_Raw!L1782</f>
        <v>ERP</v>
      </c>
      <c r="M1782" t="str">
        <f>Procurement_Raw!O1782</f>
        <v>N</v>
      </c>
      <c r="N1782" t="str">
        <f>IF(E1782="","Missing supplier",IF(B1782="","Missing site",IF(J1782="","Missing spend",IF(COUNTIFS($G$2:G1782,G1782,$E$2:E1782,E1782,$J$2:J1782,J1782)&gt;1,"Duplicate invoice",IF(COUNTIF($G$2:$G$1801,G1782)&gt;1,"Duplicate ID - review",IF(AND(P1782&lt;&gt;"Unmapped",P1782&lt;&gt;F1782),"Category mismatch","OK"))))))</f>
        <v>OK</v>
      </c>
      <c r="O1782" s="125">
        <f t="shared" si="81"/>
        <v>2936.86</v>
      </c>
      <c r="P1782" t="str">
        <f>IF(E1782="","Unmapped",IFERROR(INDEX(Supplier_Lookup!$B$2:$B$25,MATCH(E1782,Supplier_Lookup!$A$2:$A$25,0)),"Unmapped"))</f>
        <v>Vehicle &amp; Fuel</v>
      </c>
      <c r="Q1782" s="76">
        <f>IFERROR(INDEX(Category_Targets!$B$2:$B$9,MATCH(F1782,Category_Targets!$A$2:$A$9,0)),0)</f>
        <v>0.05</v>
      </c>
      <c r="R1782" s="125">
        <f t="shared" si="82"/>
        <v>146.84300000000002</v>
      </c>
      <c r="S1782" s="78">
        <f t="shared" si="83"/>
        <v>45870</v>
      </c>
      <c r="T1782" t="str">
        <f>IFERROR(VLOOKUP(B1782,Sites!$A$2:$D$21,4,FALSE()),"Unknown")</f>
        <v>Manchester</v>
      </c>
      <c r="U1782" t="str">
        <f>IF(N1782="OK","",COUNTIF($N$2:N1782,"&lt;&gt;OK"))</f>
        <v/>
      </c>
      <c r="V1782">
        <f>IF(OR(NOT(EXACT(E1782,TRIM(Procurement_Raw!E1782))),NOT(EXACT(F1782,TRIM(Procurement_Raw!F1782)))),1,0)</f>
        <v>0</v>
      </c>
    </row>
    <row r="1783" spans="1:22" ht="15" customHeight="1" x14ac:dyDescent="0.25">
      <c r="A1783" s="123">
        <f>Procurement_Raw!A1783</f>
        <v>45849</v>
      </c>
      <c r="B1783" t="str">
        <f>TRIM(Procurement_Raw!B1783)</f>
        <v>S018</v>
      </c>
      <c r="C1783" t="str">
        <f>Procurement_Raw!C1783</f>
        <v>Newport Care &amp; Education Centre</v>
      </c>
      <c r="D1783" t="str">
        <f>Procurement_Raw!D1783</f>
        <v>Wales</v>
      </c>
      <c r="E1783" t="str">
        <f>IF(TRIM(Procurement_Raw!E1783)="","",IFERROR(INDEX(Supplier_Lookup!$A$2:$A$25,MATCH(TRIM(Procurement_Raw!E1783),Supplier_Lookup!$A$2:$A$25,0)),TRIM(Procurement_Raw!E1783)))</f>
        <v>LearnWell</v>
      </c>
      <c r="F1783" t="str">
        <f>IFERROR(INDEX(Category_Targets!$A$2:$A$9,MATCH(TRIM(Procurement_Raw!F1783),Category_Targets!$A$2:$A$9,0)),"Unmapped")</f>
        <v>Office &amp; Training</v>
      </c>
      <c r="G1783" t="str">
        <f>TRIM(Procurement_Raw!G1783)</f>
        <v>INV-2025-01782</v>
      </c>
      <c r="H1783" s="77">
        <f>Procurement_Raw!H1783</f>
        <v>23</v>
      </c>
      <c r="I1783" s="124">
        <f>Procurement_Raw!I1783</f>
        <v>71.650000000000006</v>
      </c>
      <c r="J1783" s="125">
        <f>IF(Procurement_Raw!J1783="","",Procurement_Raw!J1783)</f>
        <v>1647.93</v>
      </c>
      <c r="K1783" s="77">
        <f>Procurement_Raw!K1783</f>
        <v>60</v>
      </c>
      <c r="L1783" t="str">
        <f>Procurement_Raw!L1783</f>
        <v>Legacy Spend File</v>
      </c>
      <c r="M1783" t="str">
        <f>Procurement_Raw!O1783</f>
        <v>N</v>
      </c>
      <c r="N1783" t="str">
        <f>IF(E1783="","Missing supplier",IF(B1783="","Missing site",IF(J1783="","Missing spend",IF(COUNTIFS($G$2:G1783,G1783,$E$2:E1783,E1783,$J$2:J1783,J1783)&gt;1,"Duplicate invoice",IF(COUNTIF($G$2:$G$1801,G1783)&gt;1,"Duplicate ID - review",IF(AND(P1783&lt;&gt;"Unmapped",P1783&lt;&gt;F1783),"Category mismatch","OK"))))))</f>
        <v>OK</v>
      </c>
      <c r="O1783" s="125">
        <f t="shared" si="81"/>
        <v>1647.93</v>
      </c>
      <c r="P1783" t="str">
        <f>IF(E1783="","Unmapped",IFERROR(INDEX(Supplier_Lookup!$B$2:$B$25,MATCH(E1783,Supplier_Lookup!$A$2:$A$25,0)),"Unmapped"))</f>
        <v>Office &amp; Training</v>
      </c>
      <c r="Q1783" s="76">
        <f>IFERROR(INDEX(Category_Targets!$B$2:$B$9,MATCH(F1783,Category_Targets!$A$2:$A$9,0)),0)</f>
        <v>0.04</v>
      </c>
      <c r="R1783" s="125">
        <f t="shared" si="82"/>
        <v>65.917200000000008</v>
      </c>
      <c r="S1783" s="78">
        <f t="shared" si="83"/>
        <v>45839</v>
      </c>
      <c r="T1783" t="str">
        <f>IFERROR(VLOOKUP(B1783,Sites!$A$2:$D$21,4,FALSE()),"Unknown")</f>
        <v>Newport</v>
      </c>
      <c r="U1783" t="str">
        <f>IF(N1783="OK","",COUNTIF($N$2:N1783,"&lt;&gt;OK"))</f>
        <v/>
      </c>
      <c r="V1783">
        <f>IF(OR(NOT(EXACT(E1783,TRIM(Procurement_Raw!E1783))),NOT(EXACT(F1783,TRIM(Procurement_Raw!F1783)))),1,0)</f>
        <v>1</v>
      </c>
    </row>
    <row r="1784" spans="1:22" ht="15" customHeight="1" x14ac:dyDescent="0.25">
      <c r="A1784" s="123">
        <f>Procurement_Raw!A1784</f>
        <v>45803</v>
      </c>
      <c r="B1784" t="str">
        <f>TRIM(Procurement_Raw!B1784)</f>
        <v>S009</v>
      </c>
      <c r="C1784" t="str">
        <f>Procurement_Raw!C1784</f>
        <v>Derby Care &amp; Education Centre</v>
      </c>
      <c r="D1784" t="str">
        <f>Procurement_Raw!D1784</f>
        <v>Midlands</v>
      </c>
      <c r="E1784" t="str">
        <f>IF(TRIM(Procurement_Raw!E1784)="","",IFERROR(INDEX(Supplier_Lookup!$A$2:$A$25,MATCH(TRIM(Procurement_Raw!E1784),Supplier_Lookup!$A$2:$A$25,0)),TRIM(Procurement_Raw!E1784)))</f>
        <v>CareTemps</v>
      </c>
      <c r="F1784" t="str">
        <f>IFERROR(INDEX(Category_Targets!$A$2:$A$9,MATCH(TRIM(Procurement_Raw!F1784),Category_Targets!$A$2:$A$9,0)),"Unmapped")</f>
        <v>Agency Labour</v>
      </c>
      <c r="G1784" t="str">
        <f>TRIM(Procurement_Raw!G1784)</f>
        <v>INV-2025-01783</v>
      </c>
      <c r="H1784" s="77">
        <f>Procurement_Raw!H1784</f>
        <v>56</v>
      </c>
      <c r="I1784" s="124">
        <f>Procurement_Raw!I1784</f>
        <v>131.13</v>
      </c>
      <c r="J1784" s="125">
        <f>IF(Procurement_Raw!J1784="","",Procurement_Raw!J1784)</f>
        <v>7343.26</v>
      </c>
      <c r="K1784" s="77">
        <f>Procurement_Raw!K1784</f>
        <v>60</v>
      </c>
      <c r="L1784" t="str">
        <f>Procurement_Raw!L1784</f>
        <v>Procurement Portal</v>
      </c>
      <c r="M1784" t="str">
        <f>Procurement_Raw!O1784</f>
        <v>N</v>
      </c>
      <c r="N1784" t="str">
        <f>IF(E1784="","Missing supplier",IF(B1784="","Missing site",IF(J1784="","Missing spend",IF(COUNTIFS($G$2:G1784,G1784,$E$2:E1784,E1784,$J$2:J1784,J1784)&gt;1,"Duplicate invoice",IF(COUNTIF($G$2:$G$1801,G1784)&gt;1,"Duplicate ID - review",IF(AND(P1784&lt;&gt;"Unmapped",P1784&lt;&gt;F1784),"Category mismatch","OK"))))))</f>
        <v>OK</v>
      </c>
      <c r="O1784" s="125">
        <f t="shared" si="81"/>
        <v>7343.26</v>
      </c>
      <c r="P1784" t="str">
        <f>IF(E1784="","Unmapped",IFERROR(INDEX(Supplier_Lookup!$B$2:$B$25,MATCH(E1784,Supplier_Lookup!$A$2:$A$25,0)),"Unmapped"))</f>
        <v>Agency Labour</v>
      </c>
      <c r="Q1784" s="76">
        <f>IFERROR(INDEX(Category_Targets!$B$2:$B$9,MATCH(F1784,Category_Targets!$A$2:$A$9,0)),0)</f>
        <v>7.0000000000000007E-2</v>
      </c>
      <c r="R1784" s="125">
        <f t="shared" si="82"/>
        <v>514.02820000000008</v>
      </c>
      <c r="S1784" s="78">
        <f t="shared" si="83"/>
        <v>45778</v>
      </c>
      <c r="T1784" t="str">
        <f>IFERROR(VLOOKUP(B1784,Sites!$A$2:$D$21,4,FALSE()),"Unknown")</f>
        <v>Derby</v>
      </c>
      <c r="U1784" t="str">
        <f>IF(N1784="OK","",COUNTIF($N$2:N1784,"&lt;&gt;OK"))</f>
        <v/>
      </c>
      <c r="V1784">
        <f>IF(OR(NOT(EXACT(E1784,TRIM(Procurement_Raw!E1784))),NOT(EXACT(F1784,TRIM(Procurement_Raw!F1784)))),1,0)</f>
        <v>0</v>
      </c>
    </row>
    <row r="1785" spans="1:22" ht="15" customHeight="1" x14ac:dyDescent="0.25">
      <c r="A1785" s="123">
        <f>Procurement_Raw!A1785</f>
        <v>45711</v>
      </c>
      <c r="B1785" t="str">
        <f>TRIM(Procurement_Raw!B1785)</f>
        <v>S015</v>
      </c>
      <c r="C1785" t="str">
        <f>Procurement_Raw!C1785</f>
        <v>Brighton Care &amp; Education Centre</v>
      </c>
      <c r="D1785" t="str">
        <f>Procurement_Raw!D1785</f>
        <v>South</v>
      </c>
      <c r="E1785" t="str">
        <f>IF(TRIM(Procurement_Raw!E1785)="","",IFERROR(INDEX(Supplier_Lookup!$A$2:$A$25,MATCH(TRIM(Procurement_Raw!E1785),Supplier_Lookup!$A$2:$A$25,0)),TRIM(Procurement_Raw!E1785)))</f>
        <v>FreshServe</v>
      </c>
      <c r="F1785" t="str">
        <f>IFERROR(INDEX(Category_Targets!$A$2:$A$9,MATCH(TRIM(Procurement_Raw!F1785),Category_Targets!$A$2:$A$9,0)),"Unmapped")</f>
        <v>Food &amp; Catering</v>
      </c>
      <c r="G1785" t="str">
        <f>TRIM(Procurement_Raw!G1785)</f>
        <v>INV-2025-01784</v>
      </c>
      <c r="H1785" s="77">
        <f>Procurement_Raw!H1785</f>
        <v>12</v>
      </c>
      <c r="I1785" s="124">
        <f>Procurement_Raw!I1785</f>
        <v>98.73</v>
      </c>
      <c r="J1785" s="125">
        <f>IF(Procurement_Raw!J1785="","",Procurement_Raw!J1785)</f>
        <v>1184.79</v>
      </c>
      <c r="K1785" s="77">
        <f>Procurement_Raw!K1785</f>
        <v>60</v>
      </c>
      <c r="L1785" t="str">
        <f>Procurement_Raw!L1785</f>
        <v>ERP</v>
      </c>
      <c r="M1785" t="str">
        <f>Procurement_Raw!O1785</f>
        <v>Y</v>
      </c>
      <c r="N1785" t="str">
        <f>IF(E1785="","Missing supplier",IF(B1785="","Missing site",IF(J1785="","Missing spend",IF(COUNTIFS($G$2:G1785,G1785,$E$2:E1785,E1785,$J$2:J1785,J1785)&gt;1,"Duplicate invoice",IF(COUNTIF($G$2:$G$1801,G1785)&gt;1,"Duplicate ID - review",IF(AND(P1785&lt;&gt;"Unmapped",P1785&lt;&gt;F1785),"Category mismatch","OK"))))))</f>
        <v>OK</v>
      </c>
      <c r="O1785" s="125">
        <f t="shared" si="81"/>
        <v>1184.79</v>
      </c>
      <c r="P1785" t="str">
        <f>IF(E1785="","Unmapped",IFERROR(INDEX(Supplier_Lookup!$B$2:$B$25,MATCH(E1785,Supplier_Lookup!$A$2:$A$25,0)),"Unmapped"))</f>
        <v>Food &amp; Catering</v>
      </c>
      <c r="Q1785" s="76">
        <f>IFERROR(INDEX(Category_Targets!$B$2:$B$9,MATCH(F1785,Category_Targets!$A$2:$A$9,0)),0)</f>
        <v>0.04</v>
      </c>
      <c r="R1785" s="125">
        <f t="shared" si="82"/>
        <v>47.391599999999997</v>
      </c>
      <c r="S1785" s="78">
        <f t="shared" si="83"/>
        <v>45689</v>
      </c>
      <c r="T1785" t="str">
        <f>IFERROR(VLOOKUP(B1785,Sites!$A$2:$D$21,4,FALSE()),"Unknown")</f>
        <v>Brighton</v>
      </c>
      <c r="U1785" t="str">
        <f>IF(N1785="OK","",COUNTIF($N$2:N1785,"&lt;&gt;OK"))</f>
        <v/>
      </c>
      <c r="V1785">
        <f>IF(OR(NOT(EXACT(E1785,TRIM(Procurement_Raw!E1785))),NOT(EXACT(F1785,TRIM(Procurement_Raw!F1785)))),1,0)</f>
        <v>0</v>
      </c>
    </row>
    <row r="1786" spans="1:22" ht="15" customHeight="1" x14ac:dyDescent="0.25">
      <c r="A1786" s="123">
        <f>Procurement_Raw!A1786</f>
        <v>45912</v>
      </c>
      <c r="B1786" t="str">
        <f>TRIM(Procurement_Raw!B1786)</f>
        <v>S020</v>
      </c>
      <c r="C1786" t="str">
        <f>Procurement_Raw!C1786</f>
        <v>Bangor Care &amp; Education Centre</v>
      </c>
      <c r="D1786" t="str">
        <f>Procurement_Raw!D1786</f>
        <v>Wales</v>
      </c>
      <c r="E1786" t="str">
        <f>IF(TRIM(Procurement_Raw!E1786)="","",IFERROR(INDEX(Supplier_Lookup!$A$2:$A$25,MATCH(TRIM(Procurement_Raw!E1786),Supplier_Lookup!$A$2:$A$25,0)),TRIM(Procurement_Raw!E1786)))</f>
        <v>HealthStaffing</v>
      </c>
      <c r="F1786" t="str">
        <f>IFERROR(INDEX(Category_Targets!$A$2:$A$9,MATCH(TRIM(Procurement_Raw!F1786),Category_Targets!$A$2:$A$9,0)),"Unmapped")</f>
        <v>Agency Labour</v>
      </c>
      <c r="G1786" t="str">
        <f>TRIM(Procurement_Raw!G1786)</f>
        <v>INV-2025-01785</v>
      </c>
      <c r="H1786" s="77">
        <f>Procurement_Raw!H1786</f>
        <v>80</v>
      </c>
      <c r="I1786" s="124">
        <f>Procurement_Raw!I1786</f>
        <v>313.92</v>
      </c>
      <c r="J1786" s="125">
        <f>IF(Procurement_Raw!J1786="","",Procurement_Raw!J1786)</f>
        <v>25113.25</v>
      </c>
      <c r="K1786" s="77">
        <f>Procurement_Raw!K1786</f>
        <v>60</v>
      </c>
      <c r="L1786" t="str">
        <f>Procurement_Raw!L1786</f>
        <v>ERP</v>
      </c>
      <c r="M1786" t="str">
        <f>Procurement_Raw!O1786</f>
        <v>N</v>
      </c>
      <c r="N1786" t="str">
        <f>IF(E1786="","Missing supplier",IF(B1786="","Missing site",IF(J1786="","Missing spend",IF(COUNTIFS($G$2:G1786,G1786,$E$2:E1786,E1786,$J$2:J1786,J1786)&gt;1,"Duplicate invoice",IF(COUNTIF($G$2:$G$1801,G1786)&gt;1,"Duplicate ID - review",IF(AND(P1786&lt;&gt;"Unmapped",P1786&lt;&gt;F1786),"Category mismatch","OK"))))))</f>
        <v>OK</v>
      </c>
      <c r="O1786" s="125">
        <f t="shared" si="81"/>
        <v>25113.25</v>
      </c>
      <c r="P1786" t="str">
        <f>IF(E1786="","Unmapped",IFERROR(INDEX(Supplier_Lookup!$B$2:$B$25,MATCH(E1786,Supplier_Lookup!$A$2:$A$25,0)),"Unmapped"))</f>
        <v>Agency Labour</v>
      </c>
      <c r="Q1786" s="76">
        <f>IFERROR(INDEX(Category_Targets!$B$2:$B$9,MATCH(F1786,Category_Targets!$A$2:$A$9,0)),0)</f>
        <v>7.0000000000000007E-2</v>
      </c>
      <c r="R1786" s="125">
        <f t="shared" si="82"/>
        <v>1757.9275000000002</v>
      </c>
      <c r="S1786" s="78">
        <f t="shared" si="83"/>
        <v>45901</v>
      </c>
      <c r="T1786" t="str">
        <f>IFERROR(VLOOKUP(B1786,Sites!$A$2:$D$21,4,FALSE()),"Unknown")</f>
        <v>Bangor</v>
      </c>
      <c r="U1786" t="str">
        <f>IF(N1786="OK","",COUNTIF($N$2:N1786,"&lt;&gt;OK"))</f>
        <v/>
      </c>
      <c r="V1786">
        <f>IF(OR(NOT(EXACT(E1786,TRIM(Procurement_Raw!E1786))),NOT(EXACT(F1786,TRIM(Procurement_Raw!F1786)))),1,0)</f>
        <v>0</v>
      </c>
    </row>
    <row r="1787" spans="1:22" ht="15" customHeight="1" x14ac:dyDescent="0.25">
      <c r="A1787" s="123">
        <f>Procurement_Raw!A1787</f>
        <v>45955</v>
      </c>
      <c r="B1787" t="str">
        <f>TRIM(Procurement_Raw!B1787)</f>
        <v>S017</v>
      </c>
      <c r="C1787" t="str">
        <f>Procurement_Raw!C1787</f>
        <v>Swansea Care &amp; Education Centre</v>
      </c>
      <c r="D1787" t="str">
        <f>Procurement_Raw!D1787</f>
        <v>Wales</v>
      </c>
      <c r="E1787" t="str">
        <f>IF(TRIM(Procurement_Raw!E1787)="","",IFERROR(INDEX(Supplier_Lookup!$A$2:$A$25,MATCH(TRIM(Procurement_Raw!E1787),Supplier_Lookup!$A$2:$A$25,0)),TRIM(Procurement_Raw!E1787)))</f>
        <v>PrintCo</v>
      </c>
      <c r="F1787" t="str">
        <f>IFERROR(INDEX(Category_Targets!$A$2:$A$9,MATCH(TRIM(Procurement_Raw!F1787),Category_Targets!$A$2:$A$9,0)),"Unmapped")</f>
        <v>Office &amp; Training</v>
      </c>
      <c r="G1787" t="str">
        <f>TRIM(Procurement_Raw!G1787)</f>
        <v>INV-2025-01786</v>
      </c>
      <c r="H1787" s="77">
        <f>Procurement_Raw!H1787</f>
        <v>5</v>
      </c>
      <c r="I1787" s="124">
        <f>Procurement_Raw!I1787</f>
        <v>33.64</v>
      </c>
      <c r="J1787" s="125">
        <f>IF(Procurement_Raw!J1787="","",Procurement_Raw!J1787)</f>
        <v>168.22</v>
      </c>
      <c r="K1787" s="77">
        <f>Procurement_Raw!K1787</f>
        <v>60</v>
      </c>
      <c r="L1787" t="str">
        <f>Procurement_Raw!L1787</f>
        <v>Procurement Portal</v>
      </c>
      <c r="M1787" t="str">
        <f>Procurement_Raw!O1787</f>
        <v>N</v>
      </c>
      <c r="N1787" t="str">
        <f>IF(E1787="","Missing supplier",IF(B1787="","Missing site",IF(J1787="","Missing spend",IF(COUNTIFS($G$2:G1787,G1787,$E$2:E1787,E1787,$J$2:J1787,J1787)&gt;1,"Duplicate invoice",IF(COUNTIF($G$2:$G$1801,G1787)&gt;1,"Duplicate ID - review",IF(AND(P1787&lt;&gt;"Unmapped",P1787&lt;&gt;F1787),"Category mismatch","OK"))))))</f>
        <v>OK</v>
      </c>
      <c r="O1787" s="125">
        <f t="shared" si="81"/>
        <v>168.22</v>
      </c>
      <c r="P1787" t="str">
        <f>IF(E1787="","Unmapped",IFERROR(INDEX(Supplier_Lookup!$B$2:$B$25,MATCH(E1787,Supplier_Lookup!$A$2:$A$25,0)),"Unmapped"))</f>
        <v>Office &amp; Training</v>
      </c>
      <c r="Q1787" s="76">
        <f>IFERROR(INDEX(Category_Targets!$B$2:$B$9,MATCH(F1787,Category_Targets!$A$2:$A$9,0)),0)</f>
        <v>0.04</v>
      </c>
      <c r="R1787" s="125">
        <f t="shared" si="82"/>
        <v>6.7287999999999997</v>
      </c>
      <c r="S1787" s="78">
        <f t="shared" si="83"/>
        <v>45931</v>
      </c>
      <c r="T1787" t="str">
        <f>IFERROR(VLOOKUP(B1787,Sites!$A$2:$D$21,4,FALSE()),"Unknown")</f>
        <v>Swansea</v>
      </c>
      <c r="U1787" t="str">
        <f>IF(N1787="OK","",COUNTIF($N$2:N1787,"&lt;&gt;OK"))</f>
        <v/>
      </c>
      <c r="V1787">
        <f>IF(OR(NOT(EXACT(E1787,TRIM(Procurement_Raw!E1787))),NOT(EXACT(F1787,TRIM(Procurement_Raw!F1787)))),1,0)</f>
        <v>0</v>
      </c>
    </row>
    <row r="1788" spans="1:22" ht="15" customHeight="1" x14ac:dyDescent="0.25">
      <c r="A1788" s="123">
        <f>Procurement_Raw!A1788</f>
        <v>45890</v>
      </c>
      <c r="B1788" t="str">
        <f>TRIM(Procurement_Raw!B1788)</f>
        <v>S011</v>
      </c>
      <c r="C1788" t="str">
        <f>Procurement_Raw!C1788</f>
        <v>London Care &amp; Education Centre</v>
      </c>
      <c r="D1788" t="str">
        <f>Procurement_Raw!D1788</f>
        <v>South</v>
      </c>
      <c r="E1788" t="str">
        <f>IF(TRIM(Procurement_Raw!E1788)="","",IFERROR(INDEX(Supplier_Lookup!$A$2:$A$25,MATCH(TRIM(Procurement_Raw!E1788),Supplier_Lookup!$A$2:$A$25,0)),TRIM(Procurement_Raw!E1788)))</f>
        <v>UK Energy Partners</v>
      </c>
      <c r="F1788" t="str">
        <f>IFERROR(INDEX(Category_Targets!$A$2:$A$9,MATCH(TRIM(Procurement_Raw!F1788),Category_Targets!$A$2:$A$9,0)),"Unmapped")</f>
        <v>Utilities</v>
      </c>
      <c r="G1788" t="str">
        <f>TRIM(Procurement_Raw!G1788)</f>
        <v>INV-2025-01787</v>
      </c>
      <c r="H1788" s="77">
        <f>Procurement_Raw!H1788</f>
        <v>71</v>
      </c>
      <c r="I1788" s="124">
        <f>Procurement_Raw!I1788</f>
        <v>210.9</v>
      </c>
      <c r="J1788" s="125">
        <f>IF(Procurement_Raw!J1788="","",Procurement_Raw!J1788)</f>
        <v>14974.08</v>
      </c>
      <c r="K1788" s="77">
        <f>Procurement_Raw!K1788</f>
        <v>45</v>
      </c>
      <c r="L1788" t="str">
        <f>Procurement_Raw!L1788</f>
        <v>ERP</v>
      </c>
      <c r="M1788" t="str">
        <f>Procurement_Raw!O1788</f>
        <v>N</v>
      </c>
      <c r="N1788" t="str">
        <f>IF(E1788="","Missing supplier",IF(B1788="","Missing site",IF(J1788="","Missing spend",IF(COUNTIFS($G$2:G1788,G1788,$E$2:E1788,E1788,$J$2:J1788,J1788)&gt;1,"Duplicate invoice",IF(COUNTIF($G$2:$G$1801,G1788)&gt;1,"Duplicate ID - review",IF(AND(P1788&lt;&gt;"Unmapped",P1788&lt;&gt;F1788),"Category mismatch","OK"))))))</f>
        <v>OK</v>
      </c>
      <c r="O1788" s="125">
        <f t="shared" si="81"/>
        <v>14974.08</v>
      </c>
      <c r="P1788" t="str">
        <f>IF(E1788="","Unmapped",IFERROR(INDEX(Supplier_Lookup!$B$2:$B$25,MATCH(E1788,Supplier_Lookup!$A$2:$A$25,0)),"Unmapped"))</f>
        <v>Utilities</v>
      </c>
      <c r="Q1788" s="76">
        <f>IFERROR(INDEX(Category_Targets!$B$2:$B$9,MATCH(F1788,Category_Targets!$A$2:$A$9,0)),0)</f>
        <v>0.03</v>
      </c>
      <c r="R1788" s="125">
        <f t="shared" si="82"/>
        <v>449.22239999999999</v>
      </c>
      <c r="S1788" s="78">
        <f t="shared" si="83"/>
        <v>45870</v>
      </c>
      <c r="T1788" t="str">
        <f>IFERROR(VLOOKUP(B1788,Sites!$A$2:$D$21,4,FALSE()),"Unknown")</f>
        <v>London</v>
      </c>
      <c r="U1788" t="str">
        <f>IF(N1788="OK","",COUNTIF($N$2:N1788,"&lt;&gt;OK"))</f>
        <v/>
      </c>
      <c r="V1788">
        <f>IF(OR(NOT(EXACT(E1788,TRIM(Procurement_Raw!E1788))),NOT(EXACT(F1788,TRIM(Procurement_Raw!F1788)))),1,0)</f>
        <v>0</v>
      </c>
    </row>
    <row r="1789" spans="1:22" ht="15" customHeight="1" x14ac:dyDescent="0.25">
      <c r="A1789" s="123">
        <f>Procurement_Raw!A1789</f>
        <v>45837</v>
      </c>
      <c r="B1789" t="str">
        <f>TRIM(Procurement_Raw!B1789)</f>
        <v>S019</v>
      </c>
      <c r="C1789" t="str">
        <f>Procurement_Raw!C1789</f>
        <v>Wrexham Care &amp; Education Centre</v>
      </c>
      <c r="D1789" t="str">
        <f>Procurement_Raw!D1789</f>
        <v>Wales</v>
      </c>
      <c r="E1789" t="str">
        <f>IF(TRIM(Procurement_Raw!E1789)="","",IFERROR(INDEX(Supplier_Lookup!$A$2:$A$25,MATCH(TRIM(Procurement_Raw!E1789),Supplier_Lookup!$A$2:$A$25,0)),TRIM(Procurement_Raw!E1789)))</f>
        <v>OfficePlus</v>
      </c>
      <c r="F1789" t="str">
        <f>IFERROR(INDEX(Category_Targets!$A$2:$A$9,MATCH(TRIM(Procurement_Raw!F1789),Category_Targets!$A$2:$A$9,0)),"Unmapped")</f>
        <v>Office &amp; Training</v>
      </c>
      <c r="G1789" t="str">
        <f>TRIM(Procurement_Raw!G1789)</f>
        <v>INV-2025-01788</v>
      </c>
      <c r="H1789" s="77">
        <f>Procurement_Raw!H1789</f>
        <v>60</v>
      </c>
      <c r="I1789" s="124">
        <f>Procurement_Raw!I1789</f>
        <v>49.59</v>
      </c>
      <c r="J1789" s="125">
        <f>IF(Procurement_Raw!J1789="","",Procurement_Raw!J1789)</f>
        <v>2975.44</v>
      </c>
      <c r="K1789" s="77">
        <f>Procurement_Raw!K1789</f>
        <v>45</v>
      </c>
      <c r="L1789" t="str">
        <f>Procurement_Raw!L1789</f>
        <v>Legacy Spend File</v>
      </c>
      <c r="M1789" t="str">
        <f>Procurement_Raw!O1789</f>
        <v>N</v>
      </c>
      <c r="N1789" t="str">
        <f>IF(E1789="","Missing supplier",IF(B1789="","Missing site",IF(J1789="","Missing spend",IF(COUNTIFS($G$2:G1789,G1789,$E$2:E1789,E1789,$J$2:J1789,J1789)&gt;1,"Duplicate invoice",IF(COUNTIF($G$2:$G$1801,G1789)&gt;1,"Duplicate ID - review",IF(AND(P1789&lt;&gt;"Unmapped",P1789&lt;&gt;F1789),"Category mismatch","OK"))))))</f>
        <v>OK</v>
      </c>
      <c r="O1789" s="125">
        <f t="shared" si="81"/>
        <v>2975.44</v>
      </c>
      <c r="P1789" t="str">
        <f>IF(E1789="","Unmapped",IFERROR(INDEX(Supplier_Lookup!$B$2:$B$25,MATCH(E1789,Supplier_Lookup!$A$2:$A$25,0)),"Unmapped"))</f>
        <v>Office &amp; Training</v>
      </c>
      <c r="Q1789" s="76">
        <f>IFERROR(INDEX(Category_Targets!$B$2:$B$9,MATCH(F1789,Category_Targets!$A$2:$A$9,0)),0)</f>
        <v>0.04</v>
      </c>
      <c r="R1789" s="125">
        <f t="shared" si="82"/>
        <v>119.0176</v>
      </c>
      <c r="S1789" s="78">
        <f t="shared" si="83"/>
        <v>45809</v>
      </c>
      <c r="T1789" t="str">
        <f>IFERROR(VLOOKUP(B1789,Sites!$A$2:$D$21,4,FALSE()),"Unknown")</f>
        <v>Wrexham</v>
      </c>
      <c r="U1789" t="str">
        <f>IF(N1789="OK","",COUNTIF($N$2:N1789,"&lt;&gt;OK"))</f>
        <v/>
      </c>
      <c r="V1789">
        <f>IF(OR(NOT(EXACT(E1789,TRIM(Procurement_Raw!E1789))),NOT(EXACT(F1789,TRIM(Procurement_Raw!F1789)))),1,0)</f>
        <v>0</v>
      </c>
    </row>
    <row r="1790" spans="1:22" ht="15" customHeight="1" x14ac:dyDescent="0.25">
      <c r="A1790" s="123">
        <f>Procurement_Raw!A1790</f>
        <v>45849</v>
      </c>
      <c r="B1790" t="str">
        <f>TRIM(Procurement_Raw!B1790)</f>
        <v>S004</v>
      </c>
      <c r="C1790" t="str">
        <f>Procurement_Raw!C1790</f>
        <v>Newcastle Care &amp; Education Centre</v>
      </c>
      <c r="D1790" t="str">
        <f>Procurement_Raw!D1790</f>
        <v>North</v>
      </c>
      <c r="E1790" t="str">
        <f>IF(TRIM(Procurement_Raw!E1790)="","",IFERROR(INDEX(Supplier_Lookup!$A$2:$A$25,MATCH(TRIM(Procurement_Raw!E1790),Supplier_Lookup!$A$2:$A$25,0)),TRIM(Procurement_Raw!E1790)))</f>
        <v>HealthStaffing</v>
      </c>
      <c r="F1790" t="str">
        <f>IFERROR(INDEX(Category_Targets!$A$2:$A$9,MATCH(TRIM(Procurement_Raw!F1790),Category_Targets!$A$2:$A$9,0)),"Unmapped")</f>
        <v>Agency Labour</v>
      </c>
      <c r="G1790" t="str">
        <f>TRIM(Procurement_Raw!G1790)</f>
        <v>INV-2025-01789</v>
      </c>
      <c r="H1790" s="77">
        <f>Procurement_Raw!H1790</f>
        <v>29</v>
      </c>
      <c r="I1790" s="124">
        <f>Procurement_Raw!I1790</f>
        <v>357.57</v>
      </c>
      <c r="J1790" s="125">
        <f>IF(Procurement_Raw!J1790="","",Procurement_Raw!J1790)</f>
        <v>10369.5</v>
      </c>
      <c r="K1790" s="77">
        <f>Procurement_Raw!K1790</f>
        <v>60</v>
      </c>
      <c r="L1790" t="str">
        <f>Procurement_Raw!L1790</f>
        <v>Procurement Portal</v>
      </c>
      <c r="M1790" t="str">
        <f>Procurement_Raw!O1790</f>
        <v>N</v>
      </c>
      <c r="N1790" t="str">
        <f>IF(E1790="","Missing supplier",IF(B1790="","Missing site",IF(J1790="","Missing spend",IF(COUNTIFS($G$2:G1790,G1790,$E$2:E1790,E1790,$J$2:J1790,J1790)&gt;1,"Duplicate invoice",IF(COUNTIF($G$2:$G$1801,G1790)&gt;1,"Duplicate ID - review",IF(AND(P1790&lt;&gt;"Unmapped",P1790&lt;&gt;F1790),"Category mismatch","OK"))))))</f>
        <v>OK</v>
      </c>
      <c r="O1790" s="125">
        <f t="shared" si="81"/>
        <v>10369.5</v>
      </c>
      <c r="P1790" t="str">
        <f>IF(E1790="","Unmapped",IFERROR(INDEX(Supplier_Lookup!$B$2:$B$25,MATCH(E1790,Supplier_Lookup!$A$2:$A$25,0)),"Unmapped"))</f>
        <v>Agency Labour</v>
      </c>
      <c r="Q1790" s="76">
        <f>IFERROR(INDEX(Category_Targets!$B$2:$B$9,MATCH(F1790,Category_Targets!$A$2:$A$9,0)),0)</f>
        <v>7.0000000000000007E-2</v>
      </c>
      <c r="R1790" s="125">
        <f t="shared" si="82"/>
        <v>725.86500000000012</v>
      </c>
      <c r="S1790" s="78">
        <f t="shared" si="83"/>
        <v>45839</v>
      </c>
      <c r="T1790" t="str">
        <f>IFERROR(VLOOKUP(B1790,Sites!$A$2:$D$21,4,FALSE()),"Unknown")</f>
        <v>Newcastle</v>
      </c>
      <c r="U1790" t="str">
        <f>IF(N1790="OK","",COUNTIF($N$2:N1790,"&lt;&gt;OK"))</f>
        <v/>
      </c>
      <c r="V1790">
        <f>IF(OR(NOT(EXACT(E1790,TRIM(Procurement_Raw!E1790))),NOT(EXACT(F1790,TRIM(Procurement_Raw!F1790)))),1,0)</f>
        <v>0</v>
      </c>
    </row>
    <row r="1791" spans="1:22" ht="15" customHeight="1" x14ac:dyDescent="0.25">
      <c r="A1791" s="123">
        <f>Procurement_Raw!A1791</f>
        <v>45870</v>
      </c>
      <c r="B1791" t="str">
        <f>TRIM(Procurement_Raw!B1791)</f>
        <v>S011</v>
      </c>
      <c r="C1791" t="str">
        <f>Procurement_Raw!C1791</f>
        <v>London Care &amp; Education Centre</v>
      </c>
      <c r="D1791" t="str">
        <f>Procurement_Raw!D1791</f>
        <v>South</v>
      </c>
      <c r="E1791" t="str">
        <f>IF(TRIM(Procurement_Raw!E1791)="","",IFERROR(INDEX(Supplier_Lookup!$A$2:$A$25,MATCH(TRIM(Procurement_Raw!E1791),Supplier_Lookup!$A$2:$A$25,0)),TRIM(Procurement_Raw!E1791)))</f>
        <v>TeleCare IT</v>
      </c>
      <c r="F1791" t="str">
        <f>IFERROR(INDEX(Category_Targets!$A$2:$A$9,MATCH(TRIM(Procurement_Raw!F1791),Category_Targets!$A$2:$A$9,0)),"Unmapped")</f>
        <v>IT &amp; Telecoms</v>
      </c>
      <c r="G1791" t="str">
        <f>TRIM(Procurement_Raw!G1791)</f>
        <v>INV-2025-01790</v>
      </c>
      <c r="H1791" s="77">
        <f>Procurement_Raw!H1791</f>
        <v>31</v>
      </c>
      <c r="I1791" s="124">
        <f>Procurement_Raw!I1791</f>
        <v>459.84</v>
      </c>
      <c r="J1791" s="125">
        <f>IF(Procurement_Raw!J1791="","",Procurement_Raw!J1791)</f>
        <v>14254.99</v>
      </c>
      <c r="K1791" s="77">
        <f>Procurement_Raw!K1791</f>
        <v>30</v>
      </c>
      <c r="L1791" t="str">
        <f>Procurement_Raw!L1791</f>
        <v>Procurement Portal</v>
      </c>
      <c r="M1791" t="str">
        <f>Procurement_Raw!O1791</f>
        <v>N</v>
      </c>
      <c r="N1791" t="str">
        <f>IF(E1791="","Missing supplier",IF(B1791="","Missing site",IF(J1791="","Missing spend",IF(COUNTIFS($G$2:G1791,G1791,$E$2:E1791,E1791,$J$2:J1791,J1791)&gt;1,"Duplicate invoice",IF(COUNTIF($G$2:$G$1801,G1791)&gt;1,"Duplicate ID - review",IF(AND(P1791&lt;&gt;"Unmapped",P1791&lt;&gt;F1791),"Category mismatch","OK"))))))</f>
        <v>OK</v>
      </c>
      <c r="O1791" s="125">
        <f t="shared" si="81"/>
        <v>14254.99</v>
      </c>
      <c r="P1791" t="str">
        <f>IF(E1791="","Unmapped",IFERROR(INDEX(Supplier_Lookup!$B$2:$B$25,MATCH(E1791,Supplier_Lookup!$A$2:$A$25,0)),"Unmapped"))</f>
        <v>IT &amp; Telecoms</v>
      </c>
      <c r="Q1791" s="76">
        <f>IFERROR(INDEX(Category_Targets!$B$2:$B$9,MATCH(F1791,Category_Targets!$A$2:$A$9,0)),0)</f>
        <v>0.08</v>
      </c>
      <c r="R1791" s="125">
        <f t="shared" si="82"/>
        <v>1140.3992000000001</v>
      </c>
      <c r="S1791" s="78">
        <f t="shared" si="83"/>
        <v>45870</v>
      </c>
      <c r="T1791" t="str">
        <f>IFERROR(VLOOKUP(B1791,Sites!$A$2:$D$21,4,FALSE()),"Unknown")</f>
        <v>London</v>
      </c>
      <c r="U1791" t="str">
        <f>IF(N1791="OK","",COUNTIF($N$2:N1791,"&lt;&gt;OK"))</f>
        <v/>
      </c>
      <c r="V1791">
        <f>IF(OR(NOT(EXACT(E1791,TRIM(Procurement_Raw!E1791))),NOT(EXACT(F1791,TRIM(Procurement_Raw!F1791)))),1,0)</f>
        <v>0</v>
      </c>
    </row>
    <row r="1792" spans="1:22" ht="15" customHeight="1" x14ac:dyDescent="0.25">
      <c r="A1792" s="123">
        <f>Procurement_Raw!A1792</f>
        <v>45736</v>
      </c>
      <c r="B1792" t="str">
        <f>TRIM(Procurement_Raw!B1792)</f>
        <v>S018</v>
      </c>
      <c r="C1792" t="str">
        <f>Procurement_Raw!C1792</f>
        <v>Newport Care &amp; Education Centre</v>
      </c>
      <c r="D1792" t="str">
        <f>Procurement_Raw!D1792</f>
        <v>Wales</v>
      </c>
      <c r="E1792" t="str">
        <f>IF(TRIM(Procurement_Raw!E1792)="","",IFERROR(INDEX(Supplier_Lookup!$A$2:$A$25,MATCH(TRIM(Procurement_Raw!E1792),Supplier_Lookup!$A$2:$A$25,0)),TRIM(Procurement_Raw!E1792)))</f>
        <v>MediSure</v>
      </c>
      <c r="F1792" t="str">
        <f>IFERROR(INDEX(Category_Targets!$A$2:$A$9,MATCH(TRIM(Procurement_Raw!F1792),Category_Targets!$A$2:$A$9,0)),"Unmapped")</f>
        <v>Medical Supplies</v>
      </c>
      <c r="G1792" t="str">
        <f>TRIM(Procurement_Raw!G1792)</f>
        <v>INV-2025-01791</v>
      </c>
      <c r="H1792" s="77">
        <f>Procurement_Raw!H1792</f>
        <v>48</v>
      </c>
      <c r="I1792" s="124">
        <f>Procurement_Raw!I1792</f>
        <v>42.78</v>
      </c>
      <c r="J1792" s="125">
        <f>IF(Procurement_Raw!J1792="","",Procurement_Raw!J1792)</f>
        <v>2053.6</v>
      </c>
      <c r="K1792" s="77">
        <f>Procurement_Raw!K1792</f>
        <v>60</v>
      </c>
      <c r="L1792" t="str">
        <f>Procurement_Raw!L1792</f>
        <v>Legacy Spend File</v>
      </c>
      <c r="M1792" t="str">
        <f>Procurement_Raw!O1792</f>
        <v>Y</v>
      </c>
      <c r="N1792" t="str">
        <f>IF(E1792="","Missing supplier",IF(B1792="","Missing site",IF(J1792="","Missing spend",IF(COUNTIFS($G$2:G1792,G1792,$E$2:E1792,E1792,$J$2:J1792,J1792)&gt;1,"Duplicate invoice",IF(COUNTIF($G$2:$G$1801,G1792)&gt;1,"Duplicate ID - review",IF(AND(P1792&lt;&gt;"Unmapped",P1792&lt;&gt;F1792),"Category mismatch","OK"))))))</f>
        <v>OK</v>
      </c>
      <c r="O1792" s="125">
        <f t="shared" si="81"/>
        <v>2053.6</v>
      </c>
      <c r="P1792" t="str">
        <f>IF(E1792="","Unmapped",IFERROR(INDEX(Supplier_Lookup!$B$2:$B$25,MATCH(E1792,Supplier_Lookup!$A$2:$A$25,0)),"Unmapped"))</f>
        <v>Medical Supplies</v>
      </c>
      <c r="Q1792" s="76">
        <f>IFERROR(INDEX(Category_Targets!$B$2:$B$9,MATCH(F1792,Category_Targets!$A$2:$A$9,0)),0)</f>
        <v>0.06</v>
      </c>
      <c r="R1792" s="125">
        <f t="shared" si="82"/>
        <v>123.21599999999999</v>
      </c>
      <c r="S1792" s="78">
        <f t="shared" si="83"/>
        <v>45717</v>
      </c>
      <c r="T1792" t="str">
        <f>IFERROR(VLOOKUP(B1792,Sites!$A$2:$D$21,4,FALSE()),"Unknown")</f>
        <v>Newport</v>
      </c>
      <c r="U1792" t="str">
        <f>IF(N1792="OK","",COUNTIF($N$2:N1792,"&lt;&gt;OK"))</f>
        <v/>
      </c>
      <c r="V1792">
        <f>IF(OR(NOT(EXACT(E1792,TRIM(Procurement_Raw!E1792))),NOT(EXACT(F1792,TRIM(Procurement_Raw!F1792)))),1,0)</f>
        <v>0</v>
      </c>
    </row>
    <row r="1793" spans="1:22" ht="15" customHeight="1" x14ac:dyDescent="0.25">
      <c r="A1793" s="123">
        <f>Procurement_Raw!A1793</f>
        <v>45745</v>
      </c>
      <c r="B1793" t="str">
        <f>TRIM(Procurement_Raw!B1793)</f>
        <v>S002</v>
      </c>
      <c r="C1793" t="str">
        <f>Procurement_Raw!C1793</f>
        <v>Manchester Care &amp; Education Centre</v>
      </c>
      <c r="D1793" t="str">
        <f>Procurement_Raw!D1793</f>
        <v>North</v>
      </c>
      <c r="E1793" t="str">
        <f>IF(TRIM(Procurement_Raw!E1793)="","",IFERROR(INDEX(Supplier_Lookup!$A$2:$A$25,MATCH(TRIM(Procurement_Raw!E1793),Supplier_Lookup!$A$2:$A$25,0)),TRIM(Procurement_Raw!E1793)))</f>
        <v>RoadReady</v>
      </c>
      <c r="F1793" t="str">
        <f>IFERROR(INDEX(Category_Targets!$A$2:$A$9,MATCH(TRIM(Procurement_Raw!F1793),Category_Targets!$A$2:$A$9,0)),"Unmapped")</f>
        <v>Vehicle &amp; Fuel</v>
      </c>
      <c r="G1793" t="str">
        <f>TRIM(Procurement_Raw!G1793)</f>
        <v>INV-2025-01792</v>
      </c>
      <c r="H1793" s="77">
        <f>Procurement_Raw!H1793</f>
        <v>74</v>
      </c>
      <c r="I1793" s="124">
        <f>Procurement_Raw!I1793</f>
        <v>101.2</v>
      </c>
      <c r="J1793" s="125">
        <f>IF(Procurement_Raw!J1793="","",Procurement_Raw!J1793)</f>
        <v>7489.12</v>
      </c>
      <c r="K1793" s="77">
        <f>Procurement_Raw!K1793</f>
        <v>45</v>
      </c>
      <c r="L1793" t="str">
        <f>Procurement_Raw!L1793</f>
        <v>ERP</v>
      </c>
      <c r="M1793" t="str">
        <f>Procurement_Raw!O1793</f>
        <v>N</v>
      </c>
      <c r="N1793" t="str">
        <f>IF(E1793="","Missing supplier",IF(B1793="","Missing site",IF(J1793="","Missing spend",IF(COUNTIFS($G$2:G1793,G1793,$E$2:E1793,E1793,$J$2:J1793,J1793)&gt;1,"Duplicate invoice",IF(COUNTIF($G$2:$G$1801,G1793)&gt;1,"Duplicate ID - review",IF(AND(P1793&lt;&gt;"Unmapped",P1793&lt;&gt;F1793),"Category mismatch","OK"))))))</f>
        <v>OK</v>
      </c>
      <c r="O1793" s="125">
        <f t="shared" si="81"/>
        <v>7489.12</v>
      </c>
      <c r="P1793" t="str">
        <f>IF(E1793="","Unmapped",IFERROR(INDEX(Supplier_Lookup!$B$2:$B$25,MATCH(E1793,Supplier_Lookup!$A$2:$A$25,0)),"Unmapped"))</f>
        <v>Vehicle &amp; Fuel</v>
      </c>
      <c r="Q1793" s="76">
        <f>IFERROR(INDEX(Category_Targets!$B$2:$B$9,MATCH(F1793,Category_Targets!$A$2:$A$9,0)),0)</f>
        <v>0.05</v>
      </c>
      <c r="R1793" s="125">
        <f t="shared" si="82"/>
        <v>374.45600000000002</v>
      </c>
      <c r="S1793" s="78">
        <f t="shared" si="83"/>
        <v>45717</v>
      </c>
      <c r="T1793" t="str">
        <f>IFERROR(VLOOKUP(B1793,Sites!$A$2:$D$21,4,FALSE()),"Unknown")</f>
        <v>Manchester</v>
      </c>
      <c r="U1793" t="str">
        <f>IF(N1793="OK","",COUNTIF($N$2:N1793,"&lt;&gt;OK"))</f>
        <v/>
      </c>
      <c r="V1793">
        <f>IF(OR(NOT(EXACT(E1793,TRIM(Procurement_Raw!E1793))),NOT(EXACT(F1793,TRIM(Procurement_Raw!F1793)))),1,0)</f>
        <v>0</v>
      </c>
    </row>
    <row r="1794" spans="1:22" ht="15" customHeight="1" x14ac:dyDescent="0.25">
      <c r="A1794" s="123">
        <f>Procurement_Raw!A1794</f>
        <v>45973</v>
      </c>
      <c r="B1794" t="str">
        <f>TRIM(Procurement_Raw!B1794)</f>
        <v>S018</v>
      </c>
      <c r="C1794" t="str">
        <f>Procurement_Raw!C1794</f>
        <v>Newport Care &amp; Education Centre</v>
      </c>
      <c r="D1794" t="str">
        <f>Procurement_Raw!D1794</f>
        <v>Wales</v>
      </c>
      <c r="E1794" t="str">
        <f>IF(TRIM(Procurement_Raw!E1794)="","",IFERROR(INDEX(Supplier_Lookup!$A$2:$A$25,MATCH(TRIM(Procurement_Raw!E1794),Supplier_Lookup!$A$2:$A$25,0)),TRIM(Procurement_Raw!E1794)))</f>
        <v>HealthStaffing</v>
      </c>
      <c r="F1794" t="str">
        <f>IFERROR(INDEX(Category_Targets!$A$2:$A$9,MATCH(TRIM(Procurement_Raw!F1794),Category_Targets!$A$2:$A$9,0)),"Unmapped")</f>
        <v>Agency Labour</v>
      </c>
      <c r="G1794" t="str">
        <f>TRIM(Procurement_Raw!G1794)</f>
        <v>INV-2025-01793</v>
      </c>
      <c r="H1794" s="77">
        <f>Procurement_Raw!H1794</f>
        <v>51</v>
      </c>
      <c r="I1794" s="124">
        <f>Procurement_Raw!I1794</f>
        <v>274.70999999999998</v>
      </c>
      <c r="J1794" s="125">
        <f>IF(Procurement_Raw!J1794="","",Procurement_Raw!J1794)</f>
        <v>14010.12</v>
      </c>
      <c r="K1794" s="77">
        <f>Procurement_Raw!K1794</f>
        <v>30</v>
      </c>
      <c r="L1794" t="str">
        <f>Procurement_Raw!L1794</f>
        <v>Legacy Spend File</v>
      </c>
      <c r="M1794" t="str">
        <f>Procurement_Raw!O1794</f>
        <v>N</v>
      </c>
      <c r="N1794" t="str">
        <f>IF(E1794="","Missing supplier",IF(B1794="","Missing site",IF(J1794="","Missing spend",IF(COUNTIFS($G$2:G1794,G1794,$E$2:E1794,E1794,$J$2:J1794,J1794)&gt;1,"Duplicate invoice",IF(COUNTIF($G$2:$G$1801,G1794)&gt;1,"Duplicate ID - review",IF(AND(P1794&lt;&gt;"Unmapped",P1794&lt;&gt;F1794),"Category mismatch","OK"))))))</f>
        <v>OK</v>
      </c>
      <c r="O1794" s="125">
        <f t="shared" ref="O1794:O1857" si="84">IF(OR(N1794="Missing spend",N1794="Duplicate invoice"),0,J1794)</f>
        <v>14010.12</v>
      </c>
      <c r="P1794" t="str">
        <f>IF(E1794="","Unmapped",IFERROR(INDEX(Supplier_Lookup!$B$2:$B$25,MATCH(E1794,Supplier_Lookup!$A$2:$A$25,0)),"Unmapped"))</f>
        <v>Agency Labour</v>
      </c>
      <c r="Q1794" s="76">
        <f>IFERROR(INDEX(Category_Targets!$B$2:$B$9,MATCH(F1794,Category_Targets!$A$2:$A$9,0)),0)</f>
        <v>7.0000000000000007E-2</v>
      </c>
      <c r="R1794" s="125">
        <f t="shared" ref="R1794:R1857" si="85">O1794*Q1794</f>
        <v>980.7084000000001</v>
      </c>
      <c r="S1794" s="78">
        <f t="shared" ref="S1794:S1801" si="86">DATE(YEAR(A1794),MONTH(A1794),1)</f>
        <v>45962</v>
      </c>
      <c r="T1794" t="str">
        <f>IFERROR(VLOOKUP(B1794,Sites!$A$2:$D$21,4,FALSE()),"Unknown")</f>
        <v>Newport</v>
      </c>
      <c r="U1794" t="str">
        <f>IF(N1794="OK","",COUNTIF($N$2:N1794,"&lt;&gt;OK"))</f>
        <v/>
      </c>
      <c r="V1794">
        <f>IF(OR(NOT(EXACT(E1794,TRIM(Procurement_Raw!E1794))),NOT(EXACT(F1794,TRIM(Procurement_Raw!F1794)))),1,0)</f>
        <v>0</v>
      </c>
    </row>
    <row r="1795" spans="1:22" ht="15" customHeight="1" x14ac:dyDescent="0.25">
      <c r="A1795" s="123">
        <f>Procurement_Raw!A1795</f>
        <v>45857</v>
      </c>
      <c r="B1795" t="str">
        <f>TRIM(Procurement_Raw!B1795)</f>
        <v>S004</v>
      </c>
      <c r="C1795" t="str">
        <f>Procurement_Raw!C1795</f>
        <v>Newcastle Care &amp; Education Centre</v>
      </c>
      <c r="D1795" t="str">
        <f>Procurement_Raw!D1795</f>
        <v>North</v>
      </c>
      <c r="E1795" t="str">
        <f>IF(TRIM(Procurement_Raw!E1795)="","",IFERROR(INDEX(Supplier_Lookup!$A$2:$A$25,MATCH(TRIM(Procurement_Raw!E1795),Supplier_Lookup!$A$2:$A$25,0)),TRIM(Procurement_Raw!E1795)))</f>
        <v>BuildCare</v>
      </c>
      <c r="F1795" t="str">
        <f>IFERROR(INDEX(Category_Targets!$A$2:$A$9,MATCH(TRIM(Procurement_Raw!F1795),Category_Targets!$A$2:$A$9,0)),"Unmapped")</f>
        <v>Facilities</v>
      </c>
      <c r="G1795" t="str">
        <f>TRIM(Procurement_Raw!G1795)</f>
        <v>INV-2025-01794</v>
      </c>
      <c r="H1795" s="77">
        <f>Procurement_Raw!H1795</f>
        <v>23</v>
      </c>
      <c r="I1795" s="124">
        <f>Procurement_Raw!I1795</f>
        <v>260.39</v>
      </c>
      <c r="J1795" s="125">
        <f>IF(Procurement_Raw!J1795="","",Procurement_Raw!J1795)</f>
        <v>5989.05</v>
      </c>
      <c r="K1795" s="77">
        <f>Procurement_Raw!K1795</f>
        <v>45</v>
      </c>
      <c r="L1795" t="str">
        <f>Procurement_Raw!L1795</f>
        <v>Procurement Portal</v>
      </c>
      <c r="M1795" t="str">
        <f>Procurement_Raw!O1795</f>
        <v>N</v>
      </c>
      <c r="N1795" t="str">
        <f>IF(E1795="","Missing supplier",IF(B1795="","Missing site",IF(J1795="","Missing spend",IF(COUNTIFS($G$2:G1795,G1795,$E$2:E1795,E1795,$J$2:J1795,J1795)&gt;1,"Duplicate invoice",IF(COUNTIF($G$2:$G$1801,G1795)&gt;1,"Duplicate ID - review",IF(AND(P1795&lt;&gt;"Unmapped",P1795&lt;&gt;F1795),"Category mismatch","OK"))))))</f>
        <v>OK</v>
      </c>
      <c r="O1795" s="125">
        <f t="shared" si="84"/>
        <v>5989.05</v>
      </c>
      <c r="P1795" t="str">
        <f>IF(E1795="","Unmapped",IFERROR(INDEX(Supplier_Lookup!$B$2:$B$25,MATCH(E1795,Supplier_Lookup!$A$2:$A$25,0)),"Unmapped"))</f>
        <v>Facilities</v>
      </c>
      <c r="Q1795" s="76">
        <f>IFERROR(INDEX(Category_Targets!$B$2:$B$9,MATCH(F1795,Category_Targets!$A$2:$A$9,0)),0)</f>
        <v>0.05</v>
      </c>
      <c r="R1795" s="125">
        <f t="shared" si="85"/>
        <v>299.45250000000004</v>
      </c>
      <c r="S1795" s="78">
        <f t="shared" si="86"/>
        <v>45839</v>
      </c>
      <c r="T1795" t="str">
        <f>IFERROR(VLOOKUP(B1795,Sites!$A$2:$D$21,4,FALSE()),"Unknown")</f>
        <v>Newcastle</v>
      </c>
      <c r="U1795" t="str">
        <f>IF(N1795="OK","",COUNTIF($N$2:N1795,"&lt;&gt;OK"))</f>
        <v/>
      </c>
      <c r="V1795">
        <f>IF(OR(NOT(EXACT(E1795,TRIM(Procurement_Raw!E1795))),NOT(EXACT(F1795,TRIM(Procurement_Raw!F1795)))),1,0)</f>
        <v>0</v>
      </c>
    </row>
    <row r="1796" spans="1:22" ht="15" customHeight="1" x14ac:dyDescent="0.25">
      <c r="A1796" s="123">
        <f>Procurement_Raw!A1796</f>
        <v>45776</v>
      </c>
      <c r="B1796" t="str">
        <f>TRIM(Procurement_Raw!B1796)</f>
        <v>S012</v>
      </c>
      <c r="C1796" t="str">
        <f>Procurement_Raw!C1796</f>
        <v>Bristol Care &amp; Education Centre</v>
      </c>
      <c r="D1796" t="str">
        <f>Procurement_Raw!D1796</f>
        <v>South</v>
      </c>
      <c r="E1796" t="str">
        <f>IF(TRIM(Procurement_Raw!E1796)="","",IFERROR(INDEX(Supplier_Lookup!$A$2:$A$25,MATCH(TRIM(Procurement_Raw!E1796),Supplier_Lookup!$A$2:$A$25,0)),TRIM(Procurement_Raw!E1796)))</f>
        <v>SafeGuard FM</v>
      </c>
      <c r="F1796" t="str">
        <f>IFERROR(INDEX(Category_Targets!$A$2:$A$9,MATCH(TRIM(Procurement_Raw!F1796),Category_Targets!$A$2:$A$9,0)),"Unmapped")</f>
        <v>Facilities</v>
      </c>
      <c r="G1796" t="str">
        <f>TRIM(Procurement_Raw!G1796)</f>
        <v>INV-2025-01795</v>
      </c>
      <c r="H1796" s="77">
        <f>Procurement_Raw!H1796</f>
        <v>13</v>
      </c>
      <c r="I1796" s="124">
        <f>Procurement_Raw!I1796</f>
        <v>202.39</v>
      </c>
      <c r="J1796" s="125">
        <f>IF(Procurement_Raw!J1796="","",Procurement_Raw!J1796)</f>
        <v>2631.12</v>
      </c>
      <c r="K1796" s="77">
        <f>Procurement_Raw!K1796</f>
        <v>60</v>
      </c>
      <c r="L1796" t="str">
        <f>Procurement_Raw!L1796</f>
        <v>ERP</v>
      </c>
      <c r="M1796" t="str">
        <f>Procurement_Raw!O1796</f>
        <v>N</v>
      </c>
      <c r="N1796" t="str">
        <f>IF(E1796="","Missing supplier",IF(B1796="","Missing site",IF(J1796="","Missing spend",IF(COUNTIFS($G$2:G1796,G1796,$E$2:E1796,E1796,$J$2:J1796,J1796)&gt;1,"Duplicate invoice",IF(COUNTIF($G$2:$G$1801,G1796)&gt;1,"Duplicate ID - review",IF(AND(P1796&lt;&gt;"Unmapped",P1796&lt;&gt;F1796),"Category mismatch","OK"))))))</f>
        <v>OK</v>
      </c>
      <c r="O1796" s="125">
        <f t="shared" si="84"/>
        <v>2631.12</v>
      </c>
      <c r="P1796" t="str">
        <f>IF(E1796="","Unmapped",IFERROR(INDEX(Supplier_Lookup!$B$2:$B$25,MATCH(E1796,Supplier_Lookup!$A$2:$A$25,0)),"Unmapped"))</f>
        <v>Facilities</v>
      </c>
      <c r="Q1796" s="76">
        <f>IFERROR(INDEX(Category_Targets!$B$2:$B$9,MATCH(F1796,Category_Targets!$A$2:$A$9,0)),0)</f>
        <v>0.05</v>
      </c>
      <c r="R1796" s="125">
        <f t="shared" si="85"/>
        <v>131.55600000000001</v>
      </c>
      <c r="S1796" s="78">
        <f t="shared" si="86"/>
        <v>45748</v>
      </c>
      <c r="T1796" t="str">
        <f>IFERROR(VLOOKUP(B1796,Sites!$A$2:$D$21,4,FALSE()),"Unknown")</f>
        <v>Bristol</v>
      </c>
      <c r="U1796" t="str">
        <f>IF(N1796="OK","",COUNTIF($N$2:N1796,"&lt;&gt;OK"))</f>
        <v/>
      </c>
      <c r="V1796">
        <f>IF(OR(NOT(EXACT(E1796,TRIM(Procurement_Raw!E1796))),NOT(EXACT(F1796,TRIM(Procurement_Raw!F1796)))),1,0)</f>
        <v>0</v>
      </c>
    </row>
    <row r="1797" spans="1:22" ht="15" customHeight="1" x14ac:dyDescent="0.25">
      <c r="A1797" s="123">
        <f>Procurement_Raw!A1797</f>
        <v>45953</v>
      </c>
      <c r="B1797" t="str">
        <f>TRIM(Procurement_Raw!B1797)</f>
        <v>S007</v>
      </c>
      <c r="C1797" t="str">
        <f>Procurement_Raw!C1797</f>
        <v>Nottingham Care &amp; Education Centre</v>
      </c>
      <c r="D1797" t="str">
        <f>Procurement_Raw!D1797</f>
        <v>Midlands</v>
      </c>
      <c r="E1797" t="str">
        <f>IF(TRIM(Procurement_Raw!E1797)="","",IFERROR(INDEX(Supplier_Lookup!$A$2:$A$25,MATCH(TRIM(Procurement_Raw!E1797),Supplier_Lookup!$A$2:$A$25,0)),TRIM(Procurement_Raw!E1797)))</f>
        <v>KitchenPro</v>
      </c>
      <c r="F1797" t="str">
        <f>IFERROR(INDEX(Category_Targets!$A$2:$A$9,MATCH(TRIM(Procurement_Raw!F1797),Category_Targets!$A$2:$A$9,0)),"Unmapped")</f>
        <v>Food &amp; Catering</v>
      </c>
      <c r="G1797" t="str">
        <f>TRIM(Procurement_Raw!G1797)</f>
        <v>INV-2025-01796</v>
      </c>
      <c r="H1797" s="77">
        <f>Procurement_Raw!H1797</f>
        <v>51</v>
      </c>
      <c r="I1797" s="124">
        <f>Procurement_Raw!I1797</f>
        <v>42.98</v>
      </c>
      <c r="J1797" s="125">
        <f>IF(Procurement_Raw!J1797="","",Procurement_Raw!J1797)</f>
        <v>2192.13</v>
      </c>
      <c r="K1797" s="77">
        <f>Procurement_Raw!K1797</f>
        <v>60</v>
      </c>
      <c r="L1797" t="str">
        <f>Procurement_Raw!L1797</f>
        <v>Procurement Portal</v>
      </c>
      <c r="M1797" t="str">
        <f>Procurement_Raw!O1797</f>
        <v>N</v>
      </c>
      <c r="N1797" t="str">
        <f>IF(E1797="","Missing supplier",IF(B1797="","Missing site",IF(J1797="","Missing spend",IF(COUNTIFS($G$2:G1797,G1797,$E$2:E1797,E1797,$J$2:J1797,J1797)&gt;1,"Duplicate invoice",IF(COUNTIF($G$2:$G$1801,G1797)&gt;1,"Duplicate ID - review",IF(AND(P1797&lt;&gt;"Unmapped",P1797&lt;&gt;F1797),"Category mismatch","OK"))))))</f>
        <v>OK</v>
      </c>
      <c r="O1797" s="125">
        <f t="shared" si="84"/>
        <v>2192.13</v>
      </c>
      <c r="P1797" t="str">
        <f>IF(E1797="","Unmapped",IFERROR(INDEX(Supplier_Lookup!$B$2:$B$25,MATCH(E1797,Supplier_Lookup!$A$2:$A$25,0)),"Unmapped"))</f>
        <v>Food &amp; Catering</v>
      </c>
      <c r="Q1797" s="76">
        <f>IFERROR(INDEX(Category_Targets!$B$2:$B$9,MATCH(F1797,Category_Targets!$A$2:$A$9,0)),0)</f>
        <v>0.04</v>
      </c>
      <c r="R1797" s="125">
        <f t="shared" si="85"/>
        <v>87.685200000000009</v>
      </c>
      <c r="S1797" s="78">
        <f t="shared" si="86"/>
        <v>45931</v>
      </c>
      <c r="T1797" t="str">
        <f>IFERROR(VLOOKUP(B1797,Sites!$A$2:$D$21,4,FALSE()),"Unknown")</f>
        <v>Nottingham</v>
      </c>
      <c r="U1797" t="str">
        <f>IF(N1797="OK","",COUNTIF($N$2:N1797,"&lt;&gt;OK"))</f>
        <v/>
      </c>
      <c r="V1797">
        <f>IF(OR(NOT(EXACT(E1797,TRIM(Procurement_Raw!E1797))),NOT(EXACT(F1797,TRIM(Procurement_Raw!F1797)))),1,0)</f>
        <v>0</v>
      </c>
    </row>
    <row r="1798" spans="1:22" ht="15" customHeight="1" x14ac:dyDescent="0.25">
      <c r="A1798" s="123">
        <f>Procurement_Raw!A1798</f>
        <v>45762</v>
      </c>
      <c r="B1798" t="str">
        <f>TRIM(Procurement_Raw!B1798)</f>
        <v>S009</v>
      </c>
      <c r="C1798" t="str">
        <f>Procurement_Raw!C1798</f>
        <v>Derby Care &amp; Education Centre</v>
      </c>
      <c r="D1798" t="str">
        <f>Procurement_Raw!D1798</f>
        <v>Midlands</v>
      </c>
      <c r="E1798" t="str">
        <f>IF(TRIM(Procurement_Raw!E1798)="","",IFERROR(INDEX(Supplier_Lookup!$A$2:$A$25,MATCH(TRIM(Procurement_Raw!E1798),Supplier_Lookup!$A$2:$A$25,0)),TRIM(Procurement_Raw!E1798)))</f>
        <v>SafeGuard FM</v>
      </c>
      <c r="F1798" t="str">
        <f>IFERROR(INDEX(Category_Targets!$A$2:$A$9,MATCH(TRIM(Procurement_Raw!F1798),Category_Targets!$A$2:$A$9,0)),"Unmapped")</f>
        <v>Facilities</v>
      </c>
      <c r="G1798" t="str">
        <f>TRIM(Procurement_Raw!G1798)</f>
        <v>INV-2025-01797</v>
      </c>
      <c r="H1798" s="77">
        <f>Procurement_Raw!H1798</f>
        <v>12</v>
      </c>
      <c r="I1798" s="124">
        <f>Procurement_Raw!I1798</f>
        <v>151.03</v>
      </c>
      <c r="J1798" s="125">
        <f>IF(Procurement_Raw!J1798="","",Procurement_Raw!J1798)</f>
        <v>1812.36</v>
      </c>
      <c r="K1798" s="77">
        <f>Procurement_Raw!K1798</f>
        <v>30</v>
      </c>
      <c r="L1798" t="str">
        <f>Procurement_Raw!L1798</f>
        <v>ERP</v>
      </c>
      <c r="M1798" t="str">
        <f>Procurement_Raw!O1798</f>
        <v>N</v>
      </c>
      <c r="N1798" t="str">
        <f>IF(E1798="","Missing supplier",IF(B1798="","Missing site",IF(J1798="","Missing spend",IF(COUNTIFS($G$2:G1798,G1798,$E$2:E1798,E1798,$J$2:J1798,J1798)&gt;1,"Duplicate invoice",IF(COUNTIF($G$2:$G$1801,G1798)&gt;1,"Duplicate ID - review",IF(AND(P1798&lt;&gt;"Unmapped",P1798&lt;&gt;F1798),"Category mismatch","OK"))))))</f>
        <v>OK</v>
      </c>
      <c r="O1798" s="125">
        <f t="shared" si="84"/>
        <v>1812.36</v>
      </c>
      <c r="P1798" t="str">
        <f>IF(E1798="","Unmapped",IFERROR(INDEX(Supplier_Lookup!$B$2:$B$25,MATCH(E1798,Supplier_Lookup!$A$2:$A$25,0)),"Unmapped"))</f>
        <v>Facilities</v>
      </c>
      <c r="Q1798" s="76">
        <f>IFERROR(INDEX(Category_Targets!$B$2:$B$9,MATCH(F1798,Category_Targets!$A$2:$A$9,0)),0)</f>
        <v>0.05</v>
      </c>
      <c r="R1798" s="125">
        <f t="shared" si="85"/>
        <v>90.617999999999995</v>
      </c>
      <c r="S1798" s="78">
        <f t="shared" si="86"/>
        <v>45748</v>
      </c>
      <c r="T1798" t="str">
        <f>IFERROR(VLOOKUP(B1798,Sites!$A$2:$D$21,4,FALSE()),"Unknown")</f>
        <v>Derby</v>
      </c>
      <c r="U1798" t="str">
        <f>IF(N1798="OK","",COUNTIF($N$2:N1798,"&lt;&gt;OK"))</f>
        <v/>
      </c>
      <c r="V1798">
        <f>IF(OR(NOT(EXACT(E1798,TRIM(Procurement_Raw!E1798))),NOT(EXACT(F1798,TRIM(Procurement_Raw!F1798)))),1,0)</f>
        <v>0</v>
      </c>
    </row>
    <row r="1799" spans="1:22" ht="15" customHeight="1" x14ac:dyDescent="0.25">
      <c r="A1799" s="123">
        <f>Procurement_Raw!A1799</f>
        <v>45961</v>
      </c>
      <c r="B1799" t="str">
        <f>TRIM(Procurement_Raw!B1799)</f>
        <v>S003</v>
      </c>
      <c r="C1799" t="str">
        <f>Procurement_Raw!C1799</f>
        <v>Leeds Care &amp; Education Centre</v>
      </c>
      <c r="D1799" t="str">
        <f>Procurement_Raw!D1799</f>
        <v>North</v>
      </c>
      <c r="E1799" t="str">
        <f>IF(TRIM(Procurement_Raw!E1799)="","",IFERROR(INDEX(Supplier_Lookup!$A$2:$A$25,MATCH(TRIM(Procurement_Raw!E1799),Supplier_Lookup!$A$2:$A$25,0)),TRIM(Procurement_Raw!E1799)))</f>
        <v>ClinEquip</v>
      </c>
      <c r="F1799" t="str">
        <f>IFERROR(INDEX(Category_Targets!$A$2:$A$9,MATCH(TRIM(Procurement_Raw!F1799),Category_Targets!$A$2:$A$9,0)),"Unmapped")</f>
        <v>Medical Supplies</v>
      </c>
      <c r="G1799" t="str">
        <f>TRIM(Procurement_Raw!G1799)</f>
        <v>INV-2025-01798</v>
      </c>
      <c r="H1799" s="77">
        <f>Procurement_Raw!H1799</f>
        <v>20</v>
      </c>
      <c r="I1799" s="124">
        <f>Procurement_Raw!I1799</f>
        <v>77.45</v>
      </c>
      <c r="J1799" s="125">
        <f>IF(Procurement_Raw!J1799="","",Procurement_Raw!J1799)</f>
        <v>1549.07</v>
      </c>
      <c r="K1799" s="77">
        <f>Procurement_Raw!K1799</f>
        <v>30</v>
      </c>
      <c r="L1799" t="str">
        <f>Procurement_Raw!L1799</f>
        <v>Legacy Spend File</v>
      </c>
      <c r="M1799" t="str">
        <f>Procurement_Raw!O1799</f>
        <v>N</v>
      </c>
      <c r="N1799" t="str">
        <f>IF(E1799="","Missing supplier",IF(B1799="","Missing site",IF(J1799="","Missing spend",IF(COUNTIFS($G$2:G1799,G1799,$E$2:E1799,E1799,$J$2:J1799,J1799)&gt;1,"Duplicate invoice",IF(COUNTIF($G$2:$G$1801,G1799)&gt;1,"Duplicate ID - review",IF(AND(P1799&lt;&gt;"Unmapped",P1799&lt;&gt;F1799),"Category mismatch","OK"))))))</f>
        <v>OK</v>
      </c>
      <c r="O1799" s="125">
        <f t="shared" si="84"/>
        <v>1549.07</v>
      </c>
      <c r="P1799" t="str">
        <f>IF(E1799="","Unmapped",IFERROR(INDEX(Supplier_Lookup!$B$2:$B$25,MATCH(E1799,Supplier_Lookup!$A$2:$A$25,0)),"Unmapped"))</f>
        <v>Medical Supplies</v>
      </c>
      <c r="Q1799" s="76">
        <f>IFERROR(INDEX(Category_Targets!$B$2:$B$9,MATCH(F1799,Category_Targets!$A$2:$A$9,0)),0)</f>
        <v>0.06</v>
      </c>
      <c r="R1799" s="125">
        <f t="shared" si="85"/>
        <v>92.944199999999995</v>
      </c>
      <c r="S1799" s="78">
        <f t="shared" si="86"/>
        <v>45931</v>
      </c>
      <c r="T1799" t="str">
        <f>IFERROR(VLOOKUP(B1799,Sites!$A$2:$D$21,4,FALSE()),"Unknown")</f>
        <v>Leeds</v>
      </c>
      <c r="U1799" t="str">
        <f>IF(N1799="OK","",COUNTIF($N$2:N1799,"&lt;&gt;OK"))</f>
        <v/>
      </c>
      <c r="V1799">
        <f>IF(OR(NOT(EXACT(E1799,TRIM(Procurement_Raw!E1799))),NOT(EXACT(F1799,TRIM(Procurement_Raw!F1799)))),1,0)</f>
        <v>0</v>
      </c>
    </row>
    <row r="1800" spans="1:22" ht="15" customHeight="1" x14ac:dyDescent="0.25">
      <c r="A1800" s="123">
        <f>Procurement_Raw!A1800</f>
        <v>45853</v>
      </c>
      <c r="B1800" t="str">
        <f>TRIM(Procurement_Raw!B1800)</f>
        <v>S012</v>
      </c>
      <c r="C1800" t="str">
        <f>Procurement_Raw!C1800</f>
        <v>Bristol Care &amp; Education Centre</v>
      </c>
      <c r="D1800" t="str">
        <f>Procurement_Raw!D1800</f>
        <v>South</v>
      </c>
      <c r="E1800" t="str">
        <f>IF(TRIM(Procurement_Raw!E1800)="","",IFERROR(INDEX(Supplier_Lookup!$A$2:$A$25,MATCH(TRIM(Procurement_Raw!E1800),Supplier_Lookup!$A$2:$A$25,0)),TRIM(Procurement_Raw!E1800)))</f>
        <v>KitchenPro</v>
      </c>
      <c r="F1800" t="str">
        <f>IFERROR(INDEX(Category_Targets!$A$2:$A$9,MATCH(TRIM(Procurement_Raw!F1800),Category_Targets!$A$2:$A$9,0)),"Unmapped")</f>
        <v>Food &amp; Catering</v>
      </c>
      <c r="G1800" t="str">
        <f>TRIM(Procurement_Raw!G1800)</f>
        <v>INV-2025-01799</v>
      </c>
      <c r="H1800" s="77">
        <f>Procurement_Raw!H1800</f>
        <v>4</v>
      </c>
      <c r="I1800" s="124">
        <f>Procurement_Raw!I1800</f>
        <v>117.47</v>
      </c>
      <c r="J1800" s="125">
        <f>IF(Procurement_Raw!J1800="","",Procurement_Raw!J1800)</f>
        <v>469.88</v>
      </c>
      <c r="K1800" s="77">
        <f>Procurement_Raw!K1800</f>
        <v>60</v>
      </c>
      <c r="L1800" t="str">
        <f>Procurement_Raw!L1800</f>
        <v>Legacy Spend File</v>
      </c>
      <c r="M1800" t="str">
        <f>Procurement_Raw!O1800</f>
        <v>N</v>
      </c>
      <c r="N1800" t="str">
        <f>IF(E1800="","Missing supplier",IF(B1800="","Missing site",IF(J1800="","Missing spend",IF(COUNTIFS($G$2:G1800,G1800,$E$2:E1800,E1800,$J$2:J1800,J1800)&gt;1,"Duplicate invoice",IF(COUNTIF($G$2:$G$1801,G1800)&gt;1,"Duplicate ID - review",IF(AND(P1800&lt;&gt;"Unmapped",P1800&lt;&gt;F1800),"Category mismatch","OK"))))))</f>
        <v>OK</v>
      </c>
      <c r="O1800" s="125">
        <f t="shared" si="84"/>
        <v>469.88</v>
      </c>
      <c r="P1800" t="str">
        <f>IF(E1800="","Unmapped",IFERROR(INDEX(Supplier_Lookup!$B$2:$B$25,MATCH(E1800,Supplier_Lookup!$A$2:$A$25,0)),"Unmapped"))</f>
        <v>Food &amp; Catering</v>
      </c>
      <c r="Q1800" s="76">
        <f>IFERROR(INDEX(Category_Targets!$B$2:$B$9,MATCH(F1800,Category_Targets!$A$2:$A$9,0)),0)</f>
        <v>0.04</v>
      </c>
      <c r="R1800" s="125">
        <f t="shared" si="85"/>
        <v>18.795200000000001</v>
      </c>
      <c r="S1800" s="78">
        <f t="shared" si="86"/>
        <v>45839</v>
      </c>
      <c r="T1800" t="str">
        <f>IFERROR(VLOOKUP(B1800,Sites!$A$2:$D$21,4,FALSE()),"Unknown")</f>
        <v>Bristol</v>
      </c>
      <c r="U1800" t="str">
        <f>IF(N1800="OK","",COUNTIF($N$2:N1800,"&lt;&gt;OK"))</f>
        <v/>
      </c>
      <c r="V1800">
        <f>IF(OR(NOT(EXACT(E1800,TRIM(Procurement_Raw!E1800))),NOT(EXACT(F1800,TRIM(Procurement_Raw!F1800)))),1,0)</f>
        <v>0</v>
      </c>
    </row>
    <row r="1801" spans="1:22" ht="15" customHeight="1" x14ac:dyDescent="0.25">
      <c r="A1801" s="123">
        <f>Procurement_Raw!A1801</f>
        <v>45981</v>
      </c>
      <c r="B1801" t="str">
        <f>TRIM(Procurement_Raw!B1801)</f>
        <v>S020</v>
      </c>
      <c r="C1801" t="str">
        <f>Procurement_Raw!C1801</f>
        <v>Bangor Care &amp; Education Centre</v>
      </c>
      <c r="D1801" t="str">
        <f>Procurement_Raw!D1801</f>
        <v>Wales</v>
      </c>
      <c r="E1801" t="str">
        <f>IF(TRIM(Procurement_Raw!E1801)="","",IFERROR(INDEX(Supplier_Lookup!$A$2:$A$25,MATCH(TRIM(Procurement_Raw!E1801),Supplier_Lookup!$A$2:$A$25,0)),TRIM(Procurement_Raw!E1801)))</f>
        <v>PrintCo</v>
      </c>
      <c r="F1801" t="str">
        <f>IFERROR(INDEX(Category_Targets!$A$2:$A$9,MATCH(TRIM(Procurement_Raw!F1801),Category_Targets!$A$2:$A$9,0)),"Unmapped")</f>
        <v>Office &amp; Training</v>
      </c>
      <c r="G1801" t="str">
        <f>TRIM(Procurement_Raw!G1801)</f>
        <v>INV-2025-01800</v>
      </c>
      <c r="H1801" s="77">
        <f>Procurement_Raw!H1801</f>
        <v>46</v>
      </c>
      <c r="I1801" s="124">
        <f>Procurement_Raw!I1801</f>
        <v>75.88</v>
      </c>
      <c r="J1801" s="125">
        <f>IF(Procurement_Raw!J1801="","",Procurement_Raw!J1801)</f>
        <v>3490.68</v>
      </c>
      <c r="K1801" s="77">
        <f>Procurement_Raw!K1801</f>
        <v>30</v>
      </c>
      <c r="L1801" t="str">
        <f>Procurement_Raw!L1801</f>
        <v>ERP</v>
      </c>
      <c r="M1801" t="str">
        <f>Procurement_Raw!O1801</f>
        <v>N</v>
      </c>
      <c r="N1801" t="str">
        <f>IF(E1801="","Missing supplier",IF(B1801="","Missing site",IF(J1801="","Missing spend",IF(COUNTIFS($G$2:G1801,G1801,$E$2:E1801,E1801,$J$2:J1801,J1801)&gt;1,"Duplicate invoice",IF(COUNTIF($G$2:$G$1801,G1801)&gt;1,"Duplicate ID - review",IF(AND(P1801&lt;&gt;"Unmapped",P1801&lt;&gt;F1801),"Category mismatch","OK"))))))</f>
        <v>OK</v>
      </c>
      <c r="O1801" s="125">
        <f t="shared" si="84"/>
        <v>3490.68</v>
      </c>
      <c r="P1801" t="str">
        <f>IF(E1801="","Unmapped",IFERROR(INDEX(Supplier_Lookup!$B$2:$B$25,MATCH(E1801,Supplier_Lookup!$A$2:$A$25,0)),"Unmapped"))</f>
        <v>Office &amp; Training</v>
      </c>
      <c r="Q1801" s="76">
        <f>IFERROR(INDEX(Category_Targets!$B$2:$B$9,MATCH(F1801,Category_Targets!$A$2:$A$9,0)),0)</f>
        <v>0.04</v>
      </c>
      <c r="R1801" s="125">
        <f t="shared" si="85"/>
        <v>139.62719999999999</v>
      </c>
      <c r="S1801" s="78">
        <f t="shared" si="86"/>
        <v>45962</v>
      </c>
      <c r="T1801" t="str">
        <f>IFERROR(VLOOKUP(B1801,Sites!$A$2:$D$21,4,FALSE()),"Unknown")</f>
        <v>Bangor</v>
      </c>
      <c r="U1801" t="str">
        <f>IF(N1801="OK","",COUNTIF($N$2:N1801,"&lt;&gt;OK"))</f>
        <v/>
      </c>
      <c r="V1801">
        <f>IF(OR(NOT(EXACT(E1801,TRIM(Procurement_Raw!E1801))),NOT(EXACT(F1801,TRIM(Procurement_Raw!F1801)))),1,0)</f>
        <v>0</v>
      </c>
    </row>
  </sheetData>
  <conditionalFormatting sqref="N2:N1801">
    <cfRule type="expression" dxfId="1" priority="2">
      <formula>OR(LEFT(N2,7)="Missing",N2="Duplicate invoice")</formula>
    </cfRule>
    <cfRule type="expression" dxfId="0" priority="3">
      <formula>OR(N2="Duplicate ID - review",N2="Category mismatch")</formula>
    </cfRule>
  </conditionalFormatting>
  <pageMargins left="0.7" right="0.7" top="0.75" bottom="0.75" header="0.511811023622047" footer="0.511811023622047"/>
  <pageSetup paperSize="9" orientation="portrait" horizontalDpi="300" verticalDpi="300"/>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1801"/>
  <sheetViews>
    <sheetView zoomScaleNormal="100" workbookViewId="0">
      <pane ySplit="1" topLeftCell="A2" activePane="bottomLeft" state="frozen"/>
      <selection pane="bottomLeft"/>
    </sheetView>
  </sheetViews>
  <sheetFormatPr defaultColWidth="8.7109375" defaultRowHeight="15" x14ac:dyDescent="0.25"/>
  <cols>
    <col min="1" max="1" width="13.7109375" customWidth="1"/>
    <col min="2" max="6" width="10.7109375" customWidth="1"/>
    <col min="7" max="7" width="11.7109375" customWidth="1"/>
    <col min="8" max="9" width="10.7109375" customWidth="1"/>
    <col min="10" max="10" width="12.7109375" customWidth="1"/>
    <col min="11" max="11" width="18.7109375" customWidth="1"/>
    <col min="12" max="12" width="14.7109375" customWidth="1"/>
    <col min="13" max="14" width="10.7109375" customWidth="1"/>
    <col min="15" max="15" width="12.7109375" customWidth="1"/>
    <col min="16" max="16" width="17.7109375" customWidth="1"/>
  </cols>
  <sheetData>
    <row r="1" spans="1:16" ht="15" customHeight="1" x14ac:dyDescent="0.25">
      <c r="A1" t="s">
        <v>319</v>
      </c>
      <c r="B1" t="s">
        <v>191</v>
      </c>
      <c r="C1" t="s">
        <v>320</v>
      </c>
      <c r="D1" t="s">
        <v>75</v>
      </c>
      <c r="E1" t="s">
        <v>239</v>
      </c>
      <c r="F1" t="s">
        <v>77</v>
      </c>
      <c r="G1" t="s">
        <v>279</v>
      </c>
      <c r="H1" t="s">
        <v>321</v>
      </c>
      <c r="I1" t="s">
        <v>322</v>
      </c>
      <c r="J1" t="s">
        <v>281</v>
      </c>
      <c r="K1" t="s">
        <v>323</v>
      </c>
      <c r="L1" t="s">
        <v>324</v>
      </c>
      <c r="M1" t="s">
        <v>333</v>
      </c>
      <c r="N1" t="s">
        <v>334</v>
      </c>
      <c r="O1" t="s">
        <v>240</v>
      </c>
      <c r="P1" t="s">
        <v>325</v>
      </c>
    </row>
    <row r="2" spans="1:16" ht="15" customHeight="1" x14ac:dyDescent="0.25">
      <c r="A2" s="123">
        <v>45798</v>
      </c>
      <c r="B2" t="s">
        <v>335</v>
      </c>
      <c r="C2" t="s">
        <v>336</v>
      </c>
      <c r="D2" t="s">
        <v>223</v>
      </c>
      <c r="E2" t="s">
        <v>337</v>
      </c>
      <c r="F2" t="s">
        <v>178</v>
      </c>
      <c r="G2" t="s">
        <v>338</v>
      </c>
      <c r="H2" s="77">
        <v>32</v>
      </c>
      <c r="I2" s="124">
        <v>85.42</v>
      </c>
      <c r="J2" s="124">
        <v>2733.44</v>
      </c>
      <c r="K2" s="77">
        <v>30</v>
      </c>
      <c r="L2" t="s">
        <v>339</v>
      </c>
      <c r="M2" s="126">
        <v>546.68799999999999</v>
      </c>
      <c r="N2" s="124">
        <v>2733.44</v>
      </c>
      <c r="O2" t="s">
        <v>340</v>
      </c>
      <c r="P2" t="s">
        <v>294</v>
      </c>
    </row>
    <row r="3" spans="1:16" ht="15" customHeight="1" x14ac:dyDescent="0.25">
      <c r="A3" s="123">
        <v>45937</v>
      </c>
      <c r="B3" t="s">
        <v>341</v>
      </c>
      <c r="C3" t="s">
        <v>342</v>
      </c>
      <c r="D3" t="s">
        <v>223</v>
      </c>
      <c r="E3" t="s">
        <v>343</v>
      </c>
      <c r="F3" t="s">
        <v>178</v>
      </c>
      <c r="G3" t="s">
        <v>344</v>
      </c>
      <c r="H3" s="77">
        <v>12</v>
      </c>
      <c r="I3" s="124">
        <v>60.24</v>
      </c>
      <c r="J3" s="124">
        <v>722.88</v>
      </c>
      <c r="K3" s="77">
        <v>60</v>
      </c>
      <c r="L3" t="s">
        <v>345</v>
      </c>
      <c r="M3" s="126">
        <v>144.57599999999999</v>
      </c>
      <c r="N3" s="124">
        <v>722.88</v>
      </c>
      <c r="O3" t="s">
        <v>346</v>
      </c>
      <c r="P3" t="s">
        <v>294</v>
      </c>
    </row>
    <row r="4" spans="1:16" ht="15" customHeight="1" x14ac:dyDescent="0.25">
      <c r="A4" s="123">
        <v>45769</v>
      </c>
      <c r="B4" t="s">
        <v>347</v>
      </c>
      <c r="C4" t="s">
        <v>348</v>
      </c>
      <c r="D4" t="s">
        <v>223</v>
      </c>
      <c r="E4" t="s">
        <v>349</v>
      </c>
      <c r="F4" t="s">
        <v>177</v>
      </c>
      <c r="G4" t="s">
        <v>350</v>
      </c>
      <c r="H4" s="77">
        <v>30</v>
      </c>
      <c r="I4" s="124">
        <v>171.35</v>
      </c>
      <c r="J4" s="124">
        <v>5140.5600000000004</v>
      </c>
      <c r="K4" s="77">
        <v>60</v>
      </c>
      <c r="L4" t="s">
        <v>351</v>
      </c>
      <c r="M4" s="126">
        <v>1028.1120000000001</v>
      </c>
      <c r="N4" s="124">
        <v>5140.5600000000004</v>
      </c>
      <c r="O4" t="s">
        <v>340</v>
      </c>
      <c r="P4" t="s">
        <v>294</v>
      </c>
    </row>
    <row r="5" spans="1:16" ht="15" customHeight="1" x14ac:dyDescent="0.25">
      <c r="A5" s="123">
        <v>45990</v>
      </c>
      <c r="B5" t="s">
        <v>335</v>
      </c>
      <c r="C5" t="s">
        <v>336</v>
      </c>
      <c r="D5" t="s">
        <v>223</v>
      </c>
      <c r="E5" t="s">
        <v>352</v>
      </c>
      <c r="F5" t="s">
        <v>180</v>
      </c>
      <c r="G5" t="s">
        <v>353</v>
      </c>
      <c r="H5" s="77">
        <v>70</v>
      </c>
      <c r="I5" s="124">
        <v>577.74</v>
      </c>
      <c r="J5" s="124">
        <v>40441.94</v>
      </c>
      <c r="K5" s="77">
        <v>45</v>
      </c>
      <c r="L5" t="s">
        <v>339</v>
      </c>
      <c r="M5" s="126">
        <v>8088.3879999999999</v>
      </c>
      <c r="N5" s="124">
        <v>40441.94</v>
      </c>
      <c r="O5" t="s">
        <v>346</v>
      </c>
      <c r="P5" t="s">
        <v>294</v>
      </c>
    </row>
    <row r="6" spans="1:16" ht="15" customHeight="1" x14ac:dyDescent="0.25">
      <c r="A6" s="123">
        <v>45739</v>
      </c>
      <c r="B6" t="s">
        <v>354</v>
      </c>
      <c r="C6" t="s">
        <v>355</v>
      </c>
      <c r="D6" t="s">
        <v>227</v>
      </c>
      <c r="E6" t="s">
        <v>356</v>
      </c>
      <c r="F6" t="s">
        <v>181</v>
      </c>
      <c r="G6" t="s">
        <v>357</v>
      </c>
      <c r="H6" s="77">
        <v>55</v>
      </c>
      <c r="I6" s="124">
        <v>193.42</v>
      </c>
      <c r="J6" s="124">
        <v>10637.88</v>
      </c>
      <c r="K6" s="77">
        <v>45</v>
      </c>
      <c r="L6" t="s">
        <v>345</v>
      </c>
      <c r="M6" s="126">
        <v>2127.576</v>
      </c>
      <c r="N6" s="124">
        <v>10637.88</v>
      </c>
      <c r="O6" t="s">
        <v>340</v>
      </c>
      <c r="P6" t="s">
        <v>294</v>
      </c>
    </row>
    <row r="7" spans="1:16" ht="15" customHeight="1" x14ac:dyDescent="0.25">
      <c r="A7" s="123">
        <v>45710</v>
      </c>
      <c r="B7" t="s">
        <v>358</v>
      </c>
      <c r="C7" t="s">
        <v>359</v>
      </c>
      <c r="D7" t="s">
        <v>225</v>
      </c>
      <c r="E7" t="s">
        <v>360</v>
      </c>
      <c r="F7" t="s">
        <v>180</v>
      </c>
      <c r="G7" t="s">
        <v>361</v>
      </c>
      <c r="H7" s="77">
        <v>12</v>
      </c>
      <c r="I7" s="124">
        <v>219.79</v>
      </c>
      <c r="J7" s="124">
        <v>2637.51</v>
      </c>
      <c r="K7" s="77">
        <v>45</v>
      </c>
      <c r="L7" t="s">
        <v>339</v>
      </c>
      <c r="M7" s="126">
        <v>527.50199999999995</v>
      </c>
      <c r="N7" s="124">
        <v>2637.51</v>
      </c>
      <c r="O7" t="s">
        <v>346</v>
      </c>
      <c r="P7" t="s">
        <v>294</v>
      </c>
    </row>
    <row r="8" spans="1:16" ht="15" customHeight="1" x14ac:dyDescent="0.25">
      <c r="A8" s="123">
        <v>45793</v>
      </c>
      <c r="B8" t="s">
        <v>362</v>
      </c>
      <c r="C8" t="s">
        <v>363</v>
      </c>
      <c r="D8" t="s">
        <v>221</v>
      </c>
      <c r="E8" t="s">
        <v>364</v>
      </c>
      <c r="F8" t="s">
        <v>182</v>
      </c>
      <c r="G8" t="s">
        <v>365</v>
      </c>
      <c r="H8" s="77">
        <v>6</v>
      </c>
      <c r="I8" s="124">
        <v>226.43</v>
      </c>
      <c r="J8" s="124">
        <v>1358.59</v>
      </c>
      <c r="K8" s="77">
        <v>60</v>
      </c>
      <c r="L8" t="s">
        <v>345</v>
      </c>
      <c r="M8" s="126">
        <v>271.71800000000002</v>
      </c>
      <c r="N8" s="124">
        <v>1358.59</v>
      </c>
      <c r="O8" t="s">
        <v>346</v>
      </c>
      <c r="P8" t="s">
        <v>294</v>
      </c>
    </row>
    <row r="9" spans="1:16" ht="15" customHeight="1" x14ac:dyDescent="0.25">
      <c r="A9" s="123">
        <v>45698</v>
      </c>
      <c r="B9" t="s">
        <v>366</v>
      </c>
      <c r="C9" t="s">
        <v>367</v>
      </c>
      <c r="D9" t="s">
        <v>221</v>
      </c>
      <c r="E9" t="s">
        <v>368</v>
      </c>
      <c r="F9" t="s">
        <v>178</v>
      </c>
      <c r="G9" t="s">
        <v>369</v>
      </c>
      <c r="H9" s="77">
        <v>71</v>
      </c>
      <c r="I9" s="124">
        <v>99.13</v>
      </c>
      <c r="J9" s="124">
        <v>7038.54</v>
      </c>
      <c r="K9" s="77">
        <v>45</v>
      </c>
      <c r="L9" t="s">
        <v>351</v>
      </c>
      <c r="M9" s="126">
        <v>1407.7080000000001</v>
      </c>
      <c r="N9" s="124">
        <v>7038.54</v>
      </c>
      <c r="O9" t="s">
        <v>346</v>
      </c>
      <c r="P9" t="s">
        <v>294</v>
      </c>
    </row>
    <row r="10" spans="1:16" ht="15" customHeight="1" x14ac:dyDescent="0.25">
      <c r="A10" s="123">
        <v>45756</v>
      </c>
      <c r="B10" t="s">
        <v>370</v>
      </c>
      <c r="C10" t="s">
        <v>371</v>
      </c>
      <c r="D10" t="s">
        <v>227</v>
      </c>
      <c r="E10" t="s">
        <v>364</v>
      </c>
      <c r="F10" t="s">
        <v>182</v>
      </c>
      <c r="G10" t="s">
        <v>372</v>
      </c>
      <c r="H10" s="77">
        <v>9</v>
      </c>
      <c r="I10" s="124">
        <v>73.38</v>
      </c>
      <c r="J10" s="124">
        <v>660.43</v>
      </c>
      <c r="K10" s="77">
        <v>30</v>
      </c>
      <c r="L10" t="s">
        <v>351</v>
      </c>
      <c r="M10" s="126">
        <v>132.08600000000001</v>
      </c>
      <c r="N10" s="124">
        <v>660.43</v>
      </c>
      <c r="O10" t="s">
        <v>346</v>
      </c>
      <c r="P10" t="s">
        <v>294</v>
      </c>
    </row>
    <row r="11" spans="1:16" ht="15" customHeight="1" x14ac:dyDescent="0.25">
      <c r="A11" s="123">
        <v>45777</v>
      </c>
      <c r="B11" t="s">
        <v>373</v>
      </c>
      <c r="C11" t="s">
        <v>374</v>
      </c>
      <c r="D11" t="s">
        <v>225</v>
      </c>
      <c r="E11" t="s">
        <v>356</v>
      </c>
      <c r="F11" t="s">
        <v>181</v>
      </c>
      <c r="G11" t="s">
        <v>375</v>
      </c>
      <c r="H11" s="77">
        <v>13</v>
      </c>
      <c r="I11" s="124">
        <v>296.5</v>
      </c>
      <c r="J11" s="124">
        <v>3854.46</v>
      </c>
      <c r="K11" s="77">
        <v>45</v>
      </c>
      <c r="L11" t="s">
        <v>345</v>
      </c>
      <c r="M11" s="126">
        <v>770.89200000000005</v>
      </c>
      <c r="N11" s="124">
        <v>3854.46</v>
      </c>
      <c r="O11" t="s">
        <v>340</v>
      </c>
      <c r="P11" t="s">
        <v>294</v>
      </c>
    </row>
    <row r="12" spans="1:16" ht="15" customHeight="1" x14ac:dyDescent="0.25">
      <c r="A12" s="123">
        <v>45847</v>
      </c>
      <c r="B12" t="s">
        <v>354</v>
      </c>
      <c r="C12" t="s">
        <v>355</v>
      </c>
      <c r="D12" t="s">
        <v>227</v>
      </c>
      <c r="E12" t="s">
        <v>376</v>
      </c>
      <c r="F12" t="s">
        <v>182</v>
      </c>
      <c r="G12" t="s">
        <v>377</v>
      </c>
      <c r="H12" s="77">
        <v>46</v>
      </c>
      <c r="I12" s="124">
        <v>73.63</v>
      </c>
      <c r="J12" s="124">
        <v>3386.79</v>
      </c>
      <c r="K12" s="77">
        <v>30</v>
      </c>
      <c r="L12" t="s">
        <v>351</v>
      </c>
      <c r="M12" s="126">
        <v>677.35799999999995</v>
      </c>
      <c r="N12" s="124">
        <v>3386.79</v>
      </c>
      <c r="O12" t="s">
        <v>340</v>
      </c>
      <c r="P12" t="s">
        <v>294</v>
      </c>
    </row>
    <row r="13" spans="1:16" ht="15" customHeight="1" x14ac:dyDescent="0.25">
      <c r="A13" s="123">
        <v>45983</v>
      </c>
      <c r="B13" t="s">
        <v>378</v>
      </c>
      <c r="C13" t="s">
        <v>379</v>
      </c>
      <c r="D13" t="s">
        <v>227</v>
      </c>
      <c r="E13" t="s">
        <v>343</v>
      </c>
      <c r="F13" t="s">
        <v>178</v>
      </c>
      <c r="G13" t="s">
        <v>380</v>
      </c>
      <c r="H13" s="77">
        <v>22</v>
      </c>
      <c r="I13" s="124">
        <v>50.31</v>
      </c>
      <c r="J13" s="124">
        <v>1106.8599999999999</v>
      </c>
      <c r="K13" s="77">
        <v>60</v>
      </c>
      <c r="L13" t="s">
        <v>351</v>
      </c>
      <c r="M13" s="126">
        <v>221.37200000000001</v>
      </c>
      <c r="N13" s="124">
        <v>1106.8599999999999</v>
      </c>
      <c r="O13" t="s">
        <v>346</v>
      </c>
      <c r="P13" t="s">
        <v>294</v>
      </c>
    </row>
    <row r="14" spans="1:16" ht="15" customHeight="1" x14ac:dyDescent="0.25">
      <c r="A14" s="123">
        <v>45852</v>
      </c>
      <c r="B14" t="s">
        <v>347</v>
      </c>
      <c r="C14" t="s">
        <v>348</v>
      </c>
      <c r="D14" t="s">
        <v>223</v>
      </c>
      <c r="E14" t="s">
        <v>381</v>
      </c>
      <c r="F14" t="s">
        <v>179</v>
      </c>
      <c r="G14" t="s">
        <v>382</v>
      </c>
      <c r="H14" s="77">
        <v>35</v>
      </c>
      <c r="I14" s="124">
        <v>205.62</v>
      </c>
      <c r="J14" s="124">
        <v>7196.75</v>
      </c>
      <c r="K14" s="77">
        <v>60</v>
      </c>
      <c r="L14" t="s">
        <v>351</v>
      </c>
      <c r="M14" s="126">
        <v>1439.35</v>
      </c>
      <c r="N14" s="124">
        <v>7196.75</v>
      </c>
      <c r="O14" t="s">
        <v>346</v>
      </c>
      <c r="P14" t="s">
        <v>294</v>
      </c>
    </row>
    <row r="15" spans="1:16" ht="15" customHeight="1" x14ac:dyDescent="0.25">
      <c r="A15" s="123">
        <v>45824</v>
      </c>
      <c r="B15" t="s">
        <v>383</v>
      </c>
      <c r="C15" t="s">
        <v>384</v>
      </c>
      <c r="D15" t="s">
        <v>225</v>
      </c>
      <c r="E15" t="s">
        <v>352</v>
      </c>
      <c r="F15" t="s">
        <v>180</v>
      </c>
      <c r="G15" t="s">
        <v>385</v>
      </c>
      <c r="H15" s="77">
        <v>8</v>
      </c>
      <c r="I15" s="124">
        <v>87.28</v>
      </c>
      <c r="J15" s="124">
        <v>698.26</v>
      </c>
      <c r="K15" s="77">
        <v>30</v>
      </c>
      <c r="L15" t="s">
        <v>339</v>
      </c>
      <c r="M15" s="126">
        <v>139.65199999999999</v>
      </c>
      <c r="N15" s="124">
        <v>698.26</v>
      </c>
      <c r="O15" t="s">
        <v>346</v>
      </c>
      <c r="P15" t="s">
        <v>294</v>
      </c>
    </row>
    <row r="16" spans="1:16" ht="15" customHeight="1" x14ac:dyDescent="0.25">
      <c r="A16" s="123">
        <v>45691</v>
      </c>
      <c r="B16" t="s">
        <v>386</v>
      </c>
      <c r="C16" t="s">
        <v>387</v>
      </c>
      <c r="D16" t="s">
        <v>223</v>
      </c>
      <c r="E16" t="s">
        <v>234</v>
      </c>
      <c r="F16" t="s">
        <v>183</v>
      </c>
      <c r="G16" t="s">
        <v>388</v>
      </c>
      <c r="H16" s="77">
        <v>28</v>
      </c>
      <c r="I16" s="124">
        <v>116.17</v>
      </c>
      <c r="J16" s="124">
        <v>3252.83</v>
      </c>
      <c r="K16" s="77">
        <v>60</v>
      </c>
      <c r="L16" t="s">
        <v>351</v>
      </c>
      <c r="M16" s="126">
        <v>650.56600000000003</v>
      </c>
      <c r="N16" s="124">
        <v>3252.83</v>
      </c>
      <c r="O16" t="s">
        <v>346</v>
      </c>
      <c r="P16" t="s">
        <v>294</v>
      </c>
    </row>
    <row r="17" spans="1:16" ht="15" customHeight="1" x14ac:dyDescent="0.25">
      <c r="A17" s="123">
        <v>45913</v>
      </c>
      <c r="B17" t="s">
        <v>370</v>
      </c>
      <c r="C17" t="s">
        <v>371</v>
      </c>
      <c r="D17" t="s">
        <v>227</v>
      </c>
      <c r="E17" t="s">
        <v>352</v>
      </c>
      <c r="F17" t="s">
        <v>180</v>
      </c>
      <c r="G17" t="s">
        <v>389</v>
      </c>
      <c r="H17" s="77">
        <v>51</v>
      </c>
      <c r="I17" s="124">
        <v>183.5</v>
      </c>
      <c r="J17" s="124">
        <v>9358.39</v>
      </c>
      <c r="K17" s="77">
        <v>60</v>
      </c>
      <c r="L17" t="s">
        <v>345</v>
      </c>
      <c r="M17" s="126">
        <v>1871.6780000000001</v>
      </c>
      <c r="N17" s="124">
        <v>9358.39</v>
      </c>
      <c r="O17" t="s">
        <v>346</v>
      </c>
      <c r="P17" t="s">
        <v>294</v>
      </c>
    </row>
    <row r="18" spans="1:16" ht="15" customHeight="1" x14ac:dyDescent="0.25">
      <c r="A18" s="123">
        <v>45784</v>
      </c>
      <c r="B18" t="s">
        <v>390</v>
      </c>
      <c r="C18" t="s">
        <v>391</v>
      </c>
      <c r="D18" t="s">
        <v>221</v>
      </c>
      <c r="E18" t="s">
        <v>356</v>
      </c>
      <c r="F18" t="s">
        <v>181</v>
      </c>
      <c r="G18" t="s">
        <v>392</v>
      </c>
      <c r="H18" s="77">
        <v>72</v>
      </c>
      <c r="I18" s="124">
        <v>126.04</v>
      </c>
      <c r="J18" s="124">
        <v>9074.6200000000008</v>
      </c>
      <c r="K18" s="77">
        <v>60</v>
      </c>
      <c r="L18" t="s">
        <v>345</v>
      </c>
      <c r="M18" s="126">
        <v>1814.924</v>
      </c>
      <c r="N18" s="124">
        <v>9074.6200000000008</v>
      </c>
      <c r="O18" t="s">
        <v>340</v>
      </c>
      <c r="P18" t="s">
        <v>294</v>
      </c>
    </row>
    <row r="19" spans="1:16" ht="15" customHeight="1" x14ac:dyDescent="0.25">
      <c r="A19" s="123">
        <v>45862</v>
      </c>
      <c r="B19" t="s">
        <v>393</v>
      </c>
      <c r="C19" t="s">
        <v>394</v>
      </c>
      <c r="D19" t="s">
        <v>227</v>
      </c>
      <c r="E19" t="s">
        <v>236</v>
      </c>
      <c r="F19" t="s">
        <v>183</v>
      </c>
      <c r="G19" t="s">
        <v>395</v>
      </c>
      <c r="H19" s="77">
        <v>47</v>
      </c>
      <c r="I19" s="124">
        <v>356.6</v>
      </c>
      <c r="J19" s="124">
        <v>16760.259999999998</v>
      </c>
      <c r="K19" s="77">
        <v>30</v>
      </c>
      <c r="L19" t="s">
        <v>339</v>
      </c>
      <c r="M19" s="126">
        <v>3352.0520000000001</v>
      </c>
      <c r="N19" s="124">
        <v>16760.259999999998</v>
      </c>
      <c r="O19" t="s">
        <v>346</v>
      </c>
      <c r="P19" t="s">
        <v>294</v>
      </c>
    </row>
    <row r="20" spans="1:16" ht="15" customHeight="1" x14ac:dyDescent="0.25">
      <c r="A20" s="123">
        <v>45682</v>
      </c>
      <c r="B20" t="s">
        <v>386</v>
      </c>
      <c r="C20" t="s">
        <v>387</v>
      </c>
      <c r="D20" t="s">
        <v>223</v>
      </c>
      <c r="E20" t="s">
        <v>396</v>
      </c>
      <c r="F20" t="s">
        <v>184</v>
      </c>
      <c r="G20" t="s">
        <v>397</v>
      </c>
      <c r="H20" s="77">
        <v>15</v>
      </c>
      <c r="I20" s="124">
        <v>45.52</v>
      </c>
      <c r="J20" s="124">
        <v>682.75</v>
      </c>
      <c r="K20" s="77">
        <v>30</v>
      </c>
      <c r="L20" t="s">
        <v>351</v>
      </c>
      <c r="M20" s="126">
        <v>136.55000000000001</v>
      </c>
      <c r="N20" s="124">
        <v>682.75</v>
      </c>
      <c r="O20" t="s">
        <v>346</v>
      </c>
      <c r="P20" t="s">
        <v>294</v>
      </c>
    </row>
    <row r="21" spans="1:16" ht="15" customHeight="1" x14ac:dyDescent="0.25">
      <c r="A21" s="123">
        <v>45690</v>
      </c>
      <c r="B21" t="s">
        <v>398</v>
      </c>
      <c r="C21" t="s">
        <v>399</v>
      </c>
      <c r="D21" t="s">
        <v>227</v>
      </c>
      <c r="E21" t="s">
        <v>236</v>
      </c>
      <c r="F21" t="s">
        <v>183</v>
      </c>
      <c r="G21" t="s">
        <v>400</v>
      </c>
      <c r="H21" s="77">
        <v>50</v>
      </c>
      <c r="I21" s="124">
        <v>137.97</v>
      </c>
      <c r="J21" s="124">
        <v>6898.36</v>
      </c>
      <c r="K21" s="77">
        <v>45</v>
      </c>
      <c r="L21" t="s">
        <v>351</v>
      </c>
      <c r="M21" s="126">
        <v>1379.672</v>
      </c>
      <c r="N21" s="124">
        <v>6898.36</v>
      </c>
      <c r="O21" t="s">
        <v>346</v>
      </c>
      <c r="P21" t="s">
        <v>294</v>
      </c>
    </row>
    <row r="22" spans="1:16" ht="15" customHeight="1" x14ac:dyDescent="0.25">
      <c r="A22" s="123">
        <v>45663</v>
      </c>
      <c r="B22" t="s">
        <v>401</v>
      </c>
      <c r="C22" t="s">
        <v>402</v>
      </c>
      <c r="D22" t="s">
        <v>221</v>
      </c>
      <c r="E22" t="s">
        <v>403</v>
      </c>
      <c r="F22" t="s">
        <v>181</v>
      </c>
      <c r="G22" t="s">
        <v>404</v>
      </c>
      <c r="H22" s="77">
        <v>15</v>
      </c>
      <c r="I22" s="124">
        <v>492.62</v>
      </c>
      <c r="J22" s="124">
        <v>7389.27</v>
      </c>
      <c r="K22" s="77">
        <v>60</v>
      </c>
      <c r="L22" t="s">
        <v>351</v>
      </c>
      <c r="M22" s="126">
        <v>1477.854</v>
      </c>
      <c r="N22" s="124">
        <v>7389.27</v>
      </c>
      <c r="O22" t="s">
        <v>346</v>
      </c>
      <c r="P22" t="s">
        <v>294</v>
      </c>
    </row>
    <row r="23" spans="1:16" ht="15" customHeight="1" x14ac:dyDescent="0.25">
      <c r="A23" s="123">
        <v>45832</v>
      </c>
      <c r="B23" t="s">
        <v>378</v>
      </c>
      <c r="C23" t="s">
        <v>379</v>
      </c>
      <c r="D23" t="s">
        <v>227</v>
      </c>
      <c r="E23" t="s">
        <v>403</v>
      </c>
      <c r="F23" t="s">
        <v>181</v>
      </c>
      <c r="G23" t="s">
        <v>405</v>
      </c>
      <c r="H23" s="77">
        <v>15</v>
      </c>
      <c r="I23" s="124">
        <v>194.31</v>
      </c>
      <c r="J23" s="124">
        <v>2914.64</v>
      </c>
      <c r="K23" s="77">
        <v>45</v>
      </c>
      <c r="L23" t="s">
        <v>345</v>
      </c>
      <c r="M23" s="126">
        <v>582.928</v>
      </c>
      <c r="N23" s="124">
        <v>2914.64</v>
      </c>
      <c r="O23" t="s">
        <v>346</v>
      </c>
      <c r="P23" t="s">
        <v>294</v>
      </c>
    </row>
    <row r="24" spans="1:16" ht="15" customHeight="1" x14ac:dyDescent="0.25">
      <c r="A24" s="123">
        <v>45792</v>
      </c>
      <c r="B24" t="s">
        <v>406</v>
      </c>
      <c r="C24" t="s">
        <v>407</v>
      </c>
      <c r="D24" t="s">
        <v>225</v>
      </c>
      <c r="E24" t="s">
        <v>396</v>
      </c>
      <c r="F24" t="s">
        <v>184</v>
      </c>
      <c r="G24" t="s">
        <v>408</v>
      </c>
      <c r="H24" s="77">
        <v>65</v>
      </c>
      <c r="I24" s="124">
        <v>77.84</v>
      </c>
      <c r="J24" s="124">
        <v>5059.46</v>
      </c>
      <c r="K24" s="77">
        <v>30</v>
      </c>
      <c r="L24" t="s">
        <v>351</v>
      </c>
      <c r="M24" s="126">
        <v>1011.8920000000001</v>
      </c>
      <c r="N24" s="124">
        <v>5059.46</v>
      </c>
      <c r="O24" t="s">
        <v>346</v>
      </c>
      <c r="P24" t="s">
        <v>294</v>
      </c>
    </row>
    <row r="25" spans="1:16" ht="15" customHeight="1" x14ac:dyDescent="0.25">
      <c r="A25" s="123">
        <v>45917</v>
      </c>
      <c r="B25" t="s">
        <v>409</v>
      </c>
      <c r="C25" t="s">
        <v>410</v>
      </c>
      <c r="D25" t="s">
        <v>223</v>
      </c>
      <c r="E25" t="s">
        <v>403</v>
      </c>
      <c r="F25" t="s">
        <v>181</v>
      </c>
      <c r="G25" t="s">
        <v>411</v>
      </c>
      <c r="H25" s="77">
        <v>78</v>
      </c>
      <c r="I25" s="124">
        <v>100.49</v>
      </c>
      <c r="J25" s="124">
        <v>7837.89</v>
      </c>
      <c r="K25" s="77">
        <v>30</v>
      </c>
      <c r="L25" t="s">
        <v>339</v>
      </c>
      <c r="M25" s="126">
        <v>1567.578</v>
      </c>
      <c r="N25" s="124">
        <v>7837.89</v>
      </c>
      <c r="O25" t="s">
        <v>346</v>
      </c>
      <c r="P25" t="s">
        <v>294</v>
      </c>
    </row>
    <row r="26" spans="1:16" ht="15" customHeight="1" x14ac:dyDescent="0.25">
      <c r="A26" s="123">
        <v>45929</v>
      </c>
      <c r="B26" t="s">
        <v>390</v>
      </c>
      <c r="C26" t="s">
        <v>391</v>
      </c>
      <c r="D26" t="s">
        <v>221</v>
      </c>
      <c r="E26" t="s">
        <v>412</v>
      </c>
      <c r="F26" t="s">
        <v>179</v>
      </c>
      <c r="G26" t="s">
        <v>413</v>
      </c>
      <c r="H26" s="77">
        <v>1</v>
      </c>
      <c r="I26" s="124">
        <v>133.43</v>
      </c>
      <c r="J26" s="124">
        <v>133.43</v>
      </c>
      <c r="K26" s="77">
        <v>60</v>
      </c>
      <c r="L26" t="s">
        <v>345</v>
      </c>
      <c r="M26" s="126">
        <v>26.686</v>
      </c>
      <c r="N26" s="124">
        <v>133.43</v>
      </c>
      <c r="O26" t="s">
        <v>346</v>
      </c>
      <c r="P26" t="s">
        <v>294</v>
      </c>
    </row>
    <row r="27" spans="1:16" ht="15" customHeight="1" x14ac:dyDescent="0.25">
      <c r="A27" s="123">
        <v>45843</v>
      </c>
      <c r="B27" t="s">
        <v>383</v>
      </c>
      <c r="C27" t="s">
        <v>384</v>
      </c>
      <c r="D27" t="s">
        <v>225</v>
      </c>
      <c r="E27" t="s">
        <v>349</v>
      </c>
      <c r="F27" t="s">
        <v>177</v>
      </c>
      <c r="G27" t="s">
        <v>414</v>
      </c>
      <c r="H27" s="77">
        <v>40</v>
      </c>
      <c r="I27" s="124">
        <v>127.55</v>
      </c>
      <c r="J27" s="124">
        <v>5101.95</v>
      </c>
      <c r="K27" s="77">
        <v>30</v>
      </c>
      <c r="L27" t="s">
        <v>339</v>
      </c>
      <c r="M27" s="126">
        <v>1020.39</v>
      </c>
      <c r="N27" s="124">
        <v>5101.95</v>
      </c>
      <c r="O27" t="s">
        <v>340</v>
      </c>
      <c r="P27" t="s">
        <v>294</v>
      </c>
    </row>
    <row r="28" spans="1:16" ht="15" customHeight="1" x14ac:dyDescent="0.25">
      <c r="A28" s="123">
        <v>45906</v>
      </c>
      <c r="B28" t="s">
        <v>335</v>
      </c>
      <c r="C28" t="s">
        <v>336</v>
      </c>
      <c r="D28" t="s">
        <v>223</v>
      </c>
      <c r="E28" t="s">
        <v>415</v>
      </c>
      <c r="F28" t="s">
        <v>178</v>
      </c>
      <c r="G28" t="s">
        <v>416</v>
      </c>
      <c r="H28" s="77">
        <v>9</v>
      </c>
      <c r="I28" s="124">
        <v>34.51</v>
      </c>
      <c r="J28" s="124">
        <v>310.62</v>
      </c>
      <c r="K28" s="77">
        <v>60</v>
      </c>
      <c r="L28" t="s">
        <v>339</v>
      </c>
      <c r="M28" s="126">
        <v>62.124000000000002</v>
      </c>
      <c r="N28" s="124">
        <v>310.62</v>
      </c>
      <c r="O28" t="s">
        <v>340</v>
      </c>
      <c r="P28" t="s">
        <v>294</v>
      </c>
    </row>
    <row r="29" spans="1:16" ht="15" customHeight="1" x14ac:dyDescent="0.25">
      <c r="A29" s="123">
        <v>45742</v>
      </c>
      <c r="B29" t="s">
        <v>406</v>
      </c>
      <c r="C29" t="s">
        <v>407</v>
      </c>
      <c r="D29" t="s">
        <v>225</v>
      </c>
      <c r="E29" t="s">
        <v>417</v>
      </c>
      <c r="F29" t="s">
        <v>184</v>
      </c>
      <c r="G29" t="s">
        <v>418</v>
      </c>
      <c r="H29" s="77">
        <v>34</v>
      </c>
      <c r="I29" s="124">
        <v>92.21</v>
      </c>
      <c r="J29" s="124">
        <v>3135.31</v>
      </c>
      <c r="K29" s="77">
        <v>60</v>
      </c>
      <c r="L29" t="s">
        <v>351</v>
      </c>
      <c r="M29" s="126">
        <v>627.06200000000001</v>
      </c>
      <c r="N29" s="124">
        <v>3135.31</v>
      </c>
      <c r="O29" t="s">
        <v>346</v>
      </c>
      <c r="P29" t="s">
        <v>294</v>
      </c>
    </row>
    <row r="30" spans="1:16" ht="15" customHeight="1" x14ac:dyDescent="0.25">
      <c r="A30" s="123">
        <v>46011</v>
      </c>
      <c r="B30" t="s">
        <v>347</v>
      </c>
      <c r="C30" t="s">
        <v>348</v>
      </c>
      <c r="D30" t="s">
        <v>223</v>
      </c>
      <c r="E30" t="s">
        <v>352</v>
      </c>
      <c r="F30" t="s">
        <v>180</v>
      </c>
      <c r="G30" t="s">
        <v>419</v>
      </c>
      <c r="H30" s="77">
        <v>26</v>
      </c>
      <c r="I30" s="124">
        <v>179.67</v>
      </c>
      <c r="J30" s="124">
        <v>4671.3599999999997</v>
      </c>
      <c r="K30" s="77">
        <v>60</v>
      </c>
      <c r="L30" t="s">
        <v>345</v>
      </c>
      <c r="M30" s="126">
        <v>934.27200000000005</v>
      </c>
      <c r="N30" s="124">
        <v>4671.3599999999997</v>
      </c>
      <c r="O30" t="s">
        <v>346</v>
      </c>
      <c r="P30" t="s">
        <v>294</v>
      </c>
    </row>
    <row r="31" spans="1:16" ht="15" customHeight="1" x14ac:dyDescent="0.25">
      <c r="A31" s="123">
        <v>45922</v>
      </c>
      <c r="B31" t="s">
        <v>335</v>
      </c>
      <c r="C31" t="s">
        <v>336</v>
      </c>
      <c r="D31" t="s">
        <v>223</v>
      </c>
      <c r="E31" t="s">
        <v>420</v>
      </c>
      <c r="F31" t="s">
        <v>182</v>
      </c>
      <c r="G31" t="s">
        <v>421</v>
      </c>
      <c r="H31" s="77">
        <v>58</v>
      </c>
      <c r="I31" s="124">
        <v>80.92</v>
      </c>
      <c r="J31" s="124">
        <v>4693.29</v>
      </c>
      <c r="K31" s="77">
        <v>30</v>
      </c>
      <c r="L31" t="s">
        <v>339</v>
      </c>
      <c r="M31" s="126">
        <v>938.65800000000002</v>
      </c>
      <c r="N31" s="124">
        <v>4693.29</v>
      </c>
      <c r="O31" t="s">
        <v>346</v>
      </c>
      <c r="P31" t="s">
        <v>294</v>
      </c>
    </row>
    <row r="32" spans="1:16" ht="15" customHeight="1" x14ac:dyDescent="0.25">
      <c r="A32" s="123">
        <v>45668</v>
      </c>
      <c r="B32" t="s">
        <v>409</v>
      </c>
      <c r="C32" t="s">
        <v>410</v>
      </c>
      <c r="D32" t="s">
        <v>223</v>
      </c>
      <c r="E32" t="s">
        <v>368</v>
      </c>
      <c r="F32" t="s">
        <v>178</v>
      </c>
      <c r="G32" t="s">
        <v>422</v>
      </c>
      <c r="H32" s="77">
        <v>76</v>
      </c>
      <c r="I32" s="124">
        <v>46.69</v>
      </c>
      <c r="J32" s="124">
        <v>3548.15</v>
      </c>
      <c r="K32" s="77">
        <v>60</v>
      </c>
      <c r="L32" t="s">
        <v>339</v>
      </c>
      <c r="M32" s="126">
        <v>709.63</v>
      </c>
      <c r="N32" s="124">
        <v>3548.15</v>
      </c>
      <c r="O32" t="s">
        <v>346</v>
      </c>
      <c r="P32" t="s">
        <v>294</v>
      </c>
    </row>
    <row r="33" spans="1:16" ht="15" customHeight="1" x14ac:dyDescent="0.25">
      <c r="A33" s="123">
        <v>45694</v>
      </c>
      <c r="B33" t="s">
        <v>409</v>
      </c>
      <c r="C33" t="s">
        <v>410</v>
      </c>
      <c r="D33" t="s">
        <v>223</v>
      </c>
      <c r="E33" t="s">
        <v>423</v>
      </c>
      <c r="F33" t="s">
        <v>180</v>
      </c>
      <c r="G33" t="s">
        <v>424</v>
      </c>
      <c r="H33" s="77">
        <v>8</v>
      </c>
      <c r="I33" s="124">
        <v>692.43</v>
      </c>
      <c r="J33" s="124">
        <v>5539.48</v>
      </c>
      <c r="K33" s="77">
        <v>30</v>
      </c>
      <c r="L33" t="s">
        <v>339</v>
      </c>
      <c r="M33" s="126">
        <v>1107.896</v>
      </c>
      <c r="N33" s="124">
        <v>5539.48</v>
      </c>
      <c r="O33" t="s">
        <v>346</v>
      </c>
      <c r="P33" t="s">
        <v>294</v>
      </c>
    </row>
    <row r="34" spans="1:16" ht="15" customHeight="1" x14ac:dyDescent="0.25">
      <c r="A34" s="123">
        <v>45921</v>
      </c>
      <c r="B34" t="s">
        <v>386</v>
      </c>
      <c r="C34" t="s">
        <v>387</v>
      </c>
      <c r="D34" t="s">
        <v>223</v>
      </c>
      <c r="E34" t="s">
        <v>376</v>
      </c>
      <c r="F34" t="s">
        <v>182</v>
      </c>
      <c r="G34" t="s">
        <v>425</v>
      </c>
      <c r="H34" s="77">
        <v>31</v>
      </c>
      <c r="I34" s="124">
        <v>94.3</v>
      </c>
      <c r="J34" s="124">
        <v>2923.22</v>
      </c>
      <c r="K34" s="77">
        <v>45</v>
      </c>
      <c r="L34" t="s">
        <v>351</v>
      </c>
      <c r="M34" s="126">
        <v>584.64400000000001</v>
      </c>
      <c r="N34" s="124">
        <v>2923.22</v>
      </c>
      <c r="O34" t="s">
        <v>340</v>
      </c>
      <c r="P34" t="s">
        <v>294</v>
      </c>
    </row>
    <row r="35" spans="1:16" ht="15" customHeight="1" x14ac:dyDescent="0.25">
      <c r="A35" s="123">
        <v>45725</v>
      </c>
      <c r="B35" t="s">
        <v>398</v>
      </c>
      <c r="C35" t="s">
        <v>399</v>
      </c>
      <c r="D35" t="s">
        <v>227</v>
      </c>
      <c r="E35" t="s">
        <v>352</v>
      </c>
      <c r="F35" t="s">
        <v>180</v>
      </c>
      <c r="G35" t="s">
        <v>426</v>
      </c>
      <c r="H35" s="77">
        <v>74</v>
      </c>
      <c r="I35" s="124">
        <v>139.72999999999999</v>
      </c>
      <c r="J35" s="124">
        <v>10340.1</v>
      </c>
      <c r="K35" s="77">
        <v>60</v>
      </c>
      <c r="L35" t="s">
        <v>345</v>
      </c>
      <c r="M35" s="126">
        <v>2068.02</v>
      </c>
      <c r="N35" s="124">
        <v>10340.1</v>
      </c>
      <c r="O35" t="s">
        <v>346</v>
      </c>
      <c r="P35" t="s">
        <v>294</v>
      </c>
    </row>
    <row r="36" spans="1:16" ht="15" customHeight="1" x14ac:dyDescent="0.25">
      <c r="A36" s="123">
        <v>45755</v>
      </c>
      <c r="B36" t="s">
        <v>373</v>
      </c>
      <c r="C36" t="s">
        <v>374</v>
      </c>
      <c r="D36" t="s">
        <v>225</v>
      </c>
      <c r="E36" t="s">
        <v>427</v>
      </c>
      <c r="F36" t="s">
        <v>184</v>
      </c>
      <c r="G36" t="s">
        <v>428</v>
      </c>
      <c r="H36" s="77">
        <v>13</v>
      </c>
      <c r="I36" s="124">
        <v>117.91</v>
      </c>
      <c r="J36" s="124">
        <v>1532.78</v>
      </c>
      <c r="K36" s="77">
        <v>30</v>
      </c>
      <c r="L36" t="s">
        <v>351</v>
      </c>
      <c r="M36" s="126">
        <v>306.55599999999998</v>
      </c>
      <c r="N36" s="124">
        <v>1532.78</v>
      </c>
      <c r="O36" t="s">
        <v>346</v>
      </c>
      <c r="P36" t="s">
        <v>294</v>
      </c>
    </row>
    <row r="37" spans="1:16" ht="15" customHeight="1" x14ac:dyDescent="0.25">
      <c r="A37" s="123">
        <v>45868</v>
      </c>
      <c r="B37" t="s">
        <v>370</v>
      </c>
      <c r="C37" t="s">
        <v>371</v>
      </c>
      <c r="D37" t="s">
        <v>227</v>
      </c>
      <c r="E37" t="s">
        <v>420</v>
      </c>
      <c r="F37" t="s">
        <v>182</v>
      </c>
      <c r="G37" t="s">
        <v>429</v>
      </c>
      <c r="H37" s="77">
        <v>60</v>
      </c>
      <c r="I37" s="124">
        <v>48.54</v>
      </c>
      <c r="J37" s="124">
        <v>2912.47</v>
      </c>
      <c r="K37" s="77">
        <v>60</v>
      </c>
      <c r="L37" t="s">
        <v>339</v>
      </c>
      <c r="M37" s="126">
        <v>582.49400000000003</v>
      </c>
      <c r="N37" s="124">
        <v>2912.47</v>
      </c>
      <c r="O37" t="s">
        <v>346</v>
      </c>
      <c r="P37" t="s">
        <v>294</v>
      </c>
    </row>
    <row r="38" spans="1:16" ht="15" customHeight="1" x14ac:dyDescent="0.25">
      <c r="A38" s="123">
        <v>45864</v>
      </c>
      <c r="B38" t="s">
        <v>358</v>
      </c>
      <c r="C38" t="s">
        <v>359</v>
      </c>
      <c r="D38" t="s">
        <v>225</v>
      </c>
      <c r="E38" t="s">
        <v>415</v>
      </c>
      <c r="F38" t="s">
        <v>178</v>
      </c>
      <c r="G38" t="s">
        <v>430</v>
      </c>
      <c r="H38" s="77">
        <v>44</v>
      </c>
      <c r="I38" s="124">
        <v>72.91</v>
      </c>
      <c r="J38" s="124">
        <v>3208.16</v>
      </c>
      <c r="K38" s="77">
        <v>30</v>
      </c>
      <c r="L38" t="s">
        <v>339</v>
      </c>
      <c r="M38" s="126">
        <v>641.63199999999995</v>
      </c>
      <c r="N38" s="124">
        <v>3208.16</v>
      </c>
      <c r="O38" t="s">
        <v>340</v>
      </c>
      <c r="P38" t="s">
        <v>294</v>
      </c>
    </row>
    <row r="39" spans="1:16" ht="15" customHeight="1" x14ac:dyDescent="0.25">
      <c r="A39" s="123">
        <v>45887</v>
      </c>
      <c r="B39" t="s">
        <v>431</v>
      </c>
      <c r="C39" t="s">
        <v>432</v>
      </c>
      <c r="D39" t="s">
        <v>221</v>
      </c>
      <c r="E39" t="s">
        <v>352</v>
      </c>
      <c r="F39" t="s">
        <v>180</v>
      </c>
      <c r="G39" t="s">
        <v>433</v>
      </c>
      <c r="H39" s="77">
        <v>18</v>
      </c>
      <c r="I39" s="124">
        <v>85.08</v>
      </c>
      <c r="J39" s="124">
        <v>1531.52</v>
      </c>
      <c r="K39" s="77">
        <v>45</v>
      </c>
      <c r="L39" t="s">
        <v>339</v>
      </c>
      <c r="M39" s="126">
        <v>306.30399999999997</v>
      </c>
      <c r="N39" s="124">
        <v>1531.52</v>
      </c>
      <c r="O39" t="s">
        <v>346</v>
      </c>
      <c r="P39" t="s">
        <v>294</v>
      </c>
    </row>
    <row r="40" spans="1:16" ht="15" customHeight="1" x14ac:dyDescent="0.25">
      <c r="A40" s="123">
        <v>45696</v>
      </c>
      <c r="B40" t="s">
        <v>347</v>
      </c>
      <c r="C40" t="s">
        <v>348</v>
      </c>
      <c r="D40" t="s">
        <v>223</v>
      </c>
      <c r="E40" t="s">
        <v>396</v>
      </c>
      <c r="F40" t="s">
        <v>184</v>
      </c>
      <c r="G40" t="s">
        <v>434</v>
      </c>
      <c r="H40" s="77">
        <v>57</v>
      </c>
      <c r="I40" s="124">
        <v>36.130000000000003</v>
      </c>
      <c r="J40" s="124">
        <v>2059.13</v>
      </c>
      <c r="K40" s="77">
        <v>60</v>
      </c>
      <c r="L40" t="s">
        <v>339</v>
      </c>
      <c r="M40" s="126">
        <v>411.82600000000002</v>
      </c>
      <c r="N40" s="124">
        <v>2059.13</v>
      </c>
      <c r="O40" t="s">
        <v>346</v>
      </c>
      <c r="P40" t="s">
        <v>294</v>
      </c>
    </row>
    <row r="41" spans="1:16" ht="15" customHeight="1" x14ac:dyDescent="0.25">
      <c r="A41" s="123">
        <v>45779</v>
      </c>
      <c r="B41" t="s">
        <v>406</v>
      </c>
      <c r="C41" t="s">
        <v>407</v>
      </c>
      <c r="D41" t="s">
        <v>225</v>
      </c>
      <c r="E41" t="s">
        <v>349</v>
      </c>
      <c r="F41" t="s">
        <v>177</v>
      </c>
      <c r="G41" t="s">
        <v>435</v>
      </c>
      <c r="H41" s="77">
        <v>22</v>
      </c>
      <c r="I41" s="124">
        <v>133.72</v>
      </c>
      <c r="J41" s="124">
        <v>2941.89</v>
      </c>
      <c r="K41" s="77">
        <v>45</v>
      </c>
      <c r="L41" t="s">
        <v>345</v>
      </c>
      <c r="M41" s="126">
        <v>588.37800000000004</v>
      </c>
      <c r="N41" s="124">
        <v>2941.89</v>
      </c>
      <c r="O41" t="s">
        <v>340</v>
      </c>
      <c r="P41" t="s">
        <v>294</v>
      </c>
    </row>
    <row r="42" spans="1:16" ht="15" customHeight="1" x14ac:dyDescent="0.25">
      <c r="A42" s="123">
        <v>45688</v>
      </c>
      <c r="B42" t="s">
        <v>378</v>
      </c>
      <c r="C42" t="s">
        <v>379</v>
      </c>
      <c r="D42" t="s">
        <v>227</v>
      </c>
      <c r="E42" t="s">
        <v>360</v>
      </c>
      <c r="F42" t="s">
        <v>180</v>
      </c>
      <c r="G42" t="s">
        <v>436</v>
      </c>
      <c r="H42" s="77">
        <v>22</v>
      </c>
      <c r="I42" s="124">
        <v>375.26</v>
      </c>
      <c r="J42" s="124">
        <v>8255.7099999999991</v>
      </c>
      <c r="K42" s="77">
        <v>45</v>
      </c>
      <c r="L42" t="s">
        <v>339</v>
      </c>
      <c r="M42" s="126">
        <v>1651.1420000000001</v>
      </c>
      <c r="N42" s="124">
        <v>8255.7099999999991</v>
      </c>
      <c r="O42" t="s">
        <v>346</v>
      </c>
      <c r="P42" t="s">
        <v>294</v>
      </c>
    </row>
    <row r="43" spans="1:16" ht="15" customHeight="1" x14ac:dyDescent="0.25">
      <c r="A43" s="123">
        <v>45804</v>
      </c>
      <c r="B43" t="s">
        <v>401</v>
      </c>
      <c r="C43" t="s">
        <v>402</v>
      </c>
      <c r="D43" t="s">
        <v>221</v>
      </c>
      <c r="E43" t="s">
        <v>437</v>
      </c>
      <c r="F43" t="s">
        <v>181</v>
      </c>
      <c r="G43" t="s">
        <v>438</v>
      </c>
      <c r="H43" s="77">
        <v>55</v>
      </c>
      <c r="I43" s="124">
        <v>241.74</v>
      </c>
      <c r="J43" s="124">
        <v>13295.93</v>
      </c>
      <c r="K43" s="77">
        <v>60</v>
      </c>
      <c r="L43" t="s">
        <v>351</v>
      </c>
      <c r="M43" s="126">
        <v>2659.1860000000001</v>
      </c>
      <c r="N43" s="124">
        <v>13295.93</v>
      </c>
      <c r="O43" t="s">
        <v>346</v>
      </c>
      <c r="P43" t="s">
        <v>294</v>
      </c>
    </row>
    <row r="44" spans="1:16" ht="15" customHeight="1" x14ac:dyDescent="0.25">
      <c r="A44" s="123">
        <v>45755</v>
      </c>
      <c r="B44" t="s">
        <v>335</v>
      </c>
      <c r="C44" t="s">
        <v>336</v>
      </c>
      <c r="D44" t="s">
        <v>223</v>
      </c>
      <c r="E44" t="s">
        <v>396</v>
      </c>
      <c r="F44" t="s">
        <v>184</v>
      </c>
      <c r="G44" t="s">
        <v>439</v>
      </c>
      <c r="H44" s="77">
        <v>38</v>
      </c>
      <c r="I44" s="124">
        <v>70.38</v>
      </c>
      <c r="J44" s="124">
        <v>2674.37</v>
      </c>
      <c r="K44" s="77">
        <v>30</v>
      </c>
      <c r="L44" t="s">
        <v>339</v>
      </c>
      <c r="M44" s="126">
        <v>534.87400000000002</v>
      </c>
      <c r="N44" s="124">
        <v>2674.37</v>
      </c>
      <c r="O44" t="s">
        <v>346</v>
      </c>
      <c r="P44" t="s">
        <v>294</v>
      </c>
    </row>
    <row r="45" spans="1:16" ht="15" customHeight="1" x14ac:dyDescent="0.25">
      <c r="A45" s="123">
        <v>45818</v>
      </c>
      <c r="B45" t="s">
        <v>401</v>
      </c>
      <c r="C45" t="s">
        <v>402</v>
      </c>
      <c r="D45" t="s">
        <v>221</v>
      </c>
      <c r="E45" t="s">
        <v>440</v>
      </c>
      <c r="F45" t="s">
        <v>177</v>
      </c>
      <c r="G45" t="s">
        <v>441</v>
      </c>
      <c r="H45" s="77">
        <v>8</v>
      </c>
      <c r="I45" s="124">
        <v>101.69</v>
      </c>
      <c r="J45" s="124">
        <v>813.48</v>
      </c>
      <c r="K45" s="77">
        <v>30</v>
      </c>
      <c r="L45" t="s">
        <v>351</v>
      </c>
      <c r="M45" s="126">
        <v>162.696</v>
      </c>
      <c r="N45" s="124">
        <v>813.48</v>
      </c>
      <c r="O45" t="s">
        <v>346</v>
      </c>
      <c r="P45" t="s">
        <v>294</v>
      </c>
    </row>
    <row r="46" spans="1:16" ht="15" customHeight="1" x14ac:dyDescent="0.25">
      <c r="A46" s="123">
        <v>45918</v>
      </c>
      <c r="B46" t="s">
        <v>390</v>
      </c>
      <c r="C46" t="s">
        <v>391</v>
      </c>
      <c r="D46" t="s">
        <v>221</v>
      </c>
      <c r="E46" t="s">
        <v>442</v>
      </c>
      <c r="F46" t="s">
        <v>179</v>
      </c>
      <c r="G46" t="s">
        <v>443</v>
      </c>
      <c r="H46" s="77">
        <v>11</v>
      </c>
      <c r="I46" s="124">
        <v>79.819999999999993</v>
      </c>
      <c r="J46" s="124">
        <v>878.02</v>
      </c>
      <c r="K46" s="77">
        <v>30</v>
      </c>
      <c r="L46" t="s">
        <v>339</v>
      </c>
      <c r="M46" s="126">
        <v>175.60400000000001</v>
      </c>
      <c r="N46" s="124">
        <v>878.02</v>
      </c>
      <c r="O46" t="s">
        <v>340</v>
      </c>
      <c r="P46" t="s">
        <v>294</v>
      </c>
    </row>
    <row r="47" spans="1:16" ht="15" customHeight="1" x14ac:dyDescent="0.25">
      <c r="A47" s="123">
        <v>45778</v>
      </c>
      <c r="B47" t="s">
        <v>398</v>
      </c>
      <c r="C47" t="s">
        <v>399</v>
      </c>
      <c r="D47" t="s">
        <v>227</v>
      </c>
      <c r="E47" t="s">
        <v>343</v>
      </c>
      <c r="F47" t="s">
        <v>178</v>
      </c>
      <c r="G47" t="s">
        <v>444</v>
      </c>
      <c r="H47" s="77">
        <v>52</v>
      </c>
      <c r="I47" s="124">
        <v>43.75</v>
      </c>
      <c r="J47" s="124">
        <v>2274.96</v>
      </c>
      <c r="K47" s="77">
        <v>30</v>
      </c>
      <c r="L47" t="s">
        <v>351</v>
      </c>
      <c r="M47" s="126">
        <v>454.99200000000002</v>
      </c>
      <c r="N47" s="124">
        <v>2274.96</v>
      </c>
      <c r="O47" t="s">
        <v>346</v>
      </c>
      <c r="P47" t="s">
        <v>294</v>
      </c>
    </row>
    <row r="48" spans="1:16" ht="15" customHeight="1" x14ac:dyDescent="0.25">
      <c r="A48" s="123">
        <v>45699</v>
      </c>
      <c r="B48" t="s">
        <v>362</v>
      </c>
      <c r="C48" t="s">
        <v>363</v>
      </c>
      <c r="D48" t="s">
        <v>221</v>
      </c>
      <c r="E48" t="s">
        <v>440</v>
      </c>
      <c r="F48" t="s">
        <v>177</v>
      </c>
      <c r="G48" t="s">
        <v>445</v>
      </c>
      <c r="H48" s="77">
        <v>54</v>
      </c>
      <c r="I48" s="124">
        <v>93.14</v>
      </c>
      <c r="J48" s="124">
        <v>5029.74</v>
      </c>
      <c r="K48" s="77">
        <v>60</v>
      </c>
      <c r="L48" t="s">
        <v>351</v>
      </c>
      <c r="M48" s="126">
        <v>1005.948</v>
      </c>
      <c r="N48" s="124">
        <v>5029.74</v>
      </c>
      <c r="O48" t="s">
        <v>346</v>
      </c>
      <c r="P48" t="s">
        <v>294</v>
      </c>
    </row>
    <row r="49" spans="1:16" ht="15" customHeight="1" x14ac:dyDescent="0.25">
      <c r="A49" s="123">
        <v>45762</v>
      </c>
      <c r="B49" t="s">
        <v>409</v>
      </c>
      <c r="C49" t="s">
        <v>410</v>
      </c>
      <c r="D49" t="s">
        <v>223</v>
      </c>
      <c r="E49" t="s">
        <v>420</v>
      </c>
      <c r="F49" t="s">
        <v>182</v>
      </c>
      <c r="G49" t="s">
        <v>446</v>
      </c>
      <c r="H49" s="77">
        <v>41</v>
      </c>
      <c r="I49" s="124">
        <v>169.91</v>
      </c>
      <c r="J49" s="124">
        <v>6966.49</v>
      </c>
      <c r="K49" s="77">
        <v>30</v>
      </c>
      <c r="L49" t="s">
        <v>345</v>
      </c>
      <c r="M49" s="126">
        <v>1393.298</v>
      </c>
      <c r="N49" s="124">
        <v>6966.49</v>
      </c>
      <c r="O49" t="s">
        <v>346</v>
      </c>
      <c r="P49" t="s">
        <v>294</v>
      </c>
    </row>
    <row r="50" spans="1:16" ht="15" customHeight="1" x14ac:dyDescent="0.25">
      <c r="A50" s="123">
        <v>45988</v>
      </c>
      <c r="B50" t="s">
        <v>362</v>
      </c>
      <c r="C50" t="s">
        <v>363</v>
      </c>
      <c r="D50" t="s">
        <v>221</v>
      </c>
      <c r="E50" t="s">
        <v>412</v>
      </c>
      <c r="F50" t="s">
        <v>179</v>
      </c>
      <c r="G50" t="s">
        <v>447</v>
      </c>
      <c r="H50" s="77">
        <v>39</v>
      </c>
      <c r="I50" s="124">
        <v>217.45</v>
      </c>
      <c r="J50" s="124">
        <v>8480.36</v>
      </c>
      <c r="K50" s="77">
        <v>45</v>
      </c>
      <c r="L50" t="s">
        <v>345</v>
      </c>
      <c r="M50" s="126">
        <v>1696.0719999999999</v>
      </c>
      <c r="N50" s="124">
        <v>8480.36</v>
      </c>
      <c r="O50" t="s">
        <v>346</v>
      </c>
      <c r="P50" t="s">
        <v>294</v>
      </c>
    </row>
    <row r="51" spans="1:16" ht="15" customHeight="1" x14ac:dyDescent="0.25">
      <c r="A51" s="123">
        <v>45892</v>
      </c>
      <c r="B51" t="s">
        <v>347</v>
      </c>
      <c r="C51" t="s">
        <v>348</v>
      </c>
      <c r="D51" t="s">
        <v>223</v>
      </c>
      <c r="E51" t="s">
        <v>415</v>
      </c>
      <c r="F51" t="s">
        <v>178</v>
      </c>
      <c r="G51" t="s">
        <v>448</v>
      </c>
      <c r="H51" s="77">
        <v>80</v>
      </c>
      <c r="I51" s="124">
        <v>24.65</v>
      </c>
      <c r="J51" s="124">
        <v>1971.88</v>
      </c>
      <c r="K51" s="77">
        <v>60</v>
      </c>
      <c r="L51" t="s">
        <v>339</v>
      </c>
      <c r="M51" s="126">
        <v>394.37599999999998</v>
      </c>
      <c r="N51" s="124">
        <v>1971.88</v>
      </c>
      <c r="O51" t="s">
        <v>340</v>
      </c>
      <c r="P51" t="s">
        <v>294</v>
      </c>
    </row>
    <row r="52" spans="1:16" ht="15" customHeight="1" x14ac:dyDescent="0.25">
      <c r="A52" s="123">
        <v>45793</v>
      </c>
      <c r="B52" t="s">
        <v>431</v>
      </c>
      <c r="C52" t="s">
        <v>432</v>
      </c>
      <c r="D52" t="s">
        <v>221</v>
      </c>
      <c r="E52" t="s">
        <v>352</v>
      </c>
      <c r="F52" t="s">
        <v>180</v>
      </c>
      <c r="G52" t="s">
        <v>449</v>
      </c>
      <c r="H52" s="77">
        <v>17</v>
      </c>
      <c r="I52" s="124">
        <v>298.77999999999997</v>
      </c>
      <c r="J52" s="124">
        <v>5079.26</v>
      </c>
      <c r="K52" s="77">
        <v>45</v>
      </c>
      <c r="L52" t="s">
        <v>339</v>
      </c>
      <c r="M52" s="126">
        <v>1015.852</v>
      </c>
      <c r="N52" s="124">
        <v>5079.26</v>
      </c>
      <c r="O52" t="s">
        <v>346</v>
      </c>
      <c r="P52" t="s">
        <v>294</v>
      </c>
    </row>
    <row r="53" spans="1:16" ht="15" customHeight="1" x14ac:dyDescent="0.25">
      <c r="A53" s="123">
        <v>45738</v>
      </c>
      <c r="B53" t="s">
        <v>335</v>
      </c>
      <c r="C53" t="s">
        <v>336</v>
      </c>
      <c r="D53" t="s">
        <v>223</v>
      </c>
      <c r="E53" t="s">
        <v>420</v>
      </c>
      <c r="F53" t="s">
        <v>182</v>
      </c>
      <c r="G53" t="s">
        <v>450</v>
      </c>
      <c r="H53" s="77">
        <v>57</v>
      </c>
      <c r="I53" s="124">
        <v>76.87</v>
      </c>
      <c r="J53" s="124">
        <v>4381.4399999999996</v>
      </c>
      <c r="K53" s="77">
        <v>60</v>
      </c>
      <c r="L53" t="s">
        <v>351</v>
      </c>
      <c r="M53" s="126">
        <v>876.28800000000001</v>
      </c>
      <c r="N53" s="124">
        <v>4381.4399999999996</v>
      </c>
      <c r="O53" t="s">
        <v>346</v>
      </c>
      <c r="P53" t="s">
        <v>294</v>
      </c>
    </row>
    <row r="54" spans="1:16" ht="15" customHeight="1" x14ac:dyDescent="0.25">
      <c r="A54" s="123">
        <v>45941</v>
      </c>
      <c r="B54" t="s">
        <v>366</v>
      </c>
      <c r="C54" t="s">
        <v>367</v>
      </c>
      <c r="D54" t="s">
        <v>221</v>
      </c>
      <c r="E54" t="s">
        <v>440</v>
      </c>
      <c r="F54" t="s">
        <v>177</v>
      </c>
      <c r="G54" t="s">
        <v>451</v>
      </c>
      <c r="H54" s="77">
        <v>39</v>
      </c>
      <c r="I54" s="124">
        <v>82.7</v>
      </c>
      <c r="J54" s="124">
        <v>3225.19</v>
      </c>
      <c r="K54" s="77">
        <v>60</v>
      </c>
      <c r="L54" t="s">
        <v>339</v>
      </c>
      <c r="M54" s="126">
        <v>645.03800000000001</v>
      </c>
      <c r="N54" s="124">
        <v>3225.19</v>
      </c>
      <c r="O54" t="s">
        <v>346</v>
      </c>
      <c r="P54" t="s">
        <v>294</v>
      </c>
    </row>
    <row r="55" spans="1:16" ht="15" customHeight="1" x14ac:dyDescent="0.25">
      <c r="A55" s="123">
        <v>45712</v>
      </c>
      <c r="B55" t="s">
        <v>370</v>
      </c>
      <c r="C55" t="s">
        <v>371</v>
      </c>
      <c r="D55" t="s">
        <v>227</v>
      </c>
      <c r="E55" t="s">
        <v>356</v>
      </c>
      <c r="F55" t="s">
        <v>181</v>
      </c>
      <c r="G55" t="s">
        <v>452</v>
      </c>
      <c r="H55" s="77">
        <v>71</v>
      </c>
      <c r="I55" s="124">
        <v>307.98</v>
      </c>
      <c r="J55" s="124">
        <v>21866.9</v>
      </c>
      <c r="K55" s="77">
        <v>30</v>
      </c>
      <c r="L55" t="s">
        <v>345</v>
      </c>
      <c r="M55" s="126">
        <v>4373.38</v>
      </c>
      <c r="N55" s="124">
        <v>21866.9</v>
      </c>
      <c r="O55" t="s">
        <v>340</v>
      </c>
      <c r="P55" t="s">
        <v>294</v>
      </c>
    </row>
    <row r="56" spans="1:16" ht="15" customHeight="1" x14ac:dyDescent="0.25">
      <c r="A56" s="123">
        <v>45833</v>
      </c>
      <c r="B56" t="s">
        <v>358</v>
      </c>
      <c r="C56" t="s">
        <v>359</v>
      </c>
      <c r="D56" t="s">
        <v>225</v>
      </c>
      <c r="E56" t="s">
        <v>352</v>
      </c>
      <c r="F56" t="s">
        <v>180</v>
      </c>
      <c r="G56" t="s">
        <v>453</v>
      </c>
      <c r="H56" s="77">
        <v>27</v>
      </c>
      <c r="I56" s="124">
        <v>440.76</v>
      </c>
      <c r="J56" s="124">
        <v>11900.64</v>
      </c>
      <c r="K56" s="77">
        <v>60</v>
      </c>
      <c r="L56" t="s">
        <v>351</v>
      </c>
      <c r="M56" s="126">
        <v>2380.1280000000002</v>
      </c>
      <c r="N56" s="124">
        <v>11900.64</v>
      </c>
      <c r="O56" t="s">
        <v>346</v>
      </c>
      <c r="P56" t="s">
        <v>294</v>
      </c>
    </row>
    <row r="57" spans="1:16" ht="15" customHeight="1" x14ac:dyDescent="0.25">
      <c r="A57" s="123">
        <v>45684</v>
      </c>
      <c r="B57" t="s">
        <v>358</v>
      </c>
      <c r="C57" t="s">
        <v>359</v>
      </c>
      <c r="D57" t="s">
        <v>225</v>
      </c>
      <c r="E57" t="s">
        <v>427</v>
      </c>
      <c r="F57" t="s">
        <v>184</v>
      </c>
      <c r="G57" t="s">
        <v>454</v>
      </c>
      <c r="H57" s="77">
        <v>12</v>
      </c>
      <c r="I57" s="124">
        <v>125.17</v>
      </c>
      <c r="J57" s="124">
        <v>1502.07</v>
      </c>
      <c r="K57" s="77">
        <v>60</v>
      </c>
      <c r="L57" t="s">
        <v>345</v>
      </c>
      <c r="M57" s="126">
        <v>300.41399999999999</v>
      </c>
      <c r="N57" s="124">
        <v>1502.07</v>
      </c>
      <c r="O57" t="s">
        <v>346</v>
      </c>
      <c r="P57" t="s">
        <v>294</v>
      </c>
    </row>
    <row r="58" spans="1:16" ht="15" customHeight="1" x14ac:dyDescent="0.25">
      <c r="A58" s="123">
        <v>45828</v>
      </c>
      <c r="B58" t="s">
        <v>393</v>
      </c>
      <c r="C58" t="s">
        <v>394</v>
      </c>
      <c r="D58" t="s">
        <v>227</v>
      </c>
      <c r="E58" t="s">
        <v>349</v>
      </c>
      <c r="F58" t="s">
        <v>177</v>
      </c>
      <c r="G58" t="s">
        <v>455</v>
      </c>
      <c r="H58" s="77">
        <v>17</v>
      </c>
      <c r="I58" s="124">
        <v>75.64</v>
      </c>
      <c r="J58" s="124">
        <v>1285.8</v>
      </c>
      <c r="K58" s="77">
        <v>60</v>
      </c>
      <c r="L58" t="s">
        <v>345</v>
      </c>
      <c r="M58" s="126">
        <v>257.16000000000003</v>
      </c>
      <c r="N58" s="124">
        <v>1285.8</v>
      </c>
      <c r="O58" t="s">
        <v>340</v>
      </c>
      <c r="P58" t="s">
        <v>294</v>
      </c>
    </row>
    <row r="59" spans="1:16" ht="15" customHeight="1" x14ac:dyDescent="0.25">
      <c r="A59" s="123">
        <v>46019</v>
      </c>
      <c r="B59" t="s">
        <v>335</v>
      </c>
      <c r="C59" t="s">
        <v>336</v>
      </c>
      <c r="D59" t="s">
        <v>223</v>
      </c>
      <c r="E59" t="s">
        <v>417</v>
      </c>
      <c r="F59" t="s">
        <v>184</v>
      </c>
      <c r="G59" t="s">
        <v>456</v>
      </c>
      <c r="H59" s="77">
        <v>55</v>
      </c>
      <c r="I59" s="124">
        <v>63.27</v>
      </c>
      <c r="J59" s="124">
        <v>3479.88</v>
      </c>
      <c r="K59" s="77">
        <v>60</v>
      </c>
      <c r="L59" t="s">
        <v>339</v>
      </c>
      <c r="M59" s="126">
        <v>695.976</v>
      </c>
      <c r="N59" s="124">
        <v>3479.88</v>
      </c>
      <c r="O59" t="s">
        <v>346</v>
      </c>
      <c r="P59" t="s">
        <v>294</v>
      </c>
    </row>
    <row r="60" spans="1:16" ht="15" customHeight="1" x14ac:dyDescent="0.25">
      <c r="A60" s="123">
        <v>45734</v>
      </c>
      <c r="B60" t="s">
        <v>362</v>
      </c>
      <c r="C60" t="s">
        <v>363</v>
      </c>
      <c r="D60" t="s">
        <v>221</v>
      </c>
      <c r="E60" t="s">
        <v>343</v>
      </c>
      <c r="F60" t="s">
        <v>178</v>
      </c>
      <c r="G60" t="s">
        <v>457</v>
      </c>
      <c r="H60" s="77">
        <v>70</v>
      </c>
      <c r="I60" s="124">
        <v>77.989999999999995</v>
      </c>
      <c r="J60" s="124">
        <v>5459.31</v>
      </c>
      <c r="K60" s="77">
        <v>30</v>
      </c>
      <c r="L60" t="s">
        <v>345</v>
      </c>
      <c r="M60" s="126">
        <v>1091.8620000000001</v>
      </c>
      <c r="N60" s="124">
        <v>5459.31</v>
      </c>
      <c r="O60" t="s">
        <v>346</v>
      </c>
      <c r="P60" t="s">
        <v>294</v>
      </c>
    </row>
    <row r="61" spans="1:16" ht="15" customHeight="1" x14ac:dyDescent="0.25">
      <c r="A61" s="123">
        <v>45723</v>
      </c>
      <c r="B61" t="s">
        <v>366</v>
      </c>
      <c r="C61" t="s">
        <v>367</v>
      </c>
      <c r="D61" t="s">
        <v>221</v>
      </c>
      <c r="E61" t="s">
        <v>381</v>
      </c>
      <c r="F61" t="s">
        <v>179</v>
      </c>
      <c r="G61" t="s">
        <v>458</v>
      </c>
      <c r="H61" s="77">
        <v>6</v>
      </c>
      <c r="I61" s="124">
        <v>307.82</v>
      </c>
      <c r="J61" s="124">
        <v>1846.9</v>
      </c>
      <c r="K61" s="77">
        <v>45</v>
      </c>
      <c r="L61" t="s">
        <v>345</v>
      </c>
      <c r="M61" s="126">
        <v>369.38</v>
      </c>
      <c r="N61" s="124">
        <v>1846.9</v>
      </c>
      <c r="O61" t="s">
        <v>346</v>
      </c>
      <c r="P61" t="s">
        <v>294</v>
      </c>
    </row>
    <row r="62" spans="1:16" ht="15" customHeight="1" x14ac:dyDescent="0.25">
      <c r="A62" s="123">
        <v>46007</v>
      </c>
      <c r="B62" t="s">
        <v>390</v>
      </c>
      <c r="C62" t="s">
        <v>391</v>
      </c>
      <c r="D62" t="s">
        <v>221</v>
      </c>
      <c r="E62" t="s">
        <v>376</v>
      </c>
      <c r="F62" t="s">
        <v>182</v>
      </c>
      <c r="G62" t="s">
        <v>459</v>
      </c>
      <c r="H62" s="77">
        <v>32</v>
      </c>
      <c r="I62" s="124">
        <v>72.989999999999995</v>
      </c>
      <c r="J62" s="124">
        <v>2335.6999999999998</v>
      </c>
      <c r="K62" s="77">
        <v>60</v>
      </c>
      <c r="L62" t="s">
        <v>339</v>
      </c>
      <c r="M62" s="126">
        <v>467.14</v>
      </c>
      <c r="N62" s="124">
        <v>2335.6999999999998</v>
      </c>
      <c r="O62" t="s">
        <v>340</v>
      </c>
      <c r="P62" t="s">
        <v>294</v>
      </c>
    </row>
    <row r="63" spans="1:16" ht="15" customHeight="1" x14ac:dyDescent="0.25">
      <c r="A63" s="123">
        <v>45737</v>
      </c>
      <c r="B63" t="s">
        <v>373</v>
      </c>
      <c r="C63" t="s">
        <v>374</v>
      </c>
      <c r="D63" t="s">
        <v>225</v>
      </c>
      <c r="E63" t="s">
        <v>236</v>
      </c>
      <c r="F63" t="s">
        <v>183</v>
      </c>
      <c r="G63" t="s">
        <v>460</v>
      </c>
      <c r="H63" s="77">
        <v>31</v>
      </c>
      <c r="I63" s="124">
        <v>270.88</v>
      </c>
      <c r="J63" s="124">
        <v>8397.23</v>
      </c>
      <c r="K63" s="77">
        <v>30</v>
      </c>
      <c r="L63" t="s">
        <v>339</v>
      </c>
      <c r="M63" s="126">
        <v>1679.4459999999999</v>
      </c>
      <c r="N63" s="124">
        <v>8397.23</v>
      </c>
      <c r="O63" t="s">
        <v>346</v>
      </c>
      <c r="P63" t="s">
        <v>294</v>
      </c>
    </row>
    <row r="64" spans="1:16" ht="15" customHeight="1" x14ac:dyDescent="0.25">
      <c r="A64" s="123">
        <v>45828</v>
      </c>
      <c r="B64" t="s">
        <v>406</v>
      </c>
      <c r="C64" t="s">
        <v>407</v>
      </c>
      <c r="D64" t="s">
        <v>225</v>
      </c>
      <c r="E64" t="s">
        <v>349</v>
      </c>
      <c r="F64" t="s">
        <v>177</v>
      </c>
      <c r="G64" t="s">
        <v>461</v>
      </c>
      <c r="H64" s="77">
        <v>53</v>
      </c>
      <c r="I64" s="124">
        <v>65.3</v>
      </c>
      <c r="J64" s="124">
        <v>3460.95</v>
      </c>
      <c r="K64" s="77">
        <v>60</v>
      </c>
      <c r="L64" t="s">
        <v>351</v>
      </c>
      <c r="M64" s="126">
        <v>692.19</v>
      </c>
      <c r="N64" s="124">
        <v>3460.95</v>
      </c>
      <c r="O64" t="s">
        <v>340</v>
      </c>
      <c r="P64" t="s">
        <v>294</v>
      </c>
    </row>
    <row r="65" spans="1:16" ht="15" customHeight="1" x14ac:dyDescent="0.25">
      <c r="A65" s="123">
        <v>46017</v>
      </c>
      <c r="B65" t="s">
        <v>383</v>
      </c>
      <c r="C65" t="s">
        <v>384</v>
      </c>
      <c r="D65" t="s">
        <v>225</v>
      </c>
      <c r="E65" t="s">
        <v>356</v>
      </c>
      <c r="F65" t="s">
        <v>181</v>
      </c>
      <c r="G65" t="s">
        <v>462</v>
      </c>
      <c r="H65" s="77">
        <v>14</v>
      </c>
      <c r="I65" s="124">
        <v>113.94</v>
      </c>
      <c r="J65" s="124">
        <v>1595.23</v>
      </c>
      <c r="K65" s="77">
        <v>45</v>
      </c>
      <c r="L65" t="s">
        <v>339</v>
      </c>
      <c r="M65" s="126">
        <v>319.04599999999999</v>
      </c>
      <c r="N65" s="124">
        <v>1595.23</v>
      </c>
      <c r="O65" t="s">
        <v>340</v>
      </c>
      <c r="P65" t="s">
        <v>294</v>
      </c>
    </row>
    <row r="66" spans="1:16" ht="15" customHeight="1" x14ac:dyDescent="0.25">
      <c r="A66" s="123">
        <v>45893</v>
      </c>
      <c r="B66" t="s">
        <v>431</v>
      </c>
      <c r="C66" t="s">
        <v>432</v>
      </c>
      <c r="D66" t="s">
        <v>221</v>
      </c>
      <c r="E66" t="s">
        <v>423</v>
      </c>
      <c r="F66" t="s">
        <v>180</v>
      </c>
      <c r="G66" t="s">
        <v>463</v>
      </c>
      <c r="H66" s="77">
        <v>45</v>
      </c>
      <c r="I66" s="124">
        <v>390.86</v>
      </c>
      <c r="J66" s="124">
        <v>17588.71</v>
      </c>
      <c r="K66" s="77">
        <v>45</v>
      </c>
      <c r="L66" t="s">
        <v>339</v>
      </c>
      <c r="M66" s="126">
        <v>3517.7420000000002</v>
      </c>
      <c r="N66" s="124">
        <v>17588.71</v>
      </c>
      <c r="O66" t="s">
        <v>346</v>
      </c>
      <c r="P66" t="s">
        <v>294</v>
      </c>
    </row>
    <row r="67" spans="1:16" ht="15" customHeight="1" x14ac:dyDescent="0.25">
      <c r="A67" s="123">
        <v>45756</v>
      </c>
      <c r="B67" t="s">
        <v>335</v>
      </c>
      <c r="C67" t="s">
        <v>336</v>
      </c>
      <c r="D67" t="s">
        <v>223</v>
      </c>
      <c r="E67" t="s">
        <v>440</v>
      </c>
      <c r="F67" t="s">
        <v>177</v>
      </c>
      <c r="G67" t="s">
        <v>464</v>
      </c>
      <c r="H67" s="77">
        <v>52</v>
      </c>
      <c r="I67" s="124">
        <v>253.01</v>
      </c>
      <c r="J67" s="124">
        <v>13156.45</v>
      </c>
      <c r="K67" s="77">
        <v>45</v>
      </c>
      <c r="L67" t="s">
        <v>345</v>
      </c>
      <c r="M67" s="126">
        <v>2631.29</v>
      </c>
      <c r="N67" s="124">
        <v>13156.45</v>
      </c>
      <c r="O67" t="s">
        <v>346</v>
      </c>
      <c r="P67" t="s">
        <v>294</v>
      </c>
    </row>
    <row r="68" spans="1:16" ht="15" customHeight="1" x14ac:dyDescent="0.25">
      <c r="A68" s="123">
        <v>45986</v>
      </c>
      <c r="B68" t="s">
        <v>347</v>
      </c>
      <c r="C68" t="s">
        <v>348</v>
      </c>
      <c r="D68" t="s">
        <v>223</v>
      </c>
      <c r="E68" t="s">
        <v>437</v>
      </c>
      <c r="F68" t="s">
        <v>181</v>
      </c>
      <c r="G68" t="s">
        <v>465</v>
      </c>
      <c r="H68" s="77">
        <v>66</v>
      </c>
      <c r="I68" s="124">
        <v>211.46</v>
      </c>
      <c r="J68" s="124">
        <v>13956.17</v>
      </c>
      <c r="K68" s="77">
        <v>45</v>
      </c>
      <c r="L68" t="s">
        <v>351</v>
      </c>
      <c r="M68" s="126">
        <v>2791.2339999999999</v>
      </c>
      <c r="N68" s="124">
        <v>13956.17</v>
      </c>
      <c r="O68" t="s">
        <v>346</v>
      </c>
      <c r="P68" t="s">
        <v>294</v>
      </c>
    </row>
    <row r="69" spans="1:16" ht="15" customHeight="1" x14ac:dyDescent="0.25">
      <c r="A69" s="123">
        <v>45717</v>
      </c>
      <c r="B69" t="s">
        <v>335</v>
      </c>
      <c r="C69" t="s">
        <v>336</v>
      </c>
      <c r="D69" t="s">
        <v>223</v>
      </c>
      <c r="E69" t="s">
        <v>376</v>
      </c>
      <c r="F69" t="s">
        <v>182</v>
      </c>
      <c r="G69" t="s">
        <v>466</v>
      </c>
      <c r="H69" s="77">
        <v>34</v>
      </c>
      <c r="I69" s="124">
        <v>164.98</v>
      </c>
      <c r="J69" s="124">
        <v>5609.3</v>
      </c>
      <c r="K69" s="77">
        <v>30</v>
      </c>
      <c r="L69" t="s">
        <v>351</v>
      </c>
      <c r="M69" s="126">
        <v>1121.8599999999999</v>
      </c>
      <c r="N69" s="124">
        <v>5609.3</v>
      </c>
      <c r="O69" t="s">
        <v>340</v>
      </c>
      <c r="P69" t="s">
        <v>294</v>
      </c>
    </row>
    <row r="70" spans="1:16" ht="15" customHeight="1" x14ac:dyDescent="0.25">
      <c r="A70" s="123">
        <v>45963</v>
      </c>
      <c r="B70" t="s">
        <v>431</v>
      </c>
      <c r="C70" t="s">
        <v>432</v>
      </c>
      <c r="D70" t="s">
        <v>221</v>
      </c>
      <c r="E70" t="s">
        <v>349</v>
      </c>
      <c r="F70" t="s">
        <v>177</v>
      </c>
      <c r="G70" t="s">
        <v>467</v>
      </c>
      <c r="H70" s="77">
        <v>56</v>
      </c>
      <c r="I70" s="124">
        <v>146.41</v>
      </c>
      <c r="J70" s="124">
        <v>8198.7999999999993</v>
      </c>
      <c r="K70" s="77">
        <v>45</v>
      </c>
      <c r="L70" t="s">
        <v>351</v>
      </c>
      <c r="M70" s="126">
        <v>1639.76</v>
      </c>
      <c r="N70" s="124">
        <v>8198.7999999999993</v>
      </c>
      <c r="O70" t="s">
        <v>340</v>
      </c>
      <c r="P70" t="s">
        <v>294</v>
      </c>
    </row>
    <row r="71" spans="1:16" ht="15" customHeight="1" x14ac:dyDescent="0.25">
      <c r="A71" s="123">
        <v>45919</v>
      </c>
      <c r="B71" t="s">
        <v>406</v>
      </c>
      <c r="C71" t="s">
        <v>407</v>
      </c>
      <c r="D71" t="s">
        <v>225</v>
      </c>
      <c r="E71" t="s">
        <v>236</v>
      </c>
      <c r="F71" t="s">
        <v>183</v>
      </c>
      <c r="G71" t="s">
        <v>468</v>
      </c>
      <c r="H71" s="77">
        <v>15</v>
      </c>
      <c r="I71" s="124">
        <v>210.39</v>
      </c>
      <c r="J71" s="124">
        <v>3155.86</v>
      </c>
      <c r="K71" s="77">
        <v>45</v>
      </c>
      <c r="L71" t="s">
        <v>351</v>
      </c>
      <c r="M71" s="126">
        <v>631.17200000000003</v>
      </c>
      <c r="N71" s="124">
        <v>3155.86</v>
      </c>
      <c r="O71" t="s">
        <v>346</v>
      </c>
      <c r="P71" t="s">
        <v>294</v>
      </c>
    </row>
    <row r="72" spans="1:16" ht="15" customHeight="1" x14ac:dyDescent="0.25">
      <c r="A72" s="123">
        <v>46020</v>
      </c>
      <c r="B72" t="s">
        <v>378</v>
      </c>
      <c r="C72" t="s">
        <v>379</v>
      </c>
      <c r="D72" t="s">
        <v>227</v>
      </c>
      <c r="E72" t="s">
        <v>356</v>
      </c>
      <c r="F72" t="s">
        <v>181</v>
      </c>
      <c r="G72" t="s">
        <v>469</v>
      </c>
      <c r="H72" s="77">
        <v>56</v>
      </c>
      <c r="I72" s="124">
        <v>268.38</v>
      </c>
      <c r="J72" s="124">
        <v>15029.15</v>
      </c>
      <c r="K72" s="77">
        <v>30</v>
      </c>
      <c r="L72" t="s">
        <v>351</v>
      </c>
      <c r="M72" s="126">
        <v>3005.83</v>
      </c>
      <c r="N72" s="124">
        <v>15029.15</v>
      </c>
      <c r="O72" t="s">
        <v>340</v>
      </c>
      <c r="P72" t="s">
        <v>294</v>
      </c>
    </row>
    <row r="73" spans="1:16" ht="15" customHeight="1" x14ac:dyDescent="0.25">
      <c r="A73" s="123">
        <v>45878</v>
      </c>
      <c r="B73" t="s">
        <v>358</v>
      </c>
      <c r="C73" t="s">
        <v>359</v>
      </c>
      <c r="D73" t="s">
        <v>225</v>
      </c>
      <c r="E73" t="s">
        <v>360</v>
      </c>
      <c r="F73" t="s">
        <v>180</v>
      </c>
      <c r="G73" t="s">
        <v>470</v>
      </c>
      <c r="H73" s="77">
        <v>9</v>
      </c>
      <c r="I73" s="124">
        <v>582.53</v>
      </c>
      <c r="J73" s="124">
        <v>5242.7700000000004</v>
      </c>
      <c r="K73" s="77">
        <v>60</v>
      </c>
      <c r="L73" t="s">
        <v>345</v>
      </c>
      <c r="M73" s="126">
        <v>1048.5540000000001</v>
      </c>
      <c r="N73" s="124">
        <v>5242.7700000000004</v>
      </c>
      <c r="O73" t="s">
        <v>346</v>
      </c>
      <c r="P73" t="s">
        <v>294</v>
      </c>
    </row>
    <row r="74" spans="1:16" ht="15" customHeight="1" x14ac:dyDescent="0.25">
      <c r="A74" s="123">
        <v>45721</v>
      </c>
      <c r="B74" t="s">
        <v>398</v>
      </c>
      <c r="C74" t="s">
        <v>399</v>
      </c>
      <c r="D74" t="s">
        <v>227</v>
      </c>
      <c r="E74" t="s">
        <v>364</v>
      </c>
      <c r="F74" t="s">
        <v>182</v>
      </c>
      <c r="G74" t="s">
        <v>471</v>
      </c>
      <c r="H74" s="77">
        <v>39</v>
      </c>
      <c r="I74" s="124">
        <v>93.15</v>
      </c>
      <c r="J74" s="124">
        <v>3632.71</v>
      </c>
      <c r="K74" s="77">
        <v>60</v>
      </c>
      <c r="L74" t="s">
        <v>345</v>
      </c>
      <c r="M74" s="126">
        <v>726.54200000000003</v>
      </c>
      <c r="N74" s="124">
        <v>3632.71</v>
      </c>
      <c r="O74" t="s">
        <v>346</v>
      </c>
      <c r="P74" t="s">
        <v>294</v>
      </c>
    </row>
    <row r="75" spans="1:16" ht="15" customHeight="1" x14ac:dyDescent="0.25">
      <c r="A75" s="123">
        <v>45864</v>
      </c>
      <c r="B75" t="s">
        <v>378</v>
      </c>
      <c r="C75" t="s">
        <v>379</v>
      </c>
      <c r="D75" t="s">
        <v>227</v>
      </c>
      <c r="E75" t="s">
        <v>234</v>
      </c>
      <c r="F75" t="s">
        <v>183</v>
      </c>
      <c r="G75" t="s">
        <v>472</v>
      </c>
      <c r="H75" s="77">
        <v>38</v>
      </c>
      <c r="I75" s="124">
        <v>709.34</v>
      </c>
      <c r="J75" s="124">
        <v>26954.959999999999</v>
      </c>
      <c r="K75" s="77">
        <v>60</v>
      </c>
      <c r="L75" t="s">
        <v>339</v>
      </c>
      <c r="M75" s="126">
        <v>5390.9920000000002</v>
      </c>
      <c r="N75" s="124">
        <v>26954.959999999999</v>
      </c>
      <c r="O75" t="s">
        <v>346</v>
      </c>
      <c r="P75" t="s">
        <v>294</v>
      </c>
    </row>
    <row r="76" spans="1:16" ht="15" customHeight="1" x14ac:dyDescent="0.25">
      <c r="A76" s="123">
        <v>45852</v>
      </c>
      <c r="B76" t="s">
        <v>366</v>
      </c>
      <c r="C76" t="s">
        <v>367</v>
      </c>
      <c r="D76" t="s">
        <v>221</v>
      </c>
      <c r="E76" t="s">
        <v>236</v>
      </c>
      <c r="F76" t="s">
        <v>183</v>
      </c>
      <c r="G76" t="s">
        <v>473</v>
      </c>
      <c r="H76" s="77">
        <v>23</v>
      </c>
      <c r="I76" s="124">
        <v>71.02</v>
      </c>
      <c r="J76" s="124">
        <v>1633.4</v>
      </c>
      <c r="K76" s="77">
        <v>60</v>
      </c>
      <c r="L76" t="s">
        <v>351</v>
      </c>
      <c r="M76" s="126">
        <v>326.68</v>
      </c>
      <c r="N76" s="124">
        <v>1633.4</v>
      </c>
      <c r="O76" t="s">
        <v>346</v>
      </c>
      <c r="P76" t="s">
        <v>294</v>
      </c>
    </row>
    <row r="77" spans="1:16" ht="15" customHeight="1" x14ac:dyDescent="0.25">
      <c r="A77" s="123">
        <v>45658</v>
      </c>
      <c r="B77" t="s">
        <v>341</v>
      </c>
      <c r="C77" t="s">
        <v>342</v>
      </c>
      <c r="D77" t="s">
        <v>223</v>
      </c>
      <c r="E77" t="s">
        <v>236</v>
      </c>
      <c r="F77" t="s">
        <v>183</v>
      </c>
      <c r="G77" t="s">
        <v>474</v>
      </c>
      <c r="H77" s="77">
        <v>39</v>
      </c>
      <c r="I77" s="124">
        <v>471.46</v>
      </c>
      <c r="J77" s="124">
        <v>18386.84</v>
      </c>
      <c r="K77" s="77">
        <v>45</v>
      </c>
      <c r="L77" t="s">
        <v>339</v>
      </c>
      <c r="M77" s="126">
        <v>3677.3679999999999</v>
      </c>
      <c r="N77" s="124">
        <v>18386.84</v>
      </c>
      <c r="O77" t="s">
        <v>346</v>
      </c>
      <c r="P77" t="s">
        <v>294</v>
      </c>
    </row>
    <row r="78" spans="1:16" ht="15" customHeight="1" x14ac:dyDescent="0.25">
      <c r="A78" s="123">
        <v>45884</v>
      </c>
      <c r="B78" t="s">
        <v>383</v>
      </c>
      <c r="C78" t="s">
        <v>384</v>
      </c>
      <c r="D78" t="s">
        <v>225</v>
      </c>
      <c r="E78" t="s">
        <v>420</v>
      </c>
      <c r="F78" t="s">
        <v>182</v>
      </c>
      <c r="G78" t="s">
        <v>475</v>
      </c>
      <c r="H78" s="77">
        <v>57</v>
      </c>
      <c r="I78" s="124">
        <v>99.66</v>
      </c>
      <c r="J78" s="124">
        <v>5680.55</v>
      </c>
      <c r="K78" s="77">
        <v>60</v>
      </c>
      <c r="L78" t="s">
        <v>339</v>
      </c>
      <c r="M78" s="126">
        <v>1136.1099999999999</v>
      </c>
      <c r="N78" s="124">
        <v>5680.55</v>
      </c>
      <c r="O78" t="s">
        <v>346</v>
      </c>
      <c r="P78" t="s">
        <v>294</v>
      </c>
    </row>
    <row r="79" spans="1:16" ht="15" customHeight="1" x14ac:dyDescent="0.25">
      <c r="A79" s="123">
        <v>45744</v>
      </c>
      <c r="B79" t="s">
        <v>362</v>
      </c>
      <c r="C79" t="s">
        <v>363</v>
      </c>
      <c r="D79" t="s">
        <v>221</v>
      </c>
      <c r="F79" t="s">
        <v>184</v>
      </c>
      <c r="G79" t="s">
        <v>476</v>
      </c>
      <c r="H79" s="77">
        <v>11</v>
      </c>
      <c r="I79" s="124">
        <v>63.63</v>
      </c>
      <c r="J79" s="124">
        <v>699.89</v>
      </c>
      <c r="K79" s="77">
        <v>45</v>
      </c>
      <c r="L79" t="s">
        <v>351</v>
      </c>
      <c r="M79" s="126">
        <v>139.97800000000001</v>
      </c>
      <c r="N79" s="124">
        <v>699.89</v>
      </c>
      <c r="O79" t="s">
        <v>346</v>
      </c>
      <c r="P79" t="s">
        <v>282</v>
      </c>
    </row>
    <row r="80" spans="1:16" ht="15" customHeight="1" x14ac:dyDescent="0.25">
      <c r="A80" s="123">
        <v>45778</v>
      </c>
      <c r="B80" t="s">
        <v>393</v>
      </c>
      <c r="C80" t="s">
        <v>394</v>
      </c>
      <c r="D80" t="s">
        <v>227</v>
      </c>
      <c r="E80" t="s">
        <v>376</v>
      </c>
      <c r="F80" t="s">
        <v>182</v>
      </c>
      <c r="G80" t="s">
        <v>477</v>
      </c>
      <c r="H80" s="77">
        <v>40</v>
      </c>
      <c r="I80" s="124">
        <v>99.92</v>
      </c>
      <c r="J80" s="124">
        <v>3996.7</v>
      </c>
      <c r="K80" s="77">
        <v>30</v>
      </c>
      <c r="L80" t="s">
        <v>339</v>
      </c>
      <c r="M80" s="126">
        <v>799.34</v>
      </c>
      <c r="N80" s="124">
        <v>3996.7</v>
      </c>
      <c r="O80" t="s">
        <v>340</v>
      </c>
      <c r="P80" t="s">
        <v>294</v>
      </c>
    </row>
    <row r="81" spans="1:16" ht="15" customHeight="1" x14ac:dyDescent="0.25">
      <c r="A81" s="123">
        <v>45783</v>
      </c>
      <c r="B81" t="s">
        <v>370</v>
      </c>
      <c r="C81" t="s">
        <v>371</v>
      </c>
      <c r="D81" t="s">
        <v>227</v>
      </c>
      <c r="E81" t="s">
        <v>349</v>
      </c>
      <c r="F81" t="s">
        <v>177</v>
      </c>
      <c r="G81" t="s">
        <v>478</v>
      </c>
      <c r="H81" s="77">
        <v>61</v>
      </c>
      <c r="I81" s="124">
        <v>40.22</v>
      </c>
      <c r="J81" s="124">
        <v>2453.33</v>
      </c>
      <c r="K81" s="77">
        <v>60</v>
      </c>
      <c r="L81" t="s">
        <v>339</v>
      </c>
      <c r="M81" s="126">
        <v>490.666</v>
      </c>
      <c r="N81" s="124">
        <v>2453.33</v>
      </c>
      <c r="O81" t="s">
        <v>340</v>
      </c>
      <c r="P81" t="s">
        <v>294</v>
      </c>
    </row>
    <row r="82" spans="1:16" ht="15" customHeight="1" x14ac:dyDescent="0.25">
      <c r="A82" s="123">
        <v>45952</v>
      </c>
      <c r="B82" t="s">
        <v>341</v>
      </c>
      <c r="C82" t="s">
        <v>342</v>
      </c>
      <c r="D82" t="s">
        <v>223</v>
      </c>
      <c r="E82" t="s">
        <v>236</v>
      </c>
      <c r="F82" t="s">
        <v>183</v>
      </c>
      <c r="G82" t="s">
        <v>479</v>
      </c>
      <c r="H82" s="77">
        <v>25</v>
      </c>
      <c r="I82" s="124">
        <v>265.86</v>
      </c>
      <c r="J82" s="124">
        <v>6646.45</v>
      </c>
      <c r="K82" s="77">
        <v>60</v>
      </c>
      <c r="L82" t="s">
        <v>351</v>
      </c>
      <c r="M82" s="126">
        <v>1329.29</v>
      </c>
      <c r="N82" s="124">
        <v>6646.45</v>
      </c>
      <c r="O82" t="s">
        <v>346</v>
      </c>
      <c r="P82" t="s">
        <v>294</v>
      </c>
    </row>
    <row r="83" spans="1:16" ht="15" customHeight="1" x14ac:dyDescent="0.25">
      <c r="A83" s="123">
        <v>45782</v>
      </c>
      <c r="B83" t="s">
        <v>378</v>
      </c>
      <c r="C83" t="s">
        <v>379</v>
      </c>
      <c r="D83" t="s">
        <v>227</v>
      </c>
      <c r="E83" t="s">
        <v>427</v>
      </c>
      <c r="F83" t="s">
        <v>184</v>
      </c>
      <c r="G83" t="s">
        <v>480</v>
      </c>
      <c r="H83" s="77">
        <v>19</v>
      </c>
      <c r="I83" s="124">
        <v>91.28</v>
      </c>
      <c r="J83" s="124">
        <v>1734.27</v>
      </c>
      <c r="K83" s="77">
        <v>60</v>
      </c>
      <c r="L83" t="s">
        <v>351</v>
      </c>
      <c r="M83" s="126">
        <v>346.85399999999998</v>
      </c>
      <c r="N83" s="124">
        <v>1734.27</v>
      </c>
      <c r="O83" t="s">
        <v>346</v>
      </c>
      <c r="P83" t="s">
        <v>294</v>
      </c>
    </row>
    <row r="84" spans="1:16" ht="15" customHeight="1" x14ac:dyDescent="0.25">
      <c r="A84" s="123">
        <v>45770</v>
      </c>
      <c r="B84" t="s">
        <v>341</v>
      </c>
      <c r="C84" t="s">
        <v>342</v>
      </c>
      <c r="D84" t="s">
        <v>223</v>
      </c>
      <c r="E84" t="s">
        <v>368</v>
      </c>
      <c r="F84" t="s">
        <v>178</v>
      </c>
      <c r="G84" t="s">
        <v>481</v>
      </c>
      <c r="H84" s="77">
        <v>23</v>
      </c>
      <c r="I84" s="124">
        <v>146.53</v>
      </c>
      <c r="J84" s="124">
        <v>3370.19</v>
      </c>
      <c r="K84" s="77">
        <v>60</v>
      </c>
      <c r="L84" t="s">
        <v>351</v>
      </c>
      <c r="M84" s="126">
        <v>674.03800000000001</v>
      </c>
      <c r="N84" s="124">
        <v>3370.19</v>
      </c>
      <c r="O84" t="s">
        <v>346</v>
      </c>
      <c r="P84" t="s">
        <v>294</v>
      </c>
    </row>
    <row r="85" spans="1:16" ht="15" customHeight="1" x14ac:dyDescent="0.25">
      <c r="A85" s="123">
        <v>45785</v>
      </c>
      <c r="B85" t="s">
        <v>383</v>
      </c>
      <c r="C85" t="s">
        <v>384</v>
      </c>
      <c r="D85" t="s">
        <v>225</v>
      </c>
      <c r="E85" t="s">
        <v>440</v>
      </c>
      <c r="F85" t="s">
        <v>177</v>
      </c>
      <c r="G85" t="s">
        <v>482</v>
      </c>
      <c r="H85" s="77">
        <v>16</v>
      </c>
      <c r="I85" s="124">
        <v>90.24</v>
      </c>
      <c r="J85" s="124">
        <v>1443.8</v>
      </c>
      <c r="K85" s="77">
        <v>45</v>
      </c>
      <c r="L85" t="s">
        <v>339</v>
      </c>
      <c r="M85" s="126">
        <v>288.76</v>
      </c>
      <c r="N85" s="124">
        <v>1443.8</v>
      </c>
      <c r="O85" t="s">
        <v>346</v>
      </c>
      <c r="P85" t="s">
        <v>294</v>
      </c>
    </row>
    <row r="86" spans="1:16" ht="15" customHeight="1" x14ac:dyDescent="0.25">
      <c r="A86" s="123">
        <v>45971</v>
      </c>
      <c r="B86" t="s">
        <v>406</v>
      </c>
      <c r="C86" t="s">
        <v>407</v>
      </c>
      <c r="D86" t="s">
        <v>225</v>
      </c>
      <c r="E86" t="s">
        <v>420</v>
      </c>
      <c r="F86" t="s">
        <v>182</v>
      </c>
      <c r="G86" t="s">
        <v>483</v>
      </c>
      <c r="H86" s="77">
        <v>65</v>
      </c>
      <c r="I86" s="124">
        <v>60.9</v>
      </c>
      <c r="J86" s="124">
        <v>3958.39</v>
      </c>
      <c r="K86" s="77">
        <v>45</v>
      </c>
      <c r="L86" t="s">
        <v>351</v>
      </c>
      <c r="M86" s="126">
        <v>791.678</v>
      </c>
      <c r="N86" s="124">
        <v>3958.39</v>
      </c>
      <c r="O86" t="s">
        <v>346</v>
      </c>
      <c r="P86" t="s">
        <v>294</v>
      </c>
    </row>
    <row r="87" spans="1:16" ht="15" customHeight="1" x14ac:dyDescent="0.25">
      <c r="A87" s="123">
        <v>45901</v>
      </c>
      <c r="B87" t="s">
        <v>341</v>
      </c>
      <c r="C87" t="s">
        <v>342</v>
      </c>
      <c r="D87" t="s">
        <v>223</v>
      </c>
      <c r="E87" t="s">
        <v>412</v>
      </c>
      <c r="F87" t="s">
        <v>179</v>
      </c>
      <c r="G87" t="s">
        <v>484</v>
      </c>
      <c r="H87" s="77">
        <v>58</v>
      </c>
      <c r="I87" s="124">
        <v>136.59</v>
      </c>
      <c r="J87" s="124">
        <v>7922.27</v>
      </c>
      <c r="K87" s="77">
        <v>45</v>
      </c>
      <c r="L87" t="s">
        <v>339</v>
      </c>
      <c r="M87" s="126">
        <v>1584.454</v>
      </c>
      <c r="N87" s="124">
        <v>7922.27</v>
      </c>
      <c r="O87" t="s">
        <v>346</v>
      </c>
      <c r="P87" t="s">
        <v>294</v>
      </c>
    </row>
    <row r="88" spans="1:16" ht="15" customHeight="1" x14ac:dyDescent="0.25">
      <c r="A88" s="123">
        <v>45906</v>
      </c>
      <c r="B88" t="s">
        <v>386</v>
      </c>
      <c r="C88" t="s">
        <v>387</v>
      </c>
      <c r="D88" t="s">
        <v>223</v>
      </c>
      <c r="E88" t="s">
        <v>403</v>
      </c>
      <c r="F88" t="s">
        <v>181</v>
      </c>
      <c r="G88" t="s">
        <v>485</v>
      </c>
      <c r="H88" s="77">
        <v>31</v>
      </c>
      <c r="I88" s="124">
        <v>363.98</v>
      </c>
      <c r="J88" s="124">
        <v>11283.38</v>
      </c>
      <c r="K88" s="77">
        <v>45</v>
      </c>
      <c r="L88" t="s">
        <v>345</v>
      </c>
      <c r="M88" s="126">
        <v>2256.6759999999999</v>
      </c>
      <c r="N88" s="124">
        <v>11283.38</v>
      </c>
      <c r="O88" t="s">
        <v>346</v>
      </c>
      <c r="P88" t="s">
        <v>294</v>
      </c>
    </row>
    <row r="89" spans="1:16" ht="15" customHeight="1" x14ac:dyDescent="0.25">
      <c r="A89" s="123">
        <v>45797</v>
      </c>
      <c r="B89" t="s">
        <v>362</v>
      </c>
      <c r="C89" t="s">
        <v>363</v>
      </c>
      <c r="D89" t="s">
        <v>221</v>
      </c>
      <c r="E89" t="s">
        <v>356</v>
      </c>
      <c r="F89" t="s">
        <v>181</v>
      </c>
      <c r="G89" t="s">
        <v>486</v>
      </c>
      <c r="H89" s="77">
        <v>43</v>
      </c>
      <c r="I89" s="124">
        <v>263.60000000000002</v>
      </c>
      <c r="J89" s="124">
        <v>11334.89</v>
      </c>
      <c r="K89" s="77">
        <v>45</v>
      </c>
      <c r="L89" t="s">
        <v>351</v>
      </c>
      <c r="M89" s="126">
        <v>2266.9780000000001</v>
      </c>
      <c r="N89" s="124">
        <v>11334.89</v>
      </c>
      <c r="O89" t="s">
        <v>340</v>
      </c>
      <c r="P89" t="s">
        <v>294</v>
      </c>
    </row>
    <row r="90" spans="1:16" ht="15" customHeight="1" x14ac:dyDescent="0.25">
      <c r="A90" s="123">
        <v>45776</v>
      </c>
      <c r="B90" t="s">
        <v>386</v>
      </c>
      <c r="C90" t="s">
        <v>387</v>
      </c>
      <c r="D90" t="s">
        <v>223</v>
      </c>
      <c r="E90" t="s">
        <v>442</v>
      </c>
      <c r="F90" t="s">
        <v>179</v>
      </c>
      <c r="G90" t="s">
        <v>487</v>
      </c>
      <c r="H90" s="77">
        <v>50</v>
      </c>
      <c r="I90" s="124">
        <v>134.5</v>
      </c>
      <c r="J90" s="124">
        <v>6725.17</v>
      </c>
      <c r="K90" s="77">
        <v>60</v>
      </c>
      <c r="L90" t="s">
        <v>339</v>
      </c>
      <c r="M90" s="126">
        <v>1345.0340000000001</v>
      </c>
      <c r="N90" s="124">
        <v>6725.17</v>
      </c>
      <c r="O90" t="s">
        <v>340</v>
      </c>
      <c r="P90" t="s">
        <v>294</v>
      </c>
    </row>
    <row r="91" spans="1:16" ht="15" customHeight="1" x14ac:dyDescent="0.25">
      <c r="A91" s="123">
        <v>45870</v>
      </c>
      <c r="B91" t="s">
        <v>488</v>
      </c>
      <c r="C91" t="s">
        <v>489</v>
      </c>
      <c r="D91" t="s">
        <v>225</v>
      </c>
      <c r="E91" t="s">
        <v>423</v>
      </c>
      <c r="F91" t="s">
        <v>180</v>
      </c>
      <c r="G91" t="s">
        <v>490</v>
      </c>
      <c r="H91" s="77">
        <v>53</v>
      </c>
      <c r="I91" s="124">
        <v>331.54</v>
      </c>
      <c r="J91" s="124">
        <v>17571.79</v>
      </c>
      <c r="K91" s="77">
        <v>45</v>
      </c>
      <c r="L91" t="s">
        <v>351</v>
      </c>
      <c r="M91" s="126">
        <v>3514.3580000000002</v>
      </c>
      <c r="N91" s="124">
        <v>17571.79</v>
      </c>
      <c r="O91" t="s">
        <v>346</v>
      </c>
      <c r="P91" t="s">
        <v>294</v>
      </c>
    </row>
    <row r="92" spans="1:16" ht="15" customHeight="1" x14ac:dyDescent="0.25">
      <c r="A92" s="123">
        <v>45763</v>
      </c>
      <c r="B92" t="s">
        <v>393</v>
      </c>
      <c r="C92" t="s">
        <v>394</v>
      </c>
      <c r="D92" t="s">
        <v>227</v>
      </c>
      <c r="E92" t="s">
        <v>235</v>
      </c>
      <c r="F92" t="s">
        <v>183</v>
      </c>
      <c r="G92" t="s">
        <v>491</v>
      </c>
      <c r="H92" s="77">
        <v>54</v>
      </c>
      <c r="I92" s="124">
        <v>316.45</v>
      </c>
      <c r="J92" s="124">
        <v>17088.47</v>
      </c>
      <c r="K92" s="77">
        <v>45</v>
      </c>
      <c r="L92" t="s">
        <v>351</v>
      </c>
      <c r="M92" s="126">
        <v>3417.694</v>
      </c>
      <c r="N92" s="124">
        <v>17088.47</v>
      </c>
      <c r="O92" t="s">
        <v>346</v>
      </c>
      <c r="P92" t="s">
        <v>294</v>
      </c>
    </row>
    <row r="93" spans="1:16" ht="15" customHeight="1" x14ac:dyDescent="0.25">
      <c r="A93" s="123">
        <v>45852</v>
      </c>
      <c r="B93" t="s">
        <v>366</v>
      </c>
      <c r="C93" t="s">
        <v>367</v>
      </c>
      <c r="D93" t="s">
        <v>221</v>
      </c>
      <c r="E93" t="s">
        <v>440</v>
      </c>
      <c r="F93" t="s">
        <v>177</v>
      </c>
      <c r="G93" t="s">
        <v>492</v>
      </c>
      <c r="H93" s="77">
        <v>62</v>
      </c>
      <c r="I93" s="124">
        <v>204.43</v>
      </c>
      <c r="J93" s="124">
        <v>12674.92</v>
      </c>
      <c r="K93" s="77">
        <v>30</v>
      </c>
      <c r="L93" t="s">
        <v>345</v>
      </c>
      <c r="M93" s="126">
        <v>2534.9839999999999</v>
      </c>
      <c r="N93" s="124">
        <v>12674.92</v>
      </c>
      <c r="O93" t="s">
        <v>346</v>
      </c>
      <c r="P93" t="s">
        <v>294</v>
      </c>
    </row>
    <row r="94" spans="1:16" ht="15" customHeight="1" x14ac:dyDescent="0.25">
      <c r="A94" s="123">
        <v>45933</v>
      </c>
      <c r="B94" t="s">
        <v>347</v>
      </c>
      <c r="C94" t="s">
        <v>348</v>
      </c>
      <c r="D94" t="s">
        <v>223</v>
      </c>
      <c r="E94" t="s">
        <v>234</v>
      </c>
      <c r="F94" t="s">
        <v>183</v>
      </c>
      <c r="G94" t="s">
        <v>493</v>
      </c>
      <c r="H94" s="77">
        <v>70</v>
      </c>
      <c r="I94" s="124">
        <v>203.9</v>
      </c>
      <c r="J94" s="124">
        <v>14273.34</v>
      </c>
      <c r="K94" s="77">
        <v>60</v>
      </c>
      <c r="L94" t="s">
        <v>339</v>
      </c>
      <c r="M94" s="126">
        <v>2854.6680000000001</v>
      </c>
      <c r="N94" s="124">
        <v>14273.34</v>
      </c>
      <c r="O94" t="s">
        <v>346</v>
      </c>
      <c r="P94" t="s">
        <v>294</v>
      </c>
    </row>
    <row r="95" spans="1:16" ht="15" customHeight="1" x14ac:dyDescent="0.25">
      <c r="A95" s="123">
        <v>45881</v>
      </c>
      <c r="B95" t="s">
        <v>431</v>
      </c>
      <c r="C95" t="s">
        <v>432</v>
      </c>
      <c r="D95" t="s">
        <v>221</v>
      </c>
      <c r="E95" t="s">
        <v>360</v>
      </c>
      <c r="F95" t="s">
        <v>180</v>
      </c>
      <c r="G95" t="s">
        <v>494</v>
      </c>
      <c r="H95" s="77">
        <v>63</v>
      </c>
      <c r="I95" s="124">
        <v>208.77</v>
      </c>
      <c r="J95" s="124">
        <v>13152.69</v>
      </c>
      <c r="K95" s="77">
        <v>30</v>
      </c>
      <c r="L95" t="s">
        <v>345</v>
      </c>
      <c r="M95" s="126">
        <v>2630.538</v>
      </c>
      <c r="N95" s="124">
        <v>13152.69</v>
      </c>
      <c r="O95" t="s">
        <v>346</v>
      </c>
      <c r="P95" t="s">
        <v>294</v>
      </c>
    </row>
    <row r="96" spans="1:16" ht="15" customHeight="1" x14ac:dyDescent="0.25">
      <c r="A96" s="123">
        <v>45742</v>
      </c>
      <c r="B96" t="s">
        <v>406</v>
      </c>
      <c r="C96" t="s">
        <v>407</v>
      </c>
      <c r="D96" t="s">
        <v>225</v>
      </c>
      <c r="E96" t="s">
        <v>236</v>
      </c>
      <c r="F96" t="s">
        <v>183</v>
      </c>
      <c r="G96" t="s">
        <v>495</v>
      </c>
      <c r="H96" s="77">
        <v>60</v>
      </c>
      <c r="I96" s="124">
        <v>241.8</v>
      </c>
      <c r="J96" s="124">
        <v>14508.17</v>
      </c>
      <c r="K96" s="77">
        <v>30</v>
      </c>
      <c r="L96" t="s">
        <v>351</v>
      </c>
      <c r="M96" s="126">
        <v>2901.634</v>
      </c>
      <c r="N96" s="124">
        <v>14508.17</v>
      </c>
      <c r="O96" t="s">
        <v>346</v>
      </c>
      <c r="P96" t="s">
        <v>294</v>
      </c>
    </row>
    <row r="97" spans="1:16" ht="15" customHeight="1" x14ac:dyDescent="0.25">
      <c r="A97" s="123">
        <v>45961</v>
      </c>
      <c r="B97" t="s">
        <v>386</v>
      </c>
      <c r="C97" t="s">
        <v>387</v>
      </c>
      <c r="D97" t="s">
        <v>223</v>
      </c>
      <c r="E97" t="s">
        <v>496</v>
      </c>
      <c r="F97" t="s">
        <v>177</v>
      </c>
      <c r="G97" t="s">
        <v>497</v>
      </c>
      <c r="H97" s="77">
        <v>73</v>
      </c>
      <c r="I97" s="124">
        <v>53.65</v>
      </c>
      <c r="J97" s="124">
        <v>3916.75</v>
      </c>
      <c r="K97" s="77">
        <v>60</v>
      </c>
      <c r="L97" t="s">
        <v>339</v>
      </c>
      <c r="M97" s="126">
        <v>783.35</v>
      </c>
      <c r="N97" s="124">
        <v>3916.75</v>
      </c>
      <c r="O97" t="s">
        <v>346</v>
      </c>
      <c r="P97" t="s">
        <v>294</v>
      </c>
    </row>
    <row r="98" spans="1:16" ht="15" customHeight="1" x14ac:dyDescent="0.25">
      <c r="A98" s="123">
        <v>45894</v>
      </c>
      <c r="B98" t="s">
        <v>378</v>
      </c>
      <c r="C98" t="s">
        <v>379</v>
      </c>
      <c r="D98" t="s">
        <v>227</v>
      </c>
      <c r="E98" t="s">
        <v>235</v>
      </c>
      <c r="F98" t="s">
        <v>183</v>
      </c>
      <c r="G98" t="s">
        <v>498</v>
      </c>
      <c r="H98" s="77">
        <v>24</v>
      </c>
      <c r="I98" s="124">
        <v>353.06</v>
      </c>
      <c r="J98" s="124">
        <v>8473.5300000000007</v>
      </c>
      <c r="K98" s="77">
        <v>30</v>
      </c>
      <c r="L98" t="s">
        <v>345</v>
      </c>
      <c r="M98" s="126">
        <v>1694.7059999999999</v>
      </c>
      <c r="N98" s="124">
        <v>8473.5300000000007</v>
      </c>
      <c r="O98" t="s">
        <v>346</v>
      </c>
      <c r="P98" t="s">
        <v>294</v>
      </c>
    </row>
    <row r="99" spans="1:16" ht="15" customHeight="1" x14ac:dyDescent="0.25">
      <c r="A99" s="123">
        <v>45890</v>
      </c>
      <c r="B99" t="s">
        <v>370</v>
      </c>
      <c r="C99" t="s">
        <v>371</v>
      </c>
      <c r="D99" t="s">
        <v>227</v>
      </c>
      <c r="E99" t="s">
        <v>376</v>
      </c>
      <c r="F99" t="s">
        <v>182</v>
      </c>
      <c r="G99" t="s">
        <v>499</v>
      </c>
      <c r="H99" s="77">
        <v>42</v>
      </c>
      <c r="I99" s="124">
        <v>109.67</v>
      </c>
      <c r="J99" s="124">
        <v>4606.05</v>
      </c>
      <c r="K99" s="77">
        <v>45</v>
      </c>
      <c r="L99" t="s">
        <v>345</v>
      </c>
      <c r="M99" s="126">
        <v>921.21</v>
      </c>
      <c r="N99" s="124">
        <v>4606.05</v>
      </c>
      <c r="O99" t="s">
        <v>340</v>
      </c>
      <c r="P99" t="s">
        <v>294</v>
      </c>
    </row>
    <row r="100" spans="1:16" ht="15" customHeight="1" x14ac:dyDescent="0.25">
      <c r="A100" s="123">
        <v>45699</v>
      </c>
      <c r="B100" t="s">
        <v>386</v>
      </c>
      <c r="C100" t="s">
        <v>387</v>
      </c>
      <c r="D100" t="s">
        <v>223</v>
      </c>
      <c r="E100" t="s">
        <v>234</v>
      </c>
      <c r="F100" t="s">
        <v>183</v>
      </c>
      <c r="G100" t="s">
        <v>500</v>
      </c>
      <c r="H100" s="77">
        <v>61</v>
      </c>
      <c r="I100" s="124">
        <v>300.83999999999997</v>
      </c>
      <c r="J100" s="124">
        <v>18351.54</v>
      </c>
      <c r="K100" s="77">
        <v>30</v>
      </c>
      <c r="L100" t="s">
        <v>351</v>
      </c>
      <c r="M100" s="126">
        <v>3670.308</v>
      </c>
      <c r="N100" s="124">
        <v>18351.54</v>
      </c>
      <c r="O100" t="s">
        <v>346</v>
      </c>
      <c r="P100" t="s">
        <v>294</v>
      </c>
    </row>
    <row r="101" spans="1:16" ht="15" customHeight="1" x14ac:dyDescent="0.25">
      <c r="A101" s="123">
        <v>45772</v>
      </c>
      <c r="B101" t="s">
        <v>401</v>
      </c>
      <c r="C101" t="s">
        <v>402</v>
      </c>
      <c r="D101" t="s">
        <v>221</v>
      </c>
      <c r="E101" t="s">
        <v>496</v>
      </c>
      <c r="F101" t="s">
        <v>177</v>
      </c>
      <c r="G101" t="s">
        <v>501</v>
      </c>
      <c r="H101" s="77">
        <v>9</v>
      </c>
      <c r="I101" s="124">
        <v>105.47</v>
      </c>
      <c r="J101" s="124">
        <v>949.27</v>
      </c>
      <c r="K101" s="77">
        <v>60</v>
      </c>
      <c r="L101" t="s">
        <v>339</v>
      </c>
      <c r="M101" s="126">
        <v>189.85400000000001</v>
      </c>
      <c r="N101" s="124">
        <v>949.27</v>
      </c>
      <c r="O101" t="s">
        <v>346</v>
      </c>
      <c r="P101" t="s">
        <v>294</v>
      </c>
    </row>
    <row r="102" spans="1:16" ht="15" customHeight="1" x14ac:dyDescent="0.25">
      <c r="A102" s="123">
        <v>45760</v>
      </c>
      <c r="B102" t="s">
        <v>362</v>
      </c>
      <c r="C102" t="s">
        <v>363</v>
      </c>
      <c r="D102" t="s">
        <v>221</v>
      </c>
      <c r="E102" t="s">
        <v>349</v>
      </c>
      <c r="F102" t="s">
        <v>177</v>
      </c>
      <c r="G102" t="s">
        <v>502</v>
      </c>
      <c r="H102" s="77">
        <v>3</v>
      </c>
      <c r="I102" s="124">
        <v>55.09</v>
      </c>
      <c r="J102" s="124">
        <v>165.28</v>
      </c>
      <c r="K102" s="77">
        <v>60</v>
      </c>
      <c r="L102" t="s">
        <v>339</v>
      </c>
      <c r="M102" s="126">
        <v>33.055999999999997</v>
      </c>
      <c r="N102" s="124">
        <v>165.28</v>
      </c>
      <c r="O102" t="s">
        <v>340</v>
      </c>
      <c r="P102" t="s">
        <v>294</v>
      </c>
    </row>
    <row r="103" spans="1:16" ht="15" customHeight="1" x14ac:dyDescent="0.25">
      <c r="A103" s="123">
        <v>46000</v>
      </c>
      <c r="B103" t="s">
        <v>401</v>
      </c>
      <c r="C103" t="s">
        <v>402</v>
      </c>
      <c r="D103" t="s">
        <v>221</v>
      </c>
      <c r="E103" t="s">
        <v>381</v>
      </c>
      <c r="F103" t="s">
        <v>179</v>
      </c>
      <c r="G103" t="s">
        <v>503</v>
      </c>
      <c r="H103" s="77">
        <v>15</v>
      </c>
      <c r="I103" s="124">
        <v>142.82</v>
      </c>
      <c r="J103" s="124">
        <v>2142.34</v>
      </c>
      <c r="K103" s="77">
        <v>60</v>
      </c>
      <c r="L103" t="s">
        <v>339</v>
      </c>
      <c r="M103" s="126">
        <v>428.46800000000002</v>
      </c>
      <c r="N103" s="124">
        <v>2142.34</v>
      </c>
      <c r="O103" t="s">
        <v>346</v>
      </c>
      <c r="P103" t="s">
        <v>294</v>
      </c>
    </row>
    <row r="104" spans="1:16" ht="15" customHeight="1" x14ac:dyDescent="0.25">
      <c r="A104" s="123">
        <v>45743</v>
      </c>
      <c r="B104" t="s">
        <v>373</v>
      </c>
      <c r="C104" t="s">
        <v>374</v>
      </c>
      <c r="D104" t="s">
        <v>225</v>
      </c>
      <c r="E104" t="s">
        <v>437</v>
      </c>
      <c r="F104" t="s">
        <v>181</v>
      </c>
      <c r="G104" t="s">
        <v>504</v>
      </c>
      <c r="H104" s="77">
        <v>78</v>
      </c>
      <c r="I104" s="124">
        <v>182.21</v>
      </c>
      <c r="J104" s="124">
        <v>14212.02</v>
      </c>
      <c r="K104" s="77">
        <v>60</v>
      </c>
      <c r="L104" t="s">
        <v>351</v>
      </c>
      <c r="M104" s="126">
        <v>2842.404</v>
      </c>
      <c r="N104" s="124">
        <v>14212.02</v>
      </c>
      <c r="O104" t="s">
        <v>346</v>
      </c>
      <c r="P104" t="s">
        <v>294</v>
      </c>
    </row>
    <row r="105" spans="1:16" ht="15" customHeight="1" x14ac:dyDescent="0.25">
      <c r="A105" s="123">
        <v>45817</v>
      </c>
      <c r="B105" t="s">
        <v>370</v>
      </c>
      <c r="C105" t="s">
        <v>371</v>
      </c>
      <c r="D105" t="s">
        <v>227</v>
      </c>
      <c r="E105" t="s">
        <v>415</v>
      </c>
      <c r="F105" t="s">
        <v>178</v>
      </c>
      <c r="G105" t="s">
        <v>505</v>
      </c>
      <c r="H105" s="77">
        <v>14</v>
      </c>
      <c r="I105" s="124">
        <v>41.81</v>
      </c>
      <c r="J105" s="124">
        <v>585.34</v>
      </c>
      <c r="K105" s="77">
        <v>60</v>
      </c>
      <c r="L105" t="s">
        <v>339</v>
      </c>
      <c r="M105" s="126">
        <v>117.068</v>
      </c>
      <c r="N105" s="124">
        <v>585.34</v>
      </c>
      <c r="O105" t="s">
        <v>340</v>
      </c>
      <c r="P105" t="s">
        <v>294</v>
      </c>
    </row>
    <row r="106" spans="1:16" ht="15" customHeight="1" x14ac:dyDescent="0.25">
      <c r="A106" s="123">
        <v>45759</v>
      </c>
      <c r="B106" t="s">
        <v>362</v>
      </c>
      <c r="C106" t="s">
        <v>363</v>
      </c>
      <c r="D106" t="s">
        <v>221</v>
      </c>
      <c r="E106" t="s">
        <v>234</v>
      </c>
      <c r="F106" t="s">
        <v>183</v>
      </c>
      <c r="G106" t="s">
        <v>506</v>
      </c>
      <c r="H106" s="77">
        <v>10</v>
      </c>
      <c r="I106" s="124">
        <v>274.52999999999997</v>
      </c>
      <c r="J106" s="124">
        <v>2745.34</v>
      </c>
      <c r="K106" s="77">
        <v>60</v>
      </c>
      <c r="L106" t="s">
        <v>351</v>
      </c>
      <c r="M106" s="126">
        <v>549.06799999999998</v>
      </c>
      <c r="N106" s="124">
        <v>2745.34</v>
      </c>
      <c r="O106" t="s">
        <v>346</v>
      </c>
      <c r="P106" t="s">
        <v>294</v>
      </c>
    </row>
    <row r="107" spans="1:16" ht="15" customHeight="1" x14ac:dyDescent="0.25">
      <c r="A107" s="123">
        <v>46014</v>
      </c>
      <c r="B107" t="s">
        <v>393</v>
      </c>
      <c r="C107" t="s">
        <v>394</v>
      </c>
      <c r="D107" t="s">
        <v>227</v>
      </c>
      <c r="E107" t="s">
        <v>423</v>
      </c>
      <c r="F107" t="s">
        <v>180</v>
      </c>
      <c r="G107" t="s">
        <v>507</v>
      </c>
      <c r="H107" s="77">
        <v>39</v>
      </c>
      <c r="I107" s="124">
        <v>312.20999999999998</v>
      </c>
      <c r="J107" s="124">
        <v>12176.35</v>
      </c>
      <c r="K107" s="77">
        <v>60</v>
      </c>
      <c r="L107" t="s">
        <v>351</v>
      </c>
      <c r="M107" s="126">
        <v>2435.27</v>
      </c>
      <c r="N107" s="124">
        <v>12176.35</v>
      </c>
      <c r="O107" t="s">
        <v>346</v>
      </c>
      <c r="P107" t="s">
        <v>294</v>
      </c>
    </row>
    <row r="108" spans="1:16" ht="15" customHeight="1" x14ac:dyDescent="0.25">
      <c r="A108" s="123">
        <v>45930</v>
      </c>
      <c r="B108" t="s">
        <v>390</v>
      </c>
      <c r="C108" t="s">
        <v>391</v>
      </c>
      <c r="D108" t="s">
        <v>221</v>
      </c>
      <c r="E108" t="s">
        <v>496</v>
      </c>
      <c r="F108" t="s">
        <v>177</v>
      </c>
      <c r="G108" t="s">
        <v>508</v>
      </c>
      <c r="H108" s="77">
        <v>55</v>
      </c>
      <c r="I108" s="124">
        <v>338.63</v>
      </c>
      <c r="J108" s="124">
        <v>18624.39</v>
      </c>
      <c r="K108" s="77">
        <v>60</v>
      </c>
      <c r="L108" t="s">
        <v>345</v>
      </c>
      <c r="M108" s="126">
        <v>3724.8780000000002</v>
      </c>
      <c r="N108" s="124">
        <v>18624.39</v>
      </c>
      <c r="O108" t="s">
        <v>346</v>
      </c>
      <c r="P108" t="s">
        <v>294</v>
      </c>
    </row>
    <row r="109" spans="1:16" ht="15" customHeight="1" x14ac:dyDescent="0.25">
      <c r="A109" s="123">
        <v>45873</v>
      </c>
      <c r="B109" t="s">
        <v>347</v>
      </c>
      <c r="C109" t="s">
        <v>348</v>
      </c>
      <c r="D109" t="s">
        <v>223</v>
      </c>
      <c r="E109" t="s">
        <v>376</v>
      </c>
      <c r="F109" t="s">
        <v>182</v>
      </c>
      <c r="G109" t="s">
        <v>509</v>
      </c>
      <c r="H109" s="77">
        <v>63</v>
      </c>
      <c r="I109" s="124">
        <v>104.57</v>
      </c>
      <c r="J109" s="124">
        <v>6588.16</v>
      </c>
      <c r="K109" s="77">
        <v>30</v>
      </c>
      <c r="L109" t="s">
        <v>345</v>
      </c>
      <c r="M109" s="126">
        <v>1317.6320000000001</v>
      </c>
      <c r="N109" s="124">
        <v>6588.16</v>
      </c>
      <c r="O109" t="s">
        <v>340</v>
      </c>
      <c r="P109" t="s">
        <v>294</v>
      </c>
    </row>
    <row r="110" spans="1:16" ht="15" customHeight="1" x14ac:dyDescent="0.25">
      <c r="A110" s="123">
        <v>45736</v>
      </c>
      <c r="B110" t="s">
        <v>488</v>
      </c>
      <c r="C110" t="s">
        <v>489</v>
      </c>
      <c r="D110" t="s">
        <v>225</v>
      </c>
      <c r="E110" t="s">
        <v>417</v>
      </c>
      <c r="F110" t="s">
        <v>184</v>
      </c>
      <c r="G110" t="s">
        <v>510</v>
      </c>
      <c r="H110" s="77">
        <v>56</v>
      </c>
      <c r="I110" s="124">
        <v>86.41</v>
      </c>
      <c r="J110" s="124">
        <v>4839.1400000000003</v>
      </c>
      <c r="K110" s="77">
        <v>30</v>
      </c>
      <c r="L110" t="s">
        <v>351</v>
      </c>
      <c r="M110" s="126">
        <v>967.82799999999997</v>
      </c>
      <c r="N110" s="124">
        <v>4839.1400000000003</v>
      </c>
      <c r="O110" t="s">
        <v>346</v>
      </c>
      <c r="P110" t="s">
        <v>294</v>
      </c>
    </row>
    <row r="111" spans="1:16" ht="15" customHeight="1" x14ac:dyDescent="0.25">
      <c r="A111" s="123">
        <v>45933</v>
      </c>
      <c r="B111" t="s">
        <v>378</v>
      </c>
      <c r="C111" t="s">
        <v>379</v>
      </c>
      <c r="D111" t="s">
        <v>227</v>
      </c>
      <c r="E111" t="s">
        <v>403</v>
      </c>
      <c r="F111" t="s">
        <v>181</v>
      </c>
      <c r="G111" t="s">
        <v>511</v>
      </c>
      <c r="H111" s="77">
        <v>62</v>
      </c>
      <c r="I111" s="124">
        <v>211.17</v>
      </c>
      <c r="J111" s="124">
        <v>13092.79</v>
      </c>
      <c r="K111" s="77">
        <v>45</v>
      </c>
      <c r="L111" t="s">
        <v>345</v>
      </c>
      <c r="M111" s="126">
        <v>2618.558</v>
      </c>
      <c r="N111" s="124">
        <v>13092.79</v>
      </c>
      <c r="O111" t="s">
        <v>346</v>
      </c>
      <c r="P111" t="s">
        <v>294</v>
      </c>
    </row>
    <row r="112" spans="1:16" ht="15" customHeight="1" x14ac:dyDescent="0.25">
      <c r="A112" s="123">
        <v>45783</v>
      </c>
      <c r="B112" t="s">
        <v>335</v>
      </c>
      <c r="C112" t="s">
        <v>336</v>
      </c>
      <c r="D112" t="s">
        <v>223</v>
      </c>
      <c r="E112" t="s">
        <v>437</v>
      </c>
      <c r="F112" t="s">
        <v>181</v>
      </c>
      <c r="G112" t="s">
        <v>512</v>
      </c>
      <c r="H112" s="77">
        <v>12</v>
      </c>
      <c r="I112" s="124">
        <v>76.58</v>
      </c>
      <c r="J112" s="124">
        <v>918.93</v>
      </c>
      <c r="K112" s="77">
        <v>45</v>
      </c>
      <c r="L112" t="s">
        <v>345</v>
      </c>
      <c r="M112" s="126">
        <v>183.786</v>
      </c>
      <c r="N112" s="124">
        <v>918.93</v>
      </c>
      <c r="O112" t="s">
        <v>346</v>
      </c>
      <c r="P112" t="s">
        <v>294</v>
      </c>
    </row>
    <row r="113" spans="1:16" ht="15" customHeight="1" x14ac:dyDescent="0.25">
      <c r="A113" s="123">
        <v>45970</v>
      </c>
      <c r="B113" t="s">
        <v>335</v>
      </c>
      <c r="C113" t="s">
        <v>336</v>
      </c>
      <c r="D113" t="s">
        <v>223</v>
      </c>
      <c r="E113" t="s">
        <v>417</v>
      </c>
      <c r="F113" t="s">
        <v>184</v>
      </c>
      <c r="G113" t="s">
        <v>513</v>
      </c>
      <c r="H113" s="77">
        <v>49</v>
      </c>
      <c r="I113" s="124">
        <v>73.91</v>
      </c>
      <c r="J113" s="124">
        <v>3621.8</v>
      </c>
      <c r="K113" s="77">
        <v>45</v>
      </c>
      <c r="L113" t="s">
        <v>339</v>
      </c>
      <c r="M113" s="126">
        <v>724.36</v>
      </c>
      <c r="N113" s="124">
        <v>3621.8</v>
      </c>
      <c r="O113" t="s">
        <v>346</v>
      </c>
      <c r="P113" t="s">
        <v>294</v>
      </c>
    </row>
    <row r="114" spans="1:16" ht="15" customHeight="1" x14ac:dyDescent="0.25">
      <c r="A114" s="123">
        <v>45907</v>
      </c>
      <c r="B114" t="s">
        <v>398</v>
      </c>
      <c r="C114" t="s">
        <v>399</v>
      </c>
      <c r="D114" t="s">
        <v>227</v>
      </c>
      <c r="E114" t="s">
        <v>376</v>
      </c>
      <c r="F114" t="s">
        <v>182</v>
      </c>
      <c r="G114" t="s">
        <v>514</v>
      </c>
      <c r="H114" s="77">
        <v>28</v>
      </c>
      <c r="I114" s="124">
        <v>98.2</v>
      </c>
      <c r="J114" s="124">
        <v>2749.59</v>
      </c>
      <c r="K114" s="77">
        <v>45</v>
      </c>
      <c r="L114" t="s">
        <v>345</v>
      </c>
      <c r="M114" s="126">
        <v>549.91800000000001</v>
      </c>
      <c r="N114" s="124">
        <v>2749.59</v>
      </c>
      <c r="O114" t="s">
        <v>340</v>
      </c>
      <c r="P114" t="s">
        <v>294</v>
      </c>
    </row>
    <row r="115" spans="1:16" ht="15" customHeight="1" x14ac:dyDescent="0.25">
      <c r="A115" s="123">
        <v>46017</v>
      </c>
      <c r="B115" t="s">
        <v>398</v>
      </c>
      <c r="C115" t="s">
        <v>399</v>
      </c>
      <c r="D115" t="s">
        <v>227</v>
      </c>
      <c r="E115" t="s">
        <v>403</v>
      </c>
      <c r="F115" t="s">
        <v>181</v>
      </c>
      <c r="G115" t="s">
        <v>515</v>
      </c>
      <c r="H115" s="77">
        <v>36</v>
      </c>
      <c r="I115" s="124">
        <v>852.7</v>
      </c>
      <c r="J115" s="124">
        <v>30697.29</v>
      </c>
      <c r="K115" s="77">
        <v>60</v>
      </c>
      <c r="L115" t="s">
        <v>339</v>
      </c>
      <c r="M115" s="126">
        <v>6139.4579999999996</v>
      </c>
      <c r="N115" s="124">
        <v>30697.29</v>
      </c>
      <c r="O115" t="s">
        <v>346</v>
      </c>
      <c r="P115" t="s">
        <v>294</v>
      </c>
    </row>
    <row r="116" spans="1:16" ht="15" customHeight="1" x14ac:dyDescent="0.25">
      <c r="A116" s="123">
        <v>45781</v>
      </c>
      <c r="B116" t="s">
        <v>373</v>
      </c>
      <c r="C116" t="s">
        <v>374</v>
      </c>
      <c r="D116" t="s">
        <v>225</v>
      </c>
      <c r="E116" t="s">
        <v>423</v>
      </c>
      <c r="F116" t="s">
        <v>180</v>
      </c>
      <c r="G116" t="s">
        <v>516</v>
      </c>
      <c r="H116" s="77">
        <v>53</v>
      </c>
      <c r="I116" s="124">
        <v>224.9</v>
      </c>
      <c r="J116" s="124">
        <v>11919.78</v>
      </c>
      <c r="K116" s="77">
        <v>45</v>
      </c>
      <c r="L116" t="s">
        <v>351</v>
      </c>
      <c r="M116" s="126">
        <v>2383.9560000000001</v>
      </c>
      <c r="N116" s="124">
        <v>11919.78</v>
      </c>
      <c r="O116" t="s">
        <v>346</v>
      </c>
      <c r="P116" t="s">
        <v>294</v>
      </c>
    </row>
    <row r="117" spans="1:16" ht="15" customHeight="1" x14ac:dyDescent="0.25">
      <c r="A117" s="123">
        <v>45901</v>
      </c>
      <c r="B117" t="s">
        <v>406</v>
      </c>
      <c r="C117" t="s">
        <v>407</v>
      </c>
      <c r="D117" t="s">
        <v>225</v>
      </c>
      <c r="E117" t="s">
        <v>352</v>
      </c>
      <c r="F117" t="s">
        <v>180</v>
      </c>
      <c r="G117" t="s">
        <v>517</v>
      </c>
      <c r="H117" s="77">
        <v>63</v>
      </c>
      <c r="I117" s="124">
        <v>295.10000000000002</v>
      </c>
      <c r="J117" s="124">
        <v>18591.259999999998</v>
      </c>
      <c r="K117" s="77">
        <v>45</v>
      </c>
      <c r="L117" t="s">
        <v>339</v>
      </c>
      <c r="M117" s="126">
        <v>3718.252</v>
      </c>
      <c r="N117" s="124">
        <v>18591.259999999998</v>
      </c>
      <c r="O117" t="s">
        <v>346</v>
      </c>
      <c r="P117" t="s">
        <v>294</v>
      </c>
    </row>
    <row r="118" spans="1:16" ht="15" customHeight="1" x14ac:dyDescent="0.25">
      <c r="A118" s="123">
        <v>45865</v>
      </c>
      <c r="B118" t="s">
        <v>393</v>
      </c>
      <c r="C118" t="s">
        <v>394</v>
      </c>
      <c r="D118" t="s">
        <v>227</v>
      </c>
      <c r="E118" t="s">
        <v>356</v>
      </c>
      <c r="F118" t="s">
        <v>181</v>
      </c>
      <c r="G118" t="s">
        <v>518</v>
      </c>
      <c r="H118" s="77">
        <v>32</v>
      </c>
      <c r="I118" s="124">
        <v>215.84</v>
      </c>
      <c r="J118" s="124">
        <v>6906.87</v>
      </c>
      <c r="K118" s="77">
        <v>45</v>
      </c>
      <c r="L118" t="s">
        <v>351</v>
      </c>
      <c r="M118" s="126">
        <v>1381.374</v>
      </c>
      <c r="N118" s="124">
        <v>6906.87</v>
      </c>
      <c r="O118" t="s">
        <v>340</v>
      </c>
      <c r="P118" t="s">
        <v>294</v>
      </c>
    </row>
    <row r="119" spans="1:16" ht="15" customHeight="1" x14ac:dyDescent="0.25">
      <c r="A119" s="123">
        <v>45941</v>
      </c>
      <c r="B119" t="s">
        <v>373</v>
      </c>
      <c r="C119" t="s">
        <v>374</v>
      </c>
      <c r="D119" t="s">
        <v>225</v>
      </c>
      <c r="E119" t="s">
        <v>420</v>
      </c>
      <c r="F119" t="s">
        <v>182</v>
      </c>
      <c r="G119" t="s">
        <v>519</v>
      </c>
      <c r="H119" s="77">
        <v>68</v>
      </c>
      <c r="I119" s="124">
        <v>49.95</v>
      </c>
      <c r="J119" s="124">
        <v>3396.88</v>
      </c>
      <c r="K119" s="77">
        <v>45</v>
      </c>
      <c r="L119" t="s">
        <v>345</v>
      </c>
      <c r="M119" s="126">
        <v>679.37599999999998</v>
      </c>
      <c r="N119" s="124">
        <v>3396.88</v>
      </c>
      <c r="O119" t="s">
        <v>346</v>
      </c>
      <c r="P119" t="s">
        <v>294</v>
      </c>
    </row>
    <row r="120" spans="1:16" ht="15" customHeight="1" x14ac:dyDescent="0.25">
      <c r="A120" s="123">
        <v>46017</v>
      </c>
      <c r="B120" t="s">
        <v>341</v>
      </c>
      <c r="C120" t="s">
        <v>342</v>
      </c>
      <c r="D120" t="s">
        <v>223</v>
      </c>
      <c r="E120" t="s">
        <v>420</v>
      </c>
      <c r="F120" t="s">
        <v>182</v>
      </c>
      <c r="G120" t="s">
        <v>520</v>
      </c>
      <c r="H120" s="77">
        <v>59</v>
      </c>
      <c r="I120" s="124">
        <v>178.12</v>
      </c>
      <c r="J120" s="124">
        <v>10508.79</v>
      </c>
      <c r="K120" s="77">
        <v>45</v>
      </c>
      <c r="L120" t="s">
        <v>345</v>
      </c>
      <c r="M120" s="126">
        <v>2101.7579999999998</v>
      </c>
      <c r="N120" s="124">
        <v>10508.79</v>
      </c>
      <c r="O120" t="s">
        <v>346</v>
      </c>
      <c r="P120" t="s">
        <v>294</v>
      </c>
    </row>
    <row r="121" spans="1:16" ht="15" customHeight="1" x14ac:dyDescent="0.25">
      <c r="A121" s="123">
        <v>45756</v>
      </c>
      <c r="B121" t="s">
        <v>341</v>
      </c>
      <c r="C121" t="s">
        <v>342</v>
      </c>
      <c r="D121" t="s">
        <v>223</v>
      </c>
      <c r="E121" t="s">
        <v>423</v>
      </c>
      <c r="F121" t="s">
        <v>180</v>
      </c>
      <c r="G121" t="s">
        <v>521</v>
      </c>
      <c r="H121" s="77">
        <v>41</v>
      </c>
      <c r="I121" s="124">
        <v>378.05</v>
      </c>
      <c r="J121" s="124">
        <v>15500.01</v>
      </c>
      <c r="K121" s="77">
        <v>30</v>
      </c>
      <c r="L121" t="s">
        <v>351</v>
      </c>
      <c r="M121" s="126">
        <v>3100.002</v>
      </c>
      <c r="N121" s="124">
        <v>15500.01</v>
      </c>
      <c r="O121" t="s">
        <v>346</v>
      </c>
      <c r="P121" t="s">
        <v>294</v>
      </c>
    </row>
    <row r="122" spans="1:16" ht="15" customHeight="1" x14ac:dyDescent="0.25">
      <c r="A122" s="123">
        <v>45768</v>
      </c>
      <c r="B122" t="s">
        <v>431</v>
      </c>
      <c r="C122" t="s">
        <v>432</v>
      </c>
      <c r="D122" t="s">
        <v>221</v>
      </c>
      <c r="E122" t="s">
        <v>442</v>
      </c>
      <c r="F122" t="s">
        <v>179</v>
      </c>
      <c r="G122" t="s">
        <v>522</v>
      </c>
      <c r="H122" s="77">
        <v>62</v>
      </c>
      <c r="I122" s="124">
        <v>278.11</v>
      </c>
      <c r="J122" s="124">
        <v>17242.95</v>
      </c>
      <c r="K122" s="77">
        <v>45</v>
      </c>
      <c r="L122" t="s">
        <v>351</v>
      </c>
      <c r="M122" s="126">
        <v>3448.59</v>
      </c>
      <c r="N122" s="124">
        <v>17242.95</v>
      </c>
      <c r="O122" t="s">
        <v>340</v>
      </c>
      <c r="P122" t="s">
        <v>294</v>
      </c>
    </row>
    <row r="123" spans="1:16" ht="15" customHeight="1" x14ac:dyDescent="0.25">
      <c r="A123" s="123">
        <v>45757</v>
      </c>
      <c r="B123" t="s">
        <v>390</v>
      </c>
      <c r="C123" t="s">
        <v>391</v>
      </c>
      <c r="D123" t="s">
        <v>221</v>
      </c>
      <c r="E123" t="s">
        <v>356</v>
      </c>
      <c r="F123" t="s">
        <v>181</v>
      </c>
      <c r="G123" t="s">
        <v>523</v>
      </c>
      <c r="H123" s="77">
        <v>38</v>
      </c>
      <c r="I123" s="124">
        <v>133.41</v>
      </c>
      <c r="J123" s="124">
        <v>5069.7700000000004</v>
      </c>
      <c r="K123" s="77">
        <v>30</v>
      </c>
      <c r="L123" t="s">
        <v>345</v>
      </c>
      <c r="M123" s="126">
        <v>1013.954</v>
      </c>
      <c r="N123" s="124">
        <v>5069.7700000000004</v>
      </c>
      <c r="O123" t="s">
        <v>340</v>
      </c>
      <c r="P123" t="s">
        <v>294</v>
      </c>
    </row>
    <row r="124" spans="1:16" ht="15" customHeight="1" x14ac:dyDescent="0.25">
      <c r="A124" s="123">
        <v>46020</v>
      </c>
      <c r="B124" t="s">
        <v>358</v>
      </c>
      <c r="C124" t="s">
        <v>359</v>
      </c>
      <c r="D124" t="s">
        <v>225</v>
      </c>
      <c r="E124" t="s">
        <v>356</v>
      </c>
      <c r="F124" t="s">
        <v>181</v>
      </c>
      <c r="G124" t="s">
        <v>524</v>
      </c>
      <c r="H124" s="77">
        <v>69</v>
      </c>
      <c r="I124" s="124">
        <v>475.88</v>
      </c>
      <c r="J124" s="124">
        <v>32835.68</v>
      </c>
      <c r="K124" s="77">
        <v>30</v>
      </c>
      <c r="L124" t="s">
        <v>345</v>
      </c>
      <c r="M124" s="126">
        <v>6567.1360000000004</v>
      </c>
      <c r="N124" s="124">
        <v>32835.68</v>
      </c>
      <c r="O124" t="s">
        <v>340</v>
      </c>
      <c r="P124" t="s">
        <v>294</v>
      </c>
    </row>
    <row r="125" spans="1:16" ht="15" customHeight="1" x14ac:dyDescent="0.25">
      <c r="A125" s="123">
        <v>45807</v>
      </c>
      <c r="B125" t="s">
        <v>335</v>
      </c>
      <c r="C125" t="s">
        <v>336</v>
      </c>
      <c r="D125" t="s">
        <v>223</v>
      </c>
      <c r="E125" t="s">
        <v>440</v>
      </c>
      <c r="F125" t="s">
        <v>177</v>
      </c>
      <c r="G125" t="s">
        <v>525</v>
      </c>
      <c r="H125" s="77">
        <v>17</v>
      </c>
      <c r="I125" s="124">
        <v>55.51</v>
      </c>
      <c r="J125" s="124">
        <v>943.59</v>
      </c>
      <c r="K125" s="77">
        <v>60</v>
      </c>
      <c r="L125" t="s">
        <v>345</v>
      </c>
      <c r="M125" s="126">
        <v>188.71799999999999</v>
      </c>
      <c r="N125" s="124">
        <v>943.59</v>
      </c>
      <c r="O125" t="s">
        <v>346</v>
      </c>
      <c r="P125" t="s">
        <v>294</v>
      </c>
    </row>
    <row r="126" spans="1:16" ht="15" customHeight="1" x14ac:dyDescent="0.25">
      <c r="A126" s="123">
        <v>45803</v>
      </c>
      <c r="B126" t="s">
        <v>341</v>
      </c>
      <c r="C126" t="s">
        <v>342</v>
      </c>
      <c r="D126" t="s">
        <v>223</v>
      </c>
      <c r="E126" t="s">
        <v>440</v>
      </c>
      <c r="F126" t="s">
        <v>177</v>
      </c>
      <c r="G126" t="s">
        <v>526</v>
      </c>
      <c r="H126" s="77">
        <v>61</v>
      </c>
      <c r="I126" s="124">
        <v>165.71</v>
      </c>
      <c r="J126" s="124">
        <v>10108.549999999999</v>
      </c>
      <c r="K126" s="77">
        <v>45</v>
      </c>
      <c r="L126" t="s">
        <v>345</v>
      </c>
      <c r="M126" s="126">
        <v>2021.71</v>
      </c>
      <c r="N126" s="124">
        <v>10108.549999999999</v>
      </c>
      <c r="O126" t="s">
        <v>346</v>
      </c>
      <c r="P126" t="s">
        <v>294</v>
      </c>
    </row>
    <row r="127" spans="1:16" ht="15" customHeight="1" x14ac:dyDescent="0.25">
      <c r="A127" s="123">
        <v>45787</v>
      </c>
      <c r="B127" t="s">
        <v>431</v>
      </c>
      <c r="C127" t="s">
        <v>432</v>
      </c>
      <c r="D127" t="s">
        <v>221</v>
      </c>
      <c r="E127" t="s">
        <v>442</v>
      </c>
      <c r="F127" t="s">
        <v>179</v>
      </c>
      <c r="G127" t="s">
        <v>527</v>
      </c>
      <c r="H127" s="77">
        <v>62</v>
      </c>
      <c r="I127" s="124">
        <v>600.47</v>
      </c>
      <c r="J127" s="124">
        <v>37228.949999999997</v>
      </c>
      <c r="K127" s="77">
        <v>30</v>
      </c>
      <c r="L127" t="s">
        <v>339</v>
      </c>
      <c r="M127" s="126">
        <v>7445.79</v>
      </c>
      <c r="N127" s="124">
        <v>37228.949999999997</v>
      </c>
      <c r="O127" t="s">
        <v>340</v>
      </c>
      <c r="P127" t="s">
        <v>294</v>
      </c>
    </row>
    <row r="128" spans="1:16" ht="15" customHeight="1" x14ac:dyDescent="0.25">
      <c r="A128" s="123">
        <v>45953</v>
      </c>
      <c r="B128" t="s">
        <v>409</v>
      </c>
      <c r="C128" t="s">
        <v>410</v>
      </c>
      <c r="D128" t="s">
        <v>223</v>
      </c>
      <c r="E128" t="s">
        <v>396</v>
      </c>
      <c r="F128" t="s">
        <v>184</v>
      </c>
      <c r="G128" t="s">
        <v>528</v>
      </c>
      <c r="H128" s="77">
        <v>7</v>
      </c>
      <c r="I128" s="124">
        <v>43.5</v>
      </c>
      <c r="J128" s="124">
        <v>304.48</v>
      </c>
      <c r="K128" s="77">
        <v>30</v>
      </c>
      <c r="L128" t="s">
        <v>339</v>
      </c>
      <c r="M128" s="126">
        <v>60.896000000000001</v>
      </c>
      <c r="N128" s="124">
        <v>304.48</v>
      </c>
      <c r="O128" t="s">
        <v>346</v>
      </c>
      <c r="P128" t="s">
        <v>294</v>
      </c>
    </row>
    <row r="129" spans="1:16" ht="15" customHeight="1" x14ac:dyDescent="0.25">
      <c r="A129" s="123">
        <v>45785</v>
      </c>
      <c r="B129" t="s">
        <v>488</v>
      </c>
      <c r="C129" t="s">
        <v>489</v>
      </c>
      <c r="D129" t="s">
        <v>225</v>
      </c>
      <c r="E129" t="s">
        <v>356</v>
      </c>
      <c r="F129" t="s">
        <v>181</v>
      </c>
      <c r="G129" t="s">
        <v>529</v>
      </c>
      <c r="H129" s="77">
        <v>16</v>
      </c>
      <c r="I129" s="124">
        <v>161.12</v>
      </c>
      <c r="J129" s="124">
        <v>2577.96</v>
      </c>
      <c r="K129" s="77">
        <v>60</v>
      </c>
      <c r="L129" t="s">
        <v>345</v>
      </c>
      <c r="M129" s="126">
        <v>515.59199999999998</v>
      </c>
      <c r="N129" s="124">
        <v>2577.96</v>
      </c>
      <c r="O129" t="s">
        <v>340</v>
      </c>
      <c r="P129" t="s">
        <v>294</v>
      </c>
    </row>
    <row r="130" spans="1:16" ht="15" customHeight="1" x14ac:dyDescent="0.25">
      <c r="A130" s="123">
        <v>45852</v>
      </c>
      <c r="B130" t="s">
        <v>341</v>
      </c>
      <c r="C130" t="s">
        <v>342</v>
      </c>
      <c r="D130" t="s">
        <v>223</v>
      </c>
      <c r="E130" t="s">
        <v>352</v>
      </c>
      <c r="F130" t="s">
        <v>180</v>
      </c>
      <c r="G130" t="s">
        <v>530</v>
      </c>
      <c r="H130" s="77">
        <v>58</v>
      </c>
      <c r="I130" s="124">
        <v>264.08</v>
      </c>
      <c r="J130" s="124">
        <v>15316.9</v>
      </c>
      <c r="K130" s="77">
        <v>45</v>
      </c>
      <c r="L130" t="s">
        <v>345</v>
      </c>
      <c r="M130" s="126">
        <v>3063.38</v>
      </c>
      <c r="N130" s="124">
        <v>15316.9</v>
      </c>
      <c r="O130" t="s">
        <v>346</v>
      </c>
      <c r="P130" t="s">
        <v>294</v>
      </c>
    </row>
    <row r="131" spans="1:16" ht="15" customHeight="1" x14ac:dyDescent="0.25">
      <c r="A131" s="123">
        <v>45949</v>
      </c>
      <c r="B131" t="s">
        <v>398</v>
      </c>
      <c r="C131" t="s">
        <v>399</v>
      </c>
      <c r="D131" t="s">
        <v>227</v>
      </c>
      <c r="E131" t="s">
        <v>234</v>
      </c>
      <c r="F131" t="s">
        <v>183</v>
      </c>
      <c r="G131" t="s">
        <v>531</v>
      </c>
      <c r="H131" s="77">
        <v>80</v>
      </c>
      <c r="I131" s="124">
        <v>227.44</v>
      </c>
      <c r="J131" s="124">
        <v>18194.919999999998</v>
      </c>
      <c r="K131" s="77">
        <v>30</v>
      </c>
      <c r="L131" t="s">
        <v>351</v>
      </c>
      <c r="M131" s="126">
        <v>3638.9839999999999</v>
      </c>
      <c r="N131" s="124">
        <v>18194.919999999998</v>
      </c>
      <c r="O131" t="s">
        <v>346</v>
      </c>
      <c r="P131" t="s">
        <v>294</v>
      </c>
    </row>
    <row r="132" spans="1:16" ht="15" customHeight="1" x14ac:dyDescent="0.25">
      <c r="A132" s="123">
        <v>45978</v>
      </c>
      <c r="B132" t="s">
        <v>406</v>
      </c>
      <c r="C132" t="s">
        <v>407</v>
      </c>
      <c r="D132" t="s">
        <v>225</v>
      </c>
      <c r="E132" t="s">
        <v>415</v>
      </c>
      <c r="F132" t="s">
        <v>178</v>
      </c>
      <c r="G132" t="s">
        <v>532</v>
      </c>
      <c r="H132" s="77">
        <v>28</v>
      </c>
      <c r="I132" s="124">
        <v>27.7</v>
      </c>
      <c r="J132" s="124">
        <v>775.67</v>
      </c>
      <c r="K132" s="77">
        <v>45</v>
      </c>
      <c r="L132" t="s">
        <v>351</v>
      </c>
      <c r="M132" s="126">
        <v>155.13399999999999</v>
      </c>
      <c r="N132" s="124">
        <v>775.67</v>
      </c>
      <c r="O132" t="s">
        <v>340</v>
      </c>
      <c r="P132" t="s">
        <v>294</v>
      </c>
    </row>
    <row r="133" spans="1:16" ht="15" customHeight="1" x14ac:dyDescent="0.25">
      <c r="A133" s="123">
        <v>45746</v>
      </c>
      <c r="B133" t="s">
        <v>401</v>
      </c>
      <c r="C133" t="s">
        <v>402</v>
      </c>
      <c r="D133" t="s">
        <v>221</v>
      </c>
      <c r="E133" t="s">
        <v>442</v>
      </c>
      <c r="F133" t="s">
        <v>179</v>
      </c>
      <c r="G133" t="s">
        <v>533</v>
      </c>
      <c r="H133" s="77">
        <v>71</v>
      </c>
      <c r="I133" s="124">
        <v>186.92</v>
      </c>
      <c r="J133" s="124">
        <v>13271.13</v>
      </c>
      <c r="K133" s="77">
        <v>30</v>
      </c>
      <c r="L133" t="s">
        <v>339</v>
      </c>
      <c r="M133" s="126">
        <v>2654.2260000000001</v>
      </c>
      <c r="N133" s="124">
        <v>13271.13</v>
      </c>
      <c r="O133" t="s">
        <v>340</v>
      </c>
      <c r="P133" t="s">
        <v>294</v>
      </c>
    </row>
    <row r="134" spans="1:16" ht="15" customHeight="1" x14ac:dyDescent="0.25">
      <c r="A134" s="123">
        <v>46010</v>
      </c>
      <c r="B134" t="s">
        <v>409</v>
      </c>
      <c r="C134" t="s">
        <v>410</v>
      </c>
      <c r="D134" t="s">
        <v>223</v>
      </c>
      <c r="E134" t="s">
        <v>234</v>
      </c>
      <c r="F134" t="s">
        <v>183</v>
      </c>
      <c r="G134" t="s">
        <v>534</v>
      </c>
      <c r="H134" s="77">
        <v>77</v>
      </c>
      <c r="I134" s="124">
        <v>167.25</v>
      </c>
      <c r="J134" s="124">
        <v>12878.58</v>
      </c>
      <c r="K134" s="77">
        <v>45</v>
      </c>
      <c r="L134" t="s">
        <v>345</v>
      </c>
      <c r="M134" s="126">
        <v>2575.7159999999999</v>
      </c>
      <c r="N134" s="124">
        <v>12878.58</v>
      </c>
      <c r="O134" t="s">
        <v>346</v>
      </c>
      <c r="P134" t="s">
        <v>294</v>
      </c>
    </row>
    <row r="135" spans="1:16" ht="15" customHeight="1" x14ac:dyDescent="0.25">
      <c r="A135" s="123">
        <v>46019</v>
      </c>
      <c r="B135" t="s">
        <v>378</v>
      </c>
      <c r="C135" t="s">
        <v>379</v>
      </c>
      <c r="D135" t="s">
        <v>227</v>
      </c>
      <c r="E135" t="s">
        <v>360</v>
      </c>
      <c r="F135" t="s">
        <v>180</v>
      </c>
      <c r="G135" t="s">
        <v>535</v>
      </c>
      <c r="H135" s="77">
        <v>37</v>
      </c>
      <c r="I135" s="124">
        <v>324.39</v>
      </c>
      <c r="J135" s="124">
        <v>12002.31</v>
      </c>
      <c r="K135" s="77">
        <v>60</v>
      </c>
      <c r="L135" t="s">
        <v>345</v>
      </c>
      <c r="M135" s="126">
        <v>2400.462</v>
      </c>
      <c r="N135" s="124">
        <v>12002.31</v>
      </c>
      <c r="O135" t="s">
        <v>346</v>
      </c>
      <c r="P135" t="s">
        <v>294</v>
      </c>
    </row>
    <row r="136" spans="1:16" ht="15" customHeight="1" x14ac:dyDescent="0.25">
      <c r="A136" s="123">
        <v>45978</v>
      </c>
      <c r="B136" t="s">
        <v>370</v>
      </c>
      <c r="C136" t="s">
        <v>371</v>
      </c>
      <c r="D136" t="s">
        <v>227</v>
      </c>
      <c r="E136" t="s">
        <v>360</v>
      </c>
      <c r="F136" t="s">
        <v>180</v>
      </c>
      <c r="G136" t="s">
        <v>536</v>
      </c>
      <c r="H136" s="77">
        <v>76</v>
      </c>
      <c r="I136" s="124">
        <v>150.77000000000001</v>
      </c>
      <c r="J136" s="124">
        <v>11458.77</v>
      </c>
      <c r="K136" s="77">
        <v>60</v>
      </c>
      <c r="L136" t="s">
        <v>339</v>
      </c>
      <c r="M136" s="126">
        <v>2291.7539999999999</v>
      </c>
      <c r="N136" s="124">
        <v>11458.77</v>
      </c>
      <c r="O136" t="s">
        <v>346</v>
      </c>
      <c r="P136" t="s">
        <v>294</v>
      </c>
    </row>
    <row r="137" spans="1:16" ht="15" customHeight="1" x14ac:dyDescent="0.25">
      <c r="A137" s="123">
        <v>45773</v>
      </c>
      <c r="B137" t="s">
        <v>406</v>
      </c>
      <c r="C137" t="s">
        <v>407</v>
      </c>
      <c r="D137" t="s">
        <v>225</v>
      </c>
      <c r="E137" t="s">
        <v>343</v>
      </c>
      <c r="F137" t="s">
        <v>178</v>
      </c>
      <c r="G137" t="s">
        <v>537</v>
      </c>
      <c r="H137" s="77">
        <v>20</v>
      </c>
      <c r="I137" s="124">
        <v>152.44999999999999</v>
      </c>
      <c r="J137" s="124">
        <v>3049.04</v>
      </c>
      <c r="K137" s="77">
        <v>45</v>
      </c>
      <c r="L137" t="s">
        <v>339</v>
      </c>
      <c r="M137" s="126">
        <v>609.80799999999999</v>
      </c>
      <c r="N137" s="124">
        <v>3049.04</v>
      </c>
      <c r="O137" t="s">
        <v>346</v>
      </c>
      <c r="P137" t="s">
        <v>294</v>
      </c>
    </row>
    <row r="138" spans="1:16" ht="15" customHeight="1" x14ac:dyDescent="0.25">
      <c r="A138" s="123">
        <v>45815</v>
      </c>
      <c r="B138" t="s">
        <v>370</v>
      </c>
      <c r="C138" t="s">
        <v>371</v>
      </c>
      <c r="D138" t="s">
        <v>227</v>
      </c>
      <c r="E138" t="s">
        <v>349</v>
      </c>
      <c r="F138" t="s">
        <v>177</v>
      </c>
      <c r="G138" t="s">
        <v>538</v>
      </c>
      <c r="H138" s="77">
        <v>77</v>
      </c>
      <c r="I138" s="124">
        <v>78</v>
      </c>
      <c r="J138" s="124">
        <v>6005.96</v>
      </c>
      <c r="K138" s="77">
        <v>60</v>
      </c>
      <c r="L138" t="s">
        <v>351</v>
      </c>
      <c r="M138" s="126">
        <v>1201.192</v>
      </c>
      <c r="N138" s="124">
        <v>6005.96</v>
      </c>
      <c r="O138" t="s">
        <v>340</v>
      </c>
      <c r="P138" t="s">
        <v>294</v>
      </c>
    </row>
    <row r="139" spans="1:16" ht="15" customHeight="1" x14ac:dyDescent="0.25">
      <c r="A139" s="123">
        <v>45897</v>
      </c>
      <c r="B139" t="s">
        <v>341</v>
      </c>
      <c r="C139" t="s">
        <v>342</v>
      </c>
      <c r="D139" t="s">
        <v>223</v>
      </c>
      <c r="E139" t="s">
        <v>539</v>
      </c>
      <c r="F139" t="s">
        <v>184</v>
      </c>
      <c r="G139" t="s">
        <v>540</v>
      </c>
      <c r="H139" s="77">
        <v>39</v>
      </c>
      <c r="I139" s="124">
        <v>62.83</v>
      </c>
      <c r="J139" s="124">
        <v>2450.1799999999998</v>
      </c>
      <c r="K139" s="77">
        <v>60</v>
      </c>
      <c r="L139" t="s">
        <v>345</v>
      </c>
      <c r="M139" s="126">
        <v>490.036</v>
      </c>
      <c r="N139" s="124">
        <v>2450.1799999999998</v>
      </c>
      <c r="O139" t="s">
        <v>346</v>
      </c>
      <c r="P139" t="s">
        <v>294</v>
      </c>
    </row>
    <row r="140" spans="1:16" ht="15" customHeight="1" x14ac:dyDescent="0.25">
      <c r="A140" s="123">
        <v>45699</v>
      </c>
      <c r="B140" t="s">
        <v>431</v>
      </c>
      <c r="C140" t="s">
        <v>432</v>
      </c>
      <c r="D140" t="s">
        <v>221</v>
      </c>
      <c r="E140" t="s">
        <v>427</v>
      </c>
      <c r="F140" t="s">
        <v>184</v>
      </c>
      <c r="G140" t="s">
        <v>541</v>
      </c>
      <c r="H140" s="77">
        <v>77</v>
      </c>
      <c r="I140" s="124">
        <v>117.32</v>
      </c>
      <c r="J140" s="124">
        <v>9033.7999999999993</v>
      </c>
      <c r="K140" s="77">
        <v>30</v>
      </c>
      <c r="L140" t="s">
        <v>345</v>
      </c>
      <c r="M140" s="126">
        <v>1806.76</v>
      </c>
      <c r="N140" s="124">
        <v>9033.7999999999993</v>
      </c>
      <c r="O140" t="s">
        <v>346</v>
      </c>
      <c r="P140" t="s">
        <v>294</v>
      </c>
    </row>
    <row r="141" spans="1:16" ht="15" customHeight="1" x14ac:dyDescent="0.25">
      <c r="A141" s="123">
        <v>45786</v>
      </c>
      <c r="B141" t="s">
        <v>341</v>
      </c>
      <c r="C141" t="s">
        <v>342</v>
      </c>
      <c r="D141" t="s">
        <v>223</v>
      </c>
      <c r="E141" t="s">
        <v>364</v>
      </c>
      <c r="F141" t="s">
        <v>182</v>
      </c>
      <c r="G141" t="s">
        <v>542</v>
      </c>
      <c r="H141" s="77">
        <v>4</v>
      </c>
      <c r="I141" s="124">
        <v>48.27</v>
      </c>
      <c r="J141" s="124">
        <v>193.1</v>
      </c>
      <c r="K141" s="77">
        <v>30</v>
      </c>
      <c r="L141" t="s">
        <v>339</v>
      </c>
      <c r="M141" s="126">
        <v>38.619999999999997</v>
      </c>
      <c r="N141" s="124">
        <v>193.1</v>
      </c>
      <c r="O141" t="s">
        <v>346</v>
      </c>
      <c r="P141" t="s">
        <v>294</v>
      </c>
    </row>
    <row r="142" spans="1:16" ht="15" customHeight="1" x14ac:dyDescent="0.25">
      <c r="A142" s="123">
        <v>45795</v>
      </c>
      <c r="B142" t="s">
        <v>373</v>
      </c>
      <c r="C142" t="s">
        <v>374</v>
      </c>
      <c r="D142" t="s">
        <v>225</v>
      </c>
      <c r="E142" t="s">
        <v>440</v>
      </c>
      <c r="F142" t="s">
        <v>177</v>
      </c>
      <c r="G142" t="s">
        <v>543</v>
      </c>
      <c r="H142" s="77">
        <v>74</v>
      </c>
      <c r="I142" s="124">
        <v>135.99</v>
      </c>
      <c r="J142" s="124">
        <v>10063.39</v>
      </c>
      <c r="K142" s="77">
        <v>30</v>
      </c>
      <c r="L142" t="s">
        <v>339</v>
      </c>
      <c r="M142" s="126">
        <v>2012.6780000000001</v>
      </c>
      <c r="N142" s="124">
        <v>10063.39</v>
      </c>
      <c r="O142" t="s">
        <v>346</v>
      </c>
      <c r="P142" t="s">
        <v>294</v>
      </c>
    </row>
    <row r="143" spans="1:16" ht="15" customHeight="1" x14ac:dyDescent="0.25">
      <c r="A143" s="123">
        <v>45750</v>
      </c>
      <c r="B143" t="s">
        <v>362</v>
      </c>
      <c r="C143" t="s">
        <v>363</v>
      </c>
      <c r="D143" t="s">
        <v>221</v>
      </c>
      <c r="E143" t="s">
        <v>427</v>
      </c>
      <c r="F143" t="s">
        <v>184</v>
      </c>
      <c r="G143" t="s">
        <v>544</v>
      </c>
      <c r="H143" s="77">
        <v>75</v>
      </c>
      <c r="I143" s="124">
        <v>153.91999999999999</v>
      </c>
      <c r="J143" s="124">
        <v>11543.81</v>
      </c>
      <c r="K143" s="77">
        <v>45</v>
      </c>
      <c r="L143" t="s">
        <v>351</v>
      </c>
      <c r="M143" s="126">
        <v>2308.7620000000002</v>
      </c>
      <c r="N143" s="124">
        <v>11543.81</v>
      </c>
      <c r="O143" t="s">
        <v>346</v>
      </c>
      <c r="P143" t="s">
        <v>294</v>
      </c>
    </row>
    <row r="144" spans="1:16" ht="15" customHeight="1" x14ac:dyDescent="0.25">
      <c r="A144" s="123">
        <v>45836</v>
      </c>
      <c r="B144" t="s">
        <v>354</v>
      </c>
      <c r="C144" t="s">
        <v>355</v>
      </c>
      <c r="D144" t="s">
        <v>227</v>
      </c>
      <c r="E144" t="s">
        <v>368</v>
      </c>
      <c r="F144" t="s">
        <v>178</v>
      </c>
      <c r="G144" t="s">
        <v>545</v>
      </c>
      <c r="H144" s="77">
        <v>53</v>
      </c>
      <c r="I144" s="124">
        <v>26.85</v>
      </c>
      <c r="J144" s="124">
        <v>1423.06</v>
      </c>
      <c r="K144" s="77">
        <v>45</v>
      </c>
      <c r="L144" t="s">
        <v>345</v>
      </c>
      <c r="M144" s="126">
        <v>284.61200000000002</v>
      </c>
      <c r="N144" s="124">
        <v>1423.06</v>
      </c>
      <c r="O144" t="s">
        <v>346</v>
      </c>
      <c r="P144" t="s">
        <v>294</v>
      </c>
    </row>
    <row r="145" spans="1:16" ht="15" customHeight="1" x14ac:dyDescent="0.25">
      <c r="A145" s="123">
        <v>45826</v>
      </c>
      <c r="B145" t="s">
        <v>373</v>
      </c>
      <c r="C145" t="s">
        <v>374</v>
      </c>
      <c r="D145" t="s">
        <v>225</v>
      </c>
      <c r="E145" t="s">
        <v>415</v>
      </c>
      <c r="F145" t="s">
        <v>178</v>
      </c>
      <c r="G145" t="s">
        <v>546</v>
      </c>
      <c r="H145" s="77">
        <v>53</v>
      </c>
      <c r="I145" s="124">
        <v>71.95</v>
      </c>
      <c r="J145" s="124">
        <v>3813.21</v>
      </c>
      <c r="K145" s="77">
        <v>60</v>
      </c>
      <c r="L145" t="s">
        <v>345</v>
      </c>
      <c r="M145" s="126">
        <v>762.64200000000005</v>
      </c>
      <c r="N145" s="124">
        <v>3813.21</v>
      </c>
      <c r="O145" t="s">
        <v>340</v>
      </c>
      <c r="P145" t="s">
        <v>294</v>
      </c>
    </row>
    <row r="146" spans="1:16" ht="15" customHeight="1" x14ac:dyDescent="0.25">
      <c r="A146" s="123">
        <v>45676</v>
      </c>
      <c r="B146" t="s">
        <v>406</v>
      </c>
      <c r="C146" t="s">
        <v>407</v>
      </c>
      <c r="D146" t="s">
        <v>225</v>
      </c>
      <c r="E146" t="s">
        <v>236</v>
      </c>
      <c r="F146" t="s">
        <v>183</v>
      </c>
      <c r="G146" t="s">
        <v>547</v>
      </c>
      <c r="H146" s="77">
        <v>59</v>
      </c>
      <c r="I146" s="124">
        <v>346.1</v>
      </c>
      <c r="J146" s="124">
        <v>20419.7</v>
      </c>
      <c r="K146" s="77">
        <v>30</v>
      </c>
      <c r="L146" t="s">
        <v>345</v>
      </c>
      <c r="M146" s="126">
        <v>4083.94</v>
      </c>
      <c r="N146" s="124">
        <v>20419.7</v>
      </c>
      <c r="O146" t="s">
        <v>346</v>
      </c>
      <c r="P146" t="s">
        <v>294</v>
      </c>
    </row>
    <row r="147" spans="1:16" ht="15" customHeight="1" x14ac:dyDescent="0.25">
      <c r="A147" s="123">
        <v>45864</v>
      </c>
      <c r="B147" t="s">
        <v>347</v>
      </c>
      <c r="C147" t="s">
        <v>348</v>
      </c>
      <c r="D147" t="s">
        <v>223</v>
      </c>
      <c r="E147" t="s">
        <v>376</v>
      </c>
      <c r="F147" t="s">
        <v>182</v>
      </c>
      <c r="G147" t="s">
        <v>548</v>
      </c>
      <c r="H147" s="77">
        <v>66</v>
      </c>
      <c r="I147" s="124">
        <v>146.04</v>
      </c>
      <c r="J147" s="124">
        <v>9638.6299999999992</v>
      </c>
      <c r="K147" s="77">
        <v>30</v>
      </c>
      <c r="L147" t="s">
        <v>351</v>
      </c>
      <c r="M147" s="126">
        <v>1927.7260000000001</v>
      </c>
      <c r="N147" s="124">
        <v>9638.6299999999992</v>
      </c>
      <c r="O147" t="s">
        <v>340</v>
      </c>
      <c r="P147" t="s">
        <v>294</v>
      </c>
    </row>
    <row r="148" spans="1:16" ht="15" customHeight="1" x14ac:dyDescent="0.25">
      <c r="A148" s="123">
        <v>45685</v>
      </c>
      <c r="B148" t="s">
        <v>398</v>
      </c>
      <c r="C148" t="s">
        <v>399</v>
      </c>
      <c r="D148" t="s">
        <v>227</v>
      </c>
      <c r="E148" t="s">
        <v>427</v>
      </c>
      <c r="F148" t="s">
        <v>184</v>
      </c>
      <c r="G148" t="s">
        <v>549</v>
      </c>
      <c r="H148" s="77">
        <v>25</v>
      </c>
      <c r="I148" s="124">
        <v>37.979999999999997</v>
      </c>
      <c r="J148" s="124">
        <v>949.6</v>
      </c>
      <c r="K148" s="77">
        <v>60</v>
      </c>
      <c r="L148" t="s">
        <v>345</v>
      </c>
      <c r="M148" s="126">
        <v>189.92</v>
      </c>
      <c r="N148" s="124">
        <v>949.6</v>
      </c>
      <c r="O148" t="s">
        <v>346</v>
      </c>
      <c r="P148" t="s">
        <v>294</v>
      </c>
    </row>
    <row r="149" spans="1:16" ht="15" customHeight="1" x14ac:dyDescent="0.25">
      <c r="A149" s="123">
        <v>45884</v>
      </c>
      <c r="B149" t="s">
        <v>373</v>
      </c>
      <c r="C149" t="s">
        <v>374</v>
      </c>
      <c r="D149" t="s">
        <v>225</v>
      </c>
      <c r="E149" t="s">
        <v>417</v>
      </c>
      <c r="F149" t="s">
        <v>184</v>
      </c>
      <c r="G149" t="s">
        <v>550</v>
      </c>
      <c r="H149" s="77">
        <v>7</v>
      </c>
      <c r="I149" s="124">
        <v>36.28</v>
      </c>
      <c r="J149" s="124">
        <v>253.95</v>
      </c>
      <c r="K149" s="77">
        <v>30</v>
      </c>
      <c r="L149" t="s">
        <v>345</v>
      </c>
      <c r="M149" s="126">
        <v>50.79</v>
      </c>
      <c r="N149" s="124">
        <v>253.95</v>
      </c>
      <c r="O149" t="s">
        <v>346</v>
      </c>
      <c r="P149" t="s">
        <v>294</v>
      </c>
    </row>
    <row r="150" spans="1:16" ht="15" customHeight="1" x14ac:dyDescent="0.25">
      <c r="A150" s="123">
        <v>45882</v>
      </c>
      <c r="B150" t="s">
        <v>347</v>
      </c>
      <c r="C150" t="s">
        <v>348</v>
      </c>
      <c r="D150" t="s">
        <v>223</v>
      </c>
      <c r="E150" t="s">
        <v>381</v>
      </c>
      <c r="F150" t="s">
        <v>179</v>
      </c>
      <c r="G150" t="s">
        <v>551</v>
      </c>
      <c r="H150" s="77">
        <v>63</v>
      </c>
      <c r="I150" s="124">
        <v>239.85</v>
      </c>
      <c r="J150" s="124">
        <v>15110.72</v>
      </c>
      <c r="K150" s="77">
        <v>30</v>
      </c>
      <c r="L150" t="s">
        <v>339</v>
      </c>
      <c r="M150" s="126">
        <v>3022.1439999999998</v>
      </c>
      <c r="N150" s="124">
        <v>15110.72</v>
      </c>
      <c r="O150" t="s">
        <v>346</v>
      </c>
      <c r="P150" t="s">
        <v>294</v>
      </c>
    </row>
    <row r="151" spans="1:16" ht="15" customHeight="1" x14ac:dyDescent="0.25">
      <c r="A151" s="123">
        <v>45739</v>
      </c>
      <c r="B151" t="s">
        <v>362</v>
      </c>
      <c r="C151" t="s">
        <v>363</v>
      </c>
      <c r="D151" t="s">
        <v>221</v>
      </c>
      <c r="E151" t="s">
        <v>352</v>
      </c>
      <c r="F151" t="s">
        <v>180</v>
      </c>
      <c r="G151" t="s">
        <v>552</v>
      </c>
      <c r="H151" s="77">
        <v>40</v>
      </c>
      <c r="I151" s="124">
        <v>294.36</v>
      </c>
      <c r="J151" s="124">
        <v>11774.39</v>
      </c>
      <c r="K151" s="77">
        <v>60</v>
      </c>
      <c r="L151" t="s">
        <v>339</v>
      </c>
      <c r="M151" s="126">
        <v>2354.8780000000002</v>
      </c>
      <c r="N151" s="124">
        <v>11774.39</v>
      </c>
      <c r="O151" t="s">
        <v>346</v>
      </c>
      <c r="P151" t="s">
        <v>294</v>
      </c>
    </row>
    <row r="152" spans="1:16" ht="15" customHeight="1" x14ac:dyDescent="0.25">
      <c r="A152" s="123">
        <v>45773</v>
      </c>
      <c r="B152" t="s">
        <v>362</v>
      </c>
      <c r="C152" t="s">
        <v>363</v>
      </c>
      <c r="D152" t="s">
        <v>221</v>
      </c>
      <c r="E152" t="s">
        <v>235</v>
      </c>
      <c r="F152" t="s">
        <v>183</v>
      </c>
      <c r="G152" t="s">
        <v>553</v>
      </c>
      <c r="H152" s="77">
        <v>15</v>
      </c>
      <c r="I152" s="124">
        <v>344.31</v>
      </c>
      <c r="J152" s="124">
        <v>5164.71</v>
      </c>
      <c r="K152" s="77">
        <v>45</v>
      </c>
      <c r="L152" t="s">
        <v>339</v>
      </c>
      <c r="M152" s="126">
        <v>1032.942</v>
      </c>
      <c r="N152" s="124">
        <v>5164.71</v>
      </c>
      <c r="O152" t="s">
        <v>346</v>
      </c>
      <c r="P152" t="s">
        <v>294</v>
      </c>
    </row>
    <row r="153" spans="1:16" ht="15" customHeight="1" x14ac:dyDescent="0.25">
      <c r="A153" s="123">
        <v>45807</v>
      </c>
      <c r="B153" t="s">
        <v>398</v>
      </c>
      <c r="C153" t="s">
        <v>399</v>
      </c>
      <c r="D153" t="s">
        <v>227</v>
      </c>
      <c r="E153" t="s">
        <v>381</v>
      </c>
      <c r="F153" t="s">
        <v>179</v>
      </c>
      <c r="G153" t="s">
        <v>554</v>
      </c>
      <c r="H153" s="77">
        <v>66</v>
      </c>
      <c r="I153" s="124">
        <v>217.78</v>
      </c>
      <c r="J153" s="124">
        <v>14373.74</v>
      </c>
      <c r="K153" s="77">
        <v>60</v>
      </c>
      <c r="L153" t="s">
        <v>345</v>
      </c>
      <c r="M153" s="126">
        <v>2874.748</v>
      </c>
      <c r="N153" s="124">
        <v>14373.74</v>
      </c>
      <c r="O153" t="s">
        <v>346</v>
      </c>
      <c r="P153" t="s">
        <v>294</v>
      </c>
    </row>
    <row r="154" spans="1:16" ht="15" customHeight="1" x14ac:dyDescent="0.25">
      <c r="A154" s="123">
        <v>45782</v>
      </c>
      <c r="B154" t="s">
        <v>406</v>
      </c>
      <c r="C154" t="s">
        <v>407</v>
      </c>
      <c r="D154" t="s">
        <v>225</v>
      </c>
      <c r="E154" t="s">
        <v>427</v>
      </c>
      <c r="F154" t="s">
        <v>184</v>
      </c>
      <c r="G154" t="s">
        <v>555</v>
      </c>
      <c r="H154" s="77">
        <v>59</v>
      </c>
      <c r="I154" s="124">
        <v>51.6</v>
      </c>
      <c r="J154" s="124">
        <v>3044.26</v>
      </c>
      <c r="K154" s="77">
        <v>60</v>
      </c>
      <c r="L154" t="s">
        <v>339</v>
      </c>
      <c r="M154" s="126">
        <v>608.85199999999998</v>
      </c>
      <c r="N154" s="124">
        <v>3044.26</v>
      </c>
      <c r="O154" t="s">
        <v>346</v>
      </c>
      <c r="P154" t="s">
        <v>294</v>
      </c>
    </row>
    <row r="155" spans="1:16" ht="15" customHeight="1" x14ac:dyDescent="0.25">
      <c r="A155" s="123">
        <v>45918</v>
      </c>
      <c r="B155" t="s">
        <v>362</v>
      </c>
      <c r="C155" t="s">
        <v>363</v>
      </c>
      <c r="D155" t="s">
        <v>221</v>
      </c>
      <c r="E155" t="s">
        <v>352</v>
      </c>
      <c r="F155" t="s">
        <v>180</v>
      </c>
      <c r="G155" t="s">
        <v>556</v>
      </c>
      <c r="H155" s="77">
        <v>18</v>
      </c>
      <c r="I155" s="124">
        <v>284.06</v>
      </c>
      <c r="J155" s="124">
        <v>5113.16</v>
      </c>
      <c r="K155" s="77">
        <v>30</v>
      </c>
      <c r="L155" t="s">
        <v>345</v>
      </c>
      <c r="M155" s="126">
        <v>1022.6319999999999</v>
      </c>
      <c r="N155" s="124">
        <v>5113.16</v>
      </c>
      <c r="O155" t="s">
        <v>346</v>
      </c>
      <c r="P155" t="s">
        <v>294</v>
      </c>
    </row>
    <row r="156" spans="1:16" ht="15" customHeight="1" x14ac:dyDescent="0.25">
      <c r="A156" s="123">
        <v>45794</v>
      </c>
      <c r="B156" t="s">
        <v>386</v>
      </c>
      <c r="C156" t="s">
        <v>387</v>
      </c>
      <c r="D156" t="s">
        <v>223</v>
      </c>
      <c r="E156" t="s">
        <v>364</v>
      </c>
      <c r="F156" t="s">
        <v>182</v>
      </c>
      <c r="G156" t="s">
        <v>557</v>
      </c>
      <c r="H156" s="77">
        <v>1</v>
      </c>
      <c r="I156" s="124">
        <v>111.62</v>
      </c>
      <c r="J156" s="124">
        <v>111.62</v>
      </c>
      <c r="K156" s="77">
        <v>45</v>
      </c>
      <c r="L156" t="s">
        <v>351</v>
      </c>
      <c r="M156" s="126">
        <v>22.324000000000002</v>
      </c>
      <c r="N156" s="124">
        <v>111.62</v>
      </c>
      <c r="O156" t="s">
        <v>346</v>
      </c>
      <c r="P156" t="s">
        <v>294</v>
      </c>
    </row>
    <row r="157" spans="1:16" ht="15" customHeight="1" x14ac:dyDescent="0.25">
      <c r="A157" s="123">
        <v>45886</v>
      </c>
      <c r="B157" t="s">
        <v>431</v>
      </c>
      <c r="C157" t="s">
        <v>432</v>
      </c>
      <c r="D157" t="s">
        <v>221</v>
      </c>
      <c r="E157" t="s">
        <v>396</v>
      </c>
      <c r="F157" t="s">
        <v>184</v>
      </c>
      <c r="G157" t="s">
        <v>558</v>
      </c>
      <c r="H157" s="77">
        <v>69</v>
      </c>
      <c r="I157" s="124">
        <v>50.63</v>
      </c>
      <c r="J157" s="124">
        <v>3493.65</v>
      </c>
      <c r="K157" s="77">
        <v>45</v>
      </c>
      <c r="L157" t="s">
        <v>345</v>
      </c>
      <c r="M157" s="126">
        <v>698.73</v>
      </c>
      <c r="N157" s="124">
        <v>3493.65</v>
      </c>
      <c r="O157" t="s">
        <v>346</v>
      </c>
      <c r="P157" t="s">
        <v>294</v>
      </c>
    </row>
    <row r="158" spans="1:16" ht="15" customHeight="1" x14ac:dyDescent="0.25">
      <c r="A158" s="123">
        <v>45822</v>
      </c>
      <c r="B158" t="s">
        <v>335</v>
      </c>
      <c r="C158" t="s">
        <v>336</v>
      </c>
      <c r="D158" t="s">
        <v>223</v>
      </c>
      <c r="E158" t="s">
        <v>234</v>
      </c>
      <c r="F158" t="s">
        <v>183</v>
      </c>
      <c r="G158" t="s">
        <v>559</v>
      </c>
      <c r="H158" s="77">
        <v>25</v>
      </c>
      <c r="I158" s="124">
        <v>837.11</v>
      </c>
      <c r="J158" s="124">
        <v>20927.810000000001</v>
      </c>
      <c r="K158" s="77">
        <v>60</v>
      </c>
      <c r="L158" t="s">
        <v>339</v>
      </c>
      <c r="M158" s="126">
        <v>4185.5619999999999</v>
      </c>
      <c r="N158" s="124">
        <v>20927.810000000001</v>
      </c>
      <c r="O158" t="s">
        <v>346</v>
      </c>
      <c r="P158" t="s">
        <v>294</v>
      </c>
    </row>
    <row r="159" spans="1:16" ht="15" customHeight="1" x14ac:dyDescent="0.25">
      <c r="A159" s="123">
        <v>45868</v>
      </c>
      <c r="B159" t="s">
        <v>390</v>
      </c>
      <c r="C159" t="s">
        <v>391</v>
      </c>
      <c r="D159" t="s">
        <v>221</v>
      </c>
      <c r="E159" t="s">
        <v>235</v>
      </c>
      <c r="F159" t="s">
        <v>183</v>
      </c>
      <c r="G159" t="s">
        <v>560</v>
      </c>
      <c r="H159" s="77">
        <v>6</v>
      </c>
      <c r="I159" s="124">
        <v>389.32</v>
      </c>
      <c r="J159" s="124">
        <v>2335.89</v>
      </c>
      <c r="K159" s="77">
        <v>45</v>
      </c>
      <c r="L159" t="s">
        <v>351</v>
      </c>
      <c r="M159" s="126">
        <v>467.178</v>
      </c>
      <c r="N159" s="124">
        <v>2335.89</v>
      </c>
      <c r="O159" t="s">
        <v>346</v>
      </c>
      <c r="P159" t="s">
        <v>294</v>
      </c>
    </row>
    <row r="160" spans="1:16" ht="15" customHeight="1" x14ac:dyDescent="0.25">
      <c r="A160" s="123">
        <v>45997</v>
      </c>
      <c r="B160" t="s">
        <v>370</v>
      </c>
      <c r="C160" t="s">
        <v>371</v>
      </c>
      <c r="D160" t="s">
        <v>227</v>
      </c>
      <c r="E160" t="s">
        <v>234</v>
      </c>
      <c r="F160" t="s">
        <v>183</v>
      </c>
      <c r="G160" t="s">
        <v>561</v>
      </c>
      <c r="H160" s="77">
        <v>20</v>
      </c>
      <c r="I160" s="124">
        <v>155.80000000000001</v>
      </c>
      <c r="J160" s="124">
        <v>3115.98</v>
      </c>
      <c r="K160" s="77">
        <v>45</v>
      </c>
      <c r="L160" t="s">
        <v>339</v>
      </c>
      <c r="M160" s="126">
        <v>623.19600000000003</v>
      </c>
      <c r="N160" s="124">
        <v>3115.98</v>
      </c>
      <c r="O160" t="s">
        <v>346</v>
      </c>
      <c r="P160" t="s">
        <v>294</v>
      </c>
    </row>
    <row r="161" spans="1:16" ht="15" customHeight="1" x14ac:dyDescent="0.25">
      <c r="A161" s="123">
        <v>45883</v>
      </c>
      <c r="B161" t="s">
        <v>383</v>
      </c>
      <c r="C161" t="s">
        <v>384</v>
      </c>
      <c r="D161" t="s">
        <v>225</v>
      </c>
      <c r="E161" t="s">
        <v>376</v>
      </c>
      <c r="F161" t="s">
        <v>182</v>
      </c>
      <c r="G161" t="s">
        <v>562</v>
      </c>
      <c r="H161" s="77">
        <v>13</v>
      </c>
      <c r="I161" s="124">
        <v>136.32</v>
      </c>
      <c r="J161" s="124">
        <v>1772.12</v>
      </c>
      <c r="K161" s="77">
        <v>60</v>
      </c>
      <c r="L161" t="s">
        <v>345</v>
      </c>
      <c r="M161" s="126">
        <v>354.42399999999998</v>
      </c>
      <c r="N161" s="124">
        <v>1772.12</v>
      </c>
      <c r="O161" t="s">
        <v>340</v>
      </c>
      <c r="P161" t="s">
        <v>294</v>
      </c>
    </row>
    <row r="162" spans="1:16" ht="15" customHeight="1" x14ac:dyDescent="0.25">
      <c r="A162" s="123">
        <v>45993</v>
      </c>
      <c r="B162" t="s">
        <v>406</v>
      </c>
      <c r="C162" t="s">
        <v>407</v>
      </c>
      <c r="D162" t="s">
        <v>225</v>
      </c>
      <c r="E162" t="s">
        <v>381</v>
      </c>
      <c r="F162" t="s">
        <v>179</v>
      </c>
      <c r="G162" t="s">
        <v>563</v>
      </c>
      <c r="H162" s="77">
        <v>20</v>
      </c>
      <c r="I162" s="124">
        <v>105.31</v>
      </c>
      <c r="J162" s="124">
        <v>2106.14</v>
      </c>
      <c r="K162" s="77">
        <v>30</v>
      </c>
      <c r="L162" t="s">
        <v>345</v>
      </c>
      <c r="M162" s="126">
        <v>421.22800000000001</v>
      </c>
      <c r="N162" s="124">
        <v>2106.14</v>
      </c>
      <c r="O162" t="s">
        <v>346</v>
      </c>
      <c r="P162" t="s">
        <v>294</v>
      </c>
    </row>
    <row r="163" spans="1:16" ht="15" customHeight="1" x14ac:dyDescent="0.25">
      <c r="A163" s="123">
        <v>46012</v>
      </c>
      <c r="B163" t="s">
        <v>358</v>
      </c>
      <c r="C163" t="s">
        <v>359</v>
      </c>
      <c r="D163" t="s">
        <v>225</v>
      </c>
      <c r="E163" t="s">
        <v>364</v>
      </c>
      <c r="F163" t="s">
        <v>182</v>
      </c>
      <c r="G163" t="s">
        <v>564</v>
      </c>
      <c r="H163" s="77">
        <v>51</v>
      </c>
      <c r="I163" s="124">
        <v>146.46</v>
      </c>
      <c r="J163" s="124">
        <v>7469.62</v>
      </c>
      <c r="K163" s="77">
        <v>60</v>
      </c>
      <c r="L163" t="s">
        <v>339</v>
      </c>
      <c r="M163" s="126">
        <v>1493.924</v>
      </c>
      <c r="N163" s="124">
        <v>7469.62</v>
      </c>
      <c r="O163" t="s">
        <v>346</v>
      </c>
      <c r="P163" t="s">
        <v>294</v>
      </c>
    </row>
    <row r="164" spans="1:16" ht="15" customHeight="1" x14ac:dyDescent="0.25">
      <c r="A164" s="123">
        <v>45978</v>
      </c>
      <c r="B164" t="s">
        <v>358</v>
      </c>
      <c r="C164" t="s">
        <v>359</v>
      </c>
      <c r="D164" t="s">
        <v>225</v>
      </c>
      <c r="E164" t="s">
        <v>234</v>
      </c>
      <c r="F164" t="s">
        <v>183</v>
      </c>
      <c r="G164" t="s">
        <v>565</v>
      </c>
      <c r="H164" s="77">
        <v>63</v>
      </c>
      <c r="I164" s="124">
        <v>567.37</v>
      </c>
      <c r="J164" s="124">
        <v>35744.25</v>
      </c>
      <c r="K164" s="77">
        <v>60</v>
      </c>
      <c r="L164" t="s">
        <v>339</v>
      </c>
      <c r="M164" s="126">
        <v>7148.85</v>
      </c>
      <c r="N164" s="124">
        <v>35744.25</v>
      </c>
      <c r="O164" t="s">
        <v>346</v>
      </c>
      <c r="P164" t="s">
        <v>294</v>
      </c>
    </row>
    <row r="165" spans="1:16" ht="15" customHeight="1" x14ac:dyDescent="0.25">
      <c r="A165" s="123">
        <v>45981</v>
      </c>
      <c r="B165" t="s">
        <v>362</v>
      </c>
      <c r="C165" t="s">
        <v>363</v>
      </c>
      <c r="D165" t="s">
        <v>221</v>
      </c>
      <c r="E165" t="s">
        <v>415</v>
      </c>
      <c r="F165" t="s">
        <v>178</v>
      </c>
      <c r="G165" t="s">
        <v>566</v>
      </c>
      <c r="H165" s="77">
        <v>37</v>
      </c>
      <c r="I165" s="124">
        <v>41.39</v>
      </c>
      <c r="J165" s="124">
        <v>1531.39</v>
      </c>
      <c r="K165" s="77">
        <v>30</v>
      </c>
      <c r="L165" t="s">
        <v>351</v>
      </c>
      <c r="M165" s="126">
        <v>306.27800000000002</v>
      </c>
      <c r="N165" s="124">
        <v>1531.39</v>
      </c>
      <c r="O165" t="s">
        <v>340</v>
      </c>
      <c r="P165" t="s">
        <v>294</v>
      </c>
    </row>
    <row r="166" spans="1:16" ht="15" customHeight="1" x14ac:dyDescent="0.25">
      <c r="A166" s="123">
        <v>45982</v>
      </c>
      <c r="B166" t="s">
        <v>386</v>
      </c>
      <c r="C166" t="s">
        <v>387</v>
      </c>
      <c r="D166" t="s">
        <v>223</v>
      </c>
      <c r="E166" t="s">
        <v>235</v>
      </c>
      <c r="F166" t="s">
        <v>183</v>
      </c>
      <c r="G166" t="s">
        <v>567</v>
      </c>
      <c r="H166" s="77">
        <v>13</v>
      </c>
      <c r="I166" s="124">
        <v>509.61</v>
      </c>
      <c r="J166" s="124">
        <v>6624.89</v>
      </c>
      <c r="K166" s="77">
        <v>45</v>
      </c>
      <c r="L166" t="s">
        <v>339</v>
      </c>
      <c r="M166" s="126">
        <v>1324.9780000000001</v>
      </c>
      <c r="N166" s="124">
        <v>6624.89</v>
      </c>
      <c r="O166" t="s">
        <v>346</v>
      </c>
      <c r="P166" t="s">
        <v>294</v>
      </c>
    </row>
    <row r="167" spans="1:16" ht="15" customHeight="1" x14ac:dyDescent="0.25">
      <c r="A167" s="123">
        <v>45681</v>
      </c>
      <c r="B167" t="s">
        <v>488</v>
      </c>
      <c r="C167" t="s">
        <v>489</v>
      </c>
      <c r="D167" t="s">
        <v>225</v>
      </c>
      <c r="E167" t="s">
        <v>356</v>
      </c>
      <c r="F167" t="s">
        <v>181</v>
      </c>
      <c r="G167" t="s">
        <v>568</v>
      </c>
      <c r="H167" s="77">
        <v>42</v>
      </c>
      <c r="I167" s="124">
        <v>276.07</v>
      </c>
      <c r="J167" s="124">
        <v>11594.97</v>
      </c>
      <c r="K167" s="77">
        <v>30</v>
      </c>
      <c r="L167" t="s">
        <v>345</v>
      </c>
      <c r="M167" s="126">
        <v>2318.9940000000001</v>
      </c>
      <c r="N167" s="124">
        <v>11594.97</v>
      </c>
      <c r="O167" t="s">
        <v>340</v>
      </c>
      <c r="P167" t="s">
        <v>294</v>
      </c>
    </row>
    <row r="168" spans="1:16" ht="15" customHeight="1" x14ac:dyDescent="0.25">
      <c r="A168" s="123">
        <v>45732</v>
      </c>
      <c r="B168" t="s">
        <v>347</v>
      </c>
      <c r="C168" t="s">
        <v>348</v>
      </c>
      <c r="D168" t="s">
        <v>223</v>
      </c>
      <c r="E168" t="s">
        <v>420</v>
      </c>
      <c r="F168" t="s">
        <v>182</v>
      </c>
      <c r="G168" t="s">
        <v>569</v>
      </c>
      <c r="H168" s="77">
        <v>32</v>
      </c>
      <c r="I168" s="124">
        <v>149.31</v>
      </c>
      <c r="J168" s="124">
        <v>4777.8500000000004</v>
      </c>
      <c r="K168" s="77">
        <v>60</v>
      </c>
      <c r="L168" t="s">
        <v>345</v>
      </c>
      <c r="M168" s="126">
        <v>955.57</v>
      </c>
      <c r="N168" s="124">
        <v>4777.8500000000004</v>
      </c>
      <c r="O168" t="s">
        <v>346</v>
      </c>
      <c r="P168" t="s">
        <v>294</v>
      </c>
    </row>
    <row r="169" spans="1:16" ht="15" customHeight="1" x14ac:dyDescent="0.25">
      <c r="A169" s="123">
        <v>45747</v>
      </c>
      <c r="B169" t="s">
        <v>370</v>
      </c>
      <c r="C169" t="s">
        <v>371</v>
      </c>
      <c r="D169" t="s">
        <v>227</v>
      </c>
      <c r="E169" t="s">
        <v>442</v>
      </c>
      <c r="F169" t="s">
        <v>179</v>
      </c>
      <c r="G169" t="s">
        <v>570</v>
      </c>
      <c r="H169" s="77">
        <v>11</v>
      </c>
      <c r="I169" s="124">
        <v>510.91</v>
      </c>
      <c r="J169" s="124">
        <v>5620.01</v>
      </c>
      <c r="K169" s="77">
        <v>60</v>
      </c>
      <c r="L169" t="s">
        <v>345</v>
      </c>
      <c r="M169" s="126">
        <v>1124.002</v>
      </c>
      <c r="N169" s="124">
        <v>5620.01</v>
      </c>
      <c r="O169" t="s">
        <v>340</v>
      </c>
      <c r="P169" t="s">
        <v>294</v>
      </c>
    </row>
    <row r="170" spans="1:16" ht="15" customHeight="1" x14ac:dyDescent="0.25">
      <c r="A170" s="123">
        <v>45956</v>
      </c>
      <c r="B170" t="s">
        <v>335</v>
      </c>
      <c r="C170" t="s">
        <v>336</v>
      </c>
      <c r="D170" t="s">
        <v>223</v>
      </c>
      <c r="E170" t="s">
        <v>360</v>
      </c>
      <c r="F170" t="s">
        <v>180</v>
      </c>
      <c r="G170" t="s">
        <v>571</v>
      </c>
      <c r="H170" s="77">
        <v>19</v>
      </c>
      <c r="I170" s="124">
        <v>218.44</v>
      </c>
      <c r="J170" s="124">
        <v>4150.3</v>
      </c>
      <c r="K170" s="77">
        <v>30</v>
      </c>
      <c r="L170" t="s">
        <v>345</v>
      </c>
      <c r="M170" s="126">
        <v>830.06</v>
      </c>
      <c r="N170" s="124">
        <v>4150.3</v>
      </c>
      <c r="O170" t="s">
        <v>346</v>
      </c>
      <c r="P170" t="s">
        <v>294</v>
      </c>
    </row>
    <row r="171" spans="1:16" ht="15" customHeight="1" x14ac:dyDescent="0.25">
      <c r="A171" s="123">
        <v>45788</v>
      </c>
      <c r="B171" t="s">
        <v>390</v>
      </c>
      <c r="C171" t="s">
        <v>391</v>
      </c>
      <c r="D171" t="s">
        <v>221</v>
      </c>
      <c r="E171" t="s">
        <v>437</v>
      </c>
      <c r="F171" t="s">
        <v>181</v>
      </c>
      <c r="G171" t="s">
        <v>572</v>
      </c>
      <c r="H171" s="77">
        <v>2</v>
      </c>
      <c r="I171" s="124">
        <v>145.34</v>
      </c>
      <c r="J171" s="124">
        <v>290.68</v>
      </c>
      <c r="K171" s="77">
        <v>45</v>
      </c>
      <c r="L171" t="s">
        <v>345</v>
      </c>
      <c r="M171" s="126">
        <v>58.136000000000003</v>
      </c>
      <c r="N171" s="124">
        <v>290.68</v>
      </c>
      <c r="O171" t="s">
        <v>346</v>
      </c>
      <c r="P171" t="s">
        <v>294</v>
      </c>
    </row>
    <row r="172" spans="1:16" ht="15" customHeight="1" x14ac:dyDescent="0.25">
      <c r="A172" s="123">
        <v>45884</v>
      </c>
      <c r="B172" t="s">
        <v>409</v>
      </c>
      <c r="C172" t="s">
        <v>410</v>
      </c>
      <c r="D172" t="s">
        <v>223</v>
      </c>
      <c r="E172" t="s">
        <v>442</v>
      </c>
      <c r="F172" t="s">
        <v>179</v>
      </c>
      <c r="G172" t="s">
        <v>573</v>
      </c>
      <c r="H172" s="77">
        <v>45</v>
      </c>
      <c r="I172" s="124">
        <v>110.36</v>
      </c>
      <c r="J172" s="124">
        <v>4966.08</v>
      </c>
      <c r="K172" s="77">
        <v>60</v>
      </c>
      <c r="L172" t="s">
        <v>345</v>
      </c>
      <c r="M172" s="126">
        <v>993.21600000000001</v>
      </c>
      <c r="N172" s="124">
        <v>4966.08</v>
      </c>
      <c r="O172" t="s">
        <v>340</v>
      </c>
      <c r="P172" t="s">
        <v>294</v>
      </c>
    </row>
    <row r="173" spans="1:16" ht="15" customHeight="1" x14ac:dyDescent="0.25">
      <c r="A173" s="123">
        <v>45786</v>
      </c>
      <c r="B173" t="s">
        <v>378</v>
      </c>
      <c r="C173" t="s">
        <v>379</v>
      </c>
      <c r="D173" t="s">
        <v>227</v>
      </c>
      <c r="E173" t="s">
        <v>236</v>
      </c>
      <c r="F173" t="s">
        <v>183</v>
      </c>
      <c r="G173" t="s">
        <v>574</v>
      </c>
      <c r="H173" s="77">
        <v>59</v>
      </c>
      <c r="I173" s="124">
        <v>191.54</v>
      </c>
      <c r="J173" s="124">
        <v>11300.75</v>
      </c>
      <c r="K173" s="77">
        <v>45</v>
      </c>
      <c r="L173" t="s">
        <v>339</v>
      </c>
      <c r="M173" s="126">
        <v>2260.15</v>
      </c>
      <c r="N173" s="124">
        <v>11300.75</v>
      </c>
      <c r="O173" t="s">
        <v>346</v>
      </c>
      <c r="P173" t="s">
        <v>294</v>
      </c>
    </row>
    <row r="174" spans="1:16" ht="15" customHeight="1" x14ac:dyDescent="0.25">
      <c r="A174" s="123">
        <v>45779</v>
      </c>
      <c r="B174" t="s">
        <v>393</v>
      </c>
      <c r="C174" t="s">
        <v>394</v>
      </c>
      <c r="D174" t="s">
        <v>227</v>
      </c>
      <c r="E174" t="s">
        <v>396</v>
      </c>
      <c r="F174" t="s">
        <v>184</v>
      </c>
      <c r="G174" t="s">
        <v>575</v>
      </c>
      <c r="H174" s="77">
        <v>49</v>
      </c>
      <c r="I174" s="124">
        <v>71.89</v>
      </c>
      <c r="J174" s="124">
        <v>3522.42</v>
      </c>
      <c r="K174" s="77">
        <v>60</v>
      </c>
      <c r="L174" t="s">
        <v>345</v>
      </c>
      <c r="M174" s="126">
        <v>704.48400000000004</v>
      </c>
      <c r="N174" s="124">
        <v>3522.42</v>
      </c>
      <c r="O174" t="s">
        <v>346</v>
      </c>
      <c r="P174" t="s">
        <v>294</v>
      </c>
    </row>
    <row r="175" spans="1:16" ht="15" customHeight="1" x14ac:dyDescent="0.25">
      <c r="A175" s="123">
        <v>45809</v>
      </c>
      <c r="B175" t="s">
        <v>373</v>
      </c>
      <c r="C175" t="s">
        <v>374</v>
      </c>
      <c r="D175" t="s">
        <v>225</v>
      </c>
      <c r="E175" t="s">
        <v>403</v>
      </c>
      <c r="F175" t="s">
        <v>181</v>
      </c>
      <c r="G175" t="s">
        <v>576</v>
      </c>
      <c r="H175" s="77">
        <v>3</v>
      </c>
      <c r="I175" s="124">
        <v>265.41000000000003</v>
      </c>
      <c r="J175" s="124">
        <v>796.22</v>
      </c>
      <c r="K175" s="77">
        <v>60</v>
      </c>
      <c r="L175" t="s">
        <v>345</v>
      </c>
      <c r="M175" s="126">
        <v>159.244</v>
      </c>
      <c r="N175" s="124">
        <v>796.22</v>
      </c>
      <c r="O175" t="s">
        <v>346</v>
      </c>
      <c r="P175" t="s">
        <v>294</v>
      </c>
    </row>
    <row r="176" spans="1:16" ht="15" customHeight="1" x14ac:dyDescent="0.25">
      <c r="A176" s="123">
        <v>46009</v>
      </c>
      <c r="B176" t="s">
        <v>354</v>
      </c>
      <c r="C176" t="s">
        <v>355</v>
      </c>
      <c r="D176" t="s">
        <v>227</v>
      </c>
      <c r="E176" t="s">
        <v>440</v>
      </c>
      <c r="F176" t="s">
        <v>177</v>
      </c>
      <c r="G176" t="s">
        <v>577</v>
      </c>
      <c r="H176" s="77">
        <v>7</v>
      </c>
      <c r="I176" s="124">
        <v>139.72</v>
      </c>
      <c r="J176" s="124">
        <v>978.07</v>
      </c>
      <c r="K176" s="77">
        <v>60</v>
      </c>
      <c r="L176" t="s">
        <v>351</v>
      </c>
      <c r="M176" s="126">
        <v>195.614</v>
      </c>
      <c r="N176" s="124">
        <v>978.07</v>
      </c>
      <c r="O176" t="s">
        <v>346</v>
      </c>
      <c r="P176" t="s">
        <v>294</v>
      </c>
    </row>
    <row r="177" spans="1:16" ht="15" customHeight="1" x14ac:dyDescent="0.25">
      <c r="A177" s="123">
        <v>45968</v>
      </c>
      <c r="B177" t="s">
        <v>335</v>
      </c>
      <c r="C177" t="s">
        <v>336</v>
      </c>
      <c r="D177" t="s">
        <v>223</v>
      </c>
      <c r="E177" t="s">
        <v>356</v>
      </c>
      <c r="F177" t="s">
        <v>181</v>
      </c>
      <c r="G177" t="s">
        <v>578</v>
      </c>
      <c r="H177" s="77">
        <v>46</v>
      </c>
      <c r="I177" s="124">
        <v>346.74</v>
      </c>
      <c r="J177" s="124">
        <v>15950.09</v>
      </c>
      <c r="K177" s="77">
        <v>30</v>
      </c>
      <c r="L177" t="s">
        <v>351</v>
      </c>
      <c r="M177" s="126">
        <v>3190.018</v>
      </c>
      <c r="N177" s="124">
        <v>15950.09</v>
      </c>
      <c r="O177" t="s">
        <v>340</v>
      </c>
      <c r="P177" t="s">
        <v>294</v>
      </c>
    </row>
    <row r="178" spans="1:16" ht="15" customHeight="1" x14ac:dyDescent="0.25">
      <c r="A178" s="123">
        <v>45995</v>
      </c>
      <c r="B178" t="s">
        <v>401</v>
      </c>
      <c r="C178" t="s">
        <v>402</v>
      </c>
      <c r="D178" t="s">
        <v>221</v>
      </c>
      <c r="E178" t="s">
        <v>403</v>
      </c>
      <c r="F178" t="s">
        <v>181</v>
      </c>
      <c r="G178" t="s">
        <v>579</v>
      </c>
      <c r="H178" s="77">
        <v>18</v>
      </c>
      <c r="I178" s="124">
        <v>221.58</v>
      </c>
      <c r="J178" s="124">
        <v>3988.42</v>
      </c>
      <c r="K178" s="77">
        <v>60</v>
      </c>
      <c r="L178" t="s">
        <v>339</v>
      </c>
      <c r="M178" s="126">
        <v>797.68399999999997</v>
      </c>
      <c r="N178" s="124">
        <v>3988.42</v>
      </c>
      <c r="O178" t="s">
        <v>346</v>
      </c>
      <c r="P178" t="s">
        <v>294</v>
      </c>
    </row>
    <row r="179" spans="1:16" ht="15" customHeight="1" x14ac:dyDescent="0.25">
      <c r="A179" s="123">
        <v>45883</v>
      </c>
      <c r="B179" t="s">
        <v>406</v>
      </c>
      <c r="C179" t="s">
        <v>407</v>
      </c>
      <c r="D179" t="s">
        <v>225</v>
      </c>
      <c r="E179" t="s">
        <v>496</v>
      </c>
      <c r="F179" t="s">
        <v>177</v>
      </c>
      <c r="G179" t="s">
        <v>580</v>
      </c>
      <c r="H179" s="77">
        <v>5</v>
      </c>
      <c r="I179" s="124">
        <v>266.92</v>
      </c>
      <c r="J179" s="124">
        <v>1334.58</v>
      </c>
      <c r="K179" s="77">
        <v>60</v>
      </c>
      <c r="L179" t="s">
        <v>345</v>
      </c>
      <c r="M179" s="126">
        <v>266.916</v>
      </c>
      <c r="N179" s="124">
        <v>1334.58</v>
      </c>
      <c r="O179" t="s">
        <v>346</v>
      </c>
      <c r="P179" t="s">
        <v>294</v>
      </c>
    </row>
    <row r="180" spans="1:16" ht="15" customHeight="1" x14ac:dyDescent="0.25">
      <c r="A180" s="123">
        <v>45809</v>
      </c>
      <c r="B180" t="s">
        <v>362</v>
      </c>
      <c r="C180" t="s">
        <v>363</v>
      </c>
      <c r="D180" t="s">
        <v>221</v>
      </c>
      <c r="E180" t="s">
        <v>442</v>
      </c>
      <c r="F180" t="s">
        <v>179</v>
      </c>
      <c r="G180" t="s">
        <v>581</v>
      </c>
      <c r="H180" s="77">
        <v>42</v>
      </c>
      <c r="I180" s="124">
        <v>155.62</v>
      </c>
      <c r="J180" s="124">
        <v>6535.9</v>
      </c>
      <c r="K180" s="77">
        <v>60</v>
      </c>
      <c r="L180" t="s">
        <v>345</v>
      </c>
      <c r="M180" s="126">
        <v>1307.18</v>
      </c>
      <c r="N180" s="124">
        <v>6535.9</v>
      </c>
      <c r="O180" t="s">
        <v>340</v>
      </c>
      <c r="P180" t="s">
        <v>294</v>
      </c>
    </row>
    <row r="181" spans="1:16" ht="15" customHeight="1" x14ac:dyDescent="0.25">
      <c r="A181" s="123">
        <v>45934</v>
      </c>
      <c r="B181" t="s">
        <v>398</v>
      </c>
      <c r="C181" t="s">
        <v>399</v>
      </c>
      <c r="D181" t="s">
        <v>227</v>
      </c>
      <c r="E181" t="s">
        <v>423</v>
      </c>
      <c r="F181" t="s">
        <v>180</v>
      </c>
      <c r="G181" t="s">
        <v>582</v>
      </c>
      <c r="H181" s="77">
        <v>47</v>
      </c>
      <c r="I181" s="124">
        <v>1116.05</v>
      </c>
      <c r="J181" s="124">
        <v>52454.51</v>
      </c>
      <c r="K181" s="77">
        <v>60</v>
      </c>
      <c r="L181" t="s">
        <v>351</v>
      </c>
      <c r="M181" s="126">
        <v>10490.902</v>
      </c>
      <c r="N181" s="124">
        <v>52454.51</v>
      </c>
      <c r="O181" t="s">
        <v>346</v>
      </c>
      <c r="P181" t="s">
        <v>294</v>
      </c>
    </row>
    <row r="182" spans="1:16" ht="15" customHeight="1" x14ac:dyDescent="0.25">
      <c r="A182" s="123">
        <v>45904</v>
      </c>
      <c r="B182" t="s">
        <v>386</v>
      </c>
      <c r="C182" t="s">
        <v>387</v>
      </c>
      <c r="D182" t="s">
        <v>223</v>
      </c>
      <c r="E182" t="s">
        <v>381</v>
      </c>
      <c r="F182" t="s">
        <v>179</v>
      </c>
      <c r="G182" t="s">
        <v>583</v>
      </c>
      <c r="H182" s="77">
        <v>38</v>
      </c>
      <c r="I182" s="124">
        <v>253.93</v>
      </c>
      <c r="J182" s="124">
        <v>9649.49</v>
      </c>
      <c r="K182" s="77">
        <v>60</v>
      </c>
      <c r="L182" t="s">
        <v>345</v>
      </c>
      <c r="M182" s="126">
        <v>1929.8979999999999</v>
      </c>
      <c r="N182" s="124">
        <v>9649.49</v>
      </c>
      <c r="O182" t="s">
        <v>346</v>
      </c>
      <c r="P182" t="s">
        <v>294</v>
      </c>
    </row>
    <row r="183" spans="1:16" ht="15" customHeight="1" x14ac:dyDescent="0.25">
      <c r="A183" s="123">
        <v>45730</v>
      </c>
      <c r="B183" t="s">
        <v>398</v>
      </c>
      <c r="C183" t="s">
        <v>399</v>
      </c>
      <c r="D183" t="s">
        <v>227</v>
      </c>
      <c r="E183" t="s">
        <v>396</v>
      </c>
      <c r="F183" t="s">
        <v>184</v>
      </c>
      <c r="G183" t="s">
        <v>584</v>
      </c>
      <c r="H183" s="77">
        <v>29</v>
      </c>
      <c r="I183" s="124">
        <v>46.81</v>
      </c>
      <c r="J183" s="124">
        <v>1357.43</v>
      </c>
      <c r="K183" s="77">
        <v>60</v>
      </c>
      <c r="L183" t="s">
        <v>351</v>
      </c>
      <c r="M183" s="126">
        <v>271.48599999999999</v>
      </c>
      <c r="N183" s="124">
        <v>1357.43</v>
      </c>
      <c r="O183" t="s">
        <v>346</v>
      </c>
      <c r="P183" t="s">
        <v>294</v>
      </c>
    </row>
    <row r="184" spans="1:16" ht="15" customHeight="1" x14ac:dyDescent="0.25">
      <c r="A184" s="123">
        <v>45845</v>
      </c>
      <c r="B184" t="s">
        <v>383</v>
      </c>
      <c r="C184" t="s">
        <v>384</v>
      </c>
      <c r="D184" t="s">
        <v>225</v>
      </c>
      <c r="E184" t="s">
        <v>236</v>
      </c>
      <c r="F184" t="s">
        <v>183</v>
      </c>
      <c r="G184" t="s">
        <v>585</v>
      </c>
      <c r="H184" s="77">
        <v>12</v>
      </c>
      <c r="I184" s="124">
        <v>166.47</v>
      </c>
      <c r="J184" s="124">
        <v>1997.59</v>
      </c>
      <c r="K184" s="77">
        <v>45</v>
      </c>
      <c r="L184" t="s">
        <v>339</v>
      </c>
      <c r="M184" s="126">
        <v>399.51799999999997</v>
      </c>
      <c r="N184" s="124">
        <v>1997.59</v>
      </c>
      <c r="O184" t="s">
        <v>346</v>
      </c>
      <c r="P184" t="s">
        <v>294</v>
      </c>
    </row>
    <row r="185" spans="1:16" ht="15" customHeight="1" x14ac:dyDescent="0.25">
      <c r="A185" s="123">
        <v>45846</v>
      </c>
      <c r="B185" t="s">
        <v>378</v>
      </c>
      <c r="C185" t="s">
        <v>379</v>
      </c>
      <c r="D185" t="s">
        <v>227</v>
      </c>
      <c r="E185" t="s">
        <v>368</v>
      </c>
      <c r="F185" t="s">
        <v>178</v>
      </c>
      <c r="G185" t="s">
        <v>586</v>
      </c>
      <c r="H185" s="77">
        <v>34</v>
      </c>
      <c r="I185" s="124">
        <v>84.75</v>
      </c>
      <c r="J185" s="124">
        <v>2881.62</v>
      </c>
      <c r="K185" s="77">
        <v>60</v>
      </c>
      <c r="L185" t="s">
        <v>345</v>
      </c>
      <c r="M185" s="126">
        <v>576.32399999999996</v>
      </c>
      <c r="N185" s="124">
        <v>2881.62</v>
      </c>
      <c r="O185" t="s">
        <v>346</v>
      </c>
      <c r="P185" t="s">
        <v>294</v>
      </c>
    </row>
    <row r="186" spans="1:16" ht="15" customHeight="1" x14ac:dyDescent="0.25">
      <c r="A186" s="123">
        <v>46003</v>
      </c>
      <c r="B186" t="s">
        <v>398</v>
      </c>
      <c r="C186" t="s">
        <v>399</v>
      </c>
      <c r="D186" t="s">
        <v>227</v>
      </c>
      <c r="E186" t="s">
        <v>376</v>
      </c>
      <c r="F186" t="s">
        <v>182</v>
      </c>
      <c r="G186" t="s">
        <v>587</v>
      </c>
      <c r="H186" s="77">
        <v>30</v>
      </c>
      <c r="I186" s="124">
        <v>84.01</v>
      </c>
      <c r="J186" s="124">
        <v>2520.39</v>
      </c>
      <c r="K186" s="77">
        <v>45</v>
      </c>
      <c r="L186" t="s">
        <v>339</v>
      </c>
      <c r="M186" s="126">
        <v>504.07799999999997</v>
      </c>
      <c r="N186" s="124">
        <v>2520.39</v>
      </c>
      <c r="O186" t="s">
        <v>340</v>
      </c>
      <c r="P186" t="s">
        <v>294</v>
      </c>
    </row>
    <row r="187" spans="1:16" ht="15" customHeight="1" x14ac:dyDescent="0.25">
      <c r="A187" s="123">
        <v>45771</v>
      </c>
      <c r="B187" t="s">
        <v>398</v>
      </c>
      <c r="C187" t="s">
        <v>399</v>
      </c>
      <c r="D187" t="s">
        <v>227</v>
      </c>
      <c r="E187" t="s">
        <v>364</v>
      </c>
      <c r="F187" t="s">
        <v>182</v>
      </c>
      <c r="G187" t="s">
        <v>588</v>
      </c>
      <c r="H187" s="77">
        <v>9</v>
      </c>
      <c r="I187" s="124">
        <v>140.69</v>
      </c>
      <c r="J187" s="124">
        <v>1266.23</v>
      </c>
      <c r="K187" s="77">
        <v>60</v>
      </c>
      <c r="L187" t="s">
        <v>345</v>
      </c>
      <c r="M187" s="126">
        <v>253.24600000000001</v>
      </c>
      <c r="N187" s="124">
        <v>1266.23</v>
      </c>
      <c r="O187" t="s">
        <v>346</v>
      </c>
      <c r="P187" t="s">
        <v>294</v>
      </c>
    </row>
    <row r="188" spans="1:16" ht="15" customHeight="1" x14ac:dyDescent="0.25">
      <c r="A188" s="123">
        <v>45867</v>
      </c>
      <c r="B188" t="s">
        <v>373</v>
      </c>
      <c r="C188" t="s">
        <v>374</v>
      </c>
      <c r="D188" t="s">
        <v>225</v>
      </c>
      <c r="E188" t="s">
        <v>403</v>
      </c>
      <c r="F188" t="s">
        <v>181</v>
      </c>
      <c r="G188" t="s">
        <v>589</v>
      </c>
      <c r="H188" s="77">
        <v>15</v>
      </c>
      <c r="I188" s="124">
        <v>285.39999999999998</v>
      </c>
      <c r="J188" s="124">
        <v>4281.07</v>
      </c>
      <c r="K188" s="77">
        <v>30</v>
      </c>
      <c r="L188" t="s">
        <v>339</v>
      </c>
      <c r="M188" s="126">
        <v>856.21400000000006</v>
      </c>
      <c r="N188" s="124">
        <v>4281.07</v>
      </c>
      <c r="O188" t="s">
        <v>346</v>
      </c>
      <c r="P188" t="s">
        <v>294</v>
      </c>
    </row>
    <row r="189" spans="1:16" ht="15" customHeight="1" x14ac:dyDescent="0.25">
      <c r="A189" s="123">
        <v>45717</v>
      </c>
      <c r="B189" t="s">
        <v>383</v>
      </c>
      <c r="C189" t="s">
        <v>384</v>
      </c>
      <c r="D189" t="s">
        <v>225</v>
      </c>
      <c r="E189" t="s">
        <v>437</v>
      </c>
      <c r="F189" t="s">
        <v>181</v>
      </c>
      <c r="G189" t="s">
        <v>590</v>
      </c>
      <c r="H189" s="77">
        <v>13</v>
      </c>
      <c r="I189" s="124">
        <v>211.36</v>
      </c>
      <c r="J189" s="124">
        <v>2747.7</v>
      </c>
      <c r="K189" s="77">
        <v>30</v>
      </c>
      <c r="L189" t="s">
        <v>351</v>
      </c>
      <c r="M189" s="126">
        <v>549.54</v>
      </c>
      <c r="N189" s="124">
        <v>2747.7</v>
      </c>
      <c r="O189" t="s">
        <v>346</v>
      </c>
      <c r="P189" t="s">
        <v>294</v>
      </c>
    </row>
    <row r="190" spans="1:16" ht="15" customHeight="1" x14ac:dyDescent="0.25">
      <c r="A190" s="123">
        <v>45847</v>
      </c>
      <c r="B190" t="s">
        <v>431</v>
      </c>
      <c r="C190" t="s">
        <v>432</v>
      </c>
      <c r="D190" t="s">
        <v>221</v>
      </c>
      <c r="E190" t="s">
        <v>234</v>
      </c>
      <c r="F190" t="s">
        <v>183</v>
      </c>
      <c r="G190" t="s">
        <v>591</v>
      </c>
      <c r="H190" s="77">
        <v>70</v>
      </c>
      <c r="I190" s="124">
        <v>188.3</v>
      </c>
      <c r="J190" s="124">
        <v>13181.13</v>
      </c>
      <c r="K190" s="77">
        <v>45</v>
      </c>
      <c r="L190" t="s">
        <v>351</v>
      </c>
      <c r="M190" s="126">
        <v>2636.2260000000001</v>
      </c>
      <c r="N190" s="124">
        <v>13181.13</v>
      </c>
      <c r="O190" t="s">
        <v>346</v>
      </c>
      <c r="P190" t="s">
        <v>294</v>
      </c>
    </row>
    <row r="191" spans="1:16" ht="15" customHeight="1" x14ac:dyDescent="0.25">
      <c r="A191" s="123">
        <v>45993</v>
      </c>
      <c r="B191" t="s">
        <v>409</v>
      </c>
      <c r="C191" t="s">
        <v>410</v>
      </c>
      <c r="D191" t="s">
        <v>223</v>
      </c>
      <c r="E191" t="s">
        <v>381</v>
      </c>
      <c r="F191" t="s">
        <v>179</v>
      </c>
      <c r="G191" t="s">
        <v>592</v>
      </c>
      <c r="H191" s="77">
        <v>13</v>
      </c>
      <c r="I191" s="124">
        <v>78.239999999999995</v>
      </c>
      <c r="J191" s="124">
        <v>1017.13</v>
      </c>
      <c r="K191" s="77">
        <v>45</v>
      </c>
      <c r="L191" t="s">
        <v>351</v>
      </c>
      <c r="M191" s="126">
        <v>203.42599999999999</v>
      </c>
      <c r="N191" s="124">
        <v>1017.13</v>
      </c>
      <c r="O191" t="s">
        <v>346</v>
      </c>
      <c r="P191" t="s">
        <v>294</v>
      </c>
    </row>
    <row r="192" spans="1:16" ht="15" customHeight="1" x14ac:dyDescent="0.25">
      <c r="A192" s="123">
        <v>46011</v>
      </c>
      <c r="B192" t="s">
        <v>386</v>
      </c>
      <c r="C192" t="s">
        <v>387</v>
      </c>
      <c r="D192" t="s">
        <v>223</v>
      </c>
      <c r="E192" t="s">
        <v>356</v>
      </c>
      <c r="F192" t="s">
        <v>181</v>
      </c>
      <c r="G192" t="s">
        <v>593</v>
      </c>
      <c r="H192" s="77">
        <v>48</v>
      </c>
      <c r="I192" s="124">
        <v>172.09</v>
      </c>
      <c r="J192" s="124">
        <v>8260.5400000000009</v>
      </c>
      <c r="K192" s="77">
        <v>30</v>
      </c>
      <c r="L192" t="s">
        <v>345</v>
      </c>
      <c r="M192" s="126">
        <v>1652.1079999999999</v>
      </c>
      <c r="N192" s="124">
        <v>8260.5400000000009</v>
      </c>
      <c r="O192" t="s">
        <v>340</v>
      </c>
      <c r="P192" t="s">
        <v>294</v>
      </c>
    </row>
    <row r="193" spans="1:16" ht="15" customHeight="1" x14ac:dyDescent="0.25">
      <c r="A193" s="123">
        <v>45708</v>
      </c>
      <c r="B193" t="s">
        <v>488</v>
      </c>
      <c r="C193" t="s">
        <v>489</v>
      </c>
      <c r="D193" t="s">
        <v>225</v>
      </c>
      <c r="E193" t="s">
        <v>360</v>
      </c>
      <c r="F193" t="s">
        <v>180</v>
      </c>
      <c r="G193" t="s">
        <v>594</v>
      </c>
      <c r="H193" s="77">
        <v>48</v>
      </c>
      <c r="I193" s="124">
        <v>400.41</v>
      </c>
      <c r="J193" s="124">
        <v>19219.509999999998</v>
      </c>
      <c r="K193" s="77">
        <v>60</v>
      </c>
      <c r="L193" t="s">
        <v>351</v>
      </c>
      <c r="M193" s="126">
        <v>3843.902</v>
      </c>
      <c r="N193" s="124">
        <v>19219.509999999998</v>
      </c>
      <c r="O193" t="s">
        <v>346</v>
      </c>
      <c r="P193" t="s">
        <v>294</v>
      </c>
    </row>
    <row r="194" spans="1:16" ht="15" customHeight="1" x14ac:dyDescent="0.25">
      <c r="A194" s="123">
        <v>45799</v>
      </c>
      <c r="B194" t="s">
        <v>370</v>
      </c>
      <c r="C194" t="s">
        <v>371</v>
      </c>
      <c r="D194" t="s">
        <v>227</v>
      </c>
      <c r="E194" t="s">
        <v>496</v>
      </c>
      <c r="F194" t="s">
        <v>177</v>
      </c>
      <c r="G194" t="s">
        <v>595</v>
      </c>
      <c r="H194" s="77">
        <v>25</v>
      </c>
      <c r="I194" s="124">
        <v>135</v>
      </c>
      <c r="J194" s="124">
        <v>3374.89</v>
      </c>
      <c r="K194" s="77">
        <v>30</v>
      </c>
      <c r="L194" t="s">
        <v>345</v>
      </c>
      <c r="M194" s="126">
        <v>674.97799999999995</v>
      </c>
      <c r="N194" s="124">
        <v>3374.89</v>
      </c>
      <c r="O194" t="s">
        <v>346</v>
      </c>
      <c r="P194" t="s">
        <v>294</v>
      </c>
    </row>
    <row r="195" spans="1:16" ht="15" customHeight="1" x14ac:dyDescent="0.25">
      <c r="A195" s="123">
        <v>45985</v>
      </c>
      <c r="B195" t="s">
        <v>370</v>
      </c>
      <c r="C195" t="s">
        <v>371</v>
      </c>
      <c r="D195" t="s">
        <v>227</v>
      </c>
      <c r="E195" t="s">
        <v>352</v>
      </c>
      <c r="F195" t="s">
        <v>180</v>
      </c>
      <c r="G195" t="s">
        <v>596</v>
      </c>
      <c r="H195" s="77">
        <v>77</v>
      </c>
      <c r="I195" s="124">
        <v>126</v>
      </c>
      <c r="J195" s="124">
        <v>9702.2199999999993</v>
      </c>
      <c r="K195" s="77">
        <v>30</v>
      </c>
      <c r="L195" t="s">
        <v>339</v>
      </c>
      <c r="M195" s="126">
        <v>1940.444</v>
      </c>
      <c r="N195" s="124">
        <v>9702.2199999999993</v>
      </c>
      <c r="O195" t="s">
        <v>346</v>
      </c>
      <c r="P195" t="s">
        <v>294</v>
      </c>
    </row>
    <row r="196" spans="1:16" ht="15" customHeight="1" x14ac:dyDescent="0.25">
      <c r="A196" s="123">
        <v>45947</v>
      </c>
      <c r="B196" t="s">
        <v>366</v>
      </c>
      <c r="C196" t="s">
        <v>367</v>
      </c>
      <c r="D196" t="s">
        <v>221</v>
      </c>
      <c r="E196" t="s">
        <v>423</v>
      </c>
      <c r="F196" t="s">
        <v>180</v>
      </c>
      <c r="G196" t="s">
        <v>597</v>
      </c>
      <c r="H196" s="77">
        <v>27</v>
      </c>
      <c r="I196" s="124">
        <v>274.98</v>
      </c>
      <c r="J196" s="124">
        <v>7424.55</v>
      </c>
      <c r="K196" s="77">
        <v>30</v>
      </c>
      <c r="L196" t="s">
        <v>351</v>
      </c>
      <c r="M196" s="126">
        <v>1484.91</v>
      </c>
      <c r="N196" s="124">
        <v>7424.55</v>
      </c>
      <c r="O196" t="s">
        <v>346</v>
      </c>
      <c r="P196" t="s">
        <v>294</v>
      </c>
    </row>
    <row r="197" spans="1:16" ht="15" customHeight="1" x14ac:dyDescent="0.25">
      <c r="A197" s="123">
        <v>45826</v>
      </c>
      <c r="B197" t="s">
        <v>354</v>
      </c>
      <c r="C197" t="s">
        <v>355</v>
      </c>
      <c r="D197" t="s">
        <v>227</v>
      </c>
      <c r="E197" t="s">
        <v>423</v>
      </c>
      <c r="F197" t="s">
        <v>180</v>
      </c>
      <c r="G197" t="s">
        <v>598</v>
      </c>
      <c r="H197" s="77">
        <v>19</v>
      </c>
      <c r="I197" s="124">
        <v>309.01</v>
      </c>
      <c r="J197" s="124">
        <v>5871.26</v>
      </c>
      <c r="K197" s="77">
        <v>60</v>
      </c>
      <c r="L197" t="s">
        <v>339</v>
      </c>
      <c r="M197" s="126">
        <v>1174.252</v>
      </c>
      <c r="N197" s="124">
        <v>5871.26</v>
      </c>
      <c r="O197" t="s">
        <v>346</v>
      </c>
      <c r="P197" t="s">
        <v>294</v>
      </c>
    </row>
    <row r="198" spans="1:16" ht="15" customHeight="1" x14ac:dyDescent="0.25">
      <c r="A198" s="123">
        <v>45934</v>
      </c>
      <c r="B198" t="s">
        <v>366</v>
      </c>
      <c r="C198" t="s">
        <v>367</v>
      </c>
      <c r="D198" t="s">
        <v>221</v>
      </c>
      <c r="E198" t="s">
        <v>442</v>
      </c>
      <c r="F198" t="s">
        <v>179</v>
      </c>
      <c r="G198" t="s">
        <v>599</v>
      </c>
      <c r="H198" s="77">
        <v>33</v>
      </c>
      <c r="I198" s="124">
        <v>110.7</v>
      </c>
      <c r="J198" s="124">
        <v>3653.14</v>
      </c>
      <c r="K198" s="77">
        <v>30</v>
      </c>
      <c r="L198" t="s">
        <v>339</v>
      </c>
      <c r="M198" s="126">
        <v>730.62800000000004</v>
      </c>
      <c r="N198" s="124">
        <v>3653.14</v>
      </c>
      <c r="O198" t="s">
        <v>340</v>
      </c>
      <c r="P198" t="s">
        <v>294</v>
      </c>
    </row>
    <row r="199" spans="1:16" ht="15" customHeight="1" x14ac:dyDescent="0.25">
      <c r="A199" s="123">
        <v>45665</v>
      </c>
      <c r="B199" t="s">
        <v>390</v>
      </c>
      <c r="C199" t="s">
        <v>391</v>
      </c>
      <c r="D199" t="s">
        <v>221</v>
      </c>
      <c r="E199" t="s">
        <v>349</v>
      </c>
      <c r="F199" t="s">
        <v>177</v>
      </c>
      <c r="G199" t="s">
        <v>600</v>
      </c>
      <c r="H199" s="77">
        <v>46</v>
      </c>
      <c r="I199" s="124">
        <v>130.59</v>
      </c>
      <c r="J199" s="124">
        <v>6007.01</v>
      </c>
      <c r="K199" s="77">
        <v>30</v>
      </c>
      <c r="L199" t="s">
        <v>351</v>
      </c>
      <c r="M199" s="126">
        <v>1201.402</v>
      </c>
      <c r="N199" s="124">
        <v>6007.01</v>
      </c>
      <c r="O199" t="s">
        <v>340</v>
      </c>
      <c r="P199" t="s">
        <v>294</v>
      </c>
    </row>
    <row r="200" spans="1:16" ht="15" customHeight="1" x14ac:dyDescent="0.25">
      <c r="A200" s="123">
        <v>45793</v>
      </c>
      <c r="B200" t="s">
        <v>366</v>
      </c>
      <c r="C200" t="s">
        <v>367</v>
      </c>
      <c r="D200" t="s">
        <v>221</v>
      </c>
      <c r="E200" t="s">
        <v>349</v>
      </c>
      <c r="F200" t="s">
        <v>177</v>
      </c>
      <c r="G200" t="s">
        <v>601</v>
      </c>
      <c r="H200" s="77">
        <v>7</v>
      </c>
      <c r="I200" s="124">
        <v>123.9</v>
      </c>
      <c r="J200" s="124">
        <v>867.33</v>
      </c>
      <c r="K200" s="77">
        <v>30</v>
      </c>
      <c r="L200" t="s">
        <v>351</v>
      </c>
      <c r="M200" s="126">
        <v>173.46600000000001</v>
      </c>
      <c r="N200" s="124">
        <v>867.33</v>
      </c>
      <c r="O200" t="s">
        <v>340</v>
      </c>
      <c r="P200" t="s">
        <v>294</v>
      </c>
    </row>
    <row r="201" spans="1:16" ht="15" customHeight="1" x14ac:dyDescent="0.25">
      <c r="A201" s="123">
        <v>45690</v>
      </c>
      <c r="B201" t="s">
        <v>401</v>
      </c>
      <c r="C201" t="s">
        <v>402</v>
      </c>
      <c r="D201" t="s">
        <v>221</v>
      </c>
      <c r="E201" t="s">
        <v>343</v>
      </c>
      <c r="F201" t="s">
        <v>178</v>
      </c>
      <c r="G201" t="s">
        <v>602</v>
      </c>
      <c r="H201" s="77">
        <v>61</v>
      </c>
      <c r="I201" s="124">
        <v>34.67</v>
      </c>
      <c r="J201" s="124">
        <v>2114.61</v>
      </c>
      <c r="K201" s="77">
        <v>45</v>
      </c>
      <c r="L201" t="s">
        <v>345</v>
      </c>
      <c r="M201" s="126">
        <v>422.92200000000003</v>
      </c>
      <c r="N201" s="124">
        <v>2114.61</v>
      </c>
      <c r="O201" t="s">
        <v>346</v>
      </c>
      <c r="P201" t="s">
        <v>294</v>
      </c>
    </row>
    <row r="202" spans="1:16" ht="15" customHeight="1" x14ac:dyDescent="0.25">
      <c r="A202" s="123">
        <v>45915</v>
      </c>
      <c r="B202" t="s">
        <v>358</v>
      </c>
      <c r="C202" t="s">
        <v>359</v>
      </c>
      <c r="D202" t="s">
        <v>225</v>
      </c>
      <c r="E202" t="s">
        <v>368</v>
      </c>
      <c r="F202" t="s">
        <v>178</v>
      </c>
      <c r="G202" t="s">
        <v>603</v>
      </c>
      <c r="H202" s="77">
        <v>29</v>
      </c>
      <c r="I202" s="124">
        <v>79.14</v>
      </c>
      <c r="J202" s="124">
        <v>2294.9499999999998</v>
      </c>
      <c r="K202" s="77">
        <v>60</v>
      </c>
      <c r="L202" t="s">
        <v>339</v>
      </c>
      <c r="M202" s="126">
        <v>458.99</v>
      </c>
      <c r="N202" s="124">
        <v>2294.9499999999998</v>
      </c>
      <c r="O202" t="s">
        <v>346</v>
      </c>
      <c r="P202" t="s">
        <v>294</v>
      </c>
    </row>
    <row r="203" spans="1:16" ht="15" customHeight="1" x14ac:dyDescent="0.25">
      <c r="A203" s="123">
        <v>45987</v>
      </c>
      <c r="B203" t="s">
        <v>370</v>
      </c>
      <c r="C203" t="s">
        <v>371</v>
      </c>
      <c r="D203" t="s">
        <v>227</v>
      </c>
      <c r="E203" t="s">
        <v>437</v>
      </c>
      <c r="F203" t="s">
        <v>181</v>
      </c>
      <c r="G203" t="s">
        <v>604</v>
      </c>
      <c r="H203" s="77">
        <v>4</v>
      </c>
      <c r="I203" s="124">
        <v>299.48</v>
      </c>
      <c r="J203" s="124">
        <v>1197.93</v>
      </c>
      <c r="K203" s="77">
        <v>30</v>
      </c>
      <c r="L203" t="s">
        <v>345</v>
      </c>
      <c r="M203" s="126">
        <v>239.58600000000001</v>
      </c>
      <c r="N203" s="124">
        <v>1197.93</v>
      </c>
      <c r="O203" t="s">
        <v>346</v>
      </c>
      <c r="P203" t="s">
        <v>294</v>
      </c>
    </row>
    <row r="204" spans="1:16" ht="15" customHeight="1" x14ac:dyDescent="0.25">
      <c r="A204" s="123">
        <v>45713</v>
      </c>
      <c r="B204" t="s">
        <v>406</v>
      </c>
      <c r="C204" t="s">
        <v>407</v>
      </c>
      <c r="D204" t="s">
        <v>225</v>
      </c>
      <c r="E204" t="s">
        <v>236</v>
      </c>
      <c r="F204" t="s">
        <v>183</v>
      </c>
      <c r="G204" t="s">
        <v>605</v>
      </c>
      <c r="H204" s="77">
        <v>63</v>
      </c>
      <c r="I204" s="124">
        <v>544.28</v>
      </c>
      <c r="J204" s="124">
        <v>34289.53</v>
      </c>
      <c r="K204" s="77">
        <v>60</v>
      </c>
      <c r="L204" t="s">
        <v>345</v>
      </c>
      <c r="M204" s="126">
        <v>6857.9059999999999</v>
      </c>
      <c r="N204" s="124">
        <v>34289.53</v>
      </c>
      <c r="O204" t="s">
        <v>346</v>
      </c>
      <c r="P204" t="s">
        <v>294</v>
      </c>
    </row>
    <row r="205" spans="1:16" ht="15" customHeight="1" x14ac:dyDescent="0.25">
      <c r="A205" s="123">
        <v>45969</v>
      </c>
      <c r="B205" t="s">
        <v>354</v>
      </c>
      <c r="C205" t="s">
        <v>355</v>
      </c>
      <c r="D205" t="s">
        <v>227</v>
      </c>
      <c r="E205" t="s">
        <v>368</v>
      </c>
      <c r="F205" t="s">
        <v>178</v>
      </c>
      <c r="G205" t="s">
        <v>606</v>
      </c>
      <c r="H205" s="77">
        <v>19</v>
      </c>
      <c r="I205" s="124">
        <v>116.05</v>
      </c>
      <c r="J205" s="124">
        <v>2204.86</v>
      </c>
      <c r="K205" s="77">
        <v>30</v>
      </c>
      <c r="L205" t="s">
        <v>339</v>
      </c>
      <c r="M205" s="126">
        <v>440.97199999999998</v>
      </c>
      <c r="N205" s="124">
        <v>2204.86</v>
      </c>
      <c r="O205" t="s">
        <v>346</v>
      </c>
      <c r="P205" t="s">
        <v>294</v>
      </c>
    </row>
    <row r="206" spans="1:16" ht="15" customHeight="1" x14ac:dyDescent="0.25">
      <c r="A206" s="123">
        <v>45963</v>
      </c>
      <c r="B206" t="s">
        <v>335</v>
      </c>
      <c r="C206" t="s">
        <v>336</v>
      </c>
      <c r="D206" t="s">
        <v>223</v>
      </c>
      <c r="E206" t="s">
        <v>420</v>
      </c>
      <c r="F206" t="s">
        <v>182</v>
      </c>
      <c r="G206" t="s">
        <v>607</v>
      </c>
      <c r="H206" s="77">
        <v>68</v>
      </c>
      <c r="I206" s="124">
        <v>44.53</v>
      </c>
      <c r="J206" s="124">
        <v>3028.03</v>
      </c>
      <c r="K206" s="77">
        <v>45</v>
      </c>
      <c r="L206" t="s">
        <v>345</v>
      </c>
      <c r="M206" s="126">
        <v>605.60599999999999</v>
      </c>
      <c r="N206" s="124">
        <v>3028.03</v>
      </c>
      <c r="O206" t="s">
        <v>346</v>
      </c>
      <c r="P206" t="s">
        <v>294</v>
      </c>
    </row>
    <row r="207" spans="1:16" ht="15" customHeight="1" x14ac:dyDescent="0.25">
      <c r="A207" s="123">
        <v>46017</v>
      </c>
      <c r="B207" t="s">
        <v>373</v>
      </c>
      <c r="C207" t="s">
        <v>374</v>
      </c>
      <c r="D207" t="s">
        <v>225</v>
      </c>
      <c r="E207" t="s">
        <v>235</v>
      </c>
      <c r="F207" t="s">
        <v>183</v>
      </c>
      <c r="G207" t="s">
        <v>608</v>
      </c>
      <c r="H207" s="77">
        <v>15</v>
      </c>
      <c r="I207" s="124">
        <v>179.11</v>
      </c>
      <c r="J207" s="124">
        <v>2686.59</v>
      </c>
      <c r="K207" s="77">
        <v>60</v>
      </c>
      <c r="L207" t="s">
        <v>351</v>
      </c>
      <c r="M207" s="126">
        <v>537.31799999999998</v>
      </c>
      <c r="N207" s="124">
        <v>2686.59</v>
      </c>
      <c r="O207" t="s">
        <v>346</v>
      </c>
      <c r="P207" t="s">
        <v>294</v>
      </c>
    </row>
    <row r="208" spans="1:16" ht="15" customHeight="1" x14ac:dyDescent="0.25">
      <c r="A208" s="123">
        <v>45889</v>
      </c>
      <c r="B208" t="s">
        <v>390</v>
      </c>
      <c r="C208" t="s">
        <v>391</v>
      </c>
      <c r="D208" t="s">
        <v>221</v>
      </c>
      <c r="E208" t="s">
        <v>360</v>
      </c>
      <c r="F208" t="s">
        <v>180</v>
      </c>
      <c r="G208" t="s">
        <v>609</v>
      </c>
      <c r="H208" s="77">
        <v>30</v>
      </c>
      <c r="I208" s="124">
        <v>331.87</v>
      </c>
      <c r="J208" s="124">
        <v>9955.9699999999993</v>
      </c>
      <c r="K208" s="77">
        <v>45</v>
      </c>
      <c r="L208" t="s">
        <v>345</v>
      </c>
      <c r="M208" s="126">
        <v>1991.194</v>
      </c>
      <c r="N208" s="124">
        <v>9955.9699999999993</v>
      </c>
      <c r="O208" t="s">
        <v>346</v>
      </c>
      <c r="P208" t="s">
        <v>294</v>
      </c>
    </row>
    <row r="209" spans="1:16" ht="15" customHeight="1" x14ac:dyDescent="0.25">
      <c r="A209" s="123">
        <v>45706</v>
      </c>
      <c r="B209" t="s">
        <v>409</v>
      </c>
      <c r="C209" t="s">
        <v>410</v>
      </c>
      <c r="D209" t="s">
        <v>223</v>
      </c>
      <c r="E209" t="s">
        <v>234</v>
      </c>
      <c r="F209" t="s">
        <v>183</v>
      </c>
      <c r="G209" t="s">
        <v>610</v>
      </c>
      <c r="H209" s="77">
        <v>41</v>
      </c>
      <c r="I209" s="124">
        <v>397.97</v>
      </c>
      <c r="J209" s="124">
        <v>16316.58</v>
      </c>
      <c r="K209" s="77">
        <v>45</v>
      </c>
      <c r="L209" t="s">
        <v>345</v>
      </c>
      <c r="M209" s="126">
        <v>3263.3159999999998</v>
      </c>
      <c r="N209" s="124">
        <v>16316.58</v>
      </c>
      <c r="O209" t="s">
        <v>346</v>
      </c>
      <c r="P209" t="s">
        <v>294</v>
      </c>
    </row>
    <row r="210" spans="1:16" ht="15" customHeight="1" x14ac:dyDescent="0.25">
      <c r="A210" s="123">
        <v>45736</v>
      </c>
      <c r="B210" t="s">
        <v>393</v>
      </c>
      <c r="C210" t="s">
        <v>394</v>
      </c>
      <c r="D210" t="s">
        <v>227</v>
      </c>
      <c r="E210" t="s">
        <v>437</v>
      </c>
      <c r="F210" t="s">
        <v>181</v>
      </c>
      <c r="G210" t="s">
        <v>611</v>
      </c>
      <c r="H210" s="77">
        <v>61</v>
      </c>
      <c r="I210" s="124">
        <v>292.04000000000002</v>
      </c>
      <c r="J210" s="124">
        <v>17814.669999999998</v>
      </c>
      <c r="K210" s="77">
        <v>30</v>
      </c>
      <c r="L210" t="s">
        <v>339</v>
      </c>
      <c r="M210" s="126">
        <v>3562.9340000000002</v>
      </c>
      <c r="N210" s="124">
        <v>17814.669999999998</v>
      </c>
      <c r="O210" t="s">
        <v>346</v>
      </c>
      <c r="P210" t="s">
        <v>294</v>
      </c>
    </row>
    <row r="211" spans="1:16" ht="15" customHeight="1" x14ac:dyDescent="0.25">
      <c r="A211" s="123">
        <v>45707</v>
      </c>
      <c r="B211" t="s">
        <v>347</v>
      </c>
      <c r="C211" t="s">
        <v>348</v>
      </c>
      <c r="D211" t="s">
        <v>223</v>
      </c>
      <c r="E211" t="s">
        <v>368</v>
      </c>
      <c r="F211" t="s">
        <v>178</v>
      </c>
      <c r="G211" t="s">
        <v>612</v>
      </c>
      <c r="H211" s="77">
        <v>48</v>
      </c>
      <c r="I211" s="124">
        <v>540.98</v>
      </c>
      <c r="J211" s="124">
        <v>25967.23</v>
      </c>
      <c r="K211" s="77">
        <v>30</v>
      </c>
      <c r="L211" t="s">
        <v>351</v>
      </c>
      <c r="M211" s="126">
        <v>5193.4459999999999</v>
      </c>
      <c r="N211" s="124">
        <v>25967.23</v>
      </c>
      <c r="O211" t="s">
        <v>346</v>
      </c>
      <c r="P211" t="s">
        <v>294</v>
      </c>
    </row>
    <row r="212" spans="1:16" ht="15" customHeight="1" x14ac:dyDescent="0.25">
      <c r="A212" s="123">
        <v>45720</v>
      </c>
      <c r="B212" t="s">
        <v>393</v>
      </c>
      <c r="C212" t="s">
        <v>394</v>
      </c>
      <c r="D212" t="s">
        <v>227</v>
      </c>
      <c r="E212" t="s">
        <v>364</v>
      </c>
      <c r="F212" t="s">
        <v>182</v>
      </c>
      <c r="G212" t="s">
        <v>613</v>
      </c>
      <c r="H212" s="77">
        <v>53</v>
      </c>
      <c r="I212" s="124">
        <v>130.04</v>
      </c>
      <c r="J212" s="124">
        <v>6892.29</v>
      </c>
      <c r="K212" s="77">
        <v>45</v>
      </c>
      <c r="L212" t="s">
        <v>351</v>
      </c>
      <c r="M212" s="126">
        <v>1378.4580000000001</v>
      </c>
      <c r="N212" s="124">
        <v>6892.29</v>
      </c>
      <c r="O212" t="s">
        <v>346</v>
      </c>
      <c r="P212" t="s">
        <v>294</v>
      </c>
    </row>
    <row r="213" spans="1:16" ht="15" customHeight="1" x14ac:dyDescent="0.25">
      <c r="A213" s="123">
        <v>45684</v>
      </c>
      <c r="B213" t="s">
        <v>347</v>
      </c>
      <c r="C213" t="s">
        <v>348</v>
      </c>
      <c r="D213" t="s">
        <v>223</v>
      </c>
      <c r="E213" t="s">
        <v>236</v>
      </c>
      <c r="F213" t="s">
        <v>183</v>
      </c>
      <c r="G213" t="s">
        <v>614</v>
      </c>
      <c r="H213" s="77">
        <v>37</v>
      </c>
      <c r="I213" s="124">
        <v>560.23</v>
      </c>
      <c r="J213" s="124">
        <v>20728.43</v>
      </c>
      <c r="K213" s="77">
        <v>60</v>
      </c>
      <c r="L213" t="s">
        <v>345</v>
      </c>
      <c r="M213" s="126">
        <v>4145.6859999999997</v>
      </c>
      <c r="N213" s="124">
        <v>20728.43</v>
      </c>
      <c r="O213" t="s">
        <v>346</v>
      </c>
      <c r="P213" t="s">
        <v>294</v>
      </c>
    </row>
    <row r="214" spans="1:16" ht="15" customHeight="1" x14ac:dyDescent="0.25">
      <c r="A214" s="123">
        <v>45917</v>
      </c>
      <c r="B214" t="s">
        <v>393</v>
      </c>
      <c r="C214" t="s">
        <v>394</v>
      </c>
      <c r="D214" t="s">
        <v>227</v>
      </c>
      <c r="E214" t="s">
        <v>343</v>
      </c>
      <c r="F214" t="s">
        <v>178</v>
      </c>
      <c r="G214" t="s">
        <v>615</v>
      </c>
      <c r="H214" s="77">
        <v>28</v>
      </c>
      <c r="I214" s="124">
        <v>109.85</v>
      </c>
      <c r="J214" s="124">
        <v>3075.72</v>
      </c>
      <c r="K214" s="77">
        <v>30</v>
      </c>
      <c r="L214" t="s">
        <v>351</v>
      </c>
      <c r="M214" s="126">
        <v>615.14400000000001</v>
      </c>
      <c r="N214" s="124">
        <v>3075.72</v>
      </c>
      <c r="O214" t="s">
        <v>346</v>
      </c>
      <c r="P214" t="s">
        <v>294</v>
      </c>
    </row>
    <row r="215" spans="1:16" ht="15" customHeight="1" x14ac:dyDescent="0.25">
      <c r="A215" s="123">
        <v>45837</v>
      </c>
      <c r="B215" t="s">
        <v>401</v>
      </c>
      <c r="C215" t="s">
        <v>402</v>
      </c>
      <c r="D215" t="s">
        <v>221</v>
      </c>
      <c r="E215" t="s">
        <v>423</v>
      </c>
      <c r="F215" t="s">
        <v>180</v>
      </c>
      <c r="G215" t="s">
        <v>616</v>
      </c>
      <c r="H215" s="77">
        <v>72</v>
      </c>
      <c r="I215" s="124">
        <v>357.71</v>
      </c>
      <c r="J215" s="124">
        <v>25755.21</v>
      </c>
      <c r="K215" s="77">
        <v>45</v>
      </c>
      <c r="L215" t="s">
        <v>339</v>
      </c>
      <c r="M215" s="126">
        <v>5151.0420000000004</v>
      </c>
      <c r="N215" s="124">
        <v>25755.21</v>
      </c>
      <c r="O215" t="s">
        <v>346</v>
      </c>
      <c r="P215" t="s">
        <v>294</v>
      </c>
    </row>
    <row r="216" spans="1:16" ht="15" customHeight="1" x14ac:dyDescent="0.25">
      <c r="A216" s="123">
        <v>45773</v>
      </c>
      <c r="B216" t="s">
        <v>398</v>
      </c>
      <c r="C216" t="s">
        <v>399</v>
      </c>
      <c r="D216" t="s">
        <v>227</v>
      </c>
      <c r="E216" t="s">
        <v>403</v>
      </c>
      <c r="F216" t="s">
        <v>181</v>
      </c>
      <c r="G216" t="s">
        <v>617</v>
      </c>
      <c r="H216" s="77">
        <v>55</v>
      </c>
      <c r="I216" s="124">
        <v>184.98</v>
      </c>
      <c r="J216" s="124">
        <v>10173.709999999999</v>
      </c>
      <c r="K216" s="77">
        <v>60</v>
      </c>
      <c r="L216" t="s">
        <v>351</v>
      </c>
      <c r="M216" s="126">
        <v>2034.742</v>
      </c>
      <c r="N216" s="124">
        <v>10173.709999999999</v>
      </c>
      <c r="O216" t="s">
        <v>346</v>
      </c>
      <c r="P216" t="s">
        <v>294</v>
      </c>
    </row>
    <row r="217" spans="1:16" ht="15" customHeight="1" x14ac:dyDescent="0.25">
      <c r="A217" s="123">
        <v>45994</v>
      </c>
      <c r="B217" t="s">
        <v>378</v>
      </c>
      <c r="C217" t="s">
        <v>379</v>
      </c>
      <c r="D217" t="s">
        <v>227</v>
      </c>
      <c r="E217" t="s">
        <v>440</v>
      </c>
      <c r="F217" t="s">
        <v>177</v>
      </c>
      <c r="G217" t="s">
        <v>618</v>
      </c>
      <c r="H217" s="77">
        <v>35</v>
      </c>
      <c r="I217" s="124">
        <v>182.17</v>
      </c>
      <c r="J217" s="124">
        <v>6375.85</v>
      </c>
      <c r="K217" s="77">
        <v>30</v>
      </c>
      <c r="L217" t="s">
        <v>339</v>
      </c>
      <c r="M217" s="126">
        <v>1275.17</v>
      </c>
      <c r="N217" s="124">
        <v>6375.85</v>
      </c>
      <c r="O217" t="s">
        <v>346</v>
      </c>
      <c r="P217" t="s">
        <v>294</v>
      </c>
    </row>
    <row r="218" spans="1:16" ht="15" customHeight="1" x14ac:dyDescent="0.25">
      <c r="A218" s="123">
        <v>45837</v>
      </c>
      <c r="B218" t="s">
        <v>398</v>
      </c>
      <c r="C218" t="s">
        <v>399</v>
      </c>
      <c r="D218" t="s">
        <v>227</v>
      </c>
      <c r="E218" t="s">
        <v>437</v>
      </c>
      <c r="F218" t="s">
        <v>181</v>
      </c>
      <c r="G218" t="s">
        <v>619</v>
      </c>
      <c r="H218" s="77">
        <v>1</v>
      </c>
      <c r="I218" s="124">
        <v>143.82</v>
      </c>
      <c r="J218" s="124">
        <v>143.82</v>
      </c>
      <c r="K218" s="77">
        <v>30</v>
      </c>
      <c r="L218" t="s">
        <v>339</v>
      </c>
      <c r="M218" s="126">
        <v>28.763999999999999</v>
      </c>
      <c r="N218" s="124">
        <v>143.82</v>
      </c>
      <c r="O218" t="s">
        <v>346</v>
      </c>
      <c r="P218" t="s">
        <v>294</v>
      </c>
    </row>
    <row r="219" spans="1:16" ht="15" customHeight="1" x14ac:dyDescent="0.25">
      <c r="A219" s="123">
        <v>45730</v>
      </c>
      <c r="B219" t="s">
        <v>366</v>
      </c>
      <c r="C219" t="s">
        <v>367</v>
      </c>
      <c r="D219" t="s">
        <v>221</v>
      </c>
      <c r="E219" t="s">
        <v>235</v>
      </c>
      <c r="F219" t="s">
        <v>183</v>
      </c>
      <c r="G219" t="s">
        <v>620</v>
      </c>
      <c r="H219" s="77">
        <v>4</v>
      </c>
      <c r="I219" s="124">
        <v>263.36</v>
      </c>
      <c r="J219" s="124">
        <v>1053.45</v>
      </c>
      <c r="K219" s="77">
        <v>30</v>
      </c>
      <c r="L219" t="s">
        <v>351</v>
      </c>
      <c r="M219" s="126">
        <v>210.69</v>
      </c>
      <c r="N219" s="124">
        <v>1053.45</v>
      </c>
      <c r="O219" t="s">
        <v>346</v>
      </c>
      <c r="P219" t="s">
        <v>294</v>
      </c>
    </row>
    <row r="220" spans="1:16" ht="15" customHeight="1" x14ac:dyDescent="0.25">
      <c r="A220" s="123">
        <v>45872</v>
      </c>
      <c r="B220" t="s">
        <v>401</v>
      </c>
      <c r="C220" t="s">
        <v>402</v>
      </c>
      <c r="D220" t="s">
        <v>221</v>
      </c>
      <c r="E220" t="s">
        <v>360</v>
      </c>
      <c r="F220" t="s">
        <v>180</v>
      </c>
      <c r="G220" t="s">
        <v>621</v>
      </c>
      <c r="H220" s="77">
        <v>59</v>
      </c>
      <c r="I220" s="124">
        <v>191.43</v>
      </c>
      <c r="J220" s="124">
        <v>11294.24</v>
      </c>
      <c r="K220" s="77">
        <v>45</v>
      </c>
      <c r="L220" t="s">
        <v>339</v>
      </c>
      <c r="M220" s="126">
        <v>2258.848</v>
      </c>
      <c r="N220" s="124">
        <v>11294.24</v>
      </c>
      <c r="O220" t="s">
        <v>346</v>
      </c>
      <c r="P220" t="s">
        <v>294</v>
      </c>
    </row>
    <row r="221" spans="1:16" ht="15" customHeight="1" x14ac:dyDescent="0.25">
      <c r="A221" s="123">
        <v>45824</v>
      </c>
      <c r="B221" t="s">
        <v>398</v>
      </c>
      <c r="C221" t="s">
        <v>399</v>
      </c>
      <c r="D221" t="s">
        <v>227</v>
      </c>
      <c r="E221" t="s">
        <v>403</v>
      </c>
      <c r="F221" t="s">
        <v>181</v>
      </c>
      <c r="G221" t="s">
        <v>622</v>
      </c>
      <c r="H221" s="77">
        <v>73</v>
      </c>
      <c r="I221" s="124">
        <v>230.13</v>
      </c>
      <c r="J221" s="124">
        <v>16799.72</v>
      </c>
      <c r="K221" s="77">
        <v>60</v>
      </c>
      <c r="L221" t="s">
        <v>339</v>
      </c>
      <c r="M221" s="126">
        <v>3359.944</v>
      </c>
      <c r="N221" s="124">
        <v>16799.72</v>
      </c>
      <c r="O221" t="s">
        <v>346</v>
      </c>
      <c r="P221" t="s">
        <v>294</v>
      </c>
    </row>
    <row r="222" spans="1:16" ht="15" customHeight="1" x14ac:dyDescent="0.25">
      <c r="A222" s="123">
        <v>45974</v>
      </c>
      <c r="B222" t="s">
        <v>366</v>
      </c>
      <c r="C222" t="s">
        <v>367</v>
      </c>
      <c r="D222" t="s">
        <v>221</v>
      </c>
      <c r="E222" t="s">
        <v>442</v>
      </c>
      <c r="F222" t="s">
        <v>179</v>
      </c>
      <c r="G222" t="s">
        <v>623</v>
      </c>
      <c r="H222" s="77">
        <v>7</v>
      </c>
      <c r="I222" s="124">
        <v>642.91999999999996</v>
      </c>
      <c r="J222" s="124">
        <v>4500.43</v>
      </c>
      <c r="K222" s="77">
        <v>60</v>
      </c>
      <c r="L222" t="s">
        <v>339</v>
      </c>
      <c r="M222" s="126">
        <v>900.08600000000001</v>
      </c>
      <c r="N222" s="124">
        <v>4500.43</v>
      </c>
      <c r="O222" t="s">
        <v>340</v>
      </c>
      <c r="P222" t="s">
        <v>294</v>
      </c>
    </row>
    <row r="223" spans="1:16" ht="15" customHeight="1" x14ac:dyDescent="0.25">
      <c r="A223" s="123">
        <v>45875</v>
      </c>
      <c r="B223" t="s">
        <v>398</v>
      </c>
      <c r="C223" t="s">
        <v>399</v>
      </c>
      <c r="D223" t="s">
        <v>227</v>
      </c>
      <c r="E223" t="s">
        <v>417</v>
      </c>
      <c r="F223" t="s">
        <v>184</v>
      </c>
      <c r="G223" t="s">
        <v>624</v>
      </c>
      <c r="H223" s="77">
        <v>63</v>
      </c>
      <c r="I223" s="124">
        <v>26.86</v>
      </c>
      <c r="J223" s="124">
        <v>1691.93</v>
      </c>
      <c r="K223" s="77">
        <v>60</v>
      </c>
      <c r="L223" t="s">
        <v>345</v>
      </c>
      <c r="M223" s="126">
        <v>338.38600000000002</v>
      </c>
      <c r="N223" s="124">
        <v>1691.93</v>
      </c>
      <c r="O223" t="s">
        <v>346</v>
      </c>
      <c r="P223" t="s">
        <v>294</v>
      </c>
    </row>
    <row r="224" spans="1:16" ht="15" customHeight="1" x14ac:dyDescent="0.25">
      <c r="A224" s="123">
        <v>45920</v>
      </c>
      <c r="B224" t="s">
        <v>488</v>
      </c>
      <c r="C224" t="s">
        <v>489</v>
      </c>
      <c r="D224" t="s">
        <v>225</v>
      </c>
      <c r="E224" t="s">
        <v>356</v>
      </c>
      <c r="F224" t="s">
        <v>181</v>
      </c>
      <c r="G224" t="s">
        <v>625</v>
      </c>
      <c r="H224" s="77">
        <v>15</v>
      </c>
      <c r="I224" s="124">
        <v>320.88</v>
      </c>
      <c r="J224" s="124">
        <v>4813.22</v>
      </c>
      <c r="K224" s="77">
        <v>45</v>
      </c>
      <c r="L224" t="s">
        <v>345</v>
      </c>
      <c r="M224" s="126">
        <v>962.64400000000001</v>
      </c>
      <c r="N224" s="124">
        <v>4813.22</v>
      </c>
      <c r="O224" t="s">
        <v>340</v>
      </c>
      <c r="P224" t="s">
        <v>294</v>
      </c>
    </row>
    <row r="225" spans="1:16" ht="15" customHeight="1" x14ac:dyDescent="0.25">
      <c r="A225" s="123">
        <v>46005</v>
      </c>
      <c r="B225" t="s">
        <v>373</v>
      </c>
      <c r="C225" t="s">
        <v>374</v>
      </c>
      <c r="D225" t="s">
        <v>225</v>
      </c>
      <c r="E225" t="s">
        <v>403</v>
      </c>
      <c r="F225" t="s">
        <v>181</v>
      </c>
      <c r="G225" t="s">
        <v>626</v>
      </c>
      <c r="H225" s="77">
        <v>76</v>
      </c>
      <c r="I225" s="124">
        <v>90.62</v>
      </c>
      <c r="J225" s="124">
        <v>6886.84</v>
      </c>
      <c r="K225" s="77">
        <v>45</v>
      </c>
      <c r="L225" t="s">
        <v>351</v>
      </c>
      <c r="M225" s="126">
        <v>1377.3679999999999</v>
      </c>
      <c r="N225" s="124">
        <v>6886.84</v>
      </c>
      <c r="O225" t="s">
        <v>346</v>
      </c>
      <c r="P225" t="s">
        <v>294</v>
      </c>
    </row>
    <row r="226" spans="1:16" ht="15" customHeight="1" x14ac:dyDescent="0.25">
      <c r="A226" s="123">
        <v>45770</v>
      </c>
      <c r="B226" t="s">
        <v>406</v>
      </c>
      <c r="C226" t="s">
        <v>407</v>
      </c>
      <c r="D226" t="s">
        <v>225</v>
      </c>
      <c r="E226" t="s">
        <v>356</v>
      </c>
      <c r="F226" t="s">
        <v>181</v>
      </c>
      <c r="G226" t="s">
        <v>627</v>
      </c>
      <c r="H226" s="77">
        <v>51</v>
      </c>
      <c r="I226" s="124">
        <v>169.71</v>
      </c>
      <c r="J226" s="124">
        <v>8654.98</v>
      </c>
      <c r="K226" s="77">
        <v>60</v>
      </c>
      <c r="L226" t="s">
        <v>339</v>
      </c>
      <c r="M226" s="126">
        <v>1730.9960000000001</v>
      </c>
      <c r="N226" s="124">
        <v>8654.98</v>
      </c>
      <c r="O226" t="s">
        <v>340</v>
      </c>
      <c r="P226" t="s">
        <v>294</v>
      </c>
    </row>
    <row r="227" spans="1:16" ht="15" customHeight="1" x14ac:dyDescent="0.25">
      <c r="A227" s="123">
        <v>45766</v>
      </c>
      <c r="B227" t="s">
        <v>431</v>
      </c>
      <c r="C227" t="s">
        <v>432</v>
      </c>
      <c r="D227" t="s">
        <v>221</v>
      </c>
      <c r="E227" t="s">
        <v>360</v>
      </c>
      <c r="F227" t="s">
        <v>180</v>
      </c>
      <c r="G227" t="s">
        <v>628</v>
      </c>
      <c r="H227" s="77">
        <v>18</v>
      </c>
      <c r="I227" s="124">
        <v>455.04</v>
      </c>
      <c r="J227" s="124">
        <v>8190.71</v>
      </c>
      <c r="K227" s="77">
        <v>45</v>
      </c>
      <c r="L227" t="s">
        <v>345</v>
      </c>
      <c r="M227" s="126">
        <v>1638.1420000000001</v>
      </c>
      <c r="N227" s="124">
        <v>8190.71</v>
      </c>
      <c r="O227" t="s">
        <v>346</v>
      </c>
      <c r="P227" t="s">
        <v>294</v>
      </c>
    </row>
    <row r="228" spans="1:16" ht="15" customHeight="1" x14ac:dyDescent="0.25">
      <c r="A228" s="123">
        <v>45912</v>
      </c>
      <c r="B228" t="s">
        <v>488</v>
      </c>
      <c r="C228" t="s">
        <v>489</v>
      </c>
      <c r="D228" t="s">
        <v>225</v>
      </c>
      <c r="E228" t="s">
        <v>415</v>
      </c>
      <c r="F228" t="s">
        <v>178</v>
      </c>
      <c r="G228" t="s">
        <v>629</v>
      </c>
      <c r="H228" s="77">
        <v>56</v>
      </c>
      <c r="I228" s="124">
        <v>67.34</v>
      </c>
      <c r="J228" s="124">
        <v>3770.99</v>
      </c>
      <c r="K228" s="77">
        <v>30</v>
      </c>
      <c r="L228" t="s">
        <v>339</v>
      </c>
      <c r="M228" s="126">
        <v>754.19799999999998</v>
      </c>
      <c r="N228" s="124">
        <v>3770.99</v>
      </c>
      <c r="O228" t="s">
        <v>340</v>
      </c>
      <c r="P228" t="s">
        <v>294</v>
      </c>
    </row>
    <row r="229" spans="1:16" ht="15" customHeight="1" x14ac:dyDescent="0.25">
      <c r="A229" s="123">
        <v>45944</v>
      </c>
      <c r="B229" t="s">
        <v>341</v>
      </c>
      <c r="C229" t="s">
        <v>342</v>
      </c>
      <c r="D229" t="s">
        <v>223</v>
      </c>
      <c r="E229" t="s">
        <v>352</v>
      </c>
      <c r="F229" t="s">
        <v>180</v>
      </c>
      <c r="G229" t="s">
        <v>630</v>
      </c>
      <c r="H229" s="77">
        <v>46</v>
      </c>
      <c r="I229" s="124">
        <v>138.19999999999999</v>
      </c>
      <c r="J229" s="124">
        <v>6357.2</v>
      </c>
      <c r="K229" s="77">
        <v>30</v>
      </c>
      <c r="L229" t="s">
        <v>345</v>
      </c>
      <c r="M229" s="126">
        <v>1271.44</v>
      </c>
      <c r="N229" s="124">
        <v>6357.2</v>
      </c>
      <c r="O229" t="s">
        <v>346</v>
      </c>
      <c r="P229" t="s">
        <v>294</v>
      </c>
    </row>
    <row r="230" spans="1:16" ht="15" customHeight="1" x14ac:dyDescent="0.25">
      <c r="A230" s="123">
        <v>45667</v>
      </c>
      <c r="B230" t="s">
        <v>386</v>
      </c>
      <c r="C230" t="s">
        <v>387</v>
      </c>
      <c r="D230" t="s">
        <v>223</v>
      </c>
      <c r="E230" t="s">
        <v>496</v>
      </c>
      <c r="F230" t="s">
        <v>177</v>
      </c>
      <c r="G230" t="s">
        <v>631</v>
      </c>
      <c r="H230" s="77">
        <v>59</v>
      </c>
      <c r="I230" s="124">
        <v>80.97</v>
      </c>
      <c r="J230" s="124">
        <v>4777.21</v>
      </c>
      <c r="K230" s="77">
        <v>30</v>
      </c>
      <c r="L230" t="s">
        <v>345</v>
      </c>
      <c r="M230" s="126">
        <v>955.44200000000001</v>
      </c>
      <c r="N230" s="124">
        <v>4777.21</v>
      </c>
      <c r="O230" t="s">
        <v>346</v>
      </c>
      <c r="P230" t="s">
        <v>294</v>
      </c>
    </row>
    <row r="231" spans="1:16" ht="15" customHeight="1" x14ac:dyDescent="0.25">
      <c r="A231" s="123">
        <v>45865</v>
      </c>
      <c r="B231" t="s">
        <v>362</v>
      </c>
      <c r="C231" t="s">
        <v>363</v>
      </c>
      <c r="D231" t="s">
        <v>221</v>
      </c>
      <c r="E231" t="s">
        <v>236</v>
      </c>
      <c r="F231" t="s">
        <v>183</v>
      </c>
      <c r="G231" t="s">
        <v>632</v>
      </c>
      <c r="H231" s="77">
        <v>54</v>
      </c>
      <c r="I231" s="124">
        <v>435.96</v>
      </c>
      <c r="J231" s="124">
        <v>23542.09</v>
      </c>
      <c r="K231" s="77">
        <v>45</v>
      </c>
      <c r="L231" t="s">
        <v>339</v>
      </c>
      <c r="M231" s="126">
        <v>4708.4179999999997</v>
      </c>
      <c r="N231" s="124">
        <v>23542.09</v>
      </c>
      <c r="O231" t="s">
        <v>346</v>
      </c>
      <c r="P231" t="s">
        <v>294</v>
      </c>
    </row>
    <row r="232" spans="1:16" ht="15" customHeight="1" x14ac:dyDescent="0.25">
      <c r="A232" s="123">
        <v>45745</v>
      </c>
      <c r="B232" t="s">
        <v>488</v>
      </c>
      <c r="C232" t="s">
        <v>489</v>
      </c>
      <c r="D232" t="s">
        <v>225</v>
      </c>
      <c r="E232" t="s">
        <v>496</v>
      </c>
      <c r="F232" t="s">
        <v>177</v>
      </c>
      <c r="G232" t="s">
        <v>633</v>
      </c>
      <c r="H232" s="77">
        <v>80</v>
      </c>
      <c r="I232" s="124">
        <v>80.3</v>
      </c>
      <c r="J232" s="124">
        <v>6424.13</v>
      </c>
      <c r="K232" s="77">
        <v>45</v>
      </c>
      <c r="L232" t="s">
        <v>351</v>
      </c>
      <c r="M232" s="126">
        <v>1284.826</v>
      </c>
      <c r="N232" s="124">
        <v>6424.13</v>
      </c>
      <c r="O232" t="s">
        <v>346</v>
      </c>
      <c r="P232" t="s">
        <v>294</v>
      </c>
    </row>
    <row r="233" spans="1:16" ht="15" customHeight="1" x14ac:dyDescent="0.25">
      <c r="A233" s="123">
        <v>45712</v>
      </c>
      <c r="B233" t="s">
        <v>401</v>
      </c>
      <c r="C233" t="s">
        <v>402</v>
      </c>
      <c r="D233" t="s">
        <v>221</v>
      </c>
      <c r="E233" t="s">
        <v>368</v>
      </c>
      <c r="F233" t="s">
        <v>178</v>
      </c>
      <c r="G233" t="s">
        <v>634</v>
      </c>
      <c r="H233" s="77">
        <v>32</v>
      </c>
      <c r="I233" s="124">
        <v>73.22</v>
      </c>
      <c r="J233" s="124">
        <v>2342.9699999999998</v>
      </c>
      <c r="K233" s="77">
        <v>45</v>
      </c>
      <c r="L233" t="s">
        <v>351</v>
      </c>
      <c r="M233" s="126">
        <v>468.59399999999999</v>
      </c>
      <c r="N233" s="124">
        <v>2342.9699999999998</v>
      </c>
      <c r="O233" t="s">
        <v>346</v>
      </c>
      <c r="P233" t="s">
        <v>294</v>
      </c>
    </row>
    <row r="234" spans="1:16" ht="15" customHeight="1" x14ac:dyDescent="0.25">
      <c r="A234" s="123">
        <v>45816</v>
      </c>
      <c r="B234" t="s">
        <v>354</v>
      </c>
      <c r="C234" t="s">
        <v>355</v>
      </c>
      <c r="D234" t="s">
        <v>227</v>
      </c>
      <c r="E234" t="s">
        <v>368</v>
      </c>
      <c r="F234" t="s">
        <v>178</v>
      </c>
      <c r="G234" t="s">
        <v>635</v>
      </c>
      <c r="H234" s="77">
        <v>44</v>
      </c>
      <c r="I234" s="124">
        <v>66.650000000000006</v>
      </c>
      <c r="J234" s="124">
        <v>2932.59</v>
      </c>
      <c r="K234" s="77">
        <v>30</v>
      </c>
      <c r="L234" t="s">
        <v>345</v>
      </c>
      <c r="M234" s="126">
        <v>586.51800000000003</v>
      </c>
      <c r="N234" s="124">
        <v>2932.59</v>
      </c>
      <c r="O234" t="s">
        <v>346</v>
      </c>
      <c r="P234" t="s">
        <v>294</v>
      </c>
    </row>
    <row r="235" spans="1:16" ht="15" customHeight="1" x14ac:dyDescent="0.25">
      <c r="A235" s="123">
        <v>45982</v>
      </c>
      <c r="B235" t="s">
        <v>488</v>
      </c>
      <c r="C235" t="s">
        <v>489</v>
      </c>
      <c r="D235" t="s">
        <v>225</v>
      </c>
      <c r="E235" t="s">
        <v>343</v>
      </c>
      <c r="F235" t="s">
        <v>178</v>
      </c>
      <c r="G235" t="s">
        <v>636</v>
      </c>
      <c r="H235" s="77">
        <v>15</v>
      </c>
      <c r="I235" s="124">
        <v>45.42</v>
      </c>
      <c r="J235" s="124">
        <v>681.34</v>
      </c>
      <c r="K235" s="77">
        <v>60</v>
      </c>
      <c r="L235" t="s">
        <v>351</v>
      </c>
      <c r="M235" s="126">
        <v>136.268</v>
      </c>
      <c r="N235" s="124">
        <v>681.34</v>
      </c>
      <c r="O235" t="s">
        <v>346</v>
      </c>
      <c r="P235" t="s">
        <v>294</v>
      </c>
    </row>
    <row r="236" spans="1:16" ht="15" customHeight="1" x14ac:dyDescent="0.25">
      <c r="A236" s="123">
        <v>45988</v>
      </c>
      <c r="B236" t="s">
        <v>370</v>
      </c>
      <c r="C236" t="s">
        <v>371</v>
      </c>
      <c r="D236" t="s">
        <v>227</v>
      </c>
      <c r="E236" t="s">
        <v>420</v>
      </c>
      <c r="F236" t="s">
        <v>182</v>
      </c>
      <c r="G236" t="s">
        <v>637</v>
      </c>
      <c r="H236" s="77">
        <v>19</v>
      </c>
      <c r="I236" s="124">
        <v>308.91000000000003</v>
      </c>
      <c r="J236" s="124">
        <v>5869.27</v>
      </c>
      <c r="K236" s="77">
        <v>30</v>
      </c>
      <c r="L236" t="s">
        <v>339</v>
      </c>
      <c r="M236" s="126">
        <v>1173.854</v>
      </c>
      <c r="N236" s="124">
        <v>5869.27</v>
      </c>
      <c r="O236" t="s">
        <v>346</v>
      </c>
      <c r="P236" t="s">
        <v>294</v>
      </c>
    </row>
    <row r="237" spans="1:16" ht="15" customHeight="1" x14ac:dyDescent="0.25">
      <c r="A237" s="123">
        <v>45746</v>
      </c>
      <c r="B237" t="s">
        <v>386</v>
      </c>
      <c r="C237" t="s">
        <v>387</v>
      </c>
      <c r="D237" t="s">
        <v>223</v>
      </c>
      <c r="E237" t="s">
        <v>356</v>
      </c>
      <c r="F237" t="s">
        <v>181</v>
      </c>
      <c r="G237" t="s">
        <v>638</v>
      </c>
      <c r="H237" s="77">
        <v>78</v>
      </c>
      <c r="I237" s="124">
        <v>311.77999999999997</v>
      </c>
      <c r="J237" s="124">
        <v>24318.48</v>
      </c>
      <c r="K237" s="77">
        <v>30</v>
      </c>
      <c r="L237" t="s">
        <v>351</v>
      </c>
      <c r="M237" s="126">
        <v>4863.6959999999999</v>
      </c>
      <c r="N237" s="124">
        <v>24318.48</v>
      </c>
      <c r="O237" t="s">
        <v>340</v>
      </c>
      <c r="P237" t="s">
        <v>294</v>
      </c>
    </row>
    <row r="238" spans="1:16" ht="15" customHeight="1" x14ac:dyDescent="0.25">
      <c r="A238" s="123">
        <v>45910</v>
      </c>
      <c r="B238" t="s">
        <v>354</v>
      </c>
      <c r="C238" t="s">
        <v>355</v>
      </c>
      <c r="D238" t="s">
        <v>227</v>
      </c>
      <c r="E238" t="s">
        <v>412</v>
      </c>
      <c r="F238" t="s">
        <v>179</v>
      </c>
      <c r="G238" t="s">
        <v>639</v>
      </c>
      <c r="H238" s="77">
        <v>60</v>
      </c>
      <c r="I238" s="124">
        <v>59.09</v>
      </c>
      <c r="J238" s="124">
        <v>3545.64</v>
      </c>
      <c r="K238" s="77">
        <v>60</v>
      </c>
      <c r="L238" t="s">
        <v>351</v>
      </c>
      <c r="M238" s="126">
        <v>709.12800000000004</v>
      </c>
      <c r="N238" s="124">
        <v>3545.64</v>
      </c>
      <c r="O238" t="s">
        <v>346</v>
      </c>
      <c r="P238" t="s">
        <v>294</v>
      </c>
    </row>
    <row r="239" spans="1:16" ht="15" customHeight="1" x14ac:dyDescent="0.25">
      <c r="A239" s="123">
        <v>45819</v>
      </c>
      <c r="B239" t="s">
        <v>370</v>
      </c>
      <c r="C239" t="s">
        <v>371</v>
      </c>
      <c r="D239" t="s">
        <v>227</v>
      </c>
      <c r="E239" t="s">
        <v>364</v>
      </c>
      <c r="F239" t="s">
        <v>182</v>
      </c>
      <c r="G239" t="s">
        <v>640</v>
      </c>
      <c r="H239" s="77">
        <v>20</v>
      </c>
      <c r="I239" s="124">
        <v>105.26</v>
      </c>
      <c r="J239" s="124">
        <v>2105.19</v>
      </c>
      <c r="K239" s="77">
        <v>45</v>
      </c>
      <c r="L239" t="s">
        <v>339</v>
      </c>
      <c r="M239" s="126">
        <v>421.03800000000001</v>
      </c>
      <c r="N239" s="124">
        <v>2105.19</v>
      </c>
      <c r="O239" t="s">
        <v>346</v>
      </c>
      <c r="P239" t="s">
        <v>294</v>
      </c>
    </row>
    <row r="240" spans="1:16" ht="15" customHeight="1" x14ac:dyDescent="0.25">
      <c r="A240" s="123">
        <v>45813</v>
      </c>
      <c r="B240" t="s">
        <v>401</v>
      </c>
      <c r="C240" t="s">
        <v>402</v>
      </c>
      <c r="D240" t="s">
        <v>221</v>
      </c>
      <c r="E240" t="s">
        <v>417</v>
      </c>
      <c r="F240" t="s">
        <v>184</v>
      </c>
      <c r="G240" t="s">
        <v>641</v>
      </c>
      <c r="H240" s="77">
        <v>36</v>
      </c>
      <c r="I240" s="124">
        <v>52.12</v>
      </c>
      <c r="J240" s="124">
        <v>1876.24</v>
      </c>
      <c r="K240" s="77">
        <v>60</v>
      </c>
      <c r="L240" t="s">
        <v>339</v>
      </c>
      <c r="M240" s="126">
        <v>375.24799999999999</v>
      </c>
      <c r="N240" s="124">
        <v>1876.24</v>
      </c>
      <c r="O240" t="s">
        <v>346</v>
      </c>
      <c r="P240" t="s">
        <v>294</v>
      </c>
    </row>
    <row r="241" spans="1:16" ht="15" customHeight="1" x14ac:dyDescent="0.25">
      <c r="A241" s="123">
        <v>45894</v>
      </c>
      <c r="B241" t="s">
        <v>431</v>
      </c>
      <c r="C241" t="s">
        <v>432</v>
      </c>
      <c r="D241" t="s">
        <v>221</v>
      </c>
      <c r="E241" t="s">
        <v>368</v>
      </c>
      <c r="F241" t="s">
        <v>178</v>
      </c>
      <c r="G241" t="s">
        <v>642</v>
      </c>
      <c r="H241" s="77">
        <v>58</v>
      </c>
      <c r="I241" s="124">
        <v>103.88</v>
      </c>
      <c r="J241" s="124">
        <v>6024.98</v>
      </c>
      <c r="K241" s="77">
        <v>30</v>
      </c>
      <c r="L241" t="s">
        <v>339</v>
      </c>
      <c r="M241" s="126">
        <v>1204.9960000000001</v>
      </c>
      <c r="N241" s="124">
        <v>6024.98</v>
      </c>
      <c r="O241" t="s">
        <v>346</v>
      </c>
      <c r="P241" t="s">
        <v>294</v>
      </c>
    </row>
    <row r="242" spans="1:16" ht="15" customHeight="1" x14ac:dyDescent="0.25">
      <c r="A242" s="123">
        <v>45988</v>
      </c>
      <c r="B242" t="s">
        <v>354</v>
      </c>
      <c r="C242" t="s">
        <v>355</v>
      </c>
      <c r="D242" t="s">
        <v>227</v>
      </c>
      <c r="E242" t="s">
        <v>356</v>
      </c>
      <c r="F242" t="s">
        <v>181</v>
      </c>
      <c r="G242" t="s">
        <v>643</v>
      </c>
      <c r="H242" s="77">
        <v>12</v>
      </c>
      <c r="I242" s="124">
        <v>142.27000000000001</v>
      </c>
      <c r="J242" s="124">
        <v>1707.26</v>
      </c>
      <c r="K242" s="77">
        <v>60</v>
      </c>
      <c r="L242" t="s">
        <v>351</v>
      </c>
      <c r="M242" s="126">
        <v>341.452</v>
      </c>
      <c r="N242" s="124">
        <v>1707.26</v>
      </c>
      <c r="O242" t="s">
        <v>340</v>
      </c>
      <c r="P242" t="s">
        <v>294</v>
      </c>
    </row>
    <row r="243" spans="1:16" ht="15" customHeight="1" x14ac:dyDescent="0.25">
      <c r="A243" s="123">
        <v>45955</v>
      </c>
      <c r="B243" t="s">
        <v>335</v>
      </c>
      <c r="C243" t="s">
        <v>336</v>
      </c>
      <c r="D243" t="s">
        <v>223</v>
      </c>
      <c r="E243" t="s">
        <v>234</v>
      </c>
      <c r="F243" t="s">
        <v>183</v>
      </c>
      <c r="G243" t="s">
        <v>644</v>
      </c>
      <c r="H243" s="77">
        <v>71</v>
      </c>
      <c r="I243" s="124">
        <v>281.64999999999998</v>
      </c>
      <c r="J243" s="124">
        <v>19997.400000000001</v>
      </c>
      <c r="K243" s="77">
        <v>60</v>
      </c>
      <c r="L243" t="s">
        <v>339</v>
      </c>
      <c r="M243" s="126">
        <v>3999.48</v>
      </c>
      <c r="N243" s="124">
        <v>19997.400000000001</v>
      </c>
      <c r="O243" t="s">
        <v>346</v>
      </c>
      <c r="P243" t="s">
        <v>294</v>
      </c>
    </row>
    <row r="244" spans="1:16" ht="15" customHeight="1" x14ac:dyDescent="0.25">
      <c r="A244" s="123">
        <v>45967</v>
      </c>
      <c r="B244" t="s">
        <v>390</v>
      </c>
      <c r="C244" t="s">
        <v>391</v>
      </c>
      <c r="D244" t="s">
        <v>221</v>
      </c>
      <c r="E244" t="s">
        <v>360</v>
      </c>
      <c r="F244" t="s">
        <v>180</v>
      </c>
      <c r="G244" t="s">
        <v>645</v>
      </c>
      <c r="H244" s="77">
        <v>61</v>
      </c>
      <c r="I244" s="124">
        <v>330.04</v>
      </c>
      <c r="J244" s="124">
        <v>20132.240000000002</v>
      </c>
      <c r="K244" s="77">
        <v>60</v>
      </c>
      <c r="L244" t="s">
        <v>339</v>
      </c>
      <c r="M244" s="126">
        <v>4026.4479999999999</v>
      </c>
      <c r="N244" s="124">
        <v>20132.240000000002</v>
      </c>
      <c r="O244" t="s">
        <v>346</v>
      </c>
      <c r="P244" t="s">
        <v>294</v>
      </c>
    </row>
    <row r="245" spans="1:16" ht="15" customHeight="1" x14ac:dyDescent="0.25">
      <c r="A245" s="123">
        <v>45833</v>
      </c>
      <c r="B245" t="s">
        <v>398</v>
      </c>
      <c r="C245" t="s">
        <v>399</v>
      </c>
      <c r="D245" t="s">
        <v>227</v>
      </c>
      <c r="E245" t="s">
        <v>396</v>
      </c>
      <c r="F245" t="s">
        <v>184</v>
      </c>
      <c r="G245" t="s">
        <v>646</v>
      </c>
      <c r="H245" s="77">
        <v>11</v>
      </c>
      <c r="I245" s="124">
        <v>120.74</v>
      </c>
      <c r="J245" s="124">
        <v>1328.16</v>
      </c>
      <c r="K245" s="77">
        <v>60</v>
      </c>
      <c r="L245" t="s">
        <v>351</v>
      </c>
      <c r="M245" s="126">
        <v>265.63200000000001</v>
      </c>
      <c r="N245" s="124">
        <v>1328.16</v>
      </c>
      <c r="O245" t="s">
        <v>346</v>
      </c>
      <c r="P245" t="s">
        <v>294</v>
      </c>
    </row>
    <row r="246" spans="1:16" ht="15" customHeight="1" x14ac:dyDescent="0.25">
      <c r="A246" s="123">
        <v>46020</v>
      </c>
      <c r="B246" t="s">
        <v>398</v>
      </c>
      <c r="C246" t="s">
        <v>399</v>
      </c>
      <c r="D246" t="s">
        <v>227</v>
      </c>
      <c r="E246" t="s">
        <v>349</v>
      </c>
      <c r="F246" t="s">
        <v>177</v>
      </c>
      <c r="G246" t="s">
        <v>647</v>
      </c>
      <c r="H246" s="77">
        <v>57</v>
      </c>
      <c r="I246" s="124">
        <v>62.01</v>
      </c>
      <c r="J246" s="124">
        <v>3534.69</v>
      </c>
      <c r="K246" s="77">
        <v>45</v>
      </c>
      <c r="L246" t="s">
        <v>351</v>
      </c>
      <c r="M246" s="126">
        <v>706.93799999999999</v>
      </c>
      <c r="N246" s="124">
        <v>3534.69</v>
      </c>
      <c r="O246" t="s">
        <v>340</v>
      </c>
      <c r="P246" t="s">
        <v>294</v>
      </c>
    </row>
    <row r="247" spans="1:16" ht="15" customHeight="1" x14ac:dyDescent="0.25">
      <c r="A247" s="123">
        <v>45848</v>
      </c>
      <c r="B247" t="s">
        <v>393</v>
      </c>
      <c r="C247" t="s">
        <v>394</v>
      </c>
      <c r="D247" t="s">
        <v>227</v>
      </c>
      <c r="E247" t="s">
        <v>381</v>
      </c>
      <c r="F247" t="s">
        <v>179</v>
      </c>
      <c r="G247" t="s">
        <v>648</v>
      </c>
      <c r="H247" s="77">
        <v>37</v>
      </c>
      <c r="I247" s="124">
        <v>149.75</v>
      </c>
      <c r="J247" s="124">
        <v>5540.83</v>
      </c>
      <c r="K247" s="77">
        <v>45</v>
      </c>
      <c r="L247" t="s">
        <v>345</v>
      </c>
      <c r="M247" s="126">
        <v>1108.1659999999999</v>
      </c>
      <c r="N247" s="124">
        <v>5540.83</v>
      </c>
      <c r="O247" t="s">
        <v>346</v>
      </c>
      <c r="P247" t="s">
        <v>294</v>
      </c>
    </row>
    <row r="248" spans="1:16" ht="15" customHeight="1" x14ac:dyDescent="0.25">
      <c r="A248" s="123">
        <v>45989</v>
      </c>
      <c r="B248" t="s">
        <v>358</v>
      </c>
      <c r="C248" t="s">
        <v>359</v>
      </c>
      <c r="D248" t="s">
        <v>225</v>
      </c>
      <c r="E248" t="s">
        <v>440</v>
      </c>
      <c r="F248" t="s">
        <v>177</v>
      </c>
      <c r="G248" t="s">
        <v>649</v>
      </c>
      <c r="H248" s="77">
        <v>43</v>
      </c>
      <c r="I248" s="124">
        <v>92.41</v>
      </c>
      <c r="J248" s="124">
        <v>3973.78</v>
      </c>
      <c r="K248" s="77">
        <v>30</v>
      </c>
      <c r="L248" t="s">
        <v>345</v>
      </c>
      <c r="M248" s="126">
        <v>794.75599999999997</v>
      </c>
      <c r="N248" s="124">
        <v>3973.78</v>
      </c>
      <c r="O248" t="s">
        <v>346</v>
      </c>
      <c r="P248" t="s">
        <v>294</v>
      </c>
    </row>
    <row r="249" spans="1:16" ht="15" customHeight="1" x14ac:dyDescent="0.25">
      <c r="A249" s="123">
        <v>45787</v>
      </c>
      <c r="B249" t="s">
        <v>431</v>
      </c>
      <c r="C249" t="s">
        <v>432</v>
      </c>
      <c r="D249" t="s">
        <v>221</v>
      </c>
      <c r="E249" t="s">
        <v>234</v>
      </c>
      <c r="F249" t="s">
        <v>183</v>
      </c>
      <c r="G249" t="s">
        <v>650</v>
      </c>
      <c r="H249" s="77">
        <v>78</v>
      </c>
      <c r="I249" s="124">
        <v>209.44</v>
      </c>
      <c r="J249" s="124">
        <v>16336.55</v>
      </c>
      <c r="K249" s="77">
        <v>30</v>
      </c>
      <c r="L249" t="s">
        <v>345</v>
      </c>
      <c r="M249" s="126">
        <v>3267.31</v>
      </c>
      <c r="N249" s="124">
        <v>16336.55</v>
      </c>
      <c r="O249" t="s">
        <v>346</v>
      </c>
      <c r="P249" t="s">
        <v>294</v>
      </c>
    </row>
    <row r="250" spans="1:16" ht="15" customHeight="1" x14ac:dyDescent="0.25">
      <c r="A250" s="123">
        <v>45816</v>
      </c>
      <c r="B250" t="s">
        <v>370</v>
      </c>
      <c r="C250" t="s">
        <v>371</v>
      </c>
      <c r="D250" t="s">
        <v>227</v>
      </c>
      <c r="E250" t="s">
        <v>381</v>
      </c>
      <c r="F250" t="s">
        <v>179</v>
      </c>
      <c r="G250" t="s">
        <v>651</v>
      </c>
      <c r="H250" s="77">
        <v>51</v>
      </c>
      <c r="I250" s="124">
        <v>475.3</v>
      </c>
      <c r="J250" s="124">
        <v>24240.55</v>
      </c>
      <c r="K250" s="77">
        <v>30</v>
      </c>
      <c r="L250" t="s">
        <v>351</v>
      </c>
      <c r="M250" s="126">
        <v>4848.1099999999997</v>
      </c>
      <c r="N250" s="124">
        <v>24240.55</v>
      </c>
      <c r="O250" t="s">
        <v>346</v>
      </c>
      <c r="P250" t="s">
        <v>288</v>
      </c>
    </row>
    <row r="251" spans="1:16" ht="15" customHeight="1" x14ac:dyDescent="0.25">
      <c r="A251" s="123">
        <v>45944</v>
      </c>
      <c r="B251" t="s">
        <v>386</v>
      </c>
      <c r="C251" t="s">
        <v>387</v>
      </c>
      <c r="D251" t="s">
        <v>223</v>
      </c>
      <c r="E251" t="s">
        <v>368</v>
      </c>
      <c r="F251" t="s">
        <v>178</v>
      </c>
      <c r="G251" t="s">
        <v>652</v>
      </c>
      <c r="H251" s="77">
        <v>49</v>
      </c>
      <c r="I251" s="124">
        <v>81.22</v>
      </c>
      <c r="J251" s="124">
        <v>3979.64</v>
      </c>
      <c r="K251" s="77">
        <v>60</v>
      </c>
      <c r="L251" t="s">
        <v>345</v>
      </c>
      <c r="M251" s="126">
        <v>795.928</v>
      </c>
      <c r="N251" s="124">
        <v>3979.64</v>
      </c>
      <c r="O251" t="s">
        <v>346</v>
      </c>
      <c r="P251" t="s">
        <v>294</v>
      </c>
    </row>
    <row r="252" spans="1:16" ht="15" customHeight="1" x14ac:dyDescent="0.25">
      <c r="A252" s="123">
        <v>46001</v>
      </c>
      <c r="B252" t="s">
        <v>393</v>
      </c>
      <c r="C252" t="s">
        <v>394</v>
      </c>
      <c r="D252" t="s">
        <v>227</v>
      </c>
      <c r="E252" t="s">
        <v>343</v>
      </c>
      <c r="F252" t="s">
        <v>178</v>
      </c>
      <c r="G252" t="s">
        <v>651</v>
      </c>
      <c r="H252" s="77">
        <v>55</v>
      </c>
      <c r="I252" s="124">
        <v>32.49</v>
      </c>
      <c r="J252" s="124">
        <v>1786.89</v>
      </c>
      <c r="K252" s="77">
        <v>60</v>
      </c>
      <c r="L252" t="s">
        <v>345</v>
      </c>
      <c r="M252" s="126">
        <v>357.37799999999999</v>
      </c>
      <c r="N252" s="124">
        <v>1786.89</v>
      </c>
      <c r="O252" t="s">
        <v>346</v>
      </c>
      <c r="P252" t="s">
        <v>288</v>
      </c>
    </row>
    <row r="253" spans="1:16" ht="15" customHeight="1" x14ac:dyDescent="0.25">
      <c r="A253" s="123">
        <v>45750</v>
      </c>
      <c r="B253" t="s">
        <v>386</v>
      </c>
      <c r="C253" t="s">
        <v>387</v>
      </c>
      <c r="D253" t="s">
        <v>223</v>
      </c>
      <c r="E253" t="s">
        <v>420</v>
      </c>
      <c r="F253" t="s">
        <v>182</v>
      </c>
      <c r="G253" t="s">
        <v>653</v>
      </c>
      <c r="H253" s="77">
        <v>28</v>
      </c>
      <c r="I253" s="124">
        <v>157.38999999999999</v>
      </c>
      <c r="J253" s="124">
        <v>4406.8100000000004</v>
      </c>
      <c r="K253" s="77">
        <v>45</v>
      </c>
      <c r="L253" t="s">
        <v>345</v>
      </c>
      <c r="M253" s="126">
        <v>881.36199999999997</v>
      </c>
      <c r="N253" s="124">
        <v>4406.8100000000004</v>
      </c>
      <c r="O253" t="s">
        <v>346</v>
      </c>
      <c r="P253" t="s">
        <v>294</v>
      </c>
    </row>
    <row r="254" spans="1:16" ht="15" customHeight="1" x14ac:dyDescent="0.25">
      <c r="A254" s="123">
        <v>45737</v>
      </c>
      <c r="B254" t="s">
        <v>335</v>
      </c>
      <c r="C254" t="s">
        <v>336</v>
      </c>
      <c r="D254" t="s">
        <v>223</v>
      </c>
      <c r="E254" t="s">
        <v>423</v>
      </c>
      <c r="F254" t="s">
        <v>180</v>
      </c>
      <c r="G254" t="s">
        <v>654</v>
      </c>
      <c r="H254" s="77">
        <v>10</v>
      </c>
      <c r="I254" s="124">
        <v>803.23</v>
      </c>
      <c r="J254" s="124">
        <v>8032.35</v>
      </c>
      <c r="K254" s="77">
        <v>45</v>
      </c>
      <c r="L254" t="s">
        <v>339</v>
      </c>
      <c r="M254" s="126">
        <v>1606.47</v>
      </c>
      <c r="N254" s="124">
        <v>8032.35</v>
      </c>
      <c r="O254" t="s">
        <v>346</v>
      </c>
      <c r="P254" t="s">
        <v>294</v>
      </c>
    </row>
    <row r="255" spans="1:16" ht="15" customHeight="1" x14ac:dyDescent="0.25">
      <c r="A255" s="123">
        <v>45830</v>
      </c>
      <c r="B255" t="s">
        <v>393</v>
      </c>
      <c r="C255" t="s">
        <v>394</v>
      </c>
      <c r="D255" t="s">
        <v>227</v>
      </c>
      <c r="E255" t="s">
        <v>440</v>
      </c>
      <c r="F255" t="s">
        <v>177</v>
      </c>
      <c r="G255" t="s">
        <v>655</v>
      </c>
      <c r="H255" s="77">
        <v>80</v>
      </c>
      <c r="I255" s="124">
        <v>211.74</v>
      </c>
      <c r="J255" s="124">
        <v>16939.009999999998</v>
      </c>
      <c r="K255" s="77">
        <v>30</v>
      </c>
      <c r="L255" t="s">
        <v>351</v>
      </c>
      <c r="M255" s="126">
        <v>3387.8020000000001</v>
      </c>
      <c r="N255" s="124">
        <v>16939.009999999998</v>
      </c>
      <c r="O255" t="s">
        <v>346</v>
      </c>
      <c r="P255" t="s">
        <v>294</v>
      </c>
    </row>
    <row r="256" spans="1:16" ht="15" customHeight="1" x14ac:dyDescent="0.25">
      <c r="A256" s="123">
        <v>45750</v>
      </c>
      <c r="B256" t="s">
        <v>347</v>
      </c>
      <c r="C256" t="s">
        <v>348</v>
      </c>
      <c r="D256" t="s">
        <v>223</v>
      </c>
      <c r="E256" t="s">
        <v>442</v>
      </c>
      <c r="F256" t="s">
        <v>179</v>
      </c>
      <c r="G256" t="s">
        <v>656</v>
      </c>
      <c r="H256" s="77">
        <v>80</v>
      </c>
      <c r="I256" s="124">
        <v>78.05</v>
      </c>
      <c r="J256" s="124">
        <v>6243.71</v>
      </c>
      <c r="K256" s="77">
        <v>30</v>
      </c>
      <c r="L256" t="s">
        <v>351</v>
      </c>
      <c r="M256" s="126">
        <v>1248.742</v>
      </c>
      <c r="N256" s="124">
        <v>6243.71</v>
      </c>
      <c r="O256" t="s">
        <v>340</v>
      </c>
      <c r="P256" t="s">
        <v>294</v>
      </c>
    </row>
    <row r="257" spans="1:16" ht="15" customHeight="1" x14ac:dyDescent="0.25">
      <c r="A257" s="123">
        <v>45844</v>
      </c>
      <c r="B257" t="s">
        <v>488</v>
      </c>
      <c r="C257" t="s">
        <v>489</v>
      </c>
      <c r="D257" t="s">
        <v>225</v>
      </c>
      <c r="E257" t="s">
        <v>496</v>
      </c>
      <c r="F257" t="s">
        <v>177</v>
      </c>
      <c r="G257" t="s">
        <v>657</v>
      </c>
      <c r="H257" s="77">
        <v>31</v>
      </c>
      <c r="I257" s="124">
        <v>91.94</v>
      </c>
      <c r="J257" s="124">
        <v>2850.22</v>
      </c>
      <c r="K257" s="77">
        <v>45</v>
      </c>
      <c r="L257" t="s">
        <v>351</v>
      </c>
      <c r="M257" s="126">
        <v>570.04399999999998</v>
      </c>
      <c r="N257" s="124">
        <v>2850.22</v>
      </c>
      <c r="O257" t="s">
        <v>346</v>
      </c>
      <c r="P257" t="s">
        <v>294</v>
      </c>
    </row>
    <row r="258" spans="1:16" ht="15" customHeight="1" x14ac:dyDescent="0.25">
      <c r="A258" s="123">
        <v>45931</v>
      </c>
      <c r="B258" t="s">
        <v>390</v>
      </c>
      <c r="C258" t="s">
        <v>391</v>
      </c>
      <c r="D258" t="s">
        <v>221</v>
      </c>
      <c r="E258" t="s">
        <v>396</v>
      </c>
      <c r="F258" t="s">
        <v>184</v>
      </c>
      <c r="G258" t="s">
        <v>658</v>
      </c>
      <c r="H258" s="77">
        <v>31</v>
      </c>
      <c r="I258" s="124">
        <v>150.55000000000001</v>
      </c>
      <c r="J258" s="124">
        <v>4667.0200000000004</v>
      </c>
      <c r="K258" s="77">
        <v>45</v>
      </c>
      <c r="L258" t="s">
        <v>345</v>
      </c>
      <c r="M258" s="126">
        <v>933.404</v>
      </c>
      <c r="N258" s="124">
        <v>4667.0200000000004</v>
      </c>
      <c r="O258" t="s">
        <v>346</v>
      </c>
      <c r="P258" t="s">
        <v>294</v>
      </c>
    </row>
    <row r="259" spans="1:16" ht="15" customHeight="1" x14ac:dyDescent="0.25">
      <c r="A259" s="123">
        <v>45950</v>
      </c>
      <c r="B259" t="s">
        <v>354</v>
      </c>
      <c r="C259" t="s">
        <v>355</v>
      </c>
      <c r="D259" t="s">
        <v>227</v>
      </c>
      <c r="E259" t="s">
        <v>364</v>
      </c>
      <c r="F259" t="s">
        <v>182</v>
      </c>
      <c r="G259" t="s">
        <v>659</v>
      </c>
      <c r="H259" s="77">
        <v>57</v>
      </c>
      <c r="I259" s="124">
        <v>64.37</v>
      </c>
      <c r="J259" s="124">
        <v>3669.13</v>
      </c>
      <c r="K259" s="77">
        <v>45</v>
      </c>
      <c r="L259" t="s">
        <v>345</v>
      </c>
      <c r="M259" s="126">
        <v>733.82600000000002</v>
      </c>
      <c r="N259" s="124">
        <v>3669.13</v>
      </c>
      <c r="O259" t="s">
        <v>346</v>
      </c>
      <c r="P259" t="s">
        <v>294</v>
      </c>
    </row>
    <row r="260" spans="1:16" ht="15" customHeight="1" x14ac:dyDescent="0.25">
      <c r="A260" s="123">
        <v>45760</v>
      </c>
      <c r="B260" t="s">
        <v>370</v>
      </c>
      <c r="C260" t="s">
        <v>371</v>
      </c>
      <c r="D260" t="s">
        <v>227</v>
      </c>
      <c r="E260" t="s">
        <v>235</v>
      </c>
      <c r="F260" t="s">
        <v>183</v>
      </c>
      <c r="G260" t="s">
        <v>660</v>
      </c>
      <c r="H260" s="77">
        <v>78</v>
      </c>
      <c r="I260" s="124">
        <v>382.94</v>
      </c>
      <c r="J260" s="124">
        <v>29869.46</v>
      </c>
      <c r="K260" s="77">
        <v>30</v>
      </c>
      <c r="L260" t="s">
        <v>345</v>
      </c>
      <c r="M260" s="126">
        <v>5973.8919999999998</v>
      </c>
      <c r="N260" s="124">
        <v>29869.46</v>
      </c>
      <c r="O260" t="s">
        <v>346</v>
      </c>
      <c r="P260" t="s">
        <v>294</v>
      </c>
    </row>
    <row r="261" spans="1:16" ht="15" customHeight="1" x14ac:dyDescent="0.25">
      <c r="A261" s="123">
        <v>45941</v>
      </c>
      <c r="B261" t="s">
        <v>393</v>
      </c>
      <c r="C261" t="s">
        <v>394</v>
      </c>
      <c r="D261" t="s">
        <v>227</v>
      </c>
      <c r="E261" t="s">
        <v>427</v>
      </c>
      <c r="F261" t="s">
        <v>184</v>
      </c>
      <c r="G261" t="s">
        <v>661</v>
      </c>
      <c r="H261" s="77">
        <v>14</v>
      </c>
      <c r="I261" s="124">
        <v>114.84</v>
      </c>
      <c r="J261" s="124">
        <v>1607.76</v>
      </c>
      <c r="K261" s="77">
        <v>60</v>
      </c>
      <c r="L261" t="s">
        <v>351</v>
      </c>
      <c r="M261" s="126">
        <v>321.55200000000002</v>
      </c>
      <c r="N261" s="124">
        <v>1607.76</v>
      </c>
      <c r="O261" t="s">
        <v>346</v>
      </c>
      <c r="P261" t="s">
        <v>294</v>
      </c>
    </row>
    <row r="262" spans="1:16" ht="15" customHeight="1" x14ac:dyDescent="0.25">
      <c r="A262" s="123">
        <v>45740</v>
      </c>
      <c r="B262" t="s">
        <v>393</v>
      </c>
      <c r="C262" t="s">
        <v>394</v>
      </c>
      <c r="D262" t="s">
        <v>227</v>
      </c>
      <c r="E262" t="s">
        <v>356</v>
      </c>
      <c r="F262" t="s">
        <v>181</v>
      </c>
      <c r="G262" t="s">
        <v>662</v>
      </c>
      <c r="H262" s="77">
        <v>35</v>
      </c>
      <c r="I262" s="124">
        <v>132.13</v>
      </c>
      <c r="J262" s="124">
        <v>4624.6899999999996</v>
      </c>
      <c r="K262" s="77">
        <v>45</v>
      </c>
      <c r="L262" t="s">
        <v>351</v>
      </c>
      <c r="M262" s="126">
        <v>924.93799999999999</v>
      </c>
      <c r="N262" s="124">
        <v>4624.6899999999996</v>
      </c>
      <c r="O262" t="s">
        <v>340</v>
      </c>
      <c r="P262" t="s">
        <v>294</v>
      </c>
    </row>
    <row r="263" spans="1:16" ht="15" customHeight="1" x14ac:dyDescent="0.25">
      <c r="A263" s="123">
        <v>45771</v>
      </c>
      <c r="B263" t="s">
        <v>370</v>
      </c>
      <c r="C263" t="s">
        <v>371</v>
      </c>
      <c r="D263" t="s">
        <v>227</v>
      </c>
      <c r="E263" t="s">
        <v>235</v>
      </c>
      <c r="F263" t="s">
        <v>183</v>
      </c>
      <c r="G263" t="s">
        <v>663</v>
      </c>
      <c r="H263" s="77">
        <v>58</v>
      </c>
      <c r="I263" s="124">
        <v>290.33999999999997</v>
      </c>
      <c r="J263" s="124">
        <v>16839.57</v>
      </c>
      <c r="K263" s="77">
        <v>45</v>
      </c>
      <c r="L263" t="s">
        <v>339</v>
      </c>
      <c r="M263" s="126">
        <v>3367.9140000000002</v>
      </c>
      <c r="N263" s="124">
        <v>16839.57</v>
      </c>
      <c r="O263" t="s">
        <v>346</v>
      </c>
      <c r="P263" t="s">
        <v>294</v>
      </c>
    </row>
    <row r="264" spans="1:16" ht="15" customHeight="1" x14ac:dyDescent="0.25">
      <c r="A264" s="123">
        <v>45915</v>
      </c>
      <c r="B264" t="s">
        <v>370</v>
      </c>
      <c r="C264" t="s">
        <v>371</v>
      </c>
      <c r="D264" t="s">
        <v>227</v>
      </c>
      <c r="E264" t="s">
        <v>496</v>
      </c>
      <c r="F264" t="s">
        <v>177</v>
      </c>
      <c r="G264" t="s">
        <v>664</v>
      </c>
      <c r="H264" s="77">
        <v>48</v>
      </c>
      <c r="I264" s="124">
        <v>20.18</v>
      </c>
      <c r="J264" s="124">
        <v>968.74</v>
      </c>
      <c r="K264" s="77">
        <v>30</v>
      </c>
      <c r="L264" t="s">
        <v>345</v>
      </c>
      <c r="M264" s="126">
        <v>193.74799999999999</v>
      </c>
      <c r="N264" s="124">
        <v>968.74</v>
      </c>
      <c r="O264" t="s">
        <v>346</v>
      </c>
      <c r="P264" t="s">
        <v>294</v>
      </c>
    </row>
    <row r="265" spans="1:16" ht="15" customHeight="1" x14ac:dyDescent="0.25">
      <c r="A265" s="123">
        <v>45672</v>
      </c>
      <c r="B265" t="s">
        <v>354</v>
      </c>
      <c r="C265" t="s">
        <v>355</v>
      </c>
      <c r="D265" t="s">
        <v>227</v>
      </c>
      <c r="E265" t="s">
        <v>376</v>
      </c>
      <c r="F265" t="s">
        <v>182</v>
      </c>
      <c r="G265" t="s">
        <v>665</v>
      </c>
      <c r="H265" s="77">
        <v>41</v>
      </c>
      <c r="I265" s="124">
        <v>54.08</v>
      </c>
      <c r="J265" s="124">
        <v>2217.2800000000002</v>
      </c>
      <c r="K265" s="77">
        <v>30</v>
      </c>
      <c r="L265" t="s">
        <v>351</v>
      </c>
      <c r="M265" s="126">
        <v>443.45600000000002</v>
      </c>
      <c r="N265" s="124">
        <v>2217.2800000000002</v>
      </c>
      <c r="O265" t="s">
        <v>340</v>
      </c>
      <c r="P265" t="s">
        <v>294</v>
      </c>
    </row>
    <row r="266" spans="1:16" ht="15" customHeight="1" x14ac:dyDescent="0.25">
      <c r="A266" s="123">
        <v>45728</v>
      </c>
      <c r="B266" t="s">
        <v>347</v>
      </c>
      <c r="C266" t="s">
        <v>348</v>
      </c>
      <c r="D266" t="s">
        <v>223</v>
      </c>
      <c r="E266" t="s">
        <v>376</v>
      </c>
      <c r="F266" t="s">
        <v>182</v>
      </c>
      <c r="G266" t="s">
        <v>666</v>
      </c>
      <c r="H266" s="77">
        <v>5</v>
      </c>
      <c r="I266" s="124">
        <v>82.68</v>
      </c>
      <c r="J266" s="124">
        <v>413.39</v>
      </c>
      <c r="K266" s="77">
        <v>45</v>
      </c>
      <c r="L266" t="s">
        <v>345</v>
      </c>
      <c r="M266" s="126">
        <v>82.677999999999997</v>
      </c>
      <c r="N266" s="124">
        <v>413.39</v>
      </c>
      <c r="O266" t="s">
        <v>340</v>
      </c>
      <c r="P266" t="s">
        <v>294</v>
      </c>
    </row>
    <row r="267" spans="1:16" ht="15" customHeight="1" x14ac:dyDescent="0.25">
      <c r="A267" s="123">
        <v>45898</v>
      </c>
      <c r="B267" t="s">
        <v>390</v>
      </c>
      <c r="C267" t="s">
        <v>391</v>
      </c>
      <c r="D267" t="s">
        <v>221</v>
      </c>
      <c r="E267" t="s">
        <v>412</v>
      </c>
      <c r="F267" t="s">
        <v>179</v>
      </c>
      <c r="G267" t="s">
        <v>667</v>
      </c>
      <c r="H267" s="77">
        <v>58</v>
      </c>
      <c r="I267" s="124">
        <v>90.62</v>
      </c>
      <c r="J267" s="124">
        <v>5255.97</v>
      </c>
      <c r="K267" s="77">
        <v>60</v>
      </c>
      <c r="L267" t="s">
        <v>339</v>
      </c>
      <c r="M267" s="126">
        <v>1051.194</v>
      </c>
      <c r="N267" s="124">
        <v>5255.97</v>
      </c>
      <c r="O267" t="s">
        <v>346</v>
      </c>
      <c r="P267" t="s">
        <v>294</v>
      </c>
    </row>
    <row r="268" spans="1:16" ht="15" customHeight="1" x14ac:dyDescent="0.25">
      <c r="A268" s="123">
        <v>45768</v>
      </c>
      <c r="B268" t="s">
        <v>383</v>
      </c>
      <c r="C268" t="s">
        <v>384</v>
      </c>
      <c r="D268" t="s">
        <v>225</v>
      </c>
      <c r="E268" t="s">
        <v>496</v>
      </c>
      <c r="F268" t="s">
        <v>177</v>
      </c>
      <c r="G268" t="s">
        <v>668</v>
      </c>
      <c r="H268" s="77">
        <v>20</v>
      </c>
      <c r="I268" s="124">
        <v>294.51</v>
      </c>
      <c r="J268" s="124">
        <v>5890.23</v>
      </c>
      <c r="K268" s="77">
        <v>60</v>
      </c>
      <c r="L268" t="s">
        <v>351</v>
      </c>
      <c r="M268" s="126">
        <v>1178.046</v>
      </c>
      <c r="N268" s="124">
        <v>5890.23</v>
      </c>
      <c r="O268" t="s">
        <v>346</v>
      </c>
      <c r="P268" t="s">
        <v>294</v>
      </c>
    </row>
    <row r="269" spans="1:16" ht="15" customHeight="1" x14ac:dyDescent="0.25">
      <c r="A269" s="123">
        <v>45805</v>
      </c>
      <c r="B269" t="s">
        <v>409</v>
      </c>
      <c r="C269" t="s">
        <v>410</v>
      </c>
      <c r="D269" t="s">
        <v>223</v>
      </c>
      <c r="E269" t="s">
        <v>235</v>
      </c>
      <c r="F269" t="s">
        <v>183</v>
      </c>
      <c r="G269" t="s">
        <v>669</v>
      </c>
      <c r="H269" s="77">
        <v>31</v>
      </c>
      <c r="I269" s="124">
        <v>136.62</v>
      </c>
      <c r="J269" s="124">
        <v>4235.2299999999996</v>
      </c>
      <c r="K269" s="77">
        <v>45</v>
      </c>
      <c r="L269" t="s">
        <v>339</v>
      </c>
      <c r="M269" s="126">
        <v>847.04600000000005</v>
      </c>
      <c r="N269" s="124">
        <v>4235.2299999999996</v>
      </c>
      <c r="O269" t="s">
        <v>346</v>
      </c>
      <c r="P269" t="s">
        <v>294</v>
      </c>
    </row>
    <row r="270" spans="1:16" ht="15" customHeight="1" x14ac:dyDescent="0.25">
      <c r="A270" s="123">
        <v>45985</v>
      </c>
      <c r="B270" t="s">
        <v>341</v>
      </c>
      <c r="C270" t="s">
        <v>342</v>
      </c>
      <c r="D270" t="s">
        <v>223</v>
      </c>
      <c r="E270" t="s">
        <v>360</v>
      </c>
      <c r="F270" t="s">
        <v>180</v>
      </c>
      <c r="G270" t="s">
        <v>670</v>
      </c>
      <c r="H270" s="77">
        <v>80</v>
      </c>
      <c r="I270" s="124">
        <v>196.26</v>
      </c>
      <c r="J270" s="124">
        <v>15700.74</v>
      </c>
      <c r="K270" s="77">
        <v>45</v>
      </c>
      <c r="L270" t="s">
        <v>339</v>
      </c>
      <c r="M270" s="126">
        <v>3140.1480000000001</v>
      </c>
      <c r="N270" s="124">
        <v>15700.74</v>
      </c>
      <c r="O270" t="s">
        <v>346</v>
      </c>
      <c r="P270" t="s">
        <v>294</v>
      </c>
    </row>
    <row r="271" spans="1:16" ht="15" customHeight="1" x14ac:dyDescent="0.25">
      <c r="A271" s="123">
        <v>45932</v>
      </c>
      <c r="B271" t="s">
        <v>386</v>
      </c>
      <c r="C271" t="s">
        <v>387</v>
      </c>
      <c r="D271" t="s">
        <v>223</v>
      </c>
      <c r="E271" t="s">
        <v>417</v>
      </c>
      <c r="F271" t="s">
        <v>184</v>
      </c>
      <c r="G271" t="s">
        <v>671</v>
      </c>
      <c r="H271" s="77">
        <v>3</v>
      </c>
      <c r="I271" s="124">
        <v>80.59</v>
      </c>
      <c r="J271" s="124">
        <v>241.78</v>
      </c>
      <c r="K271" s="77">
        <v>60</v>
      </c>
      <c r="L271" t="s">
        <v>351</v>
      </c>
      <c r="M271" s="126">
        <v>48.356000000000002</v>
      </c>
      <c r="N271" s="124">
        <v>241.78</v>
      </c>
      <c r="O271" t="s">
        <v>346</v>
      </c>
      <c r="P271" t="s">
        <v>294</v>
      </c>
    </row>
    <row r="272" spans="1:16" ht="15" customHeight="1" x14ac:dyDescent="0.25">
      <c r="A272" s="123">
        <v>45731</v>
      </c>
      <c r="B272" t="s">
        <v>370</v>
      </c>
      <c r="C272" t="s">
        <v>371</v>
      </c>
      <c r="D272" t="s">
        <v>227</v>
      </c>
      <c r="E272" t="s">
        <v>352</v>
      </c>
      <c r="F272" t="s">
        <v>180</v>
      </c>
      <c r="G272" t="s">
        <v>672</v>
      </c>
      <c r="H272" s="77">
        <v>38</v>
      </c>
      <c r="I272" s="124">
        <v>552.34</v>
      </c>
      <c r="J272" s="124">
        <v>20988.87</v>
      </c>
      <c r="K272" s="77">
        <v>45</v>
      </c>
      <c r="L272" t="s">
        <v>339</v>
      </c>
      <c r="M272" s="126">
        <v>4197.7740000000003</v>
      </c>
      <c r="N272" s="124">
        <v>20988.87</v>
      </c>
      <c r="O272" t="s">
        <v>346</v>
      </c>
      <c r="P272" t="s">
        <v>294</v>
      </c>
    </row>
    <row r="273" spans="1:16" ht="15" customHeight="1" x14ac:dyDescent="0.25">
      <c r="A273" s="123">
        <v>45950</v>
      </c>
      <c r="B273" t="s">
        <v>488</v>
      </c>
      <c r="C273" t="s">
        <v>489</v>
      </c>
      <c r="D273" t="s">
        <v>225</v>
      </c>
      <c r="E273" t="s">
        <v>376</v>
      </c>
      <c r="F273" t="s">
        <v>182</v>
      </c>
      <c r="G273" t="s">
        <v>673</v>
      </c>
      <c r="H273" s="77">
        <v>54</v>
      </c>
      <c r="I273" s="124">
        <v>43.13</v>
      </c>
      <c r="J273" s="124">
        <v>2328.87</v>
      </c>
      <c r="K273" s="77">
        <v>30</v>
      </c>
      <c r="L273" t="s">
        <v>351</v>
      </c>
      <c r="M273" s="126">
        <v>465.774</v>
      </c>
      <c r="N273" s="124">
        <v>2328.87</v>
      </c>
      <c r="O273" t="s">
        <v>340</v>
      </c>
      <c r="P273" t="s">
        <v>294</v>
      </c>
    </row>
    <row r="274" spans="1:16" ht="15" customHeight="1" x14ac:dyDescent="0.25">
      <c r="A274" s="123">
        <v>45842</v>
      </c>
      <c r="B274" t="s">
        <v>383</v>
      </c>
      <c r="C274" t="s">
        <v>384</v>
      </c>
      <c r="D274" t="s">
        <v>225</v>
      </c>
      <c r="E274" t="s">
        <v>343</v>
      </c>
      <c r="F274" t="s">
        <v>178</v>
      </c>
      <c r="G274" t="s">
        <v>674</v>
      </c>
      <c r="H274" s="77">
        <v>9</v>
      </c>
      <c r="I274" s="124">
        <v>123.24</v>
      </c>
      <c r="J274" s="124">
        <v>1109.1500000000001</v>
      </c>
      <c r="K274" s="77">
        <v>60</v>
      </c>
      <c r="L274" t="s">
        <v>351</v>
      </c>
      <c r="M274" s="126">
        <v>221.83</v>
      </c>
      <c r="N274" s="124">
        <v>1109.1500000000001</v>
      </c>
      <c r="O274" t="s">
        <v>346</v>
      </c>
      <c r="P274" t="s">
        <v>294</v>
      </c>
    </row>
    <row r="275" spans="1:16" ht="15" customHeight="1" x14ac:dyDescent="0.25">
      <c r="A275" s="123">
        <v>45898</v>
      </c>
      <c r="B275" t="s">
        <v>335</v>
      </c>
      <c r="C275" t="s">
        <v>336</v>
      </c>
      <c r="D275" t="s">
        <v>223</v>
      </c>
      <c r="E275" t="s">
        <v>496</v>
      </c>
      <c r="F275" t="s">
        <v>177</v>
      </c>
      <c r="G275" t="s">
        <v>675</v>
      </c>
      <c r="H275" s="77">
        <v>6</v>
      </c>
      <c r="I275" s="124">
        <v>120.68</v>
      </c>
      <c r="J275" s="124">
        <v>724.06</v>
      </c>
      <c r="K275" s="77">
        <v>60</v>
      </c>
      <c r="L275" t="s">
        <v>345</v>
      </c>
      <c r="M275" s="126">
        <v>144.81200000000001</v>
      </c>
      <c r="N275" s="124">
        <v>724.06</v>
      </c>
      <c r="O275" t="s">
        <v>346</v>
      </c>
      <c r="P275" t="s">
        <v>294</v>
      </c>
    </row>
    <row r="276" spans="1:16" ht="15" customHeight="1" x14ac:dyDescent="0.25">
      <c r="A276" s="123">
        <v>45666</v>
      </c>
      <c r="B276" t="s">
        <v>378</v>
      </c>
      <c r="C276" t="s">
        <v>379</v>
      </c>
      <c r="D276" t="s">
        <v>227</v>
      </c>
      <c r="E276" t="s">
        <v>676</v>
      </c>
      <c r="F276" t="s">
        <v>181</v>
      </c>
      <c r="G276" t="s">
        <v>677</v>
      </c>
      <c r="H276" s="77">
        <v>46</v>
      </c>
      <c r="I276" s="124">
        <v>128.22999999999999</v>
      </c>
      <c r="J276" s="124">
        <v>5898.42</v>
      </c>
      <c r="K276" s="77">
        <v>30</v>
      </c>
      <c r="L276" t="s">
        <v>345</v>
      </c>
      <c r="M276" s="126">
        <v>1179.684</v>
      </c>
      <c r="N276" s="124">
        <v>5898.42</v>
      </c>
      <c r="O276" t="s">
        <v>346</v>
      </c>
      <c r="P276" t="s">
        <v>294</v>
      </c>
    </row>
    <row r="277" spans="1:16" ht="15" customHeight="1" x14ac:dyDescent="0.25">
      <c r="A277" s="123">
        <v>45828</v>
      </c>
      <c r="B277" t="s">
        <v>354</v>
      </c>
      <c r="C277" t="s">
        <v>355</v>
      </c>
      <c r="D277" t="s">
        <v>227</v>
      </c>
      <c r="E277" t="s">
        <v>343</v>
      </c>
      <c r="F277" t="s">
        <v>178</v>
      </c>
      <c r="G277" t="s">
        <v>678</v>
      </c>
      <c r="H277" s="77">
        <v>18</v>
      </c>
      <c r="I277" s="124">
        <v>83.81</v>
      </c>
      <c r="J277" s="124">
        <v>1508.57</v>
      </c>
      <c r="K277" s="77">
        <v>30</v>
      </c>
      <c r="L277" t="s">
        <v>345</v>
      </c>
      <c r="M277" s="126">
        <v>301.714</v>
      </c>
      <c r="N277" s="124">
        <v>1508.57</v>
      </c>
      <c r="O277" t="s">
        <v>346</v>
      </c>
      <c r="P277" t="s">
        <v>294</v>
      </c>
    </row>
    <row r="278" spans="1:16" ht="15" customHeight="1" x14ac:dyDescent="0.25">
      <c r="A278" s="123">
        <v>45747</v>
      </c>
      <c r="B278" t="s">
        <v>358</v>
      </c>
      <c r="C278" t="s">
        <v>359</v>
      </c>
      <c r="D278" t="s">
        <v>225</v>
      </c>
      <c r="E278" t="s">
        <v>364</v>
      </c>
      <c r="F278" t="s">
        <v>182</v>
      </c>
      <c r="G278" t="s">
        <v>679</v>
      </c>
      <c r="H278" s="77">
        <v>60</v>
      </c>
      <c r="I278" s="124">
        <v>105.99</v>
      </c>
      <c r="J278" s="124">
        <v>6359.5</v>
      </c>
      <c r="K278" s="77">
        <v>60</v>
      </c>
      <c r="L278" t="s">
        <v>345</v>
      </c>
      <c r="M278" s="126">
        <v>1271.9000000000001</v>
      </c>
      <c r="N278" s="124">
        <v>6359.5</v>
      </c>
      <c r="O278" t="s">
        <v>346</v>
      </c>
      <c r="P278" t="s">
        <v>294</v>
      </c>
    </row>
    <row r="279" spans="1:16" ht="15" customHeight="1" x14ac:dyDescent="0.25">
      <c r="A279" s="123">
        <v>45690</v>
      </c>
      <c r="B279" t="s">
        <v>386</v>
      </c>
      <c r="C279" t="s">
        <v>387</v>
      </c>
      <c r="D279" t="s">
        <v>223</v>
      </c>
      <c r="E279" t="s">
        <v>442</v>
      </c>
      <c r="F279" t="s">
        <v>179</v>
      </c>
      <c r="G279" t="s">
        <v>680</v>
      </c>
      <c r="H279" s="77">
        <v>59</v>
      </c>
      <c r="I279" s="124">
        <v>129.38999999999999</v>
      </c>
      <c r="J279" s="124">
        <v>7634.06</v>
      </c>
      <c r="K279" s="77">
        <v>30</v>
      </c>
      <c r="L279" t="s">
        <v>345</v>
      </c>
      <c r="M279" s="126">
        <v>1526.8119999999999</v>
      </c>
      <c r="N279" s="124">
        <v>7634.06</v>
      </c>
      <c r="O279" t="s">
        <v>340</v>
      </c>
      <c r="P279" t="s">
        <v>294</v>
      </c>
    </row>
    <row r="280" spans="1:16" ht="15" customHeight="1" x14ac:dyDescent="0.25">
      <c r="A280" s="123">
        <v>45679</v>
      </c>
      <c r="B280" t="s">
        <v>383</v>
      </c>
      <c r="C280" t="s">
        <v>384</v>
      </c>
      <c r="D280" t="s">
        <v>225</v>
      </c>
      <c r="E280" t="s">
        <v>349</v>
      </c>
      <c r="F280" t="s">
        <v>177</v>
      </c>
      <c r="G280" t="s">
        <v>681</v>
      </c>
      <c r="H280" s="77">
        <v>41</v>
      </c>
      <c r="I280" s="124">
        <v>124.7</v>
      </c>
      <c r="J280" s="124">
        <v>5112.5600000000004</v>
      </c>
      <c r="K280" s="77">
        <v>45</v>
      </c>
      <c r="L280" t="s">
        <v>351</v>
      </c>
      <c r="M280" s="126">
        <v>1022.5119999999999</v>
      </c>
      <c r="N280" s="124">
        <v>5112.5600000000004</v>
      </c>
      <c r="O280" t="s">
        <v>340</v>
      </c>
      <c r="P280" t="s">
        <v>294</v>
      </c>
    </row>
    <row r="281" spans="1:16" ht="15" customHeight="1" x14ac:dyDescent="0.25">
      <c r="A281" s="123">
        <v>45676</v>
      </c>
      <c r="B281" t="s">
        <v>370</v>
      </c>
      <c r="C281" t="s">
        <v>371</v>
      </c>
      <c r="D281" t="s">
        <v>227</v>
      </c>
      <c r="E281" t="s">
        <v>427</v>
      </c>
      <c r="F281" t="s">
        <v>184</v>
      </c>
      <c r="G281" t="s">
        <v>682</v>
      </c>
      <c r="H281" s="77">
        <v>25</v>
      </c>
      <c r="I281" s="124">
        <v>60.68</v>
      </c>
      <c r="J281" s="124">
        <v>1516.93</v>
      </c>
      <c r="K281" s="77">
        <v>45</v>
      </c>
      <c r="L281" t="s">
        <v>345</v>
      </c>
      <c r="M281" s="126">
        <v>303.38600000000002</v>
      </c>
      <c r="N281" s="124">
        <v>1516.93</v>
      </c>
      <c r="O281" t="s">
        <v>346</v>
      </c>
      <c r="P281" t="s">
        <v>294</v>
      </c>
    </row>
    <row r="282" spans="1:16" ht="15" customHeight="1" x14ac:dyDescent="0.25">
      <c r="A282" s="123">
        <v>45721</v>
      </c>
      <c r="B282" t="s">
        <v>386</v>
      </c>
      <c r="C282" t="s">
        <v>387</v>
      </c>
      <c r="D282" t="s">
        <v>223</v>
      </c>
      <c r="E282" t="s">
        <v>420</v>
      </c>
      <c r="F282" t="s">
        <v>182</v>
      </c>
      <c r="G282" t="s">
        <v>683</v>
      </c>
      <c r="H282" s="77">
        <v>48</v>
      </c>
      <c r="I282" s="124">
        <v>101.12</v>
      </c>
      <c r="J282" s="124">
        <v>4853.78</v>
      </c>
      <c r="K282" s="77">
        <v>45</v>
      </c>
      <c r="L282" t="s">
        <v>345</v>
      </c>
      <c r="M282" s="126">
        <v>970.75599999999997</v>
      </c>
      <c r="N282" s="124">
        <v>4853.78</v>
      </c>
      <c r="O282" t="s">
        <v>346</v>
      </c>
      <c r="P282" t="s">
        <v>294</v>
      </c>
    </row>
    <row r="283" spans="1:16" ht="15" customHeight="1" x14ac:dyDescent="0.25">
      <c r="A283" s="123">
        <v>45831</v>
      </c>
      <c r="B283" t="s">
        <v>393</v>
      </c>
      <c r="C283" t="s">
        <v>394</v>
      </c>
      <c r="D283" t="s">
        <v>227</v>
      </c>
      <c r="E283" t="s">
        <v>427</v>
      </c>
      <c r="F283" t="s">
        <v>184</v>
      </c>
      <c r="G283" t="s">
        <v>684</v>
      </c>
      <c r="H283" s="77">
        <v>24</v>
      </c>
      <c r="I283" s="124">
        <v>107.95</v>
      </c>
      <c r="J283" s="124">
        <v>2590.7800000000002</v>
      </c>
      <c r="K283" s="77">
        <v>45</v>
      </c>
      <c r="L283" t="s">
        <v>351</v>
      </c>
      <c r="M283" s="126">
        <v>518.15599999999995</v>
      </c>
      <c r="N283" s="124">
        <v>2590.7800000000002</v>
      </c>
      <c r="O283" t="s">
        <v>346</v>
      </c>
      <c r="P283" t="s">
        <v>294</v>
      </c>
    </row>
    <row r="284" spans="1:16" ht="15" customHeight="1" x14ac:dyDescent="0.25">
      <c r="A284" s="123">
        <v>45794</v>
      </c>
      <c r="B284" t="s">
        <v>378</v>
      </c>
      <c r="C284" t="s">
        <v>379</v>
      </c>
      <c r="D284" t="s">
        <v>227</v>
      </c>
      <c r="E284" t="s">
        <v>364</v>
      </c>
      <c r="F284" t="s">
        <v>182</v>
      </c>
      <c r="G284" t="s">
        <v>685</v>
      </c>
      <c r="H284" s="77">
        <v>11</v>
      </c>
      <c r="I284" s="124">
        <v>227.28</v>
      </c>
      <c r="J284" s="124">
        <v>2500.09</v>
      </c>
      <c r="K284" s="77">
        <v>60</v>
      </c>
      <c r="L284" t="s">
        <v>345</v>
      </c>
      <c r="M284" s="126">
        <v>500.01799999999997</v>
      </c>
      <c r="N284" s="124">
        <v>2500.09</v>
      </c>
      <c r="O284" t="s">
        <v>346</v>
      </c>
      <c r="P284" t="s">
        <v>294</v>
      </c>
    </row>
    <row r="285" spans="1:16" ht="15" customHeight="1" x14ac:dyDescent="0.25">
      <c r="A285" s="123">
        <v>45750</v>
      </c>
      <c r="B285" t="s">
        <v>406</v>
      </c>
      <c r="C285" t="s">
        <v>407</v>
      </c>
      <c r="D285" t="s">
        <v>225</v>
      </c>
      <c r="E285" t="s">
        <v>236</v>
      </c>
      <c r="F285" t="s">
        <v>183</v>
      </c>
      <c r="G285" t="s">
        <v>686</v>
      </c>
      <c r="H285" s="77">
        <v>70</v>
      </c>
      <c r="I285" s="124">
        <v>151.86000000000001</v>
      </c>
      <c r="J285" s="124">
        <v>10630.46</v>
      </c>
      <c r="K285" s="77">
        <v>45</v>
      </c>
      <c r="L285" t="s">
        <v>345</v>
      </c>
      <c r="M285" s="126">
        <v>2126.0920000000001</v>
      </c>
      <c r="N285" s="124">
        <v>10630.46</v>
      </c>
      <c r="O285" t="s">
        <v>346</v>
      </c>
      <c r="P285" t="s">
        <v>294</v>
      </c>
    </row>
    <row r="286" spans="1:16" ht="15" customHeight="1" x14ac:dyDescent="0.25">
      <c r="A286" s="123">
        <v>45996</v>
      </c>
      <c r="B286" t="s">
        <v>390</v>
      </c>
      <c r="C286" t="s">
        <v>391</v>
      </c>
      <c r="D286" t="s">
        <v>221</v>
      </c>
      <c r="E286" t="s">
        <v>368</v>
      </c>
      <c r="F286" t="s">
        <v>178</v>
      </c>
      <c r="G286" t="s">
        <v>687</v>
      </c>
      <c r="H286" s="77">
        <v>38</v>
      </c>
      <c r="I286" s="124">
        <v>210.09</v>
      </c>
      <c r="J286" s="124">
        <v>7983.58</v>
      </c>
      <c r="K286" s="77">
        <v>45</v>
      </c>
      <c r="L286" t="s">
        <v>345</v>
      </c>
      <c r="M286" s="126">
        <v>1596.7159999999999</v>
      </c>
      <c r="N286" s="124">
        <v>7983.58</v>
      </c>
      <c r="O286" t="s">
        <v>346</v>
      </c>
      <c r="P286" t="s">
        <v>294</v>
      </c>
    </row>
    <row r="287" spans="1:16" ht="15" customHeight="1" x14ac:dyDescent="0.25">
      <c r="A287" s="123">
        <v>46011</v>
      </c>
      <c r="B287" t="s">
        <v>406</v>
      </c>
      <c r="C287" t="s">
        <v>407</v>
      </c>
      <c r="D287" t="s">
        <v>225</v>
      </c>
      <c r="E287" t="s">
        <v>235</v>
      </c>
      <c r="F287" t="s">
        <v>183</v>
      </c>
      <c r="G287" t="s">
        <v>688</v>
      </c>
      <c r="H287" s="77">
        <v>57</v>
      </c>
      <c r="I287" s="124">
        <v>102.53</v>
      </c>
      <c r="J287" s="124">
        <v>5844.09</v>
      </c>
      <c r="K287" s="77">
        <v>45</v>
      </c>
      <c r="L287" t="s">
        <v>345</v>
      </c>
      <c r="M287" s="126">
        <v>1168.818</v>
      </c>
      <c r="N287" s="124">
        <v>5844.09</v>
      </c>
      <c r="O287" t="s">
        <v>346</v>
      </c>
      <c r="P287" t="s">
        <v>294</v>
      </c>
    </row>
    <row r="288" spans="1:16" ht="15" customHeight="1" x14ac:dyDescent="0.25">
      <c r="A288" s="123">
        <v>45880</v>
      </c>
      <c r="B288" t="s">
        <v>401</v>
      </c>
      <c r="C288" t="s">
        <v>402</v>
      </c>
      <c r="D288" t="s">
        <v>221</v>
      </c>
      <c r="E288" t="s">
        <v>364</v>
      </c>
      <c r="F288" t="s">
        <v>182</v>
      </c>
      <c r="G288" t="s">
        <v>689</v>
      </c>
      <c r="H288" s="77">
        <v>36</v>
      </c>
      <c r="I288" s="124">
        <v>87.39</v>
      </c>
      <c r="J288" s="124">
        <v>3146.08</v>
      </c>
      <c r="K288" s="77">
        <v>60</v>
      </c>
      <c r="L288" t="s">
        <v>339</v>
      </c>
      <c r="M288" s="126">
        <v>629.21600000000001</v>
      </c>
      <c r="N288" s="124">
        <v>3146.08</v>
      </c>
      <c r="O288" t="s">
        <v>346</v>
      </c>
      <c r="P288" t="s">
        <v>294</v>
      </c>
    </row>
    <row r="289" spans="1:16" ht="15" customHeight="1" x14ac:dyDescent="0.25">
      <c r="A289" s="123">
        <v>45920</v>
      </c>
      <c r="B289" t="s">
        <v>393</v>
      </c>
      <c r="C289" t="s">
        <v>394</v>
      </c>
      <c r="D289" t="s">
        <v>227</v>
      </c>
      <c r="E289" t="s">
        <v>234</v>
      </c>
      <c r="F289" t="s">
        <v>183</v>
      </c>
      <c r="G289" t="s">
        <v>690</v>
      </c>
      <c r="H289" s="77">
        <v>21</v>
      </c>
      <c r="I289" s="124">
        <v>414.62</v>
      </c>
      <c r="J289" s="124">
        <v>8706.9699999999993</v>
      </c>
      <c r="K289" s="77">
        <v>30</v>
      </c>
      <c r="L289" t="s">
        <v>339</v>
      </c>
      <c r="M289" s="126">
        <v>1741.394</v>
      </c>
      <c r="N289" s="124">
        <v>8706.9699999999993</v>
      </c>
      <c r="O289" t="s">
        <v>346</v>
      </c>
      <c r="P289" t="s">
        <v>294</v>
      </c>
    </row>
    <row r="290" spans="1:16" ht="15" customHeight="1" x14ac:dyDescent="0.25">
      <c r="A290" s="123">
        <v>45722</v>
      </c>
      <c r="B290" t="s">
        <v>358</v>
      </c>
      <c r="C290" t="s">
        <v>359</v>
      </c>
      <c r="D290" t="s">
        <v>225</v>
      </c>
      <c r="E290" t="s">
        <v>396</v>
      </c>
      <c r="F290" t="s">
        <v>184</v>
      </c>
      <c r="G290" t="s">
        <v>691</v>
      </c>
      <c r="H290" s="77">
        <v>9</v>
      </c>
      <c r="I290" s="124">
        <v>87.53</v>
      </c>
      <c r="J290" s="124">
        <v>787.81</v>
      </c>
      <c r="K290" s="77">
        <v>30</v>
      </c>
      <c r="L290" t="s">
        <v>351</v>
      </c>
      <c r="M290" s="126">
        <v>157.56200000000001</v>
      </c>
      <c r="N290" s="124">
        <v>787.81</v>
      </c>
      <c r="O290" t="s">
        <v>346</v>
      </c>
      <c r="P290" t="s">
        <v>294</v>
      </c>
    </row>
    <row r="291" spans="1:16" ht="15" customHeight="1" x14ac:dyDescent="0.25">
      <c r="A291" s="123">
        <v>45948</v>
      </c>
      <c r="B291" t="s">
        <v>347</v>
      </c>
      <c r="C291" t="s">
        <v>348</v>
      </c>
      <c r="D291" t="s">
        <v>223</v>
      </c>
      <c r="E291" t="s">
        <v>420</v>
      </c>
      <c r="F291" t="s">
        <v>182</v>
      </c>
      <c r="G291" t="s">
        <v>692</v>
      </c>
      <c r="H291" s="77">
        <v>5</v>
      </c>
      <c r="I291" s="124">
        <v>67.45</v>
      </c>
      <c r="J291" s="124">
        <v>337.25</v>
      </c>
      <c r="K291" s="77">
        <v>60</v>
      </c>
      <c r="L291" t="s">
        <v>339</v>
      </c>
      <c r="M291" s="126">
        <v>67.45</v>
      </c>
      <c r="N291" s="124">
        <v>337.25</v>
      </c>
      <c r="O291" t="s">
        <v>346</v>
      </c>
      <c r="P291" t="s">
        <v>294</v>
      </c>
    </row>
    <row r="292" spans="1:16" ht="15" customHeight="1" x14ac:dyDescent="0.25">
      <c r="A292" s="123">
        <v>45848</v>
      </c>
      <c r="B292" t="s">
        <v>370</v>
      </c>
      <c r="C292" t="s">
        <v>371</v>
      </c>
      <c r="D292" t="s">
        <v>227</v>
      </c>
      <c r="E292" t="s">
        <v>427</v>
      </c>
      <c r="F292" t="s">
        <v>184</v>
      </c>
      <c r="G292" t="s">
        <v>693</v>
      </c>
      <c r="H292" s="77">
        <v>57</v>
      </c>
      <c r="I292" s="124">
        <v>66.89</v>
      </c>
      <c r="J292" s="124">
        <v>3812.62</v>
      </c>
      <c r="K292" s="77">
        <v>30</v>
      </c>
      <c r="L292" t="s">
        <v>351</v>
      </c>
      <c r="M292" s="126">
        <v>762.524</v>
      </c>
      <c r="N292" s="124">
        <v>3812.62</v>
      </c>
      <c r="O292" t="s">
        <v>346</v>
      </c>
      <c r="P292" t="s">
        <v>294</v>
      </c>
    </row>
    <row r="293" spans="1:16" ht="15" customHeight="1" x14ac:dyDescent="0.25">
      <c r="A293" s="123">
        <v>45818</v>
      </c>
      <c r="B293" t="s">
        <v>390</v>
      </c>
      <c r="C293" t="s">
        <v>391</v>
      </c>
      <c r="D293" t="s">
        <v>221</v>
      </c>
      <c r="E293" t="s">
        <v>420</v>
      </c>
      <c r="F293" t="s">
        <v>182</v>
      </c>
      <c r="G293" t="s">
        <v>694</v>
      </c>
      <c r="H293" s="77">
        <v>36</v>
      </c>
      <c r="I293" s="124">
        <v>72.44</v>
      </c>
      <c r="J293" s="124">
        <v>2607.7600000000002</v>
      </c>
      <c r="K293" s="77">
        <v>30</v>
      </c>
      <c r="L293" t="s">
        <v>339</v>
      </c>
      <c r="M293" s="126">
        <v>521.55200000000002</v>
      </c>
      <c r="N293" s="124">
        <v>2607.7600000000002</v>
      </c>
      <c r="O293" t="s">
        <v>346</v>
      </c>
      <c r="P293" t="s">
        <v>294</v>
      </c>
    </row>
    <row r="294" spans="1:16" ht="15" customHeight="1" x14ac:dyDescent="0.25">
      <c r="A294" s="123">
        <v>45923</v>
      </c>
      <c r="B294" t="s">
        <v>409</v>
      </c>
      <c r="C294" t="s">
        <v>410</v>
      </c>
      <c r="D294" t="s">
        <v>223</v>
      </c>
      <c r="E294" t="s">
        <v>381</v>
      </c>
      <c r="F294" t="s">
        <v>179</v>
      </c>
      <c r="G294" t="s">
        <v>695</v>
      </c>
      <c r="H294" s="77">
        <v>50</v>
      </c>
      <c r="I294" s="124">
        <v>130.16999999999999</v>
      </c>
      <c r="J294" s="124">
        <v>6508.27</v>
      </c>
      <c r="K294" s="77">
        <v>60</v>
      </c>
      <c r="L294" t="s">
        <v>339</v>
      </c>
      <c r="M294" s="126">
        <v>1301.654</v>
      </c>
      <c r="N294" s="124">
        <v>6508.27</v>
      </c>
      <c r="O294" t="s">
        <v>346</v>
      </c>
      <c r="P294" t="s">
        <v>294</v>
      </c>
    </row>
    <row r="295" spans="1:16" ht="15" customHeight="1" x14ac:dyDescent="0.25">
      <c r="A295" s="123">
        <v>45886</v>
      </c>
      <c r="B295" t="s">
        <v>378</v>
      </c>
      <c r="C295" t="s">
        <v>379</v>
      </c>
      <c r="D295" t="s">
        <v>227</v>
      </c>
      <c r="E295" t="s">
        <v>403</v>
      </c>
      <c r="F295" t="s">
        <v>181</v>
      </c>
      <c r="G295" t="s">
        <v>696</v>
      </c>
      <c r="H295" s="77">
        <v>28</v>
      </c>
      <c r="I295" s="124">
        <v>351.04</v>
      </c>
      <c r="J295" s="124">
        <v>9829.2000000000007</v>
      </c>
      <c r="K295" s="77">
        <v>60</v>
      </c>
      <c r="L295" t="s">
        <v>345</v>
      </c>
      <c r="M295" s="126">
        <v>1965.84</v>
      </c>
      <c r="N295" s="124">
        <v>9829.2000000000007</v>
      </c>
      <c r="O295" t="s">
        <v>346</v>
      </c>
      <c r="P295" t="s">
        <v>294</v>
      </c>
    </row>
    <row r="296" spans="1:16" ht="15" customHeight="1" x14ac:dyDescent="0.25">
      <c r="A296" s="123">
        <v>45720</v>
      </c>
      <c r="B296" t="s">
        <v>383</v>
      </c>
      <c r="C296" t="s">
        <v>384</v>
      </c>
      <c r="D296" t="s">
        <v>225</v>
      </c>
      <c r="E296" t="s">
        <v>396</v>
      </c>
      <c r="F296" t="s">
        <v>184</v>
      </c>
      <c r="G296" t="s">
        <v>697</v>
      </c>
      <c r="H296" s="77">
        <v>18</v>
      </c>
      <c r="I296" s="124">
        <v>91.27</v>
      </c>
      <c r="J296" s="124">
        <v>1642.9</v>
      </c>
      <c r="K296" s="77">
        <v>30</v>
      </c>
      <c r="L296" t="s">
        <v>345</v>
      </c>
      <c r="M296" s="126">
        <v>328.58</v>
      </c>
      <c r="N296" s="124">
        <v>1642.9</v>
      </c>
      <c r="O296" t="s">
        <v>346</v>
      </c>
      <c r="P296" t="s">
        <v>294</v>
      </c>
    </row>
    <row r="297" spans="1:16" ht="15" customHeight="1" x14ac:dyDescent="0.25">
      <c r="A297" s="123">
        <v>46007</v>
      </c>
      <c r="B297" t="s">
        <v>347</v>
      </c>
      <c r="C297" t="s">
        <v>348</v>
      </c>
      <c r="D297" t="s">
        <v>223</v>
      </c>
      <c r="E297" t="s">
        <v>396</v>
      </c>
      <c r="F297" t="s">
        <v>184</v>
      </c>
      <c r="G297" t="s">
        <v>698</v>
      </c>
      <c r="H297" s="77">
        <v>41</v>
      </c>
      <c r="I297" s="124">
        <v>51.23</v>
      </c>
      <c r="J297" s="124">
        <v>2100.56</v>
      </c>
      <c r="K297" s="77">
        <v>60</v>
      </c>
      <c r="L297" t="s">
        <v>345</v>
      </c>
      <c r="M297" s="126">
        <v>420.11200000000002</v>
      </c>
      <c r="N297" s="124">
        <v>2100.56</v>
      </c>
      <c r="O297" t="s">
        <v>346</v>
      </c>
      <c r="P297" t="s">
        <v>294</v>
      </c>
    </row>
    <row r="298" spans="1:16" ht="15" customHeight="1" x14ac:dyDescent="0.25">
      <c r="A298" s="123">
        <v>45935</v>
      </c>
      <c r="B298" t="s">
        <v>401</v>
      </c>
      <c r="C298" t="s">
        <v>402</v>
      </c>
      <c r="D298" t="s">
        <v>221</v>
      </c>
      <c r="E298" t="s">
        <v>343</v>
      </c>
      <c r="F298" t="s">
        <v>178</v>
      </c>
      <c r="G298" t="s">
        <v>699</v>
      </c>
      <c r="H298" s="77">
        <v>38</v>
      </c>
      <c r="I298" s="124">
        <v>106.61</v>
      </c>
      <c r="J298" s="124">
        <v>4051.14</v>
      </c>
      <c r="K298" s="77">
        <v>45</v>
      </c>
      <c r="L298" t="s">
        <v>339</v>
      </c>
      <c r="M298" s="126">
        <v>810.22799999999995</v>
      </c>
      <c r="N298" s="124">
        <v>4051.14</v>
      </c>
      <c r="O298" t="s">
        <v>346</v>
      </c>
      <c r="P298" t="s">
        <v>294</v>
      </c>
    </row>
    <row r="299" spans="1:16" ht="15" customHeight="1" x14ac:dyDescent="0.25">
      <c r="A299" s="123">
        <v>45918</v>
      </c>
      <c r="B299" t="s">
        <v>393</v>
      </c>
      <c r="C299" t="s">
        <v>394</v>
      </c>
      <c r="D299" t="s">
        <v>227</v>
      </c>
      <c r="E299" t="s">
        <v>381</v>
      </c>
      <c r="F299" t="s">
        <v>179</v>
      </c>
      <c r="G299" t="s">
        <v>700</v>
      </c>
      <c r="H299" s="77">
        <v>29</v>
      </c>
      <c r="I299" s="124">
        <v>213.14</v>
      </c>
      <c r="J299" s="124">
        <v>6181.2</v>
      </c>
      <c r="K299" s="77">
        <v>30</v>
      </c>
      <c r="L299" t="s">
        <v>339</v>
      </c>
      <c r="M299" s="126">
        <v>1236.24</v>
      </c>
      <c r="N299" s="124">
        <v>6181.2</v>
      </c>
      <c r="O299" t="s">
        <v>346</v>
      </c>
      <c r="P299" t="s">
        <v>294</v>
      </c>
    </row>
    <row r="300" spans="1:16" ht="15" customHeight="1" x14ac:dyDescent="0.25">
      <c r="A300" s="123">
        <v>45671</v>
      </c>
      <c r="B300" t="s">
        <v>358</v>
      </c>
      <c r="C300" t="s">
        <v>359</v>
      </c>
      <c r="D300" t="s">
        <v>225</v>
      </c>
      <c r="E300" t="s">
        <v>360</v>
      </c>
      <c r="F300" t="s">
        <v>180</v>
      </c>
      <c r="G300" t="s">
        <v>701</v>
      </c>
      <c r="H300" s="77">
        <v>47</v>
      </c>
      <c r="I300" s="124">
        <v>390.93</v>
      </c>
      <c r="J300" s="124">
        <v>18373.830000000002</v>
      </c>
      <c r="K300" s="77">
        <v>60</v>
      </c>
      <c r="L300" t="s">
        <v>351</v>
      </c>
      <c r="M300" s="126">
        <v>3674.7660000000001</v>
      </c>
      <c r="N300" s="124">
        <v>18373.830000000002</v>
      </c>
      <c r="O300" t="s">
        <v>346</v>
      </c>
      <c r="P300" t="s">
        <v>294</v>
      </c>
    </row>
    <row r="301" spans="1:16" ht="15" customHeight="1" x14ac:dyDescent="0.25">
      <c r="A301" s="123">
        <v>45724</v>
      </c>
      <c r="B301" t="s">
        <v>358</v>
      </c>
      <c r="C301" t="s">
        <v>359</v>
      </c>
      <c r="D301" t="s">
        <v>225</v>
      </c>
      <c r="E301" t="s">
        <v>417</v>
      </c>
      <c r="F301" t="s">
        <v>184</v>
      </c>
      <c r="G301" t="s">
        <v>702</v>
      </c>
      <c r="H301" s="77">
        <v>79</v>
      </c>
      <c r="I301" s="124">
        <v>106.04</v>
      </c>
      <c r="J301" s="124">
        <v>8376.89</v>
      </c>
      <c r="K301" s="77">
        <v>30</v>
      </c>
      <c r="L301" t="s">
        <v>339</v>
      </c>
      <c r="M301" s="126">
        <v>1675.3779999999999</v>
      </c>
      <c r="N301" s="124">
        <v>8376.89</v>
      </c>
      <c r="O301" t="s">
        <v>346</v>
      </c>
      <c r="P301" t="s">
        <v>294</v>
      </c>
    </row>
    <row r="302" spans="1:16" ht="15" customHeight="1" x14ac:dyDescent="0.25">
      <c r="A302" s="123">
        <v>45903</v>
      </c>
      <c r="B302" t="s">
        <v>373</v>
      </c>
      <c r="C302" t="s">
        <v>374</v>
      </c>
      <c r="D302" t="s">
        <v>225</v>
      </c>
      <c r="E302" t="s">
        <v>236</v>
      </c>
      <c r="F302" t="s">
        <v>183</v>
      </c>
      <c r="G302" t="s">
        <v>703</v>
      </c>
      <c r="H302" s="77">
        <v>68</v>
      </c>
      <c r="I302" s="124">
        <v>190.15</v>
      </c>
      <c r="J302" s="124">
        <v>12930.48</v>
      </c>
      <c r="K302" s="77">
        <v>45</v>
      </c>
      <c r="L302" t="s">
        <v>345</v>
      </c>
      <c r="M302" s="126">
        <v>2586.096</v>
      </c>
      <c r="N302" s="124">
        <v>12930.48</v>
      </c>
      <c r="O302" t="s">
        <v>346</v>
      </c>
      <c r="P302" t="s">
        <v>294</v>
      </c>
    </row>
    <row r="303" spans="1:16" ht="15" customHeight="1" x14ac:dyDescent="0.25">
      <c r="A303" s="123">
        <v>45820</v>
      </c>
      <c r="B303" t="s">
        <v>378</v>
      </c>
      <c r="C303" t="s">
        <v>379</v>
      </c>
      <c r="D303" t="s">
        <v>227</v>
      </c>
      <c r="E303" t="s">
        <v>415</v>
      </c>
      <c r="F303" t="s">
        <v>178</v>
      </c>
      <c r="G303" t="s">
        <v>704</v>
      </c>
      <c r="H303" s="77">
        <v>10</v>
      </c>
      <c r="I303" s="124">
        <v>47.76</v>
      </c>
      <c r="J303" s="124">
        <v>477.65</v>
      </c>
      <c r="K303" s="77">
        <v>45</v>
      </c>
      <c r="L303" t="s">
        <v>345</v>
      </c>
      <c r="M303" s="126">
        <v>95.53</v>
      </c>
      <c r="N303" s="124">
        <v>477.65</v>
      </c>
      <c r="O303" t="s">
        <v>340</v>
      </c>
      <c r="P303" t="s">
        <v>294</v>
      </c>
    </row>
    <row r="304" spans="1:16" ht="15" customHeight="1" x14ac:dyDescent="0.25">
      <c r="A304" s="123">
        <v>45940</v>
      </c>
      <c r="B304" t="s">
        <v>406</v>
      </c>
      <c r="C304" t="s">
        <v>407</v>
      </c>
      <c r="D304" t="s">
        <v>225</v>
      </c>
      <c r="E304" t="s">
        <v>376</v>
      </c>
      <c r="F304" t="s">
        <v>182</v>
      </c>
      <c r="G304" t="s">
        <v>705</v>
      </c>
      <c r="H304" s="77">
        <v>76</v>
      </c>
      <c r="I304" s="124">
        <v>143.29</v>
      </c>
      <c r="J304" s="124">
        <v>10890.23</v>
      </c>
      <c r="K304" s="77">
        <v>30</v>
      </c>
      <c r="L304" t="s">
        <v>339</v>
      </c>
      <c r="M304" s="126">
        <v>2178.0459999999998</v>
      </c>
      <c r="N304" s="124">
        <v>10890.23</v>
      </c>
      <c r="O304" t="s">
        <v>340</v>
      </c>
      <c r="P304" t="s">
        <v>294</v>
      </c>
    </row>
    <row r="305" spans="1:16" ht="15" customHeight="1" x14ac:dyDescent="0.25">
      <c r="A305" s="123">
        <v>45923</v>
      </c>
      <c r="B305" t="s">
        <v>354</v>
      </c>
      <c r="C305" t="s">
        <v>355</v>
      </c>
      <c r="D305" t="s">
        <v>227</v>
      </c>
      <c r="E305" t="s">
        <v>349</v>
      </c>
      <c r="F305" t="s">
        <v>177</v>
      </c>
      <c r="G305" t="s">
        <v>706</v>
      </c>
      <c r="H305" s="77">
        <v>20</v>
      </c>
      <c r="I305" s="124">
        <v>167.87</v>
      </c>
      <c r="J305" s="124">
        <v>3357.42</v>
      </c>
      <c r="K305" s="77">
        <v>45</v>
      </c>
      <c r="L305" t="s">
        <v>339</v>
      </c>
      <c r="M305" s="126">
        <v>671.48400000000004</v>
      </c>
      <c r="N305" s="124">
        <v>3357.42</v>
      </c>
      <c r="O305" t="s">
        <v>340</v>
      </c>
      <c r="P305" t="s">
        <v>294</v>
      </c>
    </row>
    <row r="306" spans="1:16" ht="15" customHeight="1" x14ac:dyDescent="0.25">
      <c r="A306" s="123">
        <v>45773</v>
      </c>
      <c r="B306" t="s">
        <v>409</v>
      </c>
      <c r="C306" t="s">
        <v>410</v>
      </c>
      <c r="D306" t="s">
        <v>223</v>
      </c>
      <c r="E306" t="s">
        <v>364</v>
      </c>
      <c r="F306" t="s">
        <v>182</v>
      </c>
      <c r="G306" t="s">
        <v>707</v>
      </c>
      <c r="H306" s="77">
        <v>45</v>
      </c>
      <c r="I306" s="124">
        <v>93.91</v>
      </c>
      <c r="J306" s="124">
        <v>4226.1400000000003</v>
      </c>
      <c r="K306" s="77">
        <v>60</v>
      </c>
      <c r="L306" t="s">
        <v>345</v>
      </c>
      <c r="M306" s="126">
        <v>845.22799999999995</v>
      </c>
      <c r="N306" s="124">
        <v>4226.1400000000003</v>
      </c>
      <c r="O306" t="s">
        <v>346</v>
      </c>
      <c r="P306" t="s">
        <v>294</v>
      </c>
    </row>
    <row r="307" spans="1:16" ht="15" customHeight="1" x14ac:dyDescent="0.25">
      <c r="A307" s="123">
        <v>45983</v>
      </c>
      <c r="B307" t="s">
        <v>409</v>
      </c>
      <c r="C307" t="s">
        <v>410</v>
      </c>
      <c r="D307" t="s">
        <v>223</v>
      </c>
      <c r="E307" t="s">
        <v>356</v>
      </c>
      <c r="F307" t="s">
        <v>181</v>
      </c>
      <c r="G307" t="s">
        <v>708</v>
      </c>
      <c r="H307" s="77">
        <v>71</v>
      </c>
      <c r="I307" s="124">
        <v>234.66</v>
      </c>
      <c r="J307" s="124">
        <v>16661.189999999999</v>
      </c>
      <c r="K307" s="77">
        <v>45</v>
      </c>
      <c r="L307" t="s">
        <v>339</v>
      </c>
      <c r="M307" s="126">
        <v>3332.2379999999998</v>
      </c>
      <c r="N307" s="124">
        <v>16661.189999999999</v>
      </c>
      <c r="O307" t="s">
        <v>340</v>
      </c>
      <c r="P307" t="s">
        <v>294</v>
      </c>
    </row>
    <row r="308" spans="1:16" ht="15" customHeight="1" x14ac:dyDescent="0.25">
      <c r="A308" s="123">
        <v>45931</v>
      </c>
      <c r="B308" t="s">
        <v>354</v>
      </c>
      <c r="C308" t="s">
        <v>355</v>
      </c>
      <c r="D308" t="s">
        <v>227</v>
      </c>
      <c r="E308" t="s">
        <v>403</v>
      </c>
      <c r="F308" t="s">
        <v>181</v>
      </c>
      <c r="G308" t="s">
        <v>709</v>
      </c>
      <c r="H308" s="77">
        <v>12</v>
      </c>
      <c r="I308" s="124">
        <v>444.23</v>
      </c>
      <c r="J308" s="124">
        <v>5330.76</v>
      </c>
      <c r="K308" s="77">
        <v>60</v>
      </c>
      <c r="L308" t="s">
        <v>351</v>
      </c>
      <c r="M308" s="126">
        <v>1066.152</v>
      </c>
      <c r="N308" s="124">
        <v>5330.76</v>
      </c>
      <c r="O308" t="s">
        <v>346</v>
      </c>
      <c r="P308" t="s">
        <v>294</v>
      </c>
    </row>
    <row r="309" spans="1:16" ht="15" customHeight="1" x14ac:dyDescent="0.25">
      <c r="A309" s="123">
        <v>45995</v>
      </c>
      <c r="B309" t="s">
        <v>409</v>
      </c>
      <c r="C309" t="s">
        <v>410</v>
      </c>
      <c r="D309" t="s">
        <v>223</v>
      </c>
      <c r="E309" t="s">
        <v>442</v>
      </c>
      <c r="F309" t="s">
        <v>179</v>
      </c>
      <c r="G309" t="s">
        <v>710</v>
      </c>
      <c r="H309" s="77">
        <v>80</v>
      </c>
      <c r="I309" s="124">
        <v>130.01</v>
      </c>
      <c r="J309" s="124">
        <v>10400.6</v>
      </c>
      <c r="K309" s="77">
        <v>60</v>
      </c>
      <c r="L309" t="s">
        <v>351</v>
      </c>
      <c r="M309" s="126">
        <v>2080.12</v>
      </c>
      <c r="N309" s="124">
        <v>10400.6</v>
      </c>
      <c r="O309" t="s">
        <v>340</v>
      </c>
      <c r="P309" t="s">
        <v>294</v>
      </c>
    </row>
    <row r="310" spans="1:16" ht="15" customHeight="1" x14ac:dyDescent="0.25">
      <c r="A310" s="123">
        <v>45699</v>
      </c>
      <c r="B310" t="s">
        <v>362</v>
      </c>
      <c r="C310" t="s">
        <v>363</v>
      </c>
      <c r="D310" t="s">
        <v>221</v>
      </c>
      <c r="E310" t="s">
        <v>349</v>
      </c>
      <c r="F310" t="s">
        <v>177</v>
      </c>
      <c r="G310" t="s">
        <v>711</v>
      </c>
      <c r="H310" s="77">
        <v>6</v>
      </c>
      <c r="I310" s="124">
        <v>162.13</v>
      </c>
      <c r="J310" s="124">
        <v>972.78</v>
      </c>
      <c r="K310" s="77">
        <v>60</v>
      </c>
      <c r="L310" t="s">
        <v>351</v>
      </c>
      <c r="M310" s="126">
        <v>194.55600000000001</v>
      </c>
      <c r="N310" s="124">
        <v>972.78</v>
      </c>
      <c r="O310" t="s">
        <v>340</v>
      </c>
      <c r="P310" t="s">
        <v>294</v>
      </c>
    </row>
    <row r="311" spans="1:16" ht="15" customHeight="1" x14ac:dyDescent="0.25">
      <c r="A311" s="123">
        <v>45871</v>
      </c>
      <c r="B311" t="s">
        <v>366</v>
      </c>
      <c r="C311" t="s">
        <v>367</v>
      </c>
      <c r="D311" t="s">
        <v>221</v>
      </c>
      <c r="E311" t="s">
        <v>352</v>
      </c>
      <c r="F311" t="s">
        <v>180</v>
      </c>
      <c r="G311" t="s">
        <v>712</v>
      </c>
      <c r="H311" s="77">
        <v>80</v>
      </c>
      <c r="I311" s="124">
        <v>223.69</v>
      </c>
      <c r="J311" s="124">
        <v>17895.09</v>
      </c>
      <c r="K311" s="77">
        <v>60</v>
      </c>
      <c r="L311" t="s">
        <v>339</v>
      </c>
      <c r="M311" s="126">
        <v>3579.018</v>
      </c>
      <c r="N311" s="124">
        <v>17895.09</v>
      </c>
      <c r="O311" t="s">
        <v>346</v>
      </c>
      <c r="P311" t="s">
        <v>294</v>
      </c>
    </row>
    <row r="312" spans="1:16" ht="15" customHeight="1" x14ac:dyDescent="0.25">
      <c r="A312" s="123">
        <v>45812</v>
      </c>
      <c r="B312" t="s">
        <v>488</v>
      </c>
      <c r="C312" t="s">
        <v>489</v>
      </c>
      <c r="D312" t="s">
        <v>225</v>
      </c>
      <c r="E312" t="s">
        <v>403</v>
      </c>
      <c r="F312" t="s">
        <v>181</v>
      </c>
      <c r="G312" t="s">
        <v>713</v>
      </c>
      <c r="H312" s="77">
        <v>62</v>
      </c>
      <c r="I312" s="124">
        <v>195.18</v>
      </c>
      <c r="J312" s="124">
        <v>12100.93</v>
      </c>
      <c r="K312" s="77">
        <v>30</v>
      </c>
      <c r="L312" t="s">
        <v>351</v>
      </c>
      <c r="M312" s="126">
        <v>2420.1860000000001</v>
      </c>
      <c r="N312" s="124">
        <v>12100.93</v>
      </c>
      <c r="O312" t="s">
        <v>346</v>
      </c>
      <c r="P312" t="s">
        <v>294</v>
      </c>
    </row>
    <row r="313" spans="1:16" ht="15" customHeight="1" x14ac:dyDescent="0.25">
      <c r="A313" s="123">
        <v>45695</v>
      </c>
      <c r="B313" t="s">
        <v>335</v>
      </c>
      <c r="C313" t="s">
        <v>336</v>
      </c>
      <c r="D313" t="s">
        <v>223</v>
      </c>
      <c r="E313" t="s">
        <v>437</v>
      </c>
      <c r="F313" t="s">
        <v>181</v>
      </c>
      <c r="G313" t="s">
        <v>714</v>
      </c>
      <c r="H313" s="77">
        <v>8</v>
      </c>
      <c r="I313" s="124">
        <v>402.6</v>
      </c>
      <c r="J313" s="124">
        <v>3220.84</v>
      </c>
      <c r="K313" s="77">
        <v>30</v>
      </c>
      <c r="L313" t="s">
        <v>345</v>
      </c>
      <c r="M313" s="126">
        <v>644.16800000000001</v>
      </c>
      <c r="N313" s="124">
        <v>3220.84</v>
      </c>
      <c r="O313" t="s">
        <v>346</v>
      </c>
      <c r="P313" t="s">
        <v>294</v>
      </c>
    </row>
    <row r="314" spans="1:16" ht="15" customHeight="1" x14ac:dyDescent="0.25">
      <c r="A314" s="123">
        <v>45762</v>
      </c>
      <c r="B314" t="s">
        <v>373</v>
      </c>
      <c r="C314" t="s">
        <v>374</v>
      </c>
      <c r="D314" t="s">
        <v>225</v>
      </c>
      <c r="E314" t="s">
        <v>427</v>
      </c>
      <c r="F314" t="s">
        <v>184</v>
      </c>
      <c r="G314" t="s">
        <v>715</v>
      </c>
      <c r="H314" s="77">
        <v>44</v>
      </c>
      <c r="I314" s="124">
        <v>118.09</v>
      </c>
      <c r="J314" s="124">
        <v>5196.0600000000004</v>
      </c>
      <c r="K314" s="77">
        <v>60</v>
      </c>
      <c r="L314" t="s">
        <v>339</v>
      </c>
      <c r="M314" s="126">
        <v>1039.212</v>
      </c>
      <c r="N314" s="124">
        <v>5196.0600000000004</v>
      </c>
      <c r="O314" t="s">
        <v>346</v>
      </c>
      <c r="P314" t="s">
        <v>294</v>
      </c>
    </row>
    <row r="315" spans="1:16" ht="15" customHeight="1" x14ac:dyDescent="0.25">
      <c r="A315" s="123">
        <v>45834</v>
      </c>
      <c r="B315" t="s">
        <v>366</v>
      </c>
      <c r="C315" t="s">
        <v>367</v>
      </c>
      <c r="D315" t="s">
        <v>221</v>
      </c>
      <c r="E315" t="s">
        <v>364</v>
      </c>
      <c r="F315" t="s">
        <v>182</v>
      </c>
      <c r="G315" t="s">
        <v>716</v>
      </c>
      <c r="H315" s="77">
        <v>52</v>
      </c>
      <c r="I315" s="124">
        <v>148.61000000000001</v>
      </c>
      <c r="J315" s="124">
        <v>7727.58</v>
      </c>
      <c r="K315" s="77">
        <v>30</v>
      </c>
      <c r="L315" t="s">
        <v>345</v>
      </c>
      <c r="M315" s="126">
        <v>1545.5160000000001</v>
      </c>
      <c r="N315" s="124">
        <v>7727.58</v>
      </c>
      <c r="O315" t="s">
        <v>346</v>
      </c>
      <c r="P315" t="s">
        <v>294</v>
      </c>
    </row>
    <row r="316" spans="1:16" ht="15" customHeight="1" x14ac:dyDescent="0.25">
      <c r="A316" s="123">
        <v>45781</v>
      </c>
      <c r="B316" t="s">
        <v>378</v>
      </c>
      <c r="C316" t="s">
        <v>379</v>
      </c>
      <c r="D316" t="s">
        <v>227</v>
      </c>
      <c r="E316" t="s">
        <v>368</v>
      </c>
      <c r="F316" t="s">
        <v>178</v>
      </c>
      <c r="G316" t="s">
        <v>717</v>
      </c>
      <c r="H316" s="77">
        <v>60</v>
      </c>
      <c r="I316" s="124">
        <v>133.27000000000001</v>
      </c>
      <c r="J316" s="124">
        <v>7996.39</v>
      </c>
      <c r="K316" s="77">
        <v>30</v>
      </c>
      <c r="L316" t="s">
        <v>345</v>
      </c>
      <c r="M316" s="126">
        <v>1599.278</v>
      </c>
      <c r="N316" s="124">
        <v>7996.39</v>
      </c>
      <c r="O316" t="s">
        <v>346</v>
      </c>
      <c r="P316" t="s">
        <v>294</v>
      </c>
    </row>
    <row r="317" spans="1:16" ht="15" customHeight="1" x14ac:dyDescent="0.25">
      <c r="A317" s="123">
        <v>45707</v>
      </c>
      <c r="B317" t="s">
        <v>366</v>
      </c>
      <c r="C317" t="s">
        <v>367</v>
      </c>
      <c r="D317" t="s">
        <v>221</v>
      </c>
      <c r="E317" t="s">
        <v>423</v>
      </c>
      <c r="F317" t="s">
        <v>180</v>
      </c>
      <c r="G317" t="s">
        <v>718</v>
      </c>
      <c r="H317" s="77">
        <v>7</v>
      </c>
      <c r="I317" s="124">
        <v>252.9</v>
      </c>
      <c r="J317" s="124">
        <v>1770.33</v>
      </c>
      <c r="K317" s="77">
        <v>45</v>
      </c>
      <c r="L317" t="s">
        <v>345</v>
      </c>
      <c r="M317" s="126">
        <v>354.06599999999997</v>
      </c>
      <c r="N317" s="124">
        <v>1770.33</v>
      </c>
      <c r="O317" t="s">
        <v>346</v>
      </c>
      <c r="P317" t="s">
        <v>294</v>
      </c>
    </row>
    <row r="318" spans="1:16" ht="15" customHeight="1" x14ac:dyDescent="0.25">
      <c r="A318" s="123">
        <v>45739</v>
      </c>
      <c r="B318" t="s">
        <v>393</v>
      </c>
      <c r="C318" t="s">
        <v>394</v>
      </c>
      <c r="D318" t="s">
        <v>227</v>
      </c>
      <c r="E318" t="s">
        <v>235</v>
      </c>
      <c r="F318" t="s">
        <v>183</v>
      </c>
      <c r="G318" t="s">
        <v>719</v>
      </c>
      <c r="H318" s="77">
        <v>42</v>
      </c>
      <c r="I318" s="124">
        <v>436.53</v>
      </c>
      <c r="J318" s="124">
        <v>18334.25</v>
      </c>
      <c r="K318" s="77">
        <v>60</v>
      </c>
      <c r="L318" t="s">
        <v>351</v>
      </c>
      <c r="M318" s="126">
        <v>3666.85</v>
      </c>
      <c r="N318" s="124">
        <v>18334.25</v>
      </c>
      <c r="O318" t="s">
        <v>346</v>
      </c>
      <c r="P318" t="s">
        <v>294</v>
      </c>
    </row>
    <row r="319" spans="1:16" ht="15" customHeight="1" x14ac:dyDescent="0.25">
      <c r="A319" s="123">
        <v>45913</v>
      </c>
      <c r="B319" t="s">
        <v>373</v>
      </c>
      <c r="C319" t="s">
        <v>374</v>
      </c>
      <c r="D319" t="s">
        <v>225</v>
      </c>
      <c r="E319" t="s">
        <v>423</v>
      </c>
      <c r="F319" t="s">
        <v>180</v>
      </c>
      <c r="G319" t="s">
        <v>720</v>
      </c>
      <c r="H319" s="77">
        <v>66</v>
      </c>
      <c r="I319" s="124">
        <v>210.78</v>
      </c>
      <c r="J319" s="124">
        <v>13911.47</v>
      </c>
      <c r="K319" s="77">
        <v>45</v>
      </c>
      <c r="L319" t="s">
        <v>345</v>
      </c>
      <c r="M319" s="126">
        <v>2782.2939999999999</v>
      </c>
      <c r="N319" s="124">
        <v>13911.47</v>
      </c>
      <c r="O319" t="s">
        <v>346</v>
      </c>
      <c r="P319" t="s">
        <v>294</v>
      </c>
    </row>
    <row r="320" spans="1:16" ht="15" customHeight="1" x14ac:dyDescent="0.25">
      <c r="A320" s="123">
        <v>45704</v>
      </c>
      <c r="B320" t="s">
        <v>354</v>
      </c>
      <c r="C320" t="s">
        <v>355</v>
      </c>
      <c r="D320" t="s">
        <v>227</v>
      </c>
      <c r="E320" t="s">
        <v>396</v>
      </c>
      <c r="F320" t="s">
        <v>184</v>
      </c>
      <c r="G320" t="s">
        <v>721</v>
      </c>
      <c r="H320" s="77">
        <v>51</v>
      </c>
      <c r="I320" s="124">
        <v>89.64</v>
      </c>
      <c r="J320" s="124">
        <v>4571.54</v>
      </c>
      <c r="K320" s="77">
        <v>60</v>
      </c>
      <c r="L320" t="s">
        <v>345</v>
      </c>
      <c r="M320" s="126">
        <v>914.30799999999999</v>
      </c>
      <c r="N320" s="124">
        <v>4571.54</v>
      </c>
      <c r="O320" t="s">
        <v>346</v>
      </c>
      <c r="P320" t="s">
        <v>294</v>
      </c>
    </row>
    <row r="321" spans="1:16" ht="15" customHeight="1" x14ac:dyDescent="0.25">
      <c r="A321" s="123">
        <v>45838</v>
      </c>
      <c r="B321" t="s">
        <v>373</v>
      </c>
      <c r="C321" t="s">
        <v>374</v>
      </c>
      <c r="D321" t="s">
        <v>225</v>
      </c>
      <c r="E321" t="s">
        <v>352</v>
      </c>
      <c r="F321" t="s">
        <v>180</v>
      </c>
      <c r="G321" t="s">
        <v>722</v>
      </c>
      <c r="H321" s="77">
        <v>7</v>
      </c>
      <c r="I321" s="124">
        <v>232.73</v>
      </c>
      <c r="J321" s="124">
        <v>1629.12</v>
      </c>
      <c r="K321" s="77">
        <v>30</v>
      </c>
      <c r="L321" t="s">
        <v>345</v>
      </c>
      <c r="M321" s="126">
        <v>325.82400000000001</v>
      </c>
      <c r="N321" s="124">
        <v>1629.12</v>
      </c>
      <c r="O321" t="s">
        <v>346</v>
      </c>
      <c r="P321" t="s">
        <v>294</v>
      </c>
    </row>
    <row r="322" spans="1:16" ht="15" customHeight="1" x14ac:dyDescent="0.25">
      <c r="A322" s="123">
        <v>45932</v>
      </c>
      <c r="B322" t="s">
        <v>354</v>
      </c>
      <c r="C322" t="s">
        <v>355</v>
      </c>
      <c r="D322" t="s">
        <v>227</v>
      </c>
      <c r="E322" t="s">
        <v>427</v>
      </c>
      <c r="F322" t="s">
        <v>184</v>
      </c>
      <c r="G322" t="s">
        <v>723</v>
      </c>
      <c r="H322" s="77">
        <v>2</v>
      </c>
      <c r="I322" s="124">
        <v>79.11</v>
      </c>
      <c r="J322" s="124">
        <v>158.22</v>
      </c>
      <c r="K322" s="77">
        <v>30</v>
      </c>
      <c r="L322" t="s">
        <v>345</v>
      </c>
      <c r="M322" s="126">
        <v>31.643999999999998</v>
      </c>
      <c r="N322" s="124">
        <v>158.22</v>
      </c>
      <c r="O322" t="s">
        <v>346</v>
      </c>
      <c r="P322" t="s">
        <v>294</v>
      </c>
    </row>
    <row r="323" spans="1:16" ht="15" customHeight="1" x14ac:dyDescent="0.25">
      <c r="A323" s="123">
        <v>45845</v>
      </c>
      <c r="B323" t="s">
        <v>401</v>
      </c>
      <c r="C323" t="s">
        <v>402</v>
      </c>
      <c r="D323" t="s">
        <v>221</v>
      </c>
      <c r="E323" t="s">
        <v>403</v>
      </c>
      <c r="F323" t="s">
        <v>181</v>
      </c>
      <c r="G323" t="s">
        <v>724</v>
      </c>
      <c r="H323" s="77">
        <v>52</v>
      </c>
      <c r="I323" s="124">
        <v>305.2</v>
      </c>
      <c r="J323" s="124">
        <v>15870.35</v>
      </c>
      <c r="K323" s="77">
        <v>45</v>
      </c>
      <c r="L323" t="s">
        <v>339</v>
      </c>
      <c r="M323" s="126">
        <v>3174.07</v>
      </c>
      <c r="N323" s="124">
        <v>15870.35</v>
      </c>
      <c r="O323" t="s">
        <v>346</v>
      </c>
      <c r="P323" t="s">
        <v>294</v>
      </c>
    </row>
    <row r="324" spans="1:16" ht="15" customHeight="1" x14ac:dyDescent="0.25">
      <c r="A324" s="123">
        <v>45945</v>
      </c>
      <c r="B324" t="s">
        <v>398</v>
      </c>
      <c r="C324" t="s">
        <v>399</v>
      </c>
      <c r="D324" t="s">
        <v>227</v>
      </c>
      <c r="E324" t="s">
        <v>440</v>
      </c>
      <c r="F324" t="s">
        <v>177</v>
      </c>
      <c r="G324" t="s">
        <v>725</v>
      </c>
      <c r="H324" s="77">
        <v>25</v>
      </c>
      <c r="I324" s="124">
        <v>76.510000000000005</v>
      </c>
      <c r="J324" s="124">
        <v>1912.84</v>
      </c>
      <c r="K324" s="77">
        <v>45</v>
      </c>
      <c r="L324" t="s">
        <v>351</v>
      </c>
      <c r="M324" s="126">
        <v>382.56799999999998</v>
      </c>
      <c r="N324" s="124">
        <v>1912.84</v>
      </c>
      <c r="O324" t="s">
        <v>346</v>
      </c>
      <c r="P324" t="s">
        <v>294</v>
      </c>
    </row>
    <row r="325" spans="1:16" ht="15" customHeight="1" x14ac:dyDescent="0.25">
      <c r="A325" s="123">
        <v>45916</v>
      </c>
      <c r="B325" t="s">
        <v>378</v>
      </c>
      <c r="C325" t="s">
        <v>379</v>
      </c>
      <c r="D325" t="s">
        <v>227</v>
      </c>
      <c r="E325" t="s">
        <v>368</v>
      </c>
      <c r="F325" t="s">
        <v>178</v>
      </c>
      <c r="G325" t="s">
        <v>726</v>
      </c>
      <c r="H325" s="77">
        <v>58</v>
      </c>
      <c r="I325" s="124">
        <v>205.45</v>
      </c>
      <c r="J325" s="124">
        <v>11916.07</v>
      </c>
      <c r="K325" s="77">
        <v>60</v>
      </c>
      <c r="L325" t="s">
        <v>345</v>
      </c>
      <c r="M325" s="126">
        <v>2383.2139999999999</v>
      </c>
      <c r="N325" s="124">
        <v>11916.07</v>
      </c>
      <c r="O325" t="s">
        <v>346</v>
      </c>
      <c r="P325" t="s">
        <v>294</v>
      </c>
    </row>
    <row r="326" spans="1:16" ht="15" customHeight="1" x14ac:dyDescent="0.25">
      <c r="A326" s="123">
        <v>45707</v>
      </c>
      <c r="B326" t="s">
        <v>386</v>
      </c>
      <c r="C326" t="s">
        <v>387</v>
      </c>
      <c r="D326" t="s">
        <v>223</v>
      </c>
      <c r="E326" t="s">
        <v>415</v>
      </c>
      <c r="F326" t="s">
        <v>178</v>
      </c>
      <c r="G326" t="s">
        <v>727</v>
      </c>
      <c r="H326" s="77">
        <v>51</v>
      </c>
      <c r="I326" s="124">
        <v>37.380000000000003</v>
      </c>
      <c r="J326" s="124">
        <v>1906.27</v>
      </c>
      <c r="K326" s="77">
        <v>45</v>
      </c>
      <c r="L326" t="s">
        <v>345</v>
      </c>
      <c r="M326" s="126">
        <v>381.25400000000002</v>
      </c>
      <c r="N326" s="124">
        <v>1906.27</v>
      </c>
      <c r="O326" t="s">
        <v>340</v>
      </c>
      <c r="P326" t="s">
        <v>294</v>
      </c>
    </row>
    <row r="327" spans="1:16" ht="15" customHeight="1" x14ac:dyDescent="0.25">
      <c r="A327" s="123">
        <v>45759</v>
      </c>
      <c r="B327" t="s">
        <v>370</v>
      </c>
      <c r="C327" t="s">
        <v>371</v>
      </c>
      <c r="D327" t="s">
        <v>227</v>
      </c>
      <c r="E327" t="s">
        <v>376</v>
      </c>
      <c r="F327" t="s">
        <v>182</v>
      </c>
      <c r="G327" t="s">
        <v>728</v>
      </c>
      <c r="H327" s="77">
        <v>78</v>
      </c>
      <c r="I327" s="124">
        <v>48.72</v>
      </c>
      <c r="J327" s="124">
        <v>3800.1</v>
      </c>
      <c r="K327" s="77">
        <v>60</v>
      </c>
      <c r="L327" t="s">
        <v>345</v>
      </c>
      <c r="M327" s="126">
        <v>760.02</v>
      </c>
      <c r="N327" s="124">
        <v>3800.1</v>
      </c>
      <c r="O327" t="s">
        <v>340</v>
      </c>
      <c r="P327" t="s">
        <v>294</v>
      </c>
    </row>
    <row r="328" spans="1:16" ht="15" customHeight="1" x14ac:dyDescent="0.25">
      <c r="A328" s="123">
        <v>45677</v>
      </c>
      <c r="B328" t="s">
        <v>366</v>
      </c>
      <c r="C328" t="s">
        <v>367</v>
      </c>
      <c r="D328" t="s">
        <v>221</v>
      </c>
      <c r="E328" t="s">
        <v>349</v>
      </c>
      <c r="F328" t="s">
        <v>177</v>
      </c>
      <c r="G328" t="s">
        <v>729</v>
      </c>
      <c r="H328" s="77">
        <v>18</v>
      </c>
      <c r="I328" s="124">
        <v>226.89</v>
      </c>
      <c r="J328" s="124">
        <v>4083.97</v>
      </c>
      <c r="K328" s="77">
        <v>60</v>
      </c>
      <c r="L328" t="s">
        <v>345</v>
      </c>
      <c r="M328" s="126">
        <v>816.79399999999998</v>
      </c>
      <c r="N328" s="124">
        <v>4083.97</v>
      </c>
      <c r="O328" t="s">
        <v>340</v>
      </c>
      <c r="P328" t="s">
        <v>294</v>
      </c>
    </row>
    <row r="329" spans="1:16" ht="15" customHeight="1" x14ac:dyDescent="0.25">
      <c r="A329" s="123">
        <v>45968</v>
      </c>
      <c r="B329" t="s">
        <v>488</v>
      </c>
      <c r="C329" t="s">
        <v>489</v>
      </c>
      <c r="D329" t="s">
        <v>225</v>
      </c>
      <c r="E329" t="s">
        <v>396</v>
      </c>
      <c r="F329" t="s">
        <v>184</v>
      </c>
      <c r="G329" t="s">
        <v>730</v>
      </c>
      <c r="H329" s="77">
        <v>66</v>
      </c>
      <c r="I329" s="124">
        <v>115.92</v>
      </c>
      <c r="J329" s="124">
        <v>7650.74</v>
      </c>
      <c r="K329" s="77">
        <v>30</v>
      </c>
      <c r="L329" t="s">
        <v>345</v>
      </c>
      <c r="M329" s="126">
        <v>1530.1479999999999</v>
      </c>
      <c r="N329" s="124">
        <v>7650.74</v>
      </c>
      <c r="O329" t="s">
        <v>346</v>
      </c>
      <c r="P329" t="s">
        <v>294</v>
      </c>
    </row>
    <row r="330" spans="1:16" ht="15" customHeight="1" x14ac:dyDescent="0.25">
      <c r="A330" s="123">
        <v>45859</v>
      </c>
      <c r="B330" t="s">
        <v>401</v>
      </c>
      <c r="C330" t="s">
        <v>402</v>
      </c>
      <c r="D330" t="s">
        <v>221</v>
      </c>
      <c r="E330" t="s">
        <v>376</v>
      </c>
      <c r="F330" t="s">
        <v>182</v>
      </c>
      <c r="G330" t="s">
        <v>731</v>
      </c>
      <c r="H330" s="77">
        <v>79</v>
      </c>
      <c r="I330" s="124">
        <v>133.91</v>
      </c>
      <c r="J330" s="124">
        <v>10578.62</v>
      </c>
      <c r="K330" s="77">
        <v>60</v>
      </c>
      <c r="L330" t="s">
        <v>345</v>
      </c>
      <c r="M330" s="126">
        <v>2115.7240000000002</v>
      </c>
      <c r="N330" s="124">
        <v>10578.62</v>
      </c>
      <c r="O330" t="s">
        <v>340</v>
      </c>
      <c r="P330" t="s">
        <v>294</v>
      </c>
    </row>
    <row r="331" spans="1:16" ht="15" customHeight="1" x14ac:dyDescent="0.25">
      <c r="A331" s="123">
        <v>45918</v>
      </c>
      <c r="B331" t="s">
        <v>383</v>
      </c>
      <c r="C331" t="s">
        <v>384</v>
      </c>
      <c r="D331" t="s">
        <v>225</v>
      </c>
      <c r="E331" t="s">
        <v>364</v>
      </c>
      <c r="F331" t="s">
        <v>182</v>
      </c>
      <c r="G331" t="s">
        <v>732</v>
      </c>
      <c r="H331" s="77">
        <v>69</v>
      </c>
      <c r="I331" s="124">
        <v>134.22</v>
      </c>
      <c r="J331" s="124">
        <v>9261.06</v>
      </c>
      <c r="K331" s="77">
        <v>45</v>
      </c>
      <c r="L331" t="s">
        <v>351</v>
      </c>
      <c r="M331" s="126">
        <v>1852.212</v>
      </c>
      <c r="N331" s="124">
        <v>9261.06</v>
      </c>
      <c r="O331" t="s">
        <v>346</v>
      </c>
      <c r="P331" t="s">
        <v>294</v>
      </c>
    </row>
    <row r="332" spans="1:16" ht="15" customHeight="1" x14ac:dyDescent="0.25">
      <c r="A332" s="123">
        <v>45666</v>
      </c>
      <c r="B332" t="s">
        <v>335</v>
      </c>
      <c r="C332" t="s">
        <v>336</v>
      </c>
      <c r="D332" t="s">
        <v>223</v>
      </c>
      <c r="E332" t="s">
        <v>437</v>
      </c>
      <c r="F332" t="s">
        <v>181</v>
      </c>
      <c r="G332" t="s">
        <v>733</v>
      </c>
      <c r="H332" s="77">
        <v>48</v>
      </c>
      <c r="I332" s="124">
        <v>218.52</v>
      </c>
      <c r="J332" s="124">
        <v>10489.11</v>
      </c>
      <c r="K332" s="77">
        <v>45</v>
      </c>
      <c r="L332" t="s">
        <v>351</v>
      </c>
      <c r="M332" s="126">
        <v>2097.8220000000001</v>
      </c>
      <c r="N332" s="124">
        <v>10489.11</v>
      </c>
      <c r="O332" t="s">
        <v>346</v>
      </c>
      <c r="P332" t="s">
        <v>294</v>
      </c>
    </row>
    <row r="333" spans="1:16" ht="15" customHeight="1" x14ac:dyDescent="0.25">
      <c r="A333" s="123">
        <v>45815</v>
      </c>
      <c r="B333" t="s">
        <v>409</v>
      </c>
      <c r="C333" t="s">
        <v>410</v>
      </c>
      <c r="D333" t="s">
        <v>223</v>
      </c>
      <c r="E333" t="s">
        <v>236</v>
      </c>
      <c r="F333" t="s">
        <v>183</v>
      </c>
      <c r="G333" t="s">
        <v>734</v>
      </c>
      <c r="H333" s="77">
        <v>4</v>
      </c>
      <c r="I333" s="124">
        <v>183.15</v>
      </c>
      <c r="J333" s="124">
        <v>732.59</v>
      </c>
      <c r="K333" s="77">
        <v>60</v>
      </c>
      <c r="L333" t="s">
        <v>345</v>
      </c>
      <c r="M333" s="126">
        <v>146.518</v>
      </c>
      <c r="N333" s="124">
        <v>732.59</v>
      </c>
      <c r="O333" t="s">
        <v>346</v>
      </c>
      <c r="P333" t="s">
        <v>294</v>
      </c>
    </row>
    <row r="334" spans="1:16" ht="15" customHeight="1" x14ac:dyDescent="0.25">
      <c r="A334" s="123">
        <v>45684</v>
      </c>
      <c r="B334" t="s">
        <v>378</v>
      </c>
      <c r="C334" t="s">
        <v>379</v>
      </c>
      <c r="D334" t="s">
        <v>227</v>
      </c>
      <c r="E334" t="s">
        <v>352</v>
      </c>
      <c r="F334" t="s">
        <v>180</v>
      </c>
      <c r="G334" t="s">
        <v>735</v>
      </c>
      <c r="H334" s="77">
        <v>75</v>
      </c>
      <c r="I334" s="124">
        <v>260.64</v>
      </c>
      <c r="J334" s="124">
        <v>19548.259999999998</v>
      </c>
      <c r="K334" s="77">
        <v>45</v>
      </c>
      <c r="L334" t="s">
        <v>339</v>
      </c>
      <c r="M334" s="126">
        <v>3909.652</v>
      </c>
      <c r="N334" s="124">
        <v>19548.259999999998</v>
      </c>
      <c r="O334" t="s">
        <v>346</v>
      </c>
      <c r="P334" t="s">
        <v>294</v>
      </c>
    </row>
    <row r="335" spans="1:16" ht="15" customHeight="1" x14ac:dyDescent="0.25">
      <c r="A335" s="123">
        <v>46006</v>
      </c>
      <c r="B335" t="s">
        <v>409</v>
      </c>
      <c r="C335" t="s">
        <v>410</v>
      </c>
      <c r="D335" t="s">
        <v>223</v>
      </c>
      <c r="E335" t="s">
        <v>235</v>
      </c>
      <c r="F335" t="s">
        <v>183</v>
      </c>
      <c r="G335" t="s">
        <v>736</v>
      </c>
      <c r="H335" s="77">
        <v>32</v>
      </c>
      <c r="I335" s="124">
        <v>206.72</v>
      </c>
      <c r="J335" s="124">
        <v>6614.9</v>
      </c>
      <c r="K335" s="77">
        <v>30</v>
      </c>
      <c r="L335" t="s">
        <v>351</v>
      </c>
      <c r="M335" s="126">
        <v>1322.98</v>
      </c>
      <c r="N335" s="124">
        <v>6614.9</v>
      </c>
      <c r="O335" t="s">
        <v>346</v>
      </c>
      <c r="P335" t="s">
        <v>294</v>
      </c>
    </row>
    <row r="336" spans="1:16" ht="15" customHeight="1" x14ac:dyDescent="0.25">
      <c r="A336" s="123">
        <v>45667</v>
      </c>
      <c r="B336" t="s">
        <v>401</v>
      </c>
      <c r="C336" t="s">
        <v>402</v>
      </c>
      <c r="D336" t="s">
        <v>221</v>
      </c>
      <c r="E336" t="s">
        <v>415</v>
      </c>
      <c r="F336" t="s">
        <v>178</v>
      </c>
      <c r="G336" t="s">
        <v>737</v>
      </c>
      <c r="H336" s="77">
        <v>57</v>
      </c>
      <c r="I336" s="124">
        <v>111.13</v>
      </c>
      <c r="J336" s="124">
        <v>6334.43</v>
      </c>
      <c r="K336" s="77">
        <v>45</v>
      </c>
      <c r="L336" t="s">
        <v>345</v>
      </c>
      <c r="M336" s="126">
        <v>1266.886</v>
      </c>
      <c r="N336" s="124">
        <v>6334.43</v>
      </c>
      <c r="O336" t="s">
        <v>340</v>
      </c>
      <c r="P336" t="s">
        <v>294</v>
      </c>
    </row>
    <row r="337" spans="1:16" ht="15" customHeight="1" x14ac:dyDescent="0.25">
      <c r="A337" s="123">
        <v>45762</v>
      </c>
      <c r="B337" t="s">
        <v>378</v>
      </c>
      <c r="C337" t="s">
        <v>379</v>
      </c>
      <c r="D337" t="s">
        <v>227</v>
      </c>
      <c r="E337" t="s">
        <v>236</v>
      </c>
      <c r="F337" t="s">
        <v>183</v>
      </c>
      <c r="G337" t="s">
        <v>738</v>
      </c>
      <c r="H337" s="77">
        <v>53</v>
      </c>
      <c r="I337" s="124">
        <v>276.69</v>
      </c>
      <c r="J337" s="124">
        <v>14664.62</v>
      </c>
      <c r="K337" s="77">
        <v>60</v>
      </c>
      <c r="L337" t="s">
        <v>351</v>
      </c>
      <c r="M337" s="126">
        <v>2932.924</v>
      </c>
      <c r="N337" s="124">
        <v>14664.62</v>
      </c>
      <c r="O337" t="s">
        <v>346</v>
      </c>
      <c r="P337" t="s">
        <v>294</v>
      </c>
    </row>
    <row r="338" spans="1:16" ht="15" customHeight="1" x14ac:dyDescent="0.25">
      <c r="A338" s="123">
        <v>45728</v>
      </c>
      <c r="B338" t="s">
        <v>406</v>
      </c>
      <c r="C338" t="s">
        <v>407</v>
      </c>
      <c r="D338" t="s">
        <v>225</v>
      </c>
      <c r="E338" t="s">
        <v>440</v>
      </c>
      <c r="F338" t="s">
        <v>177</v>
      </c>
      <c r="G338" t="s">
        <v>739</v>
      </c>
      <c r="H338" s="77">
        <v>67</v>
      </c>
      <c r="I338" s="124">
        <v>76.209999999999994</v>
      </c>
      <c r="J338" s="124">
        <v>5105.95</v>
      </c>
      <c r="K338" s="77">
        <v>30</v>
      </c>
      <c r="L338" t="s">
        <v>351</v>
      </c>
      <c r="M338" s="126">
        <v>1021.19</v>
      </c>
      <c r="N338" s="124">
        <v>5105.95</v>
      </c>
      <c r="O338" t="s">
        <v>346</v>
      </c>
      <c r="P338" t="s">
        <v>294</v>
      </c>
    </row>
    <row r="339" spans="1:16" ht="15" customHeight="1" x14ac:dyDescent="0.25">
      <c r="A339" s="123">
        <v>45850</v>
      </c>
      <c r="B339" t="s">
        <v>386</v>
      </c>
      <c r="C339" t="s">
        <v>387</v>
      </c>
      <c r="D339" t="s">
        <v>223</v>
      </c>
      <c r="E339" t="s">
        <v>417</v>
      </c>
      <c r="F339" t="s">
        <v>184</v>
      </c>
      <c r="G339" t="s">
        <v>740</v>
      </c>
      <c r="H339" s="77">
        <v>41</v>
      </c>
      <c r="I339" s="124">
        <v>62.85</v>
      </c>
      <c r="J339" s="124">
        <v>2576.79</v>
      </c>
      <c r="K339" s="77">
        <v>30</v>
      </c>
      <c r="L339" t="s">
        <v>345</v>
      </c>
      <c r="M339" s="126">
        <v>515.35799999999995</v>
      </c>
      <c r="N339" s="124">
        <v>2576.79</v>
      </c>
      <c r="O339" t="s">
        <v>346</v>
      </c>
      <c r="P339" t="s">
        <v>294</v>
      </c>
    </row>
    <row r="340" spans="1:16" ht="15" customHeight="1" x14ac:dyDescent="0.25">
      <c r="A340" s="123">
        <v>45839</v>
      </c>
      <c r="B340" t="s">
        <v>398</v>
      </c>
      <c r="C340" t="s">
        <v>399</v>
      </c>
      <c r="D340" t="s">
        <v>227</v>
      </c>
      <c r="E340" t="s">
        <v>364</v>
      </c>
      <c r="F340" t="s">
        <v>182</v>
      </c>
      <c r="G340" t="s">
        <v>741</v>
      </c>
      <c r="H340" s="77">
        <v>34</v>
      </c>
      <c r="I340" s="124">
        <v>119.22</v>
      </c>
      <c r="J340" s="124">
        <v>4053.56</v>
      </c>
      <c r="K340" s="77">
        <v>60</v>
      </c>
      <c r="L340" t="s">
        <v>345</v>
      </c>
      <c r="M340" s="126">
        <v>810.71199999999999</v>
      </c>
      <c r="N340" s="124">
        <v>4053.56</v>
      </c>
      <c r="O340" t="s">
        <v>346</v>
      </c>
      <c r="P340" t="s">
        <v>294</v>
      </c>
    </row>
    <row r="341" spans="1:16" ht="15" customHeight="1" x14ac:dyDescent="0.25">
      <c r="A341" s="123">
        <v>45943</v>
      </c>
      <c r="B341" t="s">
        <v>488</v>
      </c>
      <c r="C341" t="s">
        <v>489</v>
      </c>
      <c r="D341" t="s">
        <v>225</v>
      </c>
      <c r="E341" t="s">
        <v>360</v>
      </c>
      <c r="F341" t="s">
        <v>180</v>
      </c>
      <c r="G341" t="s">
        <v>742</v>
      </c>
      <c r="H341" s="77">
        <v>39</v>
      </c>
      <c r="I341" s="124">
        <v>183.35</v>
      </c>
      <c r="J341" s="124">
        <v>7150.76</v>
      </c>
      <c r="K341" s="77">
        <v>30</v>
      </c>
      <c r="L341" t="s">
        <v>345</v>
      </c>
      <c r="M341" s="126">
        <v>1430.152</v>
      </c>
      <c r="N341" s="124">
        <v>7150.76</v>
      </c>
      <c r="O341" t="s">
        <v>346</v>
      </c>
      <c r="P341" t="s">
        <v>294</v>
      </c>
    </row>
    <row r="342" spans="1:16" ht="15" customHeight="1" x14ac:dyDescent="0.25">
      <c r="A342" s="123">
        <v>46018</v>
      </c>
      <c r="B342" t="s">
        <v>335</v>
      </c>
      <c r="C342" t="s">
        <v>336</v>
      </c>
      <c r="D342" t="s">
        <v>223</v>
      </c>
      <c r="E342" t="s">
        <v>352</v>
      </c>
      <c r="F342" t="s">
        <v>180</v>
      </c>
      <c r="G342" t="s">
        <v>743</v>
      </c>
      <c r="H342" s="77">
        <v>63</v>
      </c>
      <c r="I342" s="124">
        <v>159.05000000000001</v>
      </c>
      <c r="J342" s="124">
        <v>10020.36</v>
      </c>
      <c r="K342" s="77">
        <v>45</v>
      </c>
      <c r="L342" t="s">
        <v>345</v>
      </c>
      <c r="M342" s="126">
        <v>2004.0719999999999</v>
      </c>
      <c r="N342" s="124">
        <v>10020.36</v>
      </c>
      <c r="O342" t="s">
        <v>346</v>
      </c>
      <c r="P342" t="s">
        <v>294</v>
      </c>
    </row>
    <row r="343" spans="1:16" ht="15" customHeight="1" x14ac:dyDescent="0.25">
      <c r="A343" s="123">
        <v>45720</v>
      </c>
      <c r="B343" t="s">
        <v>366</v>
      </c>
      <c r="C343" t="s">
        <v>367</v>
      </c>
      <c r="D343" t="s">
        <v>221</v>
      </c>
      <c r="E343" t="s">
        <v>437</v>
      </c>
      <c r="F343" t="s">
        <v>181</v>
      </c>
      <c r="G343" t="s">
        <v>744</v>
      </c>
      <c r="H343" s="77">
        <v>74</v>
      </c>
      <c r="I343" s="124">
        <v>251.55</v>
      </c>
      <c r="J343" s="124">
        <v>18614.96</v>
      </c>
      <c r="K343" s="77">
        <v>60</v>
      </c>
      <c r="L343" t="s">
        <v>351</v>
      </c>
      <c r="M343" s="126">
        <v>3722.9920000000002</v>
      </c>
      <c r="N343" s="124">
        <v>18614.96</v>
      </c>
      <c r="O343" t="s">
        <v>346</v>
      </c>
      <c r="P343" t="s">
        <v>294</v>
      </c>
    </row>
    <row r="344" spans="1:16" ht="15" customHeight="1" x14ac:dyDescent="0.25">
      <c r="A344" s="123">
        <v>45732</v>
      </c>
      <c r="B344" t="s">
        <v>383</v>
      </c>
      <c r="C344" t="s">
        <v>384</v>
      </c>
      <c r="D344" t="s">
        <v>225</v>
      </c>
      <c r="E344" t="s">
        <v>234</v>
      </c>
      <c r="F344" t="s">
        <v>183</v>
      </c>
      <c r="G344" t="s">
        <v>745</v>
      </c>
      <c r="H344" s="77">
        <v>38</v>
      </c>
      <c r="I344" s="124">
        <v>343.27</v>
      </c>
      <c r="J344" s="124">
        <v>13044.22</v>
      </c>
      <c r="K344" s="77">
        <v>30</v>
      </c>
      <c r="L344" t="s">
        <v>345</v>
      </c>
      <c r="M344" s="126">
        <v>2608.8440000000001</v>
      </c>
      <c r="N344" s="124">
        <v>13044.22</v>
      </c>
      <c r="O344" t="s">
        <v>346</v>
      </c>
      <c r="P344" t="s">
        <v>294</v>
      </c>
    </row>
    <row r="345" spans="1:16" ht="15" customHeight="1" x14ac:dyDescent="0.25">
      <c r="A345" s="123">
        <v>45884</v>
      </c>
      <c r="B345" t="s">
        <v>488</v>
      </c>
      <c r="C345" t="s">
        <v>489</v>
      </c>
      <c r="D345" t="s">
        <v>225</v>
      </c>
      <c r="E345" t="s">
        <v>368</v>
      </c>
      <c r="F345" t="s">
        <v>178</v>
      </c>
      <c r="G345" t="s">
        <v>746</v>
      </c>
      <c r="H345" s="77">
        <v>33</v>
      </c>
      <c r="I345" s="124">
        <v>49.18</v>
      </c>
      <c r="J345" s="124">
        <v>1623.07</v>
      </c>
      <c r="K345" s="77">
        <v>60</v>
      </c>
      <c r="L345" t="s">
        <v>345</v>
      </c>
      <c r="M345" s="126">
        <v>324.61399999999998</v>
      </c>
      <c r="N345" s="124">
        <v>1623.07</v>
      </c>
      <c r="O345" t="s">
        <v>346</v>
      </c>
      <c r="P345" t="s">
        <v>294</v>
      </c>
    </row>
    <row r="346" spans="1:16" ht="15" customHeight="1" x14ac:dyDescent="0.25">
      <c r="A346" s="123">
        <v>45796</v>
      </c>
      <c r="B346" t="s">
        <v>370</v>
      </c>
      <c r="C346" t="s">
        <v>371</v>
      </c>
      <c r="D346" t="s">
        <v>227</v>
      </c>
      <c r="E346" t="s">
        <v>352</v>
      </c>
      <c r="F346" t="s">
        <v>180</v>
      </c>
      <c r="G346" t="s">
        <v>747</v>
      </c>
      <c r="H346" s="77">
        <v>72</v>
      </c>
      <c r="I346" s="124">
        <v>192.94</v>
      </c>
      <c r="J346" s="124">
        <v>13891.83</v>
      </c>
      <c r="K346" s="77">
        <v>60</v>
      </c>
      <c r="L346" t="s">
        <v>345</v>
      </c>
      <c r="M346" s="126">
        <v>2778.366</v>
      </c>
      <c r="N346" s="124">
        <v>13891.83</v>
      </c>
      <c r="O346" t="s">
        <v>346</v>
      </c>
      <c r="P346" t="s">
        <v>294</v>
      </c>
    </row>
    <row r="347" spans="1:16" ht="15" customHeight="1" x14ac:dyDescent="0.25">
      <c r="A347" s="123">
        <v>45958</v>
      </c>
      <c r="B347" t="s">
        <v>370</v>
      </c>
      <c r="C347" t="s">
        <v>371</v>
      </c>
      <c r="D347" t="s">
        <v>227</v>
      </c>
      <c r="E347" t="s">
        <v>343</v>
      </c>
      <c r="F347" t="s">
        <v>178</v>
      </c>
      <c r="G347" t="s">
        <v>748</v>
      </c>
      <c r="H347" s="77">
        <v>31</v>
      </c>
      <c r="I347" s="124">
        <v>73.849999999999994</v>
      </c>
      <c r="J347" s="124">
        <v>2289.3000000000002</v>
      </c>
      <c r="K347" s="77">
        <v>30</v>
      </c>
      <c r="L347" t="s">
        <v>339</v>
      </c>
      <c r="M347" s="126">
        <v>457.86</v>
      </c>
      <c r="N347" s="124">
        <v>2289.3000000000002</v>
      </c>
      <c r="O347" t="s">
        <v>346</v>
      </c>
      <c r="P347" t="s">
        <v>294</v>
      </c>
    </row>
    <row r="348" spans="1:16" ht="15" customHeight="1" x14ac:dyDescent="0.25">
      <c r="A348" s="123">
        <v>45777</v>
      </c>
      <c r="B348" t="s">
        <v>393</v>
      </c>
      <c r="C348" t="s">
        <v>394</v>
      </c>
      <c r="D348" t="s">
        <v>227</v>
      </c>
      <c r="E348" t="s">
        <v>352</v>
      </c>
      <c r="F348" t="s">
        <v>180</v>
      </c>
      <c r="G348" t="s">
        <v>749</v>
      </c>
      <c r="H348" s="77">
        <v>7</v>
      </c>
      <c r="I348" s="124">
        <v>112.73</v>
      </c>
      <c r="J348" s="124">
        <v>789.12</v>
      </c>
      <c r="K348" s="77">
        <v>30</v>
      </c>
      <c r="L348" t="s">
        <v>345</v>
      </c>
      <c r="M348" s="126">
        <v>157.82400000000001</v>
      </c>
      <c r="N348" s="124">
        <v>789.12</v>
      </c>
      <c r="O348" t="s">
        <v>346</v>
      </c>
      <c r="P348" t="s">
        <v>294</v>
      </c>
    </row>
    <row r="349" spans="1:16" ht="15" customHeight="1" x14ac:dyDescent="0.25">
      <c r="A349" s="123">
        <v>46006</v>
      </c>
      <c r="B349" t="s">
        <v>393</v>
      </c>
      <c r="C349" t="s">
        <v>394</v>
      </c>
      <c r="D349" t="s">
        <v>227</v>
      </c>
      <c r="E349" t="s">
        <v>396</v>
      </c>
      <c r="F349" t="s">
        <v>184</v>
      </c>
      <c r="G349" t="s">
        <v>750</v>
      </c>
      <c r="H349" s="77">
        <v>18</v>
      </c>
      <c r="I349" s="124">
        <v>34.58</v>
      </c>
      <c r="J349" s="124">
        <v>622.51</v>
      </c>
      <c r="K349" s="77">
        <v>30</v>
      </c>
      <c r="L349" t="s">
        <v>351</v>
      </c>
      <c r="M349" s="126">
        <v>124.502</v>
      </c>
      <c r="N349" s="124">
        <v>622.51</v>
      </c>
      <c r="O349" t="s">
        <v>346</v>
      </c>
      <c r="P349" t="s">
        <v>294</v>
      </c>
    </row>
    <row r="350" spans="1:16" ht="15" customHeight="1" x14ac:dyDescent="0.25">
      <c r="A350" s="123">
        <v>45901</v>
      </c>
      <c r="B350" t="s">
        <v>406</v>
      </c>
      <c r="C350" t="s">
        <v>407</v>
      </c>
      <c r="D350" t="s">
        <v>225</v>
      </c>
      <c r="E350" t="s">
        <v>236</v>
      </c>
      <c r="F350" t="s">
        <v>183</v>
      </c>
      <c r="G350" t="s">
        <v>751</v>
      </c>
      <c r="H350" s="77">
        <v>62</v>
      </c>
      <c r="I350" s="124">
        <v>202.07</v>
      </c>
      <c r="J350" s="124">
        <v>12528.64</v>
      </c>
      <c r="K350" s="77">
        <v>60</v>
      </c>
      <c r="L350" t="s">
        <v>339</v>
      </c>
      <c r="M350" s="126">
        <v>2505.7280000000001</v>
      </c>
      <c r="N350" s="124">
        <v>12528.64</v>
      </c>
      <c r="O350" t="s">
        <v>346</v>
      </c>
      <c r="P350" t="s">
        <v>294</v>
      </c>
    </row>
    <row r="351" spans="1:16" ht="15" customHeight="1" x14ac:dyDescent="0.25">
      <c r="A351" s="123">
        <v>45804</v>
      </c>
      <c r="B351" t="s">
        <v>393</v>
      </c>
      <c r="C351" t="s">
        <v>394</v>
      </c>
      <c r="D351" t="s">
        <v>227</v>
      </c>
      <c r="E351" t="s">
        <v>437</v>
      </c>
      <c r="F351" t="s">
        <v>181</v>
      </c>
      <c r="G351" t="s">
        <v>752</v>
      </c>
      <c r="H351" s="77">
        <v>8</v>
      </c>
      <c r="I351" s="124">
        <v>195.63</v>
      </c>
      <c r="J351" s="124">
        <v>1565.05</v>
      </c>
      <c r="K351" s="77">
        <v>30</v>
      </c>
      <c r="L351" t="s">
        <v>351</v>
      </c>
      <c r="M351" s="126">
        <v>313.01</v>
      </c>
      <c r="N351" s="124">
        <v>1565.05</v>
      </c>
      <c r="O351" t="s">
        <v>346</v>
      </c>
      <c r="P351" t="s">
        <v>294</v>
      </c>
    </row>
    <row r="352" spans="1:16" ht="15" customHeight="1" x14ac:dyDescent="0.25">
      <c r="A352" s="123">
        <v>45677</v>
      </c>
      <c r="B352" t="s">
        <v>362</v>
      </c>
      <c r="C352" t="s">
        <v>363</v>
      </c>
      <c r="D352" t="s">
        <v>221</v>
      </c>
      <c r="E352" t="s">
        <v>352</v>
      </c>
      <c r="F352" t="s">
        <v>180</v>
      </c>
      <c r="G352" t="s">
        <v>753</v>
      </c>
      <c r="H352" s="77">
        <v>23</v>
      </c>
      <c r="I352" s="124">
        <v>296.62</v>
      </c>
      <c r="J352" s="124">
        <v>6822.32</v>
      </c>
      <c r="K352" s="77">
        <v>45</v>
      </c>
      <c r="L352" t="s">
        <v>339</v>
      </c>
      <c r="M352" s="126">
        <v>1364.4639999999999</v>
      </c>
      <c r="N352" s="124">
        <v>6822.32</v>
      </c>
      <c r="O352" t="s">
        <v>346</v>
      </c>
      <c r="P352" t="s">
        <v>294</v>
      </c>
    </row>
    <row r="353" spans="1:16" ht="15" customHeight="1" x14ac:dyDescent="0.25">
      <c r="A353" s="123">
        <v>45753</v>
      </c>
      <c r="B353" t="s">
        <v>362</v>
      </c>
      <c r="C353" t="s">
        <v>363</v>
      </c>
      <c r="D353" t="s">
        <v>221</v>
      </c>
      <c r="E353" t="s">
        <v>234</v>
      </c>
      <c r="F353" t="s">
        <v>183</v>
      </c>
      <c r="G353" t="s">
        <v>754</v>
      </c>
      <c r="H353" s="77">
        <v>38</v>
      </c>
      <c r="I353" s="124">
        <v>675.35</v>
      </c>
      <c r="J353" s="124">
        <v>25663.23</v>
      </c>
      <c r="K353" s="77">
        <v>30</v>
      </c>
      <c r="L353" t="s">
        <v>339</v>
      </c>
      <c r="M353" s="126">
        <v>5132.6459999999997</v>
      </c>
      <c r="N353" s="124">
        <v>25663.23</v>
      </c>
      <c r="O353" t="s">
        <v>346</v>
      </c>
      <c r="P353" t="s">
        <v>294</v>
      </c>
    </row>
    <row r="354" spans="1:16" ht="15" customHeight="1" x14ac:dyDescent="0.25">
      <c r="A354" s="123">
        <v>45803</v>
      </c>
      <c r="B354" t="s">
        <v>393</v>
      </c>
      <c r="C354" t="s">
        <v>394</v>
      </c>
      <c r="D354" t="s">
        <v>227</v>
      </c>
      <c r="E354" t="s">
        <v>368</v>
      </c>
      <c r="F354" t="s">
        <v>178</v>
      </c>
      <c r="G354" t="s">
        <v>755</v>
      </c>
      <c r="H354" s="77">
        <v>59</v>
      </c>
      <c r="I354" s="124">
        <v>104.18</v>
      </c>
      <c r="J354" s="124">
        <v>6146.5</v>
      </c>
      <c r="K354" s="77">
        <v>60</v>
      </c>
      <c r="L354" t="s">
        <v>351</v>
      </c>
      <c r="M354" s="126">
        <v>1229.3</v>
      </c>
      <c r="N354" s="124">
        <v>6146.5</v>
      </c>
      <c r="O354" t="s">
        <v>346</v>
      </c>
      <c r="P354" t="s">
        <v>294</v>
      </c>
    </row>
    <row r="355" spans="1:16" ht="15" customHeight="1" x14ac:dyDescent="0.25">
      <c r="A355" s="123">
        <v>45916</v>
      </c>
      <c r="B355" t="s">
        <v>362</v>
      </c>
      <c r="C355" t="s">
        <v>363</v>
      </c>
      <c r="D355" t="s">
        <v>221</v>
      </c>
      <c r="E355" t="s">
        <v>396</v>
      </c>
      <c r="F355" t="s">
        <v>184</v>
      </c>
      <c r="G355" t="s">
        <v>756</v>
      </c>
      <c r="H355" s="77">
        <v>60</v>
      </c>
      <c r="I355" s="124">
        <v>68.680000000000007</v>
      </c>
      <c r="J355" s="124">
        <v>4121.0600000000004</v>
      </c>
      <c r="K355" s="77">
        <v>45</v>
      </c>
      <c r="L355" t="s">
        <v>339</v>
      </c>
      <c r="M355" s="126">
        <v>824.21199999999999</v>
      </c>
      <c r="N355" s="124">
        <v>4121.0600000000004</v>
      </c>
      <c r="O355" t="s">
        <v>346</v>
      </c>
      <c r="P355" t="s">
        <v>294</v>
      </c>
    </row>
    <row r="356" spans="1:16" ht="15" customHeight="1" x14ac:dyDescent="0.25">
      <c r="A356" s="123">
        <v>45892</v>
      </c>
      <c r="B356" t="s">
        <v>362</v>
      </c>
      <c r="C356" t="s">
        <v>363</v>
      </c>
      <c r="D356" t="s">
        <v>221</v>
      </c>
      <c r="E356" t="s">
        <v>376</v>
      </c>
      <c r="F356" t="s">
        <v>182</v>
      </c>
      <c r="G356" t="s">
        <v>757</v>
      </c>
      <c r="H356" s="77">
        <v>33</v>
      </c>
      <c r="I356" s="124">
        <v>94.01</v>
      </c>
      <c r="J356" s="124">
        <v>3102.38</v>
      </c>
      <c r="K356" s="77">
        <v>60</v>
      </c>
      <c r="L356" t="s">
        <v>339</v>
      </c>
      <c r="M356" s="126">
        <v>620.476</v>
      </c>
      <c r="N356" s="124">
        <v>3102.38</v>
      </c>
      <c r="O356" t="s">
        <v>340</v>
      </c>
      <c r="P356" t="s">
        <v>294</v>
      </c>
    </row>
    <row r="357" spans="1:16" ht="15" customHeight="1" x14ac:dyDescent="0.25">
      <c r="A357" s="123">
        <v>45948</v>
      </c>
      <c r="B357" t="s">
        <v>366</v>
      </c>
      <c r="C357" t="s">
        <v>367</v>
      </c>
      <c r="D357" t="s">
        <v>221</v>
      </c>
      <c r="E357" t="s">
        <v>420</v>
      </c>
      <c r="F357" t="s">
        <v>182</v>
      </c>
      <c r="G357" t="s">
        <v>758</v>
      </c>
      <c r="H357" s="77">
        <v>25</v>
      </c>
      <c r="I357" s="124">
        <v>54.73</v>
      </c>
      <c r="J357" s="124">
        <v>1368.35</v>
      </c>
      <c r="K357" s="77">
        <v>30</v>
      </c>
      <c r="L357" t="s">
        <v>351</v>
      </c>
      <c r="M357" s="126">
        <v>273.67</v>
      </c>
      <c r="N357" s="124">
        <v>1368.35</v>
      </c>
      <c r="O357" t="s">
        <v>346</v>
      </c>
      <c r="P357" t="s">
        <v>294</v>
      </c>
    </row>
    <row r="358" spans="1:16" ht="15" customHeight="1" x14ac:dyDescent="0.25">
      <c r="A358" s="123">
        <v>45921</v>
      </c>
      <c r="B358" t="s">
        <v>393</v>
      </c>
      <c r="C358" t="s">
        <v>394</v>
      </c>
      <c r="D358" t="s">
        <v>227</v>
      </c>
      <c r="E358" t="s">
        <v>234</v>
      </c>
      <c r="F358" t="s">
        <v>183</v>
      </c>
      <c r="G358" t="s">
        <v>759</v>
      </c>
      <c r="H358" s="77">
        <v>42</v>
      </c>
      <c r="I358" s="124">
        <v>296.95999999999998</v>
      </c>
      <c r="J358" s="124">
        <v>12472.35</v>
      </c>
      <c r="K358" s="77">
        <v>30</v>
      </c>
      <c r="L358" t="s">
        <v>345</v>
      </c>
      <c r="M358" s="126">
        <v>2494.4699999999998</v>
      </c>
      <c r="N358" s="124">
        <v>12472.35</v>
      </c>
      <c r="O358" t="s">
        <v>346</v>
      </c>
      <c r="P358" t="s">
        <v>294</v>
      </c>
    </row>
    <row r="359" spans="1:16" ht="15" customHeight="1" x14ac:dyDescent="0.25">
      <c r="A359" s="123">
        <v>45729</v>
      </c>
      <c r="B359" t="s">
        <v>383</v>
      </c>
      <c r="C359" t="s">
        <v>384</v>
      </c>
      <c r="D359" t="s">
        <v>225</v>
      </c>
      <c r="E359" t="s">
        <v>415</v>
      </c>
      <c r="F359" t="s">
        <v>178</v>
      </c>
      <c r="G359" t="s">
        <v>760</v>
      </c>
      <c r="H359" s="77">
        <v>62</v>
      </c>
      <c r="I359" s="124">
        <v>55.46</v>
      </c>
      <c r="J359" s="124">
        <v>3438.39</v>
      </c>
      <c r="K359" s="77">
        <v>45</v>
      </c>
      <c r="L359" t="s">
        <v>339</v>
      </c>
      <c r="M359" s="126">
        <v>687.678</v>
      </c>
      <c r="N359" s="124">
        <v>3438.39</v>
      </c>
      <c r="O359" t="s">
        <v>340</v>
      </c>
      <c r="P359" t="s">
        <v>294</v>
      </c>
    </row>
    <row r="360" spans="1:16" ht="15" customHeight="1" x14ac:dyDescent="0.25">
      <c r="A360" s="123">
        <v>45778</v>
      </c>
      <c r="B360" t="s">
        <v>366</v>
      </c>
      <c r="C360" t="s">
        <v>367</v>
      </c>
      <c r="D360" t="s">
        <v>221</v>
      </c>
      <c r="E360" t="s">
        <v>437</v>
      </c>
      <c r="F360" t="s">
        <v>181</v>
      </c>
      <c r="G360" t="s">
        <v>761</v>
      </c>
      <c r="H360" s="77">
        <v>58</v>
      </c>
      <c r="I360" s="124">
        <v>262.73</v>
      </c>
      <c r="J360" s="124">
        <v>15238.28</v>
      </c>
      <c r="K360" s="77">
        <v>45</v>
      </c>
      <c r="L360" t="s">
        <v>345</v>
      </c>
      <c r="M360" s="126">
        <v>3047.6559999999999</v>
      </c>
      <c r="N360" s="124">
        <v>15238.28</v>
      </c>
      <c r="O360" t="s">
        <v>346</v>
      </c>
      <c r="P360" t="s">
        <v>294</v>
      </c>
    </row>
    <row r="361" spans="1:16" ht="15" customHeight="1" x14ac:dyDescent="0.25">
      <c r="A361" s="123">
        <v>45992</v>
      </c>
      <c r="B361" t="s">
        <v>401</v>
      </c>
      <c r="C361" t="s">
        <v>402</v>
      </c>
      <c r="D361" t="s">
        <v>221</v>
      </c>
      <c r="E361" t="s">
        <v>496</v>
      </c>
      <c r="F361" t="s">
        <v>177</v>
      </c>
      <c r="G361" t="s">
        <v>762</v>
      </c>
      <c r="H361" s="77">
        <v>47</v>
      </c>
      <c r="I361" s="124">
        <v>76.14</v>
      </c>
      <c r="J361" s="124">
        <v>3578.37</v>
      </c>
      <c r="K361" s="77">
        <v>60</v>
      </c>
      <c r="L361" t="s">
        <v>339</v>
      </c>
      <c r="M361" s="126">
        <v>715.67399999999998</v>
      </c>
      <c r="N361" s="124">
        <v>3578.37</v>
      </c>
      <c r="O361" t="s">
        <v>346</v>
      </c>
      <c r="P361" t="s">
        <v>294</v>
      </c>
    </row>
    <row r="362" spans="1:16" ht="15" customHeight="1" x14ac:dyDescent="0.25">
      <c r="A362" s="123">
        <v>45815</v>
      </c>
      <c r="B362" t="s">
        <v>401</v>
      </c>
      <c r="C362" t="s">
        <v>402</v>
      </c>
      <c r="D362" t="s">
        <v>221</v>
      </c>
      <c r="E362" t="s">
        <v>368</v>
      </c>
      <c r="F362" t="s">
        <v>178</v>
      </c>
      <c r="G362" t="s">
        <v>763</v>
      </c>
      <c r="H362" s="77">
        <v>21</v>
      </c>
      <c r="I362" s="124">
        <v>86.49</v>
      </c>
      <c r="J362" s="124">
        <v>1816.29</v>
      </c>
      <c r="K362" s="77">
        <v>45</v>
      </c>
      <c r="L362" t="s">
        <v>351</v>
      </c>
      <c r="M362" s="126">
        <v>363.25799999999998</v>
      </c>
      <c r="N362" s="124">
        <v>1816.29</v>
      </c>
      <c r="O362" t="s">
        <v>346</v>
      </c>
      <c r="P362" t="s">
        <v>294</v>
      </c>
    </row>
    <row r="363" spans="1:16" ht="15" customHeight="1" x14ac:dyDescent="0.25">
      <c r="A363" s="123">
        <v>45718</v>
      </c>
      <c r="B363" t="s">
        <v>390</v>
      </c>
      <c r="C363" t="s">
        <v>391</v>
      </c>
      <c r="D363" t="s">
        <v>221</v>
      </c>
      <c r="E363" t="s">
        <v>403</v>
      </c>
      <c r="F363" t="s">
        <v>181</v>
      </c>
      <c r="G363" t="s">
        <v>764</v>
      </c>
      <c r="H363" s="77">
        <v>38</v>
      </c>
      <c r="I363" s="124">
        <v>511.14</v>
      </c>
      <c r="J363" s="124">
        <v>19423.13</v>
      </c>
      <c r="K363" s="77">
        <v>45</v>
      </c>
      <c r="L363" t="s">
        <v>351</v>
      </c>
      <c r="M363" s="126">
        <v>3884.6260000000002</v>
      </c>
      <c r="N363" s="124">
        <v>19423.13</v>
      </c>
      <c r="O363" t="s">
        <v>346</v>
      </c>
      <c r="P363" t="s">
        <v>294</v>
      </c>
    </row>
    <row r="364" spans="1:16" ht="15" customHeight="1" x14ac:dyDescent="0.25">
      <c r="A364" s="123">
        <v>45902</v>
      </c>
      <c r="B364" t="s">
        <v>406</v>
      </c>
      <c r="C364" t="s">
        <v>407</v>
      </c>
      <c r="D364" t="s">
        <v>225</v>
      </c>
      <c r="E364" t="s">
        <v>423</v>
      </c>
      <c r="F364" t="s">
        <v>180</v>
      </c>
      <c r="G364" t="s">
        <v>765</v>
      </c>
      <c r="H364" s="77">
        <v>20</v>
      </c>
      <c r="I364" s="124">
        <v>235.48</v>
      </c>
      <c r="J364" s="124">
        <v>4709.68</v>
      </c>
      <c r="K364" s="77">
        <v>45</v>
      </c>
      <c r="L364" t="s">
        <v>351</v>
      </c>
      <c r="M364" s="126">
        <v>941.93600000000004</v>
      </c>
      <c r="N364" s="124">
        <v>4709.68</v>
      </c>
      <c r="O364" t="s">
        <v>346</v>
      </c>
      <c r="P364" t="s">
        <v>294</v>
      </c>
    </row>
    <row r="365" spans="1:16" ht="15" customHeight="1" x14ac:dyDescent="0.25">
      <c r="A365" s="123">
        <v>46017</v>
      </c>
      <c r="B365" t="s">
        <v>398</v>
      </c>
      <c r="C365" t="s">
        <v>399</v>
      </c>
      <c r="D365" t="s">
        <v>227</v>
      </c>
      <c r="E365" t="s">
        <v>420</v>
      </c>
      <c r="F365" t="s">
        <v>182</v>
      </c>
      <c r="G365" t="s">
        <v>766</v>
      </c>
      <c r="H365" s="77">
        <v>71</v>
      </c>
      <c r="I365" s="124">
        <v>118.49</v>
      </c>
      <c r="J365" s="124">
        <v>8412.7000000000007</v>
      </c>
      <c r="K365" s="77">
        <v>45</v>
      </c>
      <c r="L365" t="s">
        <v>351</v>
      </c>
      <c r="M365" s="126">
        <v>1682.54</v>
      </c>
      <c r="N365" s="124">
        <v>8412.7000000000007</v>
      </c>
      <c r="O365" t="s">
        <v>346</v>
      </c>
      <c r="P365" t="s">
        <v>294</v>
      </c>
    </row>
    <row r="366" spans="1:16" ht="15" customHeight="1" x14ac:dyDescent="0.25">
      <c r="A366" s="123">
        <v>46006</v>
      </c>
      <c r="B366" t="s">
        <v>406</v>
      </c>
      <c r="C366" t="s">
        <v>407</v>
      </c>
      <c r="D366" t="s">
        <v>225</v>
      </c>
      <c r="E366" t="s">
        <v>423</v>
      </c>
      <c r="F366" t="s">
        <v>180</v>
      </c>
      <c r="G366" t="s">
        <v>767</v>
      </c>
      <c r="H366" s="77">
        <v>77</v>
      </c>
      <c r="I366" s="124">
        <v>365.42</v>
      </c>
      <c r="J366" s="124">
        <v>28137.14</v>
      </c>
      <c r="K366" s="77">
        <v>30</v>
      </c>
      <c r="L366" t="s">
        <v>351</v>
      </c>
      <c r="M366" s="126">
        <v>5627.4279999999999</v>
      </c>
      <c r="N366" s="124">
        <v>28137.14</v>
      </c>
      <c r="O366" t="s">
        <v>346</v>
      </c>
      <c r="P366" t="s">
        <v>294</v>
      </c>
    </row>
    <row r="367" spans="1:16" ht="15" customHeight="1" x14ac:dyDescent="0.25">
      <c r="A367" s="123">
        <v>45946</v>
      </c>
      <c r="B367" t="s">
        <v>378</v>
      </c>
      <c r="C367" t="s">
        <v>379</v>
      </c>
      <c r="D367" t="s">
        <v>227</v>
      </c>
      <c r="E367" t="s">
        <v>376</v>
      </c>
      <c r="F367" t="s">
        <v>182</v>
      </c>
      <c r="G367" t="s">
        <v>768</v>
      </c>
      <c r="H367" s="77">
        <v>15</v>
      </c>
      <c r="I367" s="124">
        <v>76.19</v>
      </c>
      <c r="J367" s="124">
        <v>1142.82</v>
      </c>
      <c r="K367" s="77">
        <v>30</v>
      </c>
      <c r="L367" t="s">
        <v>351</v>
      </c>
      <c r="M367" s="126">
        <v>228.56399999999999</v>
      </c>
      <c r="N367" s="124">
        <v>1142.82</v>
      </c>
      <c r="O367" t="s">
        <v>340</v>
      </c>
      <c r="P367" t="s">
        <v>294</v>
      </c>
    </row>
    <row r="368" spans="1:16" ht="15" customHeight="1" x14ac:dyDescent="0.25">
      <c r="A368" s="123">
        <v>45932</v>
      </c>
      <c r="B368" t="s">
        <v>378</v>
      </c>
      <c r="C368" t="s">
        <v>379</v>
      </c>
      <c r="D368" t="s">
        <v>227</v>
      </c>
      <c r="E368" t="s">
        <v>352</v>
      </c>
      <c r="F368" t="s">
        <v>180</v>
      </c>
      <c r="G368" t="s">
        <v>769</v>
      </c>
      <c r="H368" s="77">
        <v>20</v>
      </c>
      <c r="I368" s="124">
        <v>282.79000000000002</v>
      </c>
      <c r="J368" s="124">
        <v>5655.84</v>
      </c>
      <c r="K368" s="77">
        <v>30</v>
      </c>
      <c r="L368" t="s">
        <v>345</v>
      </c>
      <c r="M368" s="126">
        <v>1131.1679999999999</v>
      </c>
      <c r="N368" s="124">
        <v>5655.84</v>
      </c>
      <c r="O368" t="s">
        <v>346</v>
      </c>
      <c r="P368" t="s">
        <v>294</v>
      </c>
    </row>
    <row r="369" spans="1:16" ht="15" customHeight="1" x14ac:dyDescent="0.25">
      <c r="A369" s="123">
        <v>46006</v>
      </c>
      <c r="B369" t="s">
        <v>393</v>
      </c>
      <c r="C369" t="s">
        <v>394</v>
      </c>
      <c r="D369" t="s">
        <v>227</v>
      </c>
      <c r="E369" t="s">
        <v>396</v>
      </c>
      <c r="F369" t="s">
        <v>184</v>
      </c>
      <c r="G369" t="s">
        <v>770</v>
      </c>
      <c r="H369" s="77">
        <v>27</v>
      </c>
      <c r="I369" s="124">
        <v>75.52</v>
      </c>
      <c r="J369" s="124">
        <v>2039.07</v>
      </c>
      <c r="K369" s="77">
        <v>60</v>
      </c>
      <c r="L369" t="s">
        <v>351</v>
      </c>
      <c r="M369" s="126">
        <v>407.81400000000002</v>
      </c>
      <c r="N369" s="124">
        <v>2039.07</v>
      </c>
      <c r="O369" t="s">
        <v>346</v>
      </c>
      <c r="P369" t="s">
        <v>294</v>
      </c>
    </row>
    <row r="370" spans="1:16" ht="15" customHeight="1" x14ac:dyDescent="0.25">
      <c r="A370" s="123">
        <v>45886</v>
      </c>
      <c r="B370" t="s">
        <v>347</v>
      </c>
      <c r="C370" t="s">
        <v>348</v>
      </c>
      <c r="D370" t="s">
        <v>223</v>
      </c>
      <c r="E370" t="s">
        <v>343</v>
      </c>
      <c r="F370" t="s">
        <v>178</v>
      </c>
      <c r="G370" t="s">
        <v>771</v>
      </c>
      <c r="H370" s="77">
        <v>8</v>
      </c>
      <c r="I370" s="124">
        <v>68.59</v>
      </c>
      <c r="J370" s="124">
        <v>548.70000000000005</v>
      </c>
      <c r="K370" s="77">
        <v>45</v>
      </c>
      <c r="L370" t="s">
        <v>339</v>
      </c>
      <c r="M370" s="126">
        <v>109.74</v>
      </c>
      <c r="N370" s="124">
        <v>548.70000000000005</v>
      </c>
      <c r="O370" t="s">
        <v>346</v>
      </c>
      <c r="P370" t="s">
        <v>294</v>
      </c>
    </row>
    <row r="371" spans="1:16" ht="15" customHeight="1" x14ac:dyDescent="0.25">
      <c r="A371" s="123">
        <v>45946</v>
      </c>
      <c r="B371" t="s">
        <v>378</v>
      </c>
      <c r="C371" t="s">
        <v>379</v>
      </c>
      <c r="D371" t="s">
        <v>227</v>
      </c>
      <c r="E371" t="s">
        <v>234</v>
      </c>
      <c r="F371" t="s">
        <v>183</v>
      </c>
      <c r="G371" t="s">
        <v>772</v>
      </c>
      <c r="H371" s="77">
        <v>8</v>
      </c>
      <c r="I371" s="124">
        <v>196.1</v>
      </c>
      <c r="J371" s="124">
        <v>1568.8</v>
      </c>
      <c r="K371" s="77">
        <v>60</v>
      </c>
      <c r="L371" t="s">
        <v>345</v>
      </c>
      <c r="M371" s="126">
        <v>313.76</v>
      </c>
      <c r="N371" s="124">
        <v>1568.8</v>
      </c>
      <c r="O371" t="s">
        <v>346</v>
      </c>
      <c r="P371" t="s">
        <v>294</v>
      </c>
    </row>
    <row r="372" spans="1:16" ht="15" customHeight="1" x14ac:dyDescent="0.25">
      <c r="A372" s="123">
        <v>45669</v>
      </c>
      <c r="B372" t="s">
        <v>378</v>
      </c>
      <c r="C372" t="s">
        <v>379</v>
      </c>
      <c r="D372" t="s">
        <v>227</v>
      </c>
      <c r="E372" t="s">
        <v>403</v>
      </c>
      <c r="F372" t="s">
        <v>181</v>
      </c>
      <c r="G372" t="s">
        <v>773</v>
      </c>
      <c r="H372" s="77">
        <v>51</v>
      </c>
      <c r="I372" s="124">
        <v>222.99</v>
      </c>
      <c r="J372" s="124">
        <v>11372.28</v>
      </c>
      <c r="K372" s="77">
        <v>45</v>
      </c>
      <c r="L372" t="s">
        <v>339</v>
      </c>
      <c r="M372" s="126">
        <v>2274.4560000000001</v>
      </c>
      <c r="N372" s="124">
        <v>11372.28</v>
      </c>
      <c r="O372" t="s">
        <v>346</v>
      </c>
      <c r="P372" t="s">
        <v>294</v>
      </c>
    </row>
    <row r="373" spans="1:16" ht="15" customHeight="1" x14ac:dyDescent="0.25">
      <c r="A373" s="123">
        <v>45695</v>
      </c>
      <c r="B373" t="s">
        <v>378</v>
      </c>
      <c r="C373" t="s">
        <v>379</v>
      </c>
      <c r="D373" t="s">
        <v>227</v>
      </c>
      <c r="E373" t="s">
        <v>352</v>
      </c>
      <c r="F373" t="s">
        <v>180</v>
      </c>
      <c r="G373" t="s">
        <v>774</v>
      </c>
      <c r="H373" s="77">
        <v>6</v>
      </c>
      <c r="I373" s="124">
        <v>328.77</v>
      </c>
      <c r="J373" s="124">
        <v>1972.62</v>
      </c>
      <c r="K373" s="77">
        <v>45</v>
      </c>
      <c r="L373" t="s">
        <v>345</v>
      </c>
      <c r="M373" s="126">
        <v>394.524</v>
      </c>
      <c r="N373" s="124">
        <v>1972.62</v>
      </c>
      <c r="O373" t="s">
        <v>346</v>
      </c>
      <c r="P373" t="s">
        <v>294</v>
      </c>
    </row>
    <row r="374" spans="1:16" ht="15" customHeight="1" x14ac:dyDescent="0.25">
      <c r="A374" s="123">
        <v>45688</v>
      </c>
      <c r="B374" t="s">
        <v>366</v>
      </c>
      <c r="C374" t="s">
        <v>367</v>
      </c>
      <c r="D374" t="s">
        <v>221</v>
      </c>
      <c r="E374" t="s">
        <v>343</v>
      </c>
      <c r="F374" t="s">
        <v>178</v>
      </c>
      <c r="G374" t="s">
        <v>775</v>
      </c>
      <c r="H374" s="77">
        <v>9</v>
      </c>
      <c r="I374" s="124">
        <v>144.38999999999999</v>
      </c>
      <c r="J374" s="124">
        <v>1299.51</v>
      </c>
      <c r="K374" s="77">
        <v>45</v>
      </c>
      <c r="L374" t="s">
        <v>339</v>
      </c>
      <c r="M374" s="126">
        <v>259.90199999999999</v>
      </c>
      <c r="N374" s="124">
        <v>1299.51</v>
      </c>
      <c r="O374" t="s">
        <v>346</v>
      </c>
      <c r="P374" t="s">
        <v>294</v>
      </c>
    </row>
    <row r="375" spans="1:16" ht="15" customHeight="1" x14ac:dyDescent="0.25">
      <c r="A375" s="123">
        <v>45727</v>
      </c>
      <c r="B375" t="s">
        <v>409</v>
      </c>
      <c r="C375" t="s">
        <v>410</v>
      </c>
      <c r="D375" t="s">
        <v>223</v>
      </c>
      <c r="E375" t="s">
        <v>235</v>
      </c>
      <c r="F375" t="s">
        <v>183</v>
      </c>
      <c r="G375" t="s">
        <v>776</v>
      </c>
      <c r="H375" s="77">
        <v>54</v>
      </c>
      <c r="I375" s="124">
        <v>508.46</v>
      </c>
      <c r="J375" s="124">
        <v>27456.7</v>
      </c>
      <c r="K375" s="77">
        <v>45</v>
      </c>
      <c r="L375" t="s">
        <v>345</v>
      </c>
      <c r="M375" s="126">
        <v>5491.34</v>
      </c>
      <c r="N375" s="124">
        <v>27456.7</v>
      </c>
      <c r="O375" t="s">
        <v>346</v>
      </c>
      <c r="P375" t="s">
        <v>294</v>
      </c>
    </row>
    <row r="376" spans="1:16" ht="15" customHeight="1" x14ac:dyDescent="0.25">
      <c r="A376" s="123">
        <v>45699</v>
      </c>
      <c r="B376" t="s">
        <v>358</v>
      </c>
      <c r="C376" t="s">
        <v>359</v>
      </c>
      <c r="D376" t="s">
        <v>225</v>
      </c>
      <c r="E376" t="s">
        <v>234</v>
      </c>
      <c r="F376" t="s">
        <v>183</v>
      </c>
      <c r="G376" t="s">
        <v>777</v>
      </c>
      <c r="H376" s="77">
        <v>70</v>
      </c>
      <c r="I376" s="124">
        <v>980.47</v>
      </c>
      <c r="J376" s="124">
        <v>68632.95</v>
      </c>
      <c r="K376" s="77">
        <v>30</v>
      </c>
      <c r="L376" t="s">
        <v>351</v>
      </c>
      <c r="M376" s="126">
        <v>13726.59</v>
      </c>
      <c r="N376" s="124">
        <v>68632.95</v>
      </c>
      <c r="O376" t="s">
        <v>346</v>
      </c>
      <c r="P376" t="s">
        <v>294</v>
      </c>
    </row>
    <row r="377" spans="1:16" ht="15" customHeight="1" x14ac:dyDescent="0.25">
      <c r="A377" s="123">
        <v>45933</v>
      </c>
      <c r="B377" t="s">
        <v>362</v>
      </c>
      <c r="C377" t="s">
        <v>363</v>
      </c>
      <c r="D377" t="s">
        <v>221</v>
      </c>
      <c r="E377" t="s">
        <v>415</v>
      </c>
      <c r="F377" t="s">
        <v>178</v>
      </c>
      <c r="G377" t="s">
        <v>778</v>
      </c>
      <c r="H377" s="77">
        <v>51</v>
      </c>
      <c r="I377" s="124">
        <v>42.62</v>
      </c>
      <c r="J377" s="124">
        <v>2173.67</v>
      </c>
      <c r="K377" s="77">
        <v>60</v>
      </c>
      <c r="L377" t="s">
        <v>339</v>
      </c>
      <c r="M377" s="126">
        <v>434.73399999999998</v>
      </c>
      <c r="N377" s="124">
        <v>2173.67</v>
      </c>
      <c r="O377" t="s">
        <v>340</v>
      </c>
      <c r="P377" t="s">
        <v>294</v>
      </c>
    </row>
    <row r="378" spans="1:16" ht="15" customHeight="1" x14ac:dyDescent="0.25">
      <c r="A378" s="123">
        <v>45669</v>
      </c>
      <c r="B378" t="s">
        <v>358</v>
      </c>
      <c r="C378" t="s">
        <v>359</v>
      </c>
      <c r="D378" t="s">
        <v>225</v>
      </c>
      <c r="E378" t="s">
        <v>423</v>
      </c>
      <c r="F378" t="s">
        <v>180</v>
      </c>
      <c r="G378" t="s">
        <v>779</v>
      </c>
      <c r="H378" s="77">
        <v>39</v>
      </c>
      <c r="I378" s="124">
        <v>403.93</v>
      </c>
      <c r="J378" s="124">
        <v>15753.2</v>
      </c>
      <c r="K378" s="77">
        <v>45</v>
      </c>
      <c r="L378" t="s">
        <v>351</v>
      </c>
      <c r="M378" s="126">
        <v>3150.64</v>
      </c>
      <c r="N378" s="124">
        <v>15753.2</v>
      </c>
      <c r="O378" t="s">
        <v>346</v>
      </c>
      <c r="P378" t="s">
        <v>294</v>
      </c>
    </row>
    <row r="379" spans="1:16" ht="15" customHeight="1" x14ac:dyDescent="0.25">
      <c r="A379" s="123">
        <v>45852</v>
      </c>
      <c r="B379" t="s">
        <v>341</v>
      </c>
      <c r="C379" t="s">
        <v>342</v>
      </c>
      <c r="D379" t="s">
        <v>223</v>
      </c>
      <c r="E379" t="s">
        <v>236</v>
      </c>
      <c r="F379" t="s">
        <v>183</v>
      </c>
      <c r="G379" t="s">
        <v>780</v>
      </c>
      <c r="H379" s="77">
        <v>30</v>
      </c>
      <c r="I379" s="124">
        <v>331.83</v>
      </c>
      <c r="J379" s="124">
        <v>9954.8799999999992</v>
      </c>
      <c r="K379" s="77">
        <v>30</v>
      </c>
      <c r="L379" t="s">
        <v>345</v>
      </c>
      <c r="M379" s="126">
        <v>1990.9760000000001</v>
      </c>
      <c r="N379" s="124">
        <v>9954.8799999999992</v>
      </c>
      <c r="O379" t="s">
        <v>346</v>
      </c>
      <c r="P379" t="s">
        <v>294</v>
      </c>
    </row>
    <row r="380" spans="1:16" ht="15" customHeight="1" x14ac:dyDescent="0.25">
      <c r="A380" s="123">
        <v>45754</v>
      </c>
      <c r="B380" t="s">
        <v>341</v>
      </c>
      <c r="C380" t="s">
        <v>342</v>
      </c>
      <c r="D380" t="s">
        <v>223</v>
      </c>
      <c r="E380" t="s">
        <v>381</v>
      </c>
      <c r="F380" t="s">
        <v>179</v>
      </c>
      <c r="G380" t="s">
        <v>781</v>
      </c>
      <c r="H380" s="77">
        <v>15</v>
      </c>
      <c r="I380" s="124">
        <v>600.25</v>
      </c>
      <c r="J380" s="124">
        <v>9003.77</v>
      </c>
      <c r="K380" s="77">
        <v>30</v>
      </c>
      <c r="L380" t="s">
        <v>351</v>
      </c>
      <c r="M380" s="126">
        <v>1800.7539999999999</v>
      </c>
      <c r="N380" s="124">
        <v>9003.77</v>
      </c>
      <c r="O380" t="s">
        <v>346</v>
      </c>
      <c r="P380" t="s">
        <v>294</v>
      </c>
    </row>
    <row r="381" spans="1:16" ht="15" customHeight="1" x14ac:dyDescent="0.25">
      <c r="A381" s="123">
        <v>45763</v>
      </c>
      <c r="B381" t="s">
        <v>383</v>
      </c>
      <c r="C381" t="s">
        <v>384</v>
      </c>
      <c r="D381" t="s">
        <v>225</v>
      </c>
      <c r="E381" t="s">
        <v>349</v>
      </c>
      <c r="F381" t="s">
        <v>177</v>
      </c>
      <c r="G381" t="s">
        <v>782</v>
      </c>
      <c r="H381" s="77">
        <v>9</v>
      </c>
      <c r="I381" s="124">
        <v>76.930000000000007</v>
      </c>
      <c r="J381" s="124">
        <v>692.39</v>
      </c>
      <c r="K381" s="77">
        <v>30</v>
      </c>
      <c r="L381" t="s">
        <v>351</v>
      </c>
      <c r="M381" s="126">
        <v>138.47800000000001</v>
      </c>
      <c r="N381" s="124">
        <v>692.39</v>
      </c>
      <c r="O381" t="s">
        <v>340</v>
      </c>
      <c r="P381" t="s">
        <v>294</v>
      </c>
    </row>
    <row r="382" spans="1:16" ht="15" customHeight="1" x14ac:dyDescent="0.25">
      <c r="A382" s="123">
        <v>46002</v>
      </c>
      <c r="B382" t="s">
        <v>390</v>
      </c>
      <c r="C382" t="s">
        <v>391</v>
      </c>
      <c r="D382" t="s">
        <v>221</v>
      </c>
      <c r="E382" t="s">
        <v>417</v>
      </c>
      <c r="F382" t="s">
        <v>184</v>
      </c>
      <c r="G382" t="s">
        <v>783</v>
      </c>
      <c r="H382" s="77">
        <v>7</v>
      </c>
      <c r="I382" s="124">
        <v>47.26</v>
      </c>
      <c r="J382" s="124">
        <v>330.81</v>
      </c>
      <c r="K382" s="77">
        <v>30</v>
      </c>
      <c r="L382" t="s">
        <v>351</v>
      </c>
      <c r="M382" s="126">
        <v>66.162000000000006</v>
      </c>
      <c r="N382" s="124">
        <v>330.81</v>
      </c>
      <c r="O382" t="s">
        <v>346</v>
      </c>
      <c r="P382" t="s">
        <v>294</v>
      </c>
    </row>
    <row r="383" spans="1:16" ht="15" customHeight="1" x14ac:dyDescent="0.25">
      <c r="A383" s="123">
        <v>45777</v>
      </c>
      <c r="B383" t="s">
        <v>335</v>
      </c>
      <c r="C383" t="s">
        <v>336</v>
      </c>
      <c r="D383" t="s">
        <v>223</v>
      </c>
      <c r="E383" t="s">
        <v>234</v>
      </c>
      <c r="F383" t="s">
        <v>183</v>
      </c>
      <c r="G383" t="s">
        <v>784</v>
      </c>
      <c r="H383" s="77">
        <v>70</v>
      </c>
      <c r="I383" s="124">
        <v>215.75</v>
      </c>
      <c r="J383" s="124">
        <v>15102.44</v>
      </c>
      <c r="K383" s="77">
        <v>30</v>
      </c>
      <c r="L383" t="s">
        <v>339</v>
      </c>
      <c r="M383" s="126">
        <v>3020.4879999999998</v>
      </c>
      <c r="N383" s="124">
        <v>15102.44</v>
      </c>
      <c r="O383" t="s">
        <v>346</v>
      </c>
      <c r="P383" t="s">
        <v>294</v>
      </c>
    </row>
    <row r="384" spans="1:16" ht="15" customHeight="1" x14ac:dyDescent="0.25">
      <c r="A384" s="123">
        <v>45952</v>
      </c>
      <c r="B384" t="s">
        <v>362</v>
      </c>
      <c r="C384" t="s">
        <v>363</v>
      </c>
      <c r="D384" t="s">
        <v>221</v>
      </c>
      <c r="E384" t="s">
        <v>356</v>
      </c>
      <c r="F384" t="s">
        <v>181</v>
      </c>
      <c r="G384" t="s">
        <v>785</v>
      </c>
      <c r="H384" s="77">
        <v>41</v>
      </c>
      <c r="I384" s="124">
        <v>68.41</v>
      </c>
      <c r="J384" s="124">
        <v>2804.71</v>
      </c>
      <c r="K384" s="77">
        <v>60</v>
      </c>
      <c r="L384" t="s">
        <v>351</v>
      </c>
      <c r="M384" s="126">
        <v>560.94200000000001</v>
      </c>
      <c r="N384" s="124">
        <v>2804.71</v>
      </c>
      <c r="O384" t="s">
        <v>340</v>
      </c>
      <c r="P384" t="s">
        <v>294</v>
      </c>
    </row>
    <row r="385" spans="1:16" ht="15" customHeight="1" x14ac:dyDescent="0.25">
      <c r="A385" s="123">
        <v>45812</v>
      </c>
      <c r="B385" t="s">
        <v>398</v>
      </c>
      <c r="C385" t="s">
        <v>399</v>
      </c>
      <c r="D385" t="s">
        <v>227</v>
      </c>
      <c r="E385" t="s">
        <v>376</v>
      </c>
      <c r="F385" t="s">
        <v>182</v>
      </c>
      <c r="G385" t="s">
        <v>786</v>
      </c>
      <c r="H385" s="77">
        <v>19</v>
      </c>
      <c r="I385" s="124">
        <v>71.14</v>
      </c>
      <c r="J385" s="124">
        <v>1351.74</v>
      </c>
      <c r="K385" s="77">
        <v>60</v>
      </c>
      <c r="L385" t="s">
        <v>351</v>
      </c>
      <c r="M385" s="126">
        <v>270.34800000000001</v>
      </c>
      <c r="N385" s="124">
        <v>1351.74</v>
      </c>
      <c r="O385" t="s">
        <v>340</v>
      </c>
      <c r="P385" t="s">
        <v>294</v>
      </c>
    </row>
    <row r="386" spans="1:16" ht="15" customHeight="1" x14ac:dyDescent="0.25">
      <c r="A386" s="123">
        <v>45798</v>
      </c>
      <c r="B386" t="s">
        <v>373</v>
      </c>
      <c r="C386" t="s">
        <v>374</v>
      </c>
      <c r="D386" t="s">
        <v>225</v>
      </c>
      <c r="E386" t="s">
        <v>234</v>
      </c>
      <c r="F386" t="s">
        <v>183</v>
      </c>
      <c r="G386" t="s">
        <v>787</v>
      </c>
      <c r="H386" s="77">
        <v>8</v>
      </c>
      <c r="I386" s="124">
        <v>197.6</v>
      </c>
      <c r="J386" s="124">
        <v>1580.82</v>
      </c>
      <c r="K386" s="77">
        <v>60</v>
      </c>
      <c r="L386" t="s">
        <v>351</v>
      </c>
      <c r="M386" s="126">
        <v>316.16399999999999</v>
      </c>
      <c r="N386" s="124">
        <v>1580.82</v>
      </c>
      <c r="O386" t="s">
        <v>346</v>
      </c>
      <c r="P386" t="s">
        <v>294</v>
      </c>
    </row>
    <row r="387" spans="1:16" ht="15" customHeight="1" x14ac:dyDescent="0.25">
      <c r="A387" s="123">
        <v>46005</v>
      </c>
      <c r="B387" t="s">
        <v>373</v>
      </c>
      <c r="C387" t="s">
        <v>374</v>
      </c>
      <c r="D387" t="s">
        <v>225</v>
      </c>
      <c r="E387" t="s">
        <v>412</v>
      </c>
      <c r="F387" t="s">
        <v>179</v>
      </c>
      <c r="G387" t="s">
        <v>788</v>
      </c>
      <c r="H387" s="77">
        <v>55</v>
      </c>
      <c r="I387" s="124">
        <v>195.52</v>
      </c>
      <c r="J387" s="124">
        <v>10753.72</v>
      </c>
      <c r="K387" s="77">
        <v>60</v>
      </c>
      <c r="L387" t="s">
        <v>345</v>
      </c>
      <c r="M387" s="126">
        <v>2150.7440000000001</v>
      </c>
      <c r="N387" s="124">
        <v>10753.72</v>
      </c>
      <c r="O387" t="s">
        <v>346</v>
      </c>
      <c r="P387" t="s">
        <v>294</v>
      </c>
    </row>
    <row r="388" spans="1:16" ht="15" customHeight="1" x14ac:dyDescent="0.25">
      <c r="A388" s="123">
        <v>46001</v>
      </c>
      <c r="B388" t="s">
        <v>347</v>
      </c>
      <c r="C388" t="s">
        <v>348</v>
      </c>
      <c r="D388" t="s">
        <v>223</v>
      </c>
      <c r="E388" t="s">
        <v>364</v>
      </c>
      <c r="F388" t="s">
        <v>182</v>
      </c>
      <c r="G388" t="s">
        <v>789</v>
      </c>
      <c r="H388" s="77">
        <v>49</v>
      </c>
      <c r="I388" s="124">
        <v>114.65</v>
      </c>
      <c r="J388" s="124">
        <v>5617.62</v>
      </c>
      <c r="K388" s="77">
        <v>60</v>
      </c>
      <c r="L388" t="s">
        <v>345</v>
      </c>
      <c r="M388" s="126">
        <v>1123.5239999999999</v>
      </c>
      <c r="N388" s="124">
        <v>5617.62</v>
      </c>
      <c r="O388" t="s">
        <v>346</v>
      </c>
      <c r="P388" t="s">
        <v>294</v>
      </c>
    </row>
    <row r="389" spans="1:16" ht="15" customHeight="1" x14ac:dyDescent="0.25">
      <c r="A389" s="123">
        <v>45734</v>
      </c>
      <c r="B389" t="s">
        <v>373</v>
      </c>
      <c r="C389" t="s">
        <v>374</v>
      </c>
      <c r="D389" t="s">
        <v>225</v>
      </c>
      <c r="E389" t="s">
        <v>234</v>
      </c>
      <c r="F389" t="s">
        <v>183</v>
      </c>
      <c r="G389" t="s">
        <v>790</v>
      </c>
      <c r="H389" s="77">
        <v>39</v>
      </c>
      <c r="I389" s="124">
        <v>841.91</v>
      </c>
      <c r="J389" s="124">
        <v>32834.6</v>
      </c>
      <c r="K389" s="77">
        <v>45</v>
      </c>
      <c r="L389" t="s">
        <v>339</v>
      </c>
      <c r="M389" s="126">
        <v>6566.92</v>
      </c>
      <c r="N389" s="124">
        <v>32834.6</v>
      </c>
      <c r="O389" t="s">
        <v>346</v>
      </c>
      <c r="P389" t="s">
        <v>294</v>
      </c>
    </row>
    <row r="390" spans="1:16" ht="15" customHeight="1" x14ac:dyDescent="0.25">
      <c r="A390" s="123">
        <v>45773</v>
      </c>
      <c r="B390" t="s">
        <v>406</v>
      </c>
      <c r="C390" t="s">
        <v>407</v>
      </c>
      <c r="D390" t="s">
        <v>225</v>
      </c>
      <c r="E390" t="s">
        <v>396</v>
      </c>
      <c r="F390" t="s">
        <v>184</v>
      </c>
      <c r="G390" t="s">
        <v>791</v>
      </c>
      <c r="H390" s="77">
        <v>39</v>
      </c>
      <c r="I390" s="124">
        <v>126.5</v>
      </c>
      <c r="J390" s="124">
        <v>4933.3999999999996</v>
      </c>
      <c r="K390" s="77">
        <v>60</v>
      </c>
      <c r="L390" t="s">
        <v>339</v>
      </c>
      <c r="M390" s="126">
        <v>986.68</v>
      </c>
      <c r="N390" s="124">
        <v>4933.3999999999996</v>
      </c>
      <c r="O390" t="s">
        <v>346</v>
      </c>
      <c r="P390" t="s">
        <v>294</v>
      </c>
    </row>
    <row r="391" spans="1:16" ht="15" customHeight="1" x14ac:dyDescent="0.25">
      <c r="A391" s="123">
        <v>45869</v>
      </c>
      <c r="B391" t="s">
        <v>401</v>
      </c>
      <c r="C391" t="s">
        <v>402</v>
      </c>
      <c r="D391" t="s">
        <v>221</v>
      </c>
      <c r="E391" t="s">
        <v>440</v>
      </c>
      <c r="F391" t="s">
        <v>177</v>
      </c>
      <c r="G391" t="s">
        <v>792</v>
      </c>
      <c r="H391" s="77">
        <v>54</v>
      </c>
      <c r="I391" s="124">
        <v>87.37</v>
      </c>
      <c r="J391" s="124">
        <v>4718.18</v>
      </c>
      <c r="K391" s="77">
        <v>60</v>
      </c>
      <c r="L391" t="s">
        <v>351</v>
      </c>
      <c r="M391" s="126">
        <v>943.63599999999997</v>
      </c>
      <c r="N391" s="124">
        <v>4718.18</v>
      </c>
      <c r="O391" t="s">
        <v>346</v>
      </c>
      <c r="P391" t="s">
        <v>294</v>
      </c>
    </row>
    <row r="392" spans="1:16" ht="15" customHeight="1" x14ac:dyDescent="0.25">
      <c r="A392" s="123">
        <v>45788</v>
      </c>
      <c r="B392" t="s">
        <v>366</v>
      </c>
      <c r="C392" t="s">
        <v>367</v>
      </c>
      <c r="D392" t="s">
        <v>221</v>
      </c>
      <c r="E392" t="s">
        <v>235</v>
      </c>
      <c r="F392" t="s">
        <v>183</v>
      </c>
      <c r="G392" t="s">
        <v>793</v>
      </c>
      <c r="H392" s="77">
        <v>27</v>
      </c>
      <c r="I392" s="124">
        <v>183.03</v>
      </c>
      <c r="J392" s="124">
        <v>4941.83</v>
      </c>
      <c r="K392" s="77">
        <v>45</v>
      </c>
      <c r="L392" t="s">
        <v>351</v>
      </c>
      <c r="M392" s="126">
        <v>988.36599999999999</v>
      </c>
      <c r="N392" s="124">
        <v>4941.83</v>
      </c>
      <c r="O392" t="s">
        <v>346</v>
      </c>
      <c r="P392" t="s">
        <v>294</v>
      </c>
    </row>
    <row r="393" spans="1:16" ht="15" customHeight="1" x14ac:dyDescent="0.25">
      <c r="A393" s="123">
        <v>45705</v>
      </c>
      <c r="B393" t="s">
        <v>398</v>
      </c>
      <c r="C393" t="s">
        <v>399</v>
      </c>
      <c r="D393" t="s">
        <v>227</v>
      </c>
      <c r="E393" t="s">
        <v>427</v>
      </c>
      <c r="F393" t="s">
        <v>184</v>
      </c>
      <c r="G393" t="s">
        <v>794</v>
      </c>
      <c r="H393" s="77">
        <v>69</v>
      </c>
      <c r="I393" s="124">
        <v>98.3</v>
      </c>
      <c r="J393" s="124">
        <v>6782.83</v>
      </c>
      <c r="K393" s="77">
        <v>60</v>
      </c>
      <c r="L393" t="s">
        <v>339</v>
      </c>
      <c r="M393" s="126">
        <v>1356.566</v>
      </c>
      <c r="N393" s="124">
        <v>6782.83</v>
      </c>
      <c r="O393" t="s">
        <v>346</v>
      </c>
      <c r="P393" t="s">
        <v>294</v>
      </c>
    </row>
    <row r="394" spans="1:16" ht="15" customHeight="1" x14ac:dyDescent="0.25">
      <c r="A394" s="123">
        <v>46002</v>
      </c>
      <c r="B394" t="s">
        <v>406</v>
      </c>
      <c r="C394" t="s">
        <v>407</v>
      </c>
      <c r="D394" t="s">
        <v>225</v>
      </c>
      <c r="E394" t="s">
        <v>437</v>
      </c>
      <c r="F394" t="s">
        <v>181</v>
      </c>
      <c r="G394" t="s">
        <v>795</v>
      </c>
      <c r="H394" s="77">
        <v>78</v>
      </c>
      <c r="I394" s="124">
        <v>106.43</v>
      </c>
      <c r="J394" s="124">
        <v>8301.64</v>
      </c>
      <c r="K394" s="77">
        <v>60</v>
      </c>
      <c r="L394" t="s">
        <v>339</v>
      </c>
      <c r="M394" s="126">
        <v>1660.328</v>
      </c>
      <c r="N394" s="124">
        <v>8301.64</v>
      </c>
      <c r="O394" t="s">
        <v>346</v>
      </c>
      <c r="P394" t="s">
        <v>294</v>
      </c>
    </row>
    <row r="395" spans="1:16" ht="15" customHeight="1" x14ac:dyDescent="0.25">
      <c r="A395" s="123">
        <v>46001</v>
      </c>
      <c r="B395" t="s">
        <v>347</v>
      </c>
      <c r="C395" t="s">
        <v>348</v>
      </c>
      <c r="D395" t="s">
        <v>223</v>
      </c>
      <c r="E395" t="s">
        <v>352</v>
      </c>
      <c r="F395" t="s">
        <v>180</v>
      </c>
      <c r="G395" t="s">
        <v>796</v>
      </c>
      <c r="H395" s="77">
        <v>72</v>
      </c>
      <c r="I395" s="124">
        <v>684.55</v>
      </c>
      <c r="J395" s="124">
        <v>49287.68</v>
      </c>
      <c r="K395" s="77">
        <v>30</v>
      </c>
      <c r="L395" t="s">
        <v>345</v>
      </c>
      <c r="M395" s="126">
        <v>9857.5360000000001</v>
      </c>
      <c r="N395" s="124">
        <v>49287.68</v>
      </c>
      <c r="O395" t="s">
        <v>346</v>
      </c>
      <c r="P395" t="s">
        <v>294</v>
      </c>
    </row>
    <row r="396" spans="1:16" ht="15" customHeight="1" x14ac:dyDescent="0.25">
      <c r="A396" s="123">
        <v>45665</v>
      </c>
      <c r="B396" t="s">
        <v>383</v>
      </c>
      <c r="C396" t="s">
        <v>384</v>
      </c>
      <c r="D396" t="s">
        <v>225</v>
      </c>
      <c r="E396" t="s">
        <v>420</v>
      </c>
      <c r="F396" t="s">
        <v>182</v>
      </c>
      <c r="G396" t="s">
        <v>797</v>
      </c>
      <c r="H396" s="77">
        <v>28</v>
      </c>
      <c r="I396" s="124">
        <v>181.74</v>
      </c>
      <c r="J396" s="124">
        <v>5088.68</v>
      </c>
      <c r="K396" s="77">
        <v>30</v>
      </c>
      <c r="L396" t="s">
        <v>351</v>
      </c>
      <c r="M396" s="126">
        <v>1017.736</v>
      </c>
      <c r="N396" s="124">
        <v>5088.68</v>
      </c>
      <c r="O396" t="s">
        <v>346</v>
      </c>
      <c r="P396" t="s">
        <v>294</v>
      </c>
    </row>
    <row r="397" spans="1:16" ht="15" customHeight="1" x14ac:dyDescent="0.25">
      <c r="A397" s="123">
        <v>46014</v>
      </c>
      <c r="B397" t="s">
        <v>401</v>
      </c>
      <c r="C397" t="s">
        <v>402</v>
      </c>
      <c r="D397" t="s">
        <v>221</v>
      </c>
      <c r="E397" t="s">
        <v>396</v>
      </c>
      <c r="F397" t="s">
        <v>184</v>
      </c>
      <c r="G397" t="s">
        <v>798</v>
      </c>
      <c r="H397" s="77">
        <v>78</v>
      </c>
      <c r="I397" s="124">
        <v>57.94</v>
      </c>
      <c r="J397" s="124">
        <v>4519.47</v>
      </c>
      <c r="K397" s="77">
        <v>60</v>
      </c>
      <c r="L397" t="s">
        <v>339</v>
      </c>
      <c r="M397" s="126">
        <v>903.89400000000001</v>
      </c>
      <c r="N397" s="124">
        <v>4519.47</v>
      </c>
      <c r="O397" t="s">
        <v>346</v>
      </c>
      <c r="P397" t="s">
        <v>294</v>
      </c>
    </row>
    <row r="398" spans="1:16" ht="15" customHeight="1" x14ac:dyDescent="0.25">
      <c r="A398" s="123">
        <v>45822</v>
      </c>
      <c r="B398" t="s">
        <v>401</v>
      </c>
      <c r="C398" t="s">
        <v>402</v>
      </c>
      <c r="D398" t="s">
        <v>221</v>
      </c>
      <c r="E398" t="s">
        <v>352</v>
      </c>
      <c r="F398" t="s">
        <v>180</v>
      </c>
      <c r="G398" t="s">
        <v>799</v>
      </c>
      <c r="H398" s="77">
        <v>37</v>
      </c>
      <c r="I398" s="124">
        <v>97.44</v>
      </c>
      <c r="J398" s="124">
        <v>3605.28</v>
      </c>
      <c r="K398" s="77">
        <v>45</v>
      </c>
      <c r="L398" t="s">
        <v>345</v>
      </c>
      <c r="M398" s="126">
        <v>721.05600000000004</v>
      </c>
      <c r="N398" s="124">
        <v>3605.28</v>
      </c>
      <c r="O398" t="s">
        <v>346</v>
      </c>
      <c r="P398" t="s">
        <v>294</v>
      </c>
    </row>
    <row r="399" spans="1:16" ht="15" customHeight="1" x14ac:dyDescent="0.25">
      <c r="A399" s="123">
        <v>45791</v>
      </c>
      <c r="B399" t="s">
        <v>335</v>
      </c>
      <c r="C399" t="s">
        <v>336</v>
      </c>
      <c r="D399" t="s">
        <v>223</v>
      </c>
      <c r="E399" t="s">
        <v>420</v>
      </c>
      <c r="F399" t="s">
        <v>182</v>
      </c>
      <c r="G399" t="s">
        <v>800</v>
      </c>
      <c r="H399" s="77">
        <v>47</v>
      </c>
      <c r="I399" s="124">
        <v>200.04</v>
      </c>
      <c r="J399" s="124">
        <v>9401.7800000000007</v>
      </c>
      <c r="K399" s="77">
        <v>60</v>
      </c>
      <c r="L399" t="s">
        <v>345</v>
      </c>
      <c r="M399" s="126">
        <v>1880.356</v>
      </c>
      <c r="N399" s="124">
        <v>9401.7800000000007</v>
      </c>
      <c r="O399" t="s">
        <v>346</v>
      </c>
      <c r="P399" t="s">
        <v>294</v>
      </c>
    </row>
    <row r="400" spans="1:16" ht="15" customHeight="1" x14ac:dyDescent="0.25">
      <c r="A400" s="123">
        <v>45898</v>
      </c>
      <c r="B400" t="s">
        <v>406</v>
      </c>
      <c r="C400" t="s">
        <v>407</v>
      </c>
      <c r="D400" t="s">
        <v>225</v>
      </c>
      <c r="E400" t="s">
        <v>343</v>
      </c>
      <c r="F400" t="s">
        <v>178</v>
      </c>
      <c r="G400" t="s">
        <v>801</v>
      </c>
      <c r="H400" s="77">
        <v>41</v>
      </c>
      <c r="I400" s="124">
        <v>61.03</v>
      </c>
      <c r="J400" s="124">
        <v>2502.29</v>
      </c>
      <c r="K400" s="77">
        <v>30</v>
      </c>
      <c r="L400" t="s">
        <v>345</v>
      </c>
      <c r="M400" s="126">
        <v>500.45800000000003</v>
      </c>
      <c r="N400" s="124">
        <v>2502.29</v>
      </c>
      <c r="O400" t="s">
        <v>346</v>
      </c>
      <c r="P400" t="s">
        <v>294</v>
      </c>
    </row>
    <row r="401" spans="1:16" ht="15" customHeight="1" x14ac:dyDescent="0.25">
      <c r="A401" s="123">
        <v>45946</v>
      </c>
      <c r="B401" t="s">
        <v>347</v>
      </c>
      <c r="C401" t="s">
        <v>348</v>
      </c>
      <c r="D401" t="s">
        <v>223</v>
      </c>
      <c r="E401" t="s">
        <v>235</v>
      </c>
      <c r="F401" t="s">
        <v>183</v>
      </c>
      <c r="G401" t="s">
        <v>802</v>
      </c>
      <c r="H401" s="77">
        <v>29</v>
      </c>
      <c r="I401" s="124">
        <v>592.64</v>
      </c>
      <c r="J401" s="124">
        <v>17186.46</v>
      </c>
      <c r="K401" s="77">
        <v>60</v>
      </c>
      <c r="L401" t="s">
        <v>339</v>
      </c>
      <c r="M401" s="126">
        <v>3437.2919999999999</v>
      </c>
      <c r="N401" s="124">
        <v>17186.46</v>
      </c>
      <c r="O401" t="s">
        <v>346</v>
      </c>
      <c r="P401" t="s">
        <v>294</v>
      </c>
    </row>
    <row r="402" spans="1:16" ht="15" customHeight="1" x14ac:dyDescent="0.25">
      <c r="A402" s="123">
        <v>45957</v>
      </c>
      <c r="B402" t="s">
        <v>386</v>
      </c>
      <c r="C402" t="s">
        <v>387</v>
      </c>
      <c r="D402" t="s">
        <v>223</v>
      </c>
      <c r="E402" t="s">
        <v>403</v>
      </c>
      <c r="F402" t="s">
        <v>181</v>
      </c>
      <c r="G402" t="s">
        <v>803</v>
      </c>
      <c r="H402" s="77">
        <v>75</v>
      </c>
      <c r="I402" s="124">
        <v>91.53</v>
      </c>
      <c r="J402" s="124">
        <v>6864.93</v>
      </c>
      <c r="K402" s="77">
        <v>60</v>
      </c>
      <c r="L402" t="s">
        <v>345</v>
      </c>
      <c r="M402" s="126">
        <v>1372.9860000000001</v>
      </c>
      <c r="N402" s="124">
        <v>6864.93</v>
      </c>
      <c r="O402" t="s">
        <v>346</v>
      </c>
      <c r="P402" t="s">
        <v>294</v>
      </c>
    </row>
    <row r="403" spans="1:16" ht="15" customHeight="1" x14ac:dyDescent="0.25">
      <c r="A403" s="123">
        <v>45826</v>
      </c>
      <c r="B403" t="s">
        <v>386</v>
      </c>
      <c r="C403" t="s">
        <v>387</v>
      </c>
      <c r="D403" t="s">
        <v>223</v>
      </c>
      <c r="E403" t="s">
        <v>442</v>
      </c>
      <c r="F403" t="s">
        <v>179</v>
      </c>
      <c r="G403" t="s">
        <v>804</v>
      </c>
      <c r="H403" s="77">
        <v>30</v>
      </c>
      <c r="I403" s="124">
        <v>129.44999999999999</v>
      </c>
      <c r="J403" s="124">
        <v>3883.52</v>
      </c>
      <c r="K403" s="77">
        <v>45</v>
      </c>
      <c r="L403" t="s">
        <v>351</v>
      </c>
      <c r="M403" s="126">
        <v>776.70399999999995</v>
      </c>
      <c r="N403" s="124">
        <v>3883.52</v>
      </c>
      <c r="O403" t="s">
        <v>340</v>
      </c>
      <c r="P403" t="s">
        <v>294</v>
      </c>
    </row>
    <row r="404" spans="1:16" ht="15" customHeight="1" x14ac:dyDescent="0.25">
      <c r="A404" s="123">
        <v>45993</v>
      </c>
      <c r="B404" t="s">
        <v>335</v>
      </c>
      <c r="C404" t="s">
        <v>336</v>
      </c>
      <c r="D404" t="s">
        <v>223</v>
      </c>
      <c r="E404" t="s">
        <v>417</v>
      </c>
      <c r="F404" t="s">
        <v>184</v>
      </c>
      <c r="G404" t="s">
        <v>805</v>
      </c>
      <c r="H404" s="77">
        <v>44</v>
      </c>
      <c r="I404" s="124">
        <v>75.22</v>
      </c>
      <c r="J404" s="124">
        <v>3309.53</v>
      </c>
      <c r="K404" s="77">
        <v>45</v>
      </c>
      <c r="L404" t="s">
        <v>345</v>
      </c>
      <c r="M404" s="126">
        <v>661.90599999999995</v>
      </c>
      <c r="N404" s="124">
        <v>3309.53</v>
      </c>
      <c r="O404" t="s">
        <v>346</v>
      </c>
      <c r="P404" t="s">
        <v>294</v>
      </c>
    </row>
    <row r="405" spans="1:16" ht="15" customHeight="1" x14ac:dyDescent="0.25">
      <c r="A405" s="123">
        <v>45744</v>
      </c>
      <c r="B405" t="s">
        <v>335</v>
      </c>
      <c r="C405" t="s">
        <v>336</v>
      </c>
      <c r="D405" t="s">
        <v>223</v>
      </c>
      <c r="E405" t="s">
        <v>427</v>
      </c>
      <c r="F405" t="s">
        <v>184</v>
      </c>
      <c r="G405" t="s">
        <v>806</v>
      </c>
      <c r="H405" s="77">
        <v>46</v>
      </c>
      <c r="I405" s="124">
        <v>76.959999999999994</v>
      </c>
      <c r="J405" s="124">
        <v>3540.31</v>
      </c>
      <c r="K405" s="77">
        <v>30</v>
      </c>
      <c r="L405" t="s">
        <v>339</v>
      </c>
      <c r="M405" s="126">
        <v>708.06200000000001</v>
      </c>
      <c r="N405" s="124">
        <v>3540.31</v>
      </c>
      <c r="O405" t="s">
        <v>346</v>
      </c>
      <c r="P405" t="s">
        <v>294</v>
      </c>
    </row>
    <row r="406" spans="1:16" ht="15" customHeight="1" x14ac:dyDescent="0.25">
      <c r="A406" s="123">
        <v>45935</v>
      </c>
      <c r="B406" t="s">
        <v>383</v>
      </c>
      <c r="C406" t="s">
        <v>384</v>
      </c>
      <c r="D406" t="s">
        <v>225</v>
      </c>
      <c r="E406" t="s">
        <v>396</v>
      </c>
      <c r="F406" t="s">
        <v>184</v>
      </c>
      <c r="G406" t="s">
        <v>807</v>
      </c>
      <c r="H406" s="77">
        <v>8</v>
      </c>
      <c r="I406" s="124">
        <v>58.55</v>
      </c>
      <c r="J406" s="124">
        <v>468.43</v>
      </c>
      <c r="K406" s="77">
        <v>60</v>
      </c>
      <c r="L406" t="s">
        <v>339</v>
      </c>
      <c r="M406" s="126">
        <v>93.686000000000007</v>
      </c>
      <c r="N406" s="124">
        <v>468.43</v>
      </c>
      <c r="O406" t="s">
        <v>346</v>
      </c>
      <c r="P406" t="s">
        <v>294</v>
      </c>
    </row>
    <row r="407" spans="1:16" ht="15" customHeight="1" x14ac:dyDescent="0.25">
      <c r="A407" s="123">
        <v>45869</v>
      </c>
      <c r="B407" t="s">
        <v>354</v>
      </c>
      <c r="C407" t="s">
        <v>355</v>
      </c>
      <c r="D407" t="s">
        <v>227</v>
      </c>
      <c r="E407" t="s">
        <v>349</v>
      </c>
      <c r="F407" t="s">
        <v>177</v>
      </c>
      <c r="G407" t="s">
        <v>808</v>
      </c>
      <c r="H407" s="77">
        <v>18</v>
      </c>
      <c r="I407" s="124">
        <v>169.03</v>
      </c>
      <c r="J407" s="124">
        <v>3042.49</v>
      </c>
      <c r="K407" s="77">
        <v>60</v>
      </c>
      <c r="L407" t="s">
        <v>339</v>
      </c>
      <c r="M407" s="126">
        <v>608.49800000000005</v>
      </c>
      <c r="N407" s="124">
        <v>3042.49</v>
      </c>
      <c r="O407" t="s">
        <v>340</v>
      </c>
      <c r="P407" t="s">
        <v>294</v>
      </c>
    </row>
    <row r="408" spans="1:16" ht="15" customHeight="1" x14ac:dyDescent="0.25">
      <c r="A408" s="123">
        <v>45769</v>
      </c>
      <c r="B408" t="s">
        <v>354</v>
      </c>
      <c r="C408" t="s">
        <v>355</v>
      </c>
      <c r="D408" t="s">
        <v>227</v>
      </c>
      <c r="E408" t="s">
        <v>442</v>
      </c>
      <c r="F408" t="s">
        <v>179</v>
      </c>
      <c r="G408" t="s">
        <v>809</v>
      </c>
      <c r="H408" s="77">
        <v>65</v>
      </c>
      <c r="I408" s="124">
        <v>100.06</v>
      </c>
      <c r="J408" s="124">
        <v>6503.87</v>
      </c>
      <c r="K408" s="77">
        <v>45</v>
      </c>
      <c r="L408" t="s">
        <v>345</v>
      </c>
      <c r="M408" s="126">
        <v>1300.7739999999999</v>
      </c>
      <c r="N408" s="124">
        <v>6503.87</v>
      </c>
      <c r="O408" t="s">
        <v>340</v>
      </c>
      <c r="P408" t="s">
        <v>294</v>
      </c>
    </row>
    <row r="409" spans="1:16" ht="15" customHeight="1" x14ac:dyDescent="0.25">
      <c r="A409" s="123">
        <v>45907</v>
      </c>
      <c r="B409" t="s">
        <v>354</v>
      </c>
      <c r="C409" t="s">
        <v>355</v>
      </c>
      <c r="D409" t="s">
        <v>227</v>
      </c>
      <c r="E409" t="s">
        <v>417</v>
      </c>
      <c r="F409" t="s">
        <v>184</v>
      </c>
      <c r="G409" t="s">
        <v>810</v>
      </c>
      <c r="H409" s="77">
        <v>3</v>
      </c>
      <c r="I409" s="124">
        <v>69.349999999999994</v>
      </c>
      <c r="J409" s="124">
        <v>208.05</v>
      </c>
      <c r="K409" s="77">
        <v>30</v>
      </c>
      <c r="L409" t="s">
        <v>351</v>
      </c>
      <c r="M409" s="126">
        <v>41.61</v>
      </c>
      <c r="N409" s="124">
        <v>208.05</v>
      </c>
      <c r="O409" t="s">
        <v>346</v>
      </c>
      <c r="P409" t="s">
        <v>294</v>
      </c>
    </row>
    <row r="410" spans="1:16" ht="15" customHeight="1" x14ac:dyDescent="0.25">
      <c r="A410" s="123">
        <v>45666</v>
      </c>
      <c r="B410" t="s">
        <v>488</v>
      </c>
      <c r="C410" t="s">
        <v>489</v>
      </c>
      <c r="D410" t="s">
        <v>225</v>
      </c>
      <c r="E410" t="s">
        <v>235</v>
      </c>
      <c r="F410" t="s">
        <v>183</v>
      </c>
      <c r="G410" t="s">
        <v>811</v>
      </c>
      <c r="H410" s="77">
        <v>68</v>
      </c>
      <c r="I410" s="124">
        <v>320.52</v>
      </c>
      <c r="J410" s="124">
        <v>21795.37</v>
      </c>
      <c r="K410" s="77">
        <v>60</v>
      </c>
      <c r="L410" t="s">
        <v>345</v>
      </c>
      <c r="M410" s="126">
        <v>4359.0739999999996</v>
      </c>
      <c r="N410" s="124">
        <v>21795.37</v>
      </c>
      <c r="O410" t="s">
        <v>346</v>
      </c>
      <c r="P410" t="s">
        <v>294</v>
      </c>
    </row>
    <row r="411" spans="1:16" ht="15" customHeight="1" x14ac:dyDescent="0.25">
      <c r="A411" s="123">
        <v>45915</v>
      </c>
      <c r="B411" t="s">
        <v>386</v>
      </c>
      <c r="C411" t="s">
        <v>387</v>
      </c>
      <c r="D411" t="s">
        <v>223</v>
      </c>
      <c r="E411" t="s">
        <v>356</v>
      </c>
      <c r="F411" t="s">
        <v>181</v>
      </c>
      <c r="G411" t="s">
        <v>812</v>
      </c>
      <c r="H411" s="77">
        <v>56</v>
      </c>
      <c r="I411" s="124">
        <v>291.95</v>
      </c>
      <c r="J411" s="124">
        <v>16348.98</v>
      </c>
      <c r="K411" s="77">
        <v>30</v>
      </c>
      <c r="L411" t="s">
        <v>339</v>
      </c>
      <c r="M411" s="126">
        <v>3269.7959999999998</v>
      </c>
      <c r="N411" s="124">
        <v>16348.98</v>
      </c>
      <c r="O411" t="s">
        <v>340</v>
      </c>
      <c r="P411" t="s">
        <v>294</v>
      </c>
    </row>
    <row r="412" spans="1:16" ht="15" customHeight="1" x14ac:dyDescent="0.25">
      <c r="A412" s="123">
        <v>45756</v>
      </c>
      <c r="B412" t="s">
        <v>409</v>
      </c>
      <c r="C412" t="s">
        <v>410</v>
      </c>
      <c r="D412" t="s">
        <v>223</v>
      </c>
      <c r="E412" t="s">
        <v>442</v>
      </c>
      <c r="F412" t="s">
        <v>179</v>
      </c>
      <c r="G412" t="s">
        <v>813</v>
      </c>
      <c r="H412" s="77">
        <v>80</v>
      </c>
      <c r="I412" s="124">
        <v>266.23</v>
      </c>
      <c r="J412" s="124">
        <v>21298.07</v>
      </c>
      <c r="K412" s="77">
        <v>60</v>
      </c>
      <c r="L412" t="s">
        <v>345</v>
      </c>
      <c r="M412" s="126">
        <v>4259.6139999999996</v>
      </c>
      <c r="N412" s="124">
        <v>21298.07</v>
      </c>
      <c r="O412" t="s">
        <v>340</v>
      </c>
      <c r="P412" t="s">
        <v>294</v>
      </c>
    </row>
    <row r="413" spans="1:16" ht="15" customHeight="1" x14ac:dyDescent="0.25">
      <c r="A413" s="123">
        <v>45698</v>
      </c>
      <c r="B413" t="s">
        <v>341</v>
      </c>
      <c r="C413" t="s">
        <v>342</v>
      </c>
      <c r="D413" t="s">
        <v>223</v>
      </c>
      <c r="E413" t="s">
        <v>814</v>
      </c>
      <c r="F413" t="s">
        <v>181</v>
      </c>
      <c r="G413" t="s">
        <v>815</v>
      </c>
      <c r="H413" s="77">
        <v>48</v>
      </c>
      <c r="I413" s="124">
        <v>118.52</v>
      </c>
      <c r="J413" s="124">
        <v>5688.92</v>
      </c>
      <c r="K413" s="77">
        <v>45</v>
      </c>
      <c r="L413" t="s">
        <v>345</v>
      </c>
      <c r="M413" s="126">
        <v>1137.7840000000001</v>
      </c>
      <c r="N413" s="124">
        <v>5688.92</v>
      </c>
      <c r="O413" t="s">
        <v>346</v>
      </c>
      <c r="P413" t="s">
        <v>294</v>
      </c>
    </row>
    <row r="414" spans="1:16" ht="15" customHeight="1" x14ac:dyDescent="0.25">
      <c r="A414" s="123">
        <v>45773</v>
      </c>
      <c r="B414" t="s">
        <v>378</v>
      </c>
      <c r="C414" t="s">
        <v>379</v>
      </c>
      <c r="D414" t="s">
        <v>227</v>
      </c>
      <c r="E414" t="s">
        <v>352</v>
      </c>
      <c r="F414" t="s">
        <v>180</v>
      </c>
      <c r="G414" t="s">
        <v>816</v>
      </c>
      <c r="H414" s="77">
        <v>39</v>
      </c>
      <c r="I414" s="124">
        <v>107.52</v>
      </c>
      <c r="J414" s="124">
        <v>4193.37</v>
      </c>
      <c r="K414" s="77">
        <v>60</v>
      </c>
      <c r="L414" t="s">
        <v>339</v>
      </c>
      <c r="M414" s="126">
        <v>838.67399999999998</v>
      </c>
      <c r="N414" s="124">
        <v>4193.37</v>
      </c>
      <c r="O414" t="s">
        <v>346</v>
      </c>
      <c r="P414" t="s">
        <v>294</v>
      </c>
    </row>
    <row r="415" spans="1:16" ht="15" customHeight="1" x14ac:dyDescent="0.25">
      <c r="A415" s="123">
        <v>45865</v>
      </c>
      <c r="B415" t="s">
        <v>406</v>
      </c>
      <c r="C415" t="s">
        <v>407</v>
      </c>
      <c r="D415" t="s">
        <v>225</v>
      </c>
      <c r="E415" t="s">
        <v>349</v>
      </c>
      <c r="F415" t="s">
        <v>177</v>
      </c>
      <c r="G415" t="s">
        <v>817</v>
      </c>
      <c r="H415" s="77">
        <v>49</v>
      </c>
      <c r="I415" s="124">
        <v>242.31</v>
      </c>
      <c r="J415" s="124">
        <v>11873.14</v>
      </c>
      <c r="K415" s="77">
        <v>45</v>
      </c>
      <c r="L415" t="s">
        <v>351</v>
      </c>
      <c r="M415" s="126">
        <v>2374.6280000000002</v>
      </c>
      <c r="N415" s="124">
        <v>11873.14</v>
      </c>
      <c r="O415" t="s">
        <v>340</v>
      </c>
      <c r="P415" t="s">
        <v>294</v>
      </c>
    </row>
    <row r="416" spans="1:16" ht="15" customHeight="1" x14ac:dyDescent="0.25">
      <c r="A416" s="123">
        <v>45662</v>
      </c>
      <c r="B416" t="s">
        <v>398</v>
      </c>
      <c r="C416" t="s">
        <v>399</v>
      </c>
      <c r="D416" t="s">
        <v>227</v>
      </c>
      <c r="E416" t="s">
        <v>440</v>
      </c>
      <c r="F416" t="s">
        <v>177</v>
      </c>
      <c r="G416" t="s">
        <v>818</v>
      </c>
      <c r="H416" s="77">
        <v>22</v>
      </c>
      <c r="I416" s="124">
        <v>144.06</v>
      </c>
      <c r="J416" s="124">
        <v>3169.43</v>
      </c>
      <c r="K416" s="77">
        <v>30</v>
      </c>
      <c r="L416" t="s">
        <v>345</v>
      </c>
      <c r="M416" s="126">
        <v>633.88599999999997</v>
      </c>
      <c r="N416" s="124">
        <v>3169.43</v>
      </c>
      <c r="O416" t="s">
        <v>346</v>
      </c>
      <c r="P416" t="s">
        <v>294</v>
      </c>
    </row>
    <row r="417" spans="1:16" ht="15" customHeight="1" x14ac:dyDescent="0.25">
      <c r="A417" s="123">
        <v>45706</v>
      </c>
      <c r="B417" t="s">
        <v>347</v>
      </c>
      <c r="C417" t="s">
        <v>348</v>
      </c>
      <c r="D417" t="s">
        <v>223</v>
      </c>
      <c r="E417" t="s">
        <v>364</v>
      </c>
      <c r="F417" t="s">
        <v>182</v>
      </c>
      <c r="G417" t="s">
        <v>819</v>
      </c>
      <c r="H417" s="77">
        <v>68</v>
      </c>
      <c r="I417" s="124">
        <v>62.94</v>
      </c>
      <c r="J417" s="124">
        <v>4280.04</v>
      </c>
      <c r="K417" s="77">
        <v>30</v>
      </c>
      <c r="L417" t="s">
        <v>339</v>
      </c>
      <c r="M417" s="126">
        <v>856.00800000000004</v>
      </c>
      <c r="N417" s="124">
        <v>4280.04</v>
      </c>
      <c r="O417" t="s">
        <v>346</v>
      </c>
      <c r="P417" t="s">
        <v>294</v>
      </c>
    </row>
    <row r="418" spans="1:16" ht="15" customHeight="1" x14ac:dyDescent="0.25">
      <c r="A418" s="123">
        <v>45681</v>
      </c>
      <c r="B418" t="s">
        <v>406</v>
      </c>
      <c r="C418" t="s">
        <v>407</v>
      </c>
      <c r="D418" t="s">
        <v>225</v>
      </c>
      <c r="E418" t="s">
        <v>427</v>
      </c>
      <c r="F418" t="s">
        <v>184</v>
      </c>
      <c r="G418" t="s">
        <v>820</v>
      </c>
      <c r="H418" s="77">
        <v>10</v>
      </c>
      <c r="I418" s="124">
        <v>176.02</v>
      </c>
      <c r="J418" s="124">
        <v>1760.24</v>
      </c>
      <c r="K418" s="77">
        <v>60</v>
      </c>
      <c r="L418" t="s">
        <v>345</v>
      </c>
      <c r="M418" s="126">
        <v>352.048</v>
      </c>
      <c r="N418" s="124">
        <v>1760.24</v>
      </c>
      <c r="O418" t="s">
        <v>346</v>
      </c>
      <c r="P418" t="s">
        <v>294</v>
      </c>
    </row>
    <row r="419" spans="1:16" ht="15" customHeight="1" x14ac:dyDescent="0.25">
      <c r="A419" s="123">
        <v>45819</v>
      </c>
      <c r="B419" t="s">
        <v>354</v>
      </c>
      <c r="C419" t="s">
        <v>355</v>
      </c>
      <c r="D419" t="s">
        <v>227</v>
      </c>
      <c r="E419" t="s">
        <v>349</v>
      </c>
      <c r="F419" t="s">
        <v>177</v>
      </c>
      <c r="G419" t="s">
        <v>821</v>
      </c>
      <c r="H419" s="77">
        <v>3</v>
      </c>
      <c r="I419" s="124">
        <v>127.88</v>
      </c>
      <c r="J419" s="124">
        <v>383.65</v>
      </c>
      <c r="K419" s="77">
        <v>30</v>
      </c>
      <c r="L419" t="s">
        <v>351</v>
      </c>
      <c r="M419" s="126">
        <v>76.73</v>
      </c>
      <c r="N419" s="124">
        <v>383.65</v>
      </c>
      <c r="O419" t="s">
        <v>340</v>
      </c>
      <c r="P419" t="s">
        <v>294</v>
      </c>
    </row>
    <row r="420" spans="1:16" ht="15" customHeight="1" x14ac:dyDescent="0.25">
      <c r="A420" s="123">
        <v>45811</v>
      </c>
      <c r="B420" t="s">
        <v>390</v>
      </c>
      <c r="C420" t="s">
        <v>391</v>
      </c>
      <c r="D420" t="s">
        <v>221</v>
      </c>
      <c r="E420" t="s">
        <v>235</v>
      </c>
      <c r="F420" t="s">
        <v>183</v>
      </c>
      <c r="G420" t="s">
        <v>822</v>
      </c>
      <c r="H420" s="77">
        <v>21</v>
      </c>
      <c r="I420" s="124">
        <v>573.87</v>
      </c>
      <c r="J420" s="124">
        <v>12051.19</v>
      </c>
      <c r="K420" s="77">
        <v>60</v>
      </c>
      <c r="L420" t="s">
        <v>339</v>
      </c>
      <c r="M420" s="126">
        <v>2410.2379999999998</v>
      </c>
      <c r="N420" s="124">
        <v>12051.19</v>
      </c>
      <c r="O420" t="s">
        <v>346</v>
      </c>
      <c r="P420" t="s">
        <v>294</v>
      </c>
    </row>
    <row r="421" spans="1:16" ht="15" customHeight="1" x14ac:dyDescent="0.25">
      <c r="A421" s="123">
        <v>45934</v>
      </c>
      <c r="B421" t="s">
        <v>386</v>
      </c>
      <c r="C421" t="s">
        <v>387</v>
      </c>
      <c r="D421" t="s">
        <v>223</v>
      </c>
      <c r="E421" t="s">
        <v>236</v>
      </c>
      <c r="F421" t="s">
        <v>183</v>
      </c>
      <c r="G421" t="s">
        <v>823</v>
      </c>
      <c r="H421" s="77">
        <v>43</v>
      </c>
      <c r="I421" s="124">
        <v>311.35000000000002</v>
      </c>
      <c r="J421" s="124">
        <v>13388.05</v>
      </c>
      <c r="K421" s="77">
        <v>45</v>
      </c>
      <c r="L421" t="s">
        <v>351</v>
      </c>
      <c r="M421" s="126">
        <v>2677.61</v>
      </c>
      <c r="N421" s="124">
        <v>13388.05</v>
      </c>
      <c r="O421" t="s">
        <v>346</v>
      </c>
      <c r="P421" t="s">
        <v>294</v>
      </c>
    </row>
    <row r="422" spans="1:16" ht="15" customHeight="1" x14ac:dyDescent="0.25">
      <c r="A422" s="123">
        <v>45835</v>
      </c>
      <c r="B422" t="s">
        <v>354</v>
      </c>
      <c r="C422" t="s">
        <v>355</v>
      </c>
      <c r="D422" t="s">
        <v>227</v>
      </c>
      <c r="E422" t="s">
        <v>343</v>
      </c>
      <c r="F422" t="s">
        <v>178</v>
      </c>
      <c r="G422" t="s">
        <v>824</v>
      </c>
      <c r="H422" s="77">
        <v>7</v>
      </c>
      <c r="I422" s="124">
        <v>201.91</v>
      </c>
      <c r="J422" s="124">
        <v>1413.34</v>
      </c>
      <c r="K422" s="77">
        <v>30</v>
      </c>
      <c r="L422" t="s">
        <v>345</v>
      </c>
      <c r="M422" s="126">
        <v>282.66800000000001</v>
      </c>
      <c r="N422" s="124">
        <v>1413.34</v>
      </c>
      <c r="O422" t="s">
        <v>346</v>
      </c>
      <c r="P422" t="s">
        <v>294</v>
      </c>
    </row>
    <row r="423" spans="1:16" ht="15" customHeight="1" x14ac:dyDescent="0.25">
      <c r="A423" s="123">
        <v>45967</v>
      </c>
      <c r="B423" t="s">
        <v>347</v>
      </c>
      <c r="C423" t="s">
        <v>348</v>
      </c>
      <c r="D423" t="s">
        <v>223</v>
      </c>
      <c r="E423" t="s">
        <v>368</v>
      </c>
      <c r="F423" t="s">
        <v>178</v>
      </c>
      <c r="G423" t="s">
        <v>825</v>
      </c>
      <c r="H423" s="77">
        <v>79</v>
      </c>
      <c r="I423" s="124">
        <v>170.69</v>
      </c>
      <c r="J423" s="124">
        <v>13484.18</v>
      </c>
      <c r="K423" s="77">
        <v>60</v>
      </c>
      <c r="L423" t="s">
        <v>345</v>
      </c>
      <c r="M423" s="126">
        <v>2696.8359999999998</v>
      </c>
      <c r="N423" s="124">
        <v>13484.18</v>
      </c>
      <c r="O423" t="s">
        <v>346</v>
      </c>
      <c r="P423" t="s">
        <v>294</v>
      </c>
    </row>
    <row r="424" spans="1:16" ht="15" customHeight="1" x14ac:dyDescent="0.25">
      <c r="A424" s="123">
        <v>45797</v>
      </c>
      <c r="B424" t="s">
        <v>370</v>
      </c>
      <c r="C424" t="s">
        <v>371</v>
      </c>
      <c r="D424" t="s">
        <v>227</v>
      </c>
      <c r="E424" t="s">
        <v>440</v>
      </c>
      <c r="F424" t="s">
        <v>177</v>
      </c>
      <c r="G424" t="s">
        <v>826</v>
      </c>
      <c r="H424" s="77">
        <v>58</v>
      </c>
      <c r="I424" s="124">
        <v>104.64</v>
      </c>
      <c r="J424" s="124">
        <v>6069.34</v>
      </c>
      <c r="K424" s="77">
        <v>45</v>
      </c>
      <c r="L424" t="s">
        <v>339</v>
      </c>
      <c r="M424" s="126">
        <v>1213.8679999999999</v>
      </c>
      <c r="N424" s="124">
        <v>6069.34</v>
      </c>
      <c r="O424" t="s">
        <v>346</v>
      </c>
      <c r="P424" t="s">
        <v>294</v>
      </c>
    </row>
    <row r="425" spans="1:16" ht="15" customHeight="1" x14ac:dyDescent="0.25">
      <c r="A425" s="123">
        <v>45753</v>
      </c>
      <c r="B425" t="s">
        <v>341</v>
      </c>
      <c r="C425" t="s">
        <v>342</v>
      </c>
      <c r="D425" t="s">
        <v>223</v>
      </c>
      <c r="E425" t="s">
        <v>234</v>
      </c>
      <c r="F425" t="s">
        <v>183</v>
      </c>
      <c r="G425" t="s">
        <v>827</v>
      </c>
      <c r="H425" s="77">
        <v>75</v>
      </c>
      <c r="I425" s="124">
        <v>511.91</v>
      </c>
      <c r="J425" s="124">
        <v>38393.160000000003</v>
      </c>
      <c r="K425" s="77">
        <v>60</v>
      </c>
      <c r="L425" t="s">
        <v>345</v>
      </c>
      <c r="M425" s="126">
        <v>7678.6319999999996</v>
      </c>
      <c r="N425" s="124">
        <v>38393.160000000003</v>
      </c>
      <c r="O425" t="s">
        <v>346</v>
      </c>
      <c r="P425" t="s">
        <v>294</v>
      </c>
    </row>
    <row r="426" spans="1:16" ht="15" customHeight="1" x14ac:dyDescent="0.25">
      <c r="A426" s="123">
        <v>45695</v>
      </c>
      <c r="B426" t="s">
        <v>347</v>
      </c>
      <c r="C426" t="s">
        <v>348</v>
      </c>
      <c r="D426" t="s">
        <v>223</v>
      </c>
      <c r="E426" t="s">
        <v>356</v>
      </c>
      <c r="F426" t="s">
        <v>181</v>
      </c>
      <c r="G426" t="s">
        <v>828</v>
      </c>
      <c r="H426" s="77">
        <v>11</v>
      </c>
      <c r="I426" s="124">
        <v>313.75</v>
      </c>
      <c r="J426" s="124">
        <v>3451.21</v>
      </c>
      <c r="K426" s="77">
        <v>45</v>
      </c>
      <c r="L426" t="s">
        <v>339</v>
      </c>
      <c r="M426" s="126">
        <v>690.24199999999996</v>
      </c>
      <c r="N426" s="124">
        <v>3451.21</v>
      </c>
      <c r="O426" t="s">
        <v>340</v>
      </c>
      <c r="P426" t="s">
        <v>294</v>
      </c>
    </row>
    <row r="427" spans="1:16" ht="15" customHeight="1" x14ac:dyDescent="0.25">
      <c r="A427" s="123">
        <v>45857</v>
      </c>
      <c r="B427" t="s">
        <v>370</v>
      </c>
      <c r="C427" t="s">
        <v>371</v>
      </c>
      <c r="D427" t="s">
        <v>227</v>
      </c>
      <c r="E427" t="s">
        <v>412</v>
      </c>
      <c r="F427" t="s">
        <v>179</v>
      </c>
      <c r="G427" t="s">
        <v>829</v>
      </c>
      <c r="H427" s="77">
        <v>41</v>
      </c>
      <c r="I427" s="124">
        <v>382.11</v>
      </c>
      <c r="J427" s="124">
        <v>15666.44</v>
      </c>
      <c r="K427" s="77">
        <v>45</v>
      </c>
      <c r="L427" t="s">
        <v>339</v>
      </c>
      <c r="M427" s="126">
        <v>3133.288</v>
      </c>
      <c r="N427" s="124">
        <v>15666.44</v>
      </c>
      <c r="O427" t="s">
        <v>346</v>
      </c>
      <c r="P427" t="s">
        <v>294</v>
      </c>
    </row>
    <row r="428" spans="1:16" ht="15" customHeight="1" x14ac:dyDescent="0.25">
      <c r="A428" s="123">
        <v>45885</v>
      </c>
      <c r="B428" t="s">
        <v>370</v>
      </c>
      <c r="C428" t="s">
        <v>371</v>
      </c>
      <c r="D428" t="s">
        <v>227</v>
      </c>
      <c r="E428" t="s">
        <v>496</v>
      </c>
      <c r="F428" t="s">
        <v>177</v>
      </c>
      <c r="G428" t="s">
        <v>830</v>
      </c>
      <c r="H428" s="77">
        <v>47</v>
      </c>
      <c r="I428" s="124">
        <v>70.58</v>
      </c>
      <c r="J428" s="124">
        <v>3317.38</v>
      </c>
      <c r="K428" s="77">
        <v>45</v>
      </c>
      <c r="L428" t="s">
        <v>339</v>
      </c>
      <c r="M428" s="126">
        <v>663.476</v>
      </c>
      <c r="N428" s="124">
        <v>3317.38</v>
      </c>
      <c r="O428" t="s">
        <v>346</v>
      </c>
      <c r="P428" t="s">
        <v>294</v>
      </c>
    </row>
    <row r="429" spans="1:16" ht="15" customHeight="1" x14ac:dyDescent="0.25">
      <c r="A429" s="123">
        <v>45878</v>
      </c>
      <c r="B429" t="s">
        <v>366</v>
      </c>
      <c r="C429" t="s">
        <v>367</v>
      </c>
      <c r="D429" t="s">
        <v>221</v>
      </c>
      <c r="E429" t="s">
        <v>415</v>
      </c>
      <c r="F429" t="s">
        <v>178</v>
      </c>
      <c r="G429" t="s">
        <v>831</v>
      </c>
      <c r="H429" s="77">
        <v>58</v>
      </c>
      <c r="I429" s="124">
        <v>94.79</v>
      </c>
      <c r="J429" s="124">
        <v>5498.1</v>
      </c>
      <c r="K429" s="77">
        <v>60</v>
      </c>
      <c r="L429" t="s">
        <v>351</v>
      </c>
      <c r="M429" s="126">
        <v>1099.6199999999999</v>
      </c>
      <c r="N429" s="124">
        <v>5498.1</v>
      </c>
      <c r="O429" t="s">
        <v>340</v>
      </c>
      <c r="P429" t="s">
        <v>294</v>
      </c>
    </row>
    <row r="430" spans="1:16" ht="15" customHeight="1" x14ac:dyDescent="0.25">
      <c r="A430" s="123">
        <v>45671</v>
      </c>
      <c r="B430" t="s">
        <v>373</v>
      </c>
      <c r="C430" t="s">
        <v>374</v>
      </c>
      <c r="D430" t="s">
        <v>225</v>
      </c>
      <c r="E430" t="s">
        <v>235</v>
      </c>
      <c r="F430" t="s">
        <v>183</v>
      </c>
      <c r="G430" t="s">
        <v>832</v>
      </c>
      <c r="H430" s="77">
        <v>12</v>
      </c>
      <c r="I430" s="124">
        <v>536.96</v>
      </c>
      <c r="J430" s="124">
        <v>6443.47</v>
      </c>
      <c r="K430" s="77">
        <v>45</v>
      </c>
      <c r="L430" t="s">
        <v>351</v>
      </c>
      <c r="M430" s="126">
        <v>1288.694</v>
      </c>
      <c r="N430" s="124">
        <v>6443.47</v>
      </c>
      <c r="O430" t="s">
        <v>346</v>
      </c>
      <c r="P430" t="s">
        <v>294</v>
      </c>
    </row>
    <row r="431" spans="1:16" ht="15" customHeight="1" x14ac:dyDescent="0.25">
      <c r="A431" s="123">
        <v>45664</v>
      </c>
      <c r="B431" t="s">
        <v>431</v>
      </c>
      <c r="C431" t="s">
        <v>432</v>
      </c>
      <c r="D431" t="s">
        <v>221</v>
      </c>
      <c r="E431" t="s">
        <v>420</v>
      </c>
      <c r="F431" t="s">
        <v>182</v>
      </c>
      <c r="G431" t="s">
        <v>833</v>
      </c>
      <c r="H431" s="77">
        <v>38</v>
      </c>
      <c r="I431" s="124">
        <v>36.11</v>
      </c>
      <c r="J431" s="124">
        <v>1372.18</v>
      </c>
      <c r="K431" s="77">
        <v>45</v>
      </c>
      <c r="L431" t="s">
        <v>345</v>
      </c>
      <c r="M431" s="126">
        <v>274.43599999999998</v>
      </c>
      <c r="N431" s="124">
        <v>1372.18</v>
      </c>
      <c r="O431" t="s">
        <v>346</v>
      </c>
      <c r="P431" t="s">
        <v>294</v>
      </c>
    </row>
    <row r="432" spans="1:16" ht="15" customHeight="1" x14ac:dyDescent="0.25">
      <c r="A432" s="123">
        <v>45924</v>
      </c>
      <c r="B432" t="s">
        <v>354</v>
      </c>
      <c r="C432" t="s">
        <v>355</v>
      </c>
      <c r="D432" t="s">
        <v>227</v>
      </c>
      <c r="E432" t="s">
        <v>352</v>
      </c>
      <c r="F432" t="s">
        <v>180</v>
      </c>
      <c r="G432" t="s">
        <v>834</v>
      </c>
      <c r="H432" s="77">
        <v>22</v>
      </c>
      <c r="I432" s="124">
        <v>130.41</v>
      </c>
      <c r="J432" s="124">
        <v>2868.98</v>
      </c>
      <c r="K432" s="77">
        <v>60</v>
      </c>
      <c r="L432" t="s">
        <v>345</v>
      </c>
      <c r="M432" s="126">
        <v>573.79600000000005</v>
      </c>
      <c r="N432" s="124">
        <v>2868.98</v>
      </c>
      <c r="O432" t="s">
        <v>346</v>
      </c>
      <c r="P432" t="s">
        <v>294</v>
      </c>
    </row>
    <row r="433" spans="1:16" ht="15" customHeight="1" x14ac:dyDescent="0.25">
      <c r="A433" s="123">
        <v>45812</v>
      </c>
      <c r="B433" t="s">
        <v>335</v>
      </c>
      <c r="C433" t="s">
        <v>336</v>
      </c>
      <c r="D433" t="s">
        <v>223</v>
      </c>
      <c r="E433" t="s">
        <v>381</v>
      </c>
      <c r="F433" t="s">
        <v>179</v>
      </c>
      <c r="G433" t="s">
        <v>835</v>
      </c>
      <c r="H433" s="77">
        <v>35</v>
      </c>
      <c r="I433" s="124">
        <v>58.64</v>
      </c>
      <c r="J433" s="124">
        <v>2052.3200000000002</v>
      </c>
      <c r="K433" s="77">
        <v>45</v>
      </c>
      <c r="L433" t="s">
        <v>339</v>
      </c>
      <c r="M433" s="126">
        <v>410.464</v>
      </c>
      <c r="N433" s="124">
        <v>2052.3200000000002</v>
      </c>
      <c r="O433" t="s">
        <v>346</v>
      </c>
      <c r="P433" t="s">
        <v>294</v>
      </c>
    </row>
    <row r="434" spans="1:16" ht="15" customHeight="1" x14ac:dyDescent="0.25">
      <c r="A434" s="123">
        <v>45799</v>
      </c>
      <c r="B434" t="s">
        <v>383</v>
      </c>
      <c r="C434" t="s">
        <v>384</v>
      </c>
      <c r="D434" t="s">
        <v>225</v>
      </c>
      <c r="E434" t="s">
        <v>381</v>
      </c>
      <c r="F434" t="s">
        <v>179</v>
      </c>
      <c r="G434" t="s">
        <v>836</v>
      </c>
      <c r="H434" s="77">
        <v>54</v>
      </c>
      <c r="I434" s="124">
        <v>155.21</v>
      </c>
      <c r="J434" s="124">
        <v>8381.3700000000008</v>
      </c>
      <c r="K434" s="77">
        <v>45</v>
      </c>
      <c r="L434" t="s">
        <v>345</v>
      </c>
      <c r="M434" s="126">
        <v>1676.2739999999999</v>
      </c>
      <c r="N434" s="124">
        <v>8381.3700000000008</v>
      </c>
      <c r="O434" t="s">
        <v>346</v>
      </c>
      <c r="P434" t="s">
        <v>294</v>
      </c>
    </row>
    <row r="435" spans="1:16" ht="15" customHeight="1" x14ac:dyDescent="0.25">
      <c r="A435" s="123">
        <v>45784</v>
      </c>
      <c r="B435" t="s">
        <v>347</v>
      </c>
      <c r="C435" t="s">
        <v>348</v>
      </c>
      <c r="D435" t="s">
        <v>223</v>
      </c>
      <c r="E435" t="s">
        <v>420</v>
      </c>
      <c r="F435" t="s">
        <v>182</v>
      </c>
      <c r="G435" t="s">
        <v>837</v>
      </c>
      <c r="H435" s="77">
        <v>64</v>
      </c>
      <c r="I435" s="124">
        <v>140.97</v>
      </c>
      <c r="J435" s="124">
        <v>9021.8799999999992</v>
      </c>
      <c r="K435" s="77">
        <v>60</v>
      </c>
      <c r="L435" t="s">
        <v>351</v>
      </c>
      <c r="M435" s="126">
        <v>1804.376</v>
      </c>
      <c r="N435" s="124">
        <v>9021.8799999999992</v>
      </c>
      <c r="O435" t="s">
        <v>346</v>
      </c>
      <c r="P435" t="s">
        <v>294</v>
      </c>
    </row>
    <row r="436" spans="1:16" ht="15" customHeight="1" x14ac:dyDescent="0.25">
      <c r="A436" s="123">
        <v>45727</v>
      </c>
      <c r="B436" t="s">
        <v>383</v>
      </c>
      <c r="C436" t="s">
        <v>384</v>
      </c>
      <c r="D436" t="s">
        <v>225</v>
      </c>
      <c r="E436" t="s">
        <v>396</v>
      </c>
      <c r="F436" t="s">
        <v>184</v>
      </c>
      <c r="G436" t="s">
        <v>838</v>
      </c>
      <c r="H436" s="77">
        <v>39</v>
      </c>
      <c r="I436" s="124">
        <v>171.36</v>
      </c>
      <c r="J436" s="124">
        <v>6683.16</v>
      </c>
      <c r="K436" s="77">
        <v>30</v>
      </c>
      <c r="L436" t="s">
        <v>345</v>
      </c>
      <c r="M436" s="126">
        <v>1336.6320000000001</v>
      </c>
      <c r="N436" s="124">
        <v>6683.16</v>
      </c>
      <c r="O436" t="s">
        <v>346</v>
      </c>
      <c r="P436" t="s">
        <v>294</v>
      </c>
    </row>
    <row r="437" spans="1:16" ht="15" customHeight="1" x14ac:dyDescent="0.25">
      <c r="A437" s="123">
        <v>45883</v>
      </c>
      <c r="B437" t="s">
        <v>362</v>
      </c>
      <c r="C437" t="s">
        <v>363</v>
      </c>
      <c r="D437" t="s">
        <v>221</v>
      </c>
      <c r="E437" t="s">
        <v>234</v>
      </c>
      <c r="F437" t="s">
        <v>183</v>
      </c>
      <c r="G437" t="s">
        <v>839</v>
      </c>
      <c r="H437" s="77">
        <v>43</v>
      </c>
      <c r="I437" s="124">
        <v>312.48</v>
      </c>
      <c r="J437" s="124">
        <v>13436.56</v>
      </c>
      <c r="K437" s="77">
        <v>45</v>
      </c>
      <c r="L437" t="s">
        <v>351</v>
      </c>
      <c r="M437" s="126">
        <v>2687.3119999999999</v>
      </c>
      <c r="N437" s="124">
        <v>13436.56</v>
      </c>
      <c r="O437" t="s">
        <v>346</v>
      </c>
      <c r="P437" t="s">
        <v>294</v>
      </c>
    </row>
    <row r="438" spans="1:16" ht="15" customHeight="1" x14ac:dyDescent="0.25">
      <c r="A438" s="123">
        <v>45822</v>
      </c>
      <c r="B438" t="s">
        <v>488</v>
      </c>
      <c r="C438" t="s">
        <v>489</v>
      </c>
      <c r="D438" t="s">
        <v>225</v>
      </c>
      <c r="E438" t="s">
        <v>381</v>
      </c>
      <c r="F438" t="s">
        <v>179</v>
      </c>
      <c r="G438" t="s">
        <v>840</v>
      </c>
      <c r="H438" s="77">
        <v>78</v>
      </c>
      <c r="I438" s="124">
        <v>440.85</v>
      </c>
      <c r="J438" s="124">
        <v>34385.980000000003</v>
      </c>
      <c r="K438" s="77">
        <v>60</v>
      </c>
      <c r="L438" t="s">
        <v>339</v>
      </c>
      <c r="M438" s="126">
        <v>6877.1959999999999</v>
      </c>
      <c r="N438" s="124">
        <v>34385.980000000003</v>
      </c>
      <c r="O438" t="s">
        <v>346</v>
      </c>
      <c r="P438" t="s">
        <v>294</v>
      </c>
    </row>
    <row r="439" spans="1:16" ht="15" customHeight="1" x14ac:dyDescent="0.25">
      <c r="A439" s="123">
        <v>45861</v>
      </c>
      <c r="B439" t="s">
        <v>341</v>
      </c>
      <c r="C439" t="s">
        <v>342</v>
      </c>
      <c r="D439" t="s">
        <v>223</v>
      </c>
      <c r="E439" t="s">
        <v>376</v>
      </c>
      <c r="F439" t="s">
        <v>182</v>
      </c>
      <c r="G439" t="s">
        <v>841</v>
      </c>
      <c r="H439" s="77">
        <v>41</v>
      </c>
      <c r="I439" s="124">
        <v>44.47</v>
      </c>
      <c r="J439" s="124">
        <v>1823.28</v>
      </c>
      <c r="K439" s="77">
        <v>45</v>
      </c>
      <c r="L439" t="s">
        <v>351</v>
      </c>
      <c r="M439" s="126">
        <v>364.65600000000001</v>
      </c>
      <c r="N439" s="124">
        <v>1823.28</v>
      </c>
      <c r="O439" t="s">
        <v>340</v>
      </c>
      <c r="P439" t="s">
        <v>294</v>
      </c>
    </row>
    <row r="440" spans="1:16" ht="15" customHeight="1" x14ac:dyDescent="0.25">
      <c r="A440" s="123">
        <v>45782</v>
      </c>
      <c r="B440" t="s">
        <v>488</v>
      </c>
      <c r="C440" t="s">
        <v>489</v>
      </c>
      <c r="D440" t="s">
        <v>225</v>
      </c>
      <c r="E440" t="s">
        <v>417</v>
      </c>
      <c r="F440" t="s">
        <v>184</v>
      </c>
      <c r="G440" t="s">
        <v>842</v>
      </c>
      <c r="H440" s="77">
        <v>42</v>
      </c>
      <c r="I440" s="124">
        <v>29.39</v>
      </c>
      <c r="J440" s="124">
        <v>1234.3499999999999</v>
      </c>
      <c r="K440" s="77">
        <v>45</v>
      </c>
      <c r="L440" t="s">
        <v>345</v>
      </c>
      <c r="M440" s="126">
        <v>246.87</v>
      </c>
      <c r="N440" s="124">
        <v>1234.3499999999999</v>
      </c>
      <c r="O440" t="s">
        <v>346</v>
      </c>
      <c r="P440" t="s">
        <v>294</v>
      </c>
    </row>
    <row r="441" spans="1:16" ht="15" customHeight="1" x14ac:dyDescent="0.25">
      <c r="A441" s="123">
        <v>45946</v>
      </c>
      <c r="B441" t="s">
        <v>370</v>
      </c>
      <c r="C441" t="s">
        <v>371</v>
      </c>
      <c r="D441" t="s">
        <v>227</v>
      </c>
      <c r="E441" t="s">
        <v>376</v>
      </c>
      <c r="F441" t="s">
        <v>182</v>
      </c>
      <c r="G441" t="s">
        <v>843</v>
      </c>
      <c r="H441" s="77">
        <v>26</v>
      </c>
      <c r="I441" s="124">
        <v>92.14</v>
      </c>
      <c r="J441" s="124">
        <v>2395.6799999999998</v>
      </c>
      <c r="K441" s="77">
        <v>60</v>
      </c>
      <c r="L441" t="s">
        <v>351</v>
      </c>
      <c r="M441" s="126">
        <v>479.13600000000002</v>
      </c>
      <c r="N441" s="124">
        <v>2395.6799999999998</v>
      </c>
      <c r="O441" t="s">
        <v>340</v>
      </c>
      <c r="P441" t="s">
        <v>294</v>
      </c>
    </row>
    <row r="442" spans="1:16" ht="15" customHeight="1" x14ac:dyDescent="0.25">
      <c r="A442" s="123">
        <v>45894</v>
      </c>
      <c r="B442" t="s">
        <v>347</v>
      </c>
      <c r="C442" t="s">
        <v>348</v>
      </c>
      <c r="D442" t="s">
        <v>223</v>
      </c>
      <c r="E442" t="s">
        <v>440</v>
      </c>
      <c r="F442" t="s">
        <v>177</v>
      </c>
      <c r="G442" t="s">
        <v>844</v>
      </c>
      <c r="H442" s="77">
        <v>27</v>
      </c>
      <c r="I442" s="124">
        <v>148.22</v>
      </c>
      <c r="J442" s="124">
        <v>4002.06</v>
      </c>
      <c r="K442" s="77">
        <v>45</v>
      </c>
      <c r="L442" t="s">
        <v>345</v>
      </c>
      <c r="M442" s="126">
        <v>800.41200000000003</v>
      </c>
      <c r="N442" s="124">
        <v>4002.06</v>
      </c>
      <c r="O442" t="s">
        <v>346</v>
      </c>
      <c r="P442" t="s">
        <v>294</v>
      </c>
    </row>
    <row r="443" spans="1:16" ht="15" customHeight="1" x14ac:dyDescent="0.25">
      <c r="A443" s="123">
        <v>46002</v>
      </c>
      <c r="B443" t="s">
        <v>366</v>
      </c>
      <c r="C443" t="s">
        <v>367</v>
      </c>
      <c r="D443" t="s">
        <v>221</v>
      </c>
      <c r="E443" t="s">
        <v>368</v>
      </c>
      <c r="F443" t="s">
        <v>178</v>
      </c>
      <c r="G443" t="s">
        <v>845</v>
      </c>
      <c r="H443" s="77">
        <v>64</v>
      </c>
      <c r="I443" s="124">
        <v>63.84</v>
      </c>
      <c r="J443" s="124">
        <v>4085.86</v>
      </c>
      <c r="K443" s="77">
        <v>30</v>
      </c>
      <c r="L443" t="s">
        <v>351</v>
      </c>
      <c r="M443" s="126">
        <v>817.17200000000003</v>
      </c>
      <c r="N443" s="124">
        <v>4085.86</v>
      </c>
      <c r="O443" t="s">
        <v>346</v>
      </c>
      <c r="P443" t="s">
        <v>294</v>
      </c>
    </row>
    <row r="444" spans="1:16" ht="15" customHeight="1" x14ac:dyDescent="0.25">
      <c r="A444" s="123">
        <v>45995</v>
      </c>
      <c r="B444" t="s">
        <v>335</v>
      </c>
      <c r="C444" t="s">
        <v>336</v>
      </c>
      <c r="D444" t="s">
        <v>223</v>
      </c>
      <c r="E444" t="s">
        <v>360</v>
      </c>
      <c r="F444" t="s">
        <v>180</v>
      </c>
      <c r="G444" t="s">
        <v>846</v>
      </c>
      <c r="H444" s="77">
        <v>20</v>
      </c>
      <c r="I444" s="124">
        <v>80.19</v>
      </c>
      <c r="J444" s="124">
        <v>1603.75</v>
      </c>
      <c r="K444" s="77">
        <v>60</v>
      </c>
      <c r="L444" t="s">
        <v>345</v>
      </c>
      <c r="M444" s="126">
        <v>320.75</v>
      </c>
      <c r="N444" s="124">
        <v>1603.75</v>
      </c>
      <c r="O444" t="s">
        <v>346</v>
      </c>
      <c r="P444" t="s">
        <v>294</v>
      </c>
    </row>
    <row r="445" spans="1:16" ht="15" customHeight="1" x14ac:dyDescent="0.25">
      <c r="A445" s="123">
        <v>45964</v>
      </c>
      <c r="B445" t="s">
        <v>358</v>
      </c>
      <c r="C445" t="s">
        <v>359</v>
      </c>
      <c r="D445" t="s">
        <v>225</v>
      </c>
      <c r="E445" t="s">
        <v>368</v>
      </c>
      <c r="F445" t="s">
        <v>178</v>
      </c>
      <c r="G445" t="s">
        <v>847</v>
      </c>
      <c r="H445" s="77">
        <v>62</v>
      </c>
      <c r="I445" s="124">
        <v>61.89</v>
      </c>
      <c r="J445" s="124">
        <v>3837.23</v>
      </c>
      <c r="K445" s="77">
        <v>60</v>
      </c>
      <c r="L445" t="s">
        <v>345</v>
      </c>
      <c r="M445" s="126">
        <v>767.44600000000003</v>
      </c>
      <c r="N445" s="124">
        <v>3837.23</v>
      </c>
      <c r="O445" t="s">
        <v>346</v>
      </c>
      <c r="P445" t="s">
        <v>294</v>
      </c>
    </row>
    <row r="446" spans="1:16" ht="15" customHeight="1" x14ac:dyDescent="0.25">
      <c r="A446" s="123">
        <v>45676</v>
      </c>
      <c r="B446" t="s">
        <v>362</v>
      </c>
      <c r="C446" t="s">
        <v>363</v>
      </c>
      <c r="D446" t="s">
        <v>221</v>
      </c>
      <c r="E446" t="s">
        <v>236</v>
      </c>
      <c r="F446" t="s">
        <v>183</v>
      </c>
      <c r="G446" t="s">
        <v>848</v>
      </c>
      <c r="H446" s="77">
        <v>47</v>
      </c>
      <c r="I446" s="124">
        <v>146.4</v>
      </c>
      <c r="J446" s="124">
        <v>6880.67</v>
      </c>
      <c r="K446" s="77">
        <v>60</v>
      </c>
      <c r="L446" t="s">
        <v>351</v>
      </c>
      <c r="M446" s="126">
        <v>1376.134</v>
      </c>
      <c r="N446" s="124">
        <v>6880.67</v>
      </c>
      <c r="O446" t="s">
        <v>346</v>
      </c>
      <c r="P446" t="s">
        <v>294</v>
      </c>
    </row>
    <row r="447" spans="1:16" ht="15" customHeight="1" x14ac:dyDescent="0.25">
      <c r="A447" s="123">
        <v>45785</v>
      </c>
      <c r="B447" t="s">
        <v>366</v>
      </c>
      <c r="C447" t="s">
        <v>367</v>
      </c>
      <c r="D447" t="s">
        <v>221</v>
      </c>
      <c r="E447" t="s">
        <v>415</v>
      </c>
      <c r="F447" t="s">
        <v>178</v>
      </c>
      <c r="G447" t="s">
        <v>849</v>
      </c>
      <c r="H447" s="77">
        <v>46</v>
      </c>
      <c r="I447" s="124">
        <v>93.94</v>
      </c>
      <c r="J447" s="124">
        <v>4321.46</v>
      </c>
      <c r="K447" s="77">
        <v>30</v>
      </c>
      <c r="L447" t="s">
        <v>351</v>
      </c>
      <c r="M447" s="126">
        <v>864.29200000000003</v>
      </c>
      <c r="N447" s="124">
        <v>4321.46</v>
      </c>
      <c r="O447" t="s">
        <v>340</v>
      </c>
      <c r="P447" t="s">
        <v>294</v>
      </c>
    </row>
    <row r="448" spans="1:16" ht="15" customHeight="1" x14ac:dyDescent="0.25">
      <c r="A448" s="123">
        <v>45988</v>
      </c>
      <c r="B448" t="s">
        <v>354</v>
      </c>
      <c r="C448" t="s">
        <v>355</v>
      </c>
      <c r="D448" t="s">
        <v>227</v>
      </c>
      <c r="E448" t="s">
        <v>440</v>
      </c>
      <c r="F448" t="s">
        <v>177</v>
      </c>
      <c r="G448" t="s">
        <v>850</v>
      </c>
      <c r="H448" s="77">
        <v>52</v>
      </c>
      <c r="I448" s="124">
        <v>146.81</v>
      </c>
      <c r="J448" s="124">
        <v>7633.98</v>
      </c>
      <c r="K448" s="77">
        <v>45</v>
      </c>
      <c r="L448" t="s">
        <v>345</v>
      </c>
      <c r="M448" s="126">
        <v>1526.796</v>
      </c>
      <c r="N448" s="124">
        <v>7633.98</v>
      </c>
      <c r="O448" t="s">
        <v>346</v>
      </c>
      <c r="P448" t="s">
        <v>294</v>
      </c>
    </row>
    <row r="449" spans="1:16" ht="15" customHeight="1" x14ac:dyDescent="0.25">
      <c r="A449" s="123">
        <v>45790</v>
      </c>
      <c r="B449" t="s">
        <v>409</v>
      </c>
      <c r="C449" t="s">
        <v>410</v>
      </c>
      <c r="D449" t="s">
        <v>223</v>
      </c>
      <c r="E449" t="s">
        <v>349</v>
      </c>
      <c r="F449" t="s">
        <v>177</v>
      </c>
      <c r="G449" t="s">
        <v>851</v>
      </c>
      <c r="H449" s="77">
        <v>29</v>
      </c>
      <c r="I449" s="124">
        <v>71.56</v>
      </c>
      <c r="J449" s="124">
        <v>2075.2800000000002</v>
      </c>
      <c r="K449" s="77">
        <v>60</v>
      </c>
      <c r="L449" t="s">
        <v>351</v>
      </c>
      <c r="M449" s="126">
        <v>415.05599999999998</v>
      </c>
      <c r="N449" s="124">
        <v>2075.2800000000002</v>
      </c>
      <c r="O449" t="s">
        <v>340</v>
      </c>
      <c r="P449" t="s">
        <v>294</v>
      </c>
    </row>
    <row r="450" spans="1:16" ht="15" customHeight="1" x14ac:dyDescent="0.25">
      <c r="A450" s="123">
        <v>45849</v>
      </c>
      <c r="B450" t="s">
        <v>341</v>
      </c>
      <c r="C450" t="s">
        <v>342</v>
      </c>
      <c r="D450" t="s">
        <v>223</v>
      </c>
      <c r="E450" t="s">
        <v>360</v>
      </c>
      <c r="F450" t="s">
        <v>180</v>
      </c>
      <c r="G450" t="s">
        <v>852</v>
      </c>
      <c r="H450" s="77">
        <v>51</v>
      </c>
      <c r="I450" s="124">
        <v>188.45</v>
      </c>
      <c r="J450" s="124">
        <v>9610.9599999999991</v>
      </c>
      <c r="K450" s="77">
        <v>45</v>
      </c>
      <c r="L450" t="s">
        <v>351</v>
      </c>
      <c r="M450" s="126">
        <v>1922.192</v>
      </c>
      <c r="N450" s="124">
        <v>9610.9599999999991</v>
      </c>
      <c r="O450" t="s">
        <v>346</v>
      </c>
      <c r="P450" t="s">
        <v>294</v>
      </c>
    </row>
    <row r="451" spans="1:16" ht="15" customHeight="1" x14ac:dyDescent="0.25">
      <c r="A451" s="123">
        <v>45670</v>
      </c>
      <c r="B451" t="s">
        <v>386</v>
      </c>
      <c r="C451" t="s">
        <v>387</v>
      </c>
      <c r="D451" t="s">
        <v>223</v>
      </c>
      <c r="E451" t="s">
        <v>381</v>
      </c>
      <c r="F451" t="s">
        <v>179</v>
      </c>
      <c r="G451" t="s">
        <v>853</v>
      </c>
      <c r="H451" s="77">
        <v>62</v>
      </c>
      <c r="I451" s="124">
        <v>100.52</v>
      </c>
      <c r="J451" s="124">
        <v>6232.44</v>
      </c>
      <c r="K451" s="77">
        <v>30</v>
      </c>
      <c r="L451" t="s">
        <v>345</v>
      </c>
      <c r="M451" s="126">
        <v>1246.4880000000001</v>
      </c>
      <c r="N451" s="124">
        <v>6232.44</v>
      </c>
      <c r="O451" t="s">
        <v>346</v>
      </c>
      <c r="P451" t="s">
        <v>294</v>
      </c>
    </row>
    <row r="452" spans="1:16" ht="15" customHeight="1" x14ac:dyDescent="0.25">
      <c r="A452" s="123">
        <v>45730</v>
      </c>
      <c r="B452" t="s">
        <v>370</v>
      </c>
      <c r="C452" t="s">
        <v>371</v>
      </c>
      <c r="D452" t="s">
        <v>227</v>
      </c>
      <c r="E452" t="s">
        <v>415</v>
      </c>
      <c r="F452" t="s">
        <v>178</v>
      </c>
      <c r="G452" t="s">
        <v>854</v>
      </c>
      <c r="H452" s="77">
        <v>45</v>
      </c>
      <c r="I452" s="124">
        <v>62.8</v>
      </c>
      <c r="J452" s="124">
        <v>2825.88</v>
      </c>
      <c r="K452" s="77">
        <v>45</v>
      </c>
      <c r="L452" t="s">
        <v>345</v>
      </c>
      <c r="M452" s="126">
        <v>565.17600000000004</v>
      </c>
      <c r="N452" s="124">
        <v>2825.88</v>
      </c>
      <c r="O452" t="s">
        <v>340</v>
      </c>
      <c r="P452" t="s">
        <v>294</v>
      </c>
    </row>
    <row r="453" spans="1:16" ht="15" customHeight="1" x14ac:dyDescent="0.25">
      <c r="A453" s="123">
        <v>45905</v>
      </c>
      <c r="B453" t="s">
        <v>347</v>
      </c>
      <c r="C453" t="s">
        <v>348</v>
      </c>
      <c r="D453" t="s">
        <v>223</v>
      </c>
      <c r="E453" t="s">
        <v>352</v>
      </c>
      <c r="F453" t="s">
        <v>180</v>
      </c>
      <c r="G453" t="s">
        <v>855</v>
      </c>
      <c r="H453" s="77">
        <v>45</v>
      </c>
      <c r="I453" s="124">
        <v>422.75</v>
      </c>
      <c r="J453" s="124">
        <v>19023.91</v>
      </c>
      <c r="K453" s="77">
        <v>45</v>
      </c>
      <c r="L453" t="s">
        <v>339</v>
      </c>
      <c r="M453" s="126">
        <v>3804.7820000000002</v>
      </c>
      <c r="N453" s="124">
        <v>19023.91</v>
      </c>
      <c r="O453" t="s">
        <v>346</v>
      </c>
      <c r="P453" t="s">
        <v>294</v>
      </c>
    </row>
    <row r="454" spans="1:16" ht="15" customHeight="1" x14ac:dyDescent="0.25">
      <c r="A454" s="123">
        <v>45692</v>
      </c>
      <c r="B454" t="s">
        <v>341</v>
      </c>
      <c r="C454" t="s">
        <v>342</v>
      </c>
      <c r="D454" t="s">
        <v>223</v>
      </c>
      <c r="E454" t="s">
        <v>427</v>
      </c>
      <c r="F454" t="s">
        <v>184</v>
      </c>
      <c r="G454" t="s">
        <v>856</v>
      </c>
      <c r="H454" s="77">
        <v>39</v>
      </c>
      <c r="I454" s="124">
        <v>43.61</v>
      </c>
      <c r="J454" s="124">
        <v>1700.88</v>
      </c>
      <c r="K454" s="77">
        <v>30</v>
      </c>
      <c r="L454" t="s">
        <v>351</v>
      </c>
      <c r="M454" s="126">
        <v>340.17599999999999</v>
      </c>
      <c r="N454" s="124">
        <v>1700.88</v>
      </c>
      <c r="O454" t="s">
        <v>346</v>
      </c>
      <c r="P454" t="s">
        <v>294</v>
      </c>
    </row>
    <row r="455" spans="1:16" ht="15" customHeight="1" x14ac:dyDescent="0.25">
      <c r="A455" s="123">
        <v>45989</v>
      </c>
      <c r="B455" t="s">
        <v>393</v>
      </c>
      <c r="C455" t="s">
        <v>394</v>
      </c>
      <c r="D455" t="s">
        <v>227</v>
      </c>
      <c r="E455" t="s">
        <v>496</v>
      </c>
      <c r="F455" t="s">
        <v>177</v>
      </c>
      <c r="G455" t="s">
        <v>857</v>
      </c>
      <c r="H455" s="77">
        <v>14</v>
      </c>
      <c r="I455" s="124">
        <v>158.34</v>
      </c>
      <c r="J455" s="124">
        <v>2216.6999999999998</v>
      </c>
      <c r="K455" s="77">
        <v>60</v>
      </c>
      <c r="L455" t="s">
        <v>339</v>
      </c>
      <c r="M455" s="126">
        <v>443.34</v>
      </c>
      <c r="N455" s="124">
        <v>2216.6999999999998</v>
      </c>
      <c r="O455" t="s">
        <v>346</v>
      </c>
      <c r="P455" t="s">
        <v>294</v>
      </c>
    </row>
    <row r="456" spans="1:16" ht="15" customHeight="1" x14ac:dyDescent="0.25">
      <c r="A456" s="123">
        <v>45747</v>
      </c>
      <c r="B456" t="s">
        <v>335</v>
      </c>
      <c r="C456" t="s">
        <v>336</v>
      </c>
      <c r="D456" t="s">
        <v>223</v>
      </c>
      <c r="E456" t="s">
        <v>352</v>
      </c>
      <c r="F456" t="s">
        <v>180</v>
      </c>
      <c r="G456" t="s">
        <v>858</v>
      </c>
      <c r="H456" s="77">
        <v>71</v>
      </c>
      <c r="I456" s="124">
        <v>186.76</v>
      </c>
      <c r="J456" s="124">
        <v>13259.89</v>
      </c>
      <c r="K456" s="77">
        <v>30</v>
      </c>
      <c r="L456" t="s">
        <v>345</v>
      </c>
      <c r="M456" s="126">
        <v>2651.9780000000001</v>
      </c>
      <c r="N456" s="124">
        <v>13259.89</v>
      </c>
      <c r="O456" t="s">
        <v>346</v>
      </c>
      <c r="P456" t="s">
        <v>294</v>
      </c>
    </row>
    <row r="457" spans="1:16" ht="15" customHeight="1" x14ac:dyDescent="0.25">
      <c r="A457" s="123">
        <v>45776</v>
      </c>
      <c r="B457" t="s">
        <v>393</v>
      </c>
      <c r="C457" t="s">
        <v>394</v>
      </c>
      <c r="D457" t="s">
        <v>227</v>
      </c>
      <c r="E457" t="s">
        <v>234</v>
      </c>
      <c r="F457" t="s">
        <v>183</v>
      </c>
      <c r="G457" t="s">
        <v>859</v>
      </c>
      <c r="H457" s="77">
        <v>52</v>
      </c>
      <c r="I457" s="124">
        <v>193.97</v>
      </c>
      <c r="J457" s="124">
        <v>10086.43</v>
      </c>
      <c r="K457" s="77">
        <v>60</v>
      </c>
      <c r="L457" t="s">
        <v>339</v>
      </c>
      <c r="M457" s="126">
        <v>2017.2860000000001</v>
      </c>
      <c r="N457" s="124">
        <v>10086.43</v>
      </c>
      <c r="O457" t="s">
        <v>346</v>
      </c>
      <c r="P457" t="s">
        <v>294</v>
      </c>
    </row>
    <row r="458" spans="1:16" ht="15" customHeight="1" x14ac:dyDescent="0.25">
      <c r="A458" s="123">
        <v>45672</v>
      </c>
      <c r="B458" t="s">
        <v>370</v>
      </c>
      <c r="C458" t="s">
        <v>371</v>
      </c>
      <c r="D458" t="s">
        <v>227</v>
      </c>
      <c r="E458" t="s">
        <v>234</v>
      </c>
      <c r="F458" t="s">
        <v>183</v>
      </c>
      <c r="G458" t="s">
        <v>860</v>
      </c>
      <c r="H458" s="77">
        <v>79</v>
      </c>
      <c r="I458" s="124">
        <v>282.85000000000002</v>
      </c>
      <c r="J458" s="124">
        <v>22345.13</v>
      </c>
      <c r="K458" s="77">
        <v>30</v>
      </c>
      <c r="L458" t="s">
        <v>345</v>
      </c>
      <c r="M458" s="126">
        <v>4469.0259999999998</v>
      </c>
      <c r="N458" s="124">
        <v>22345.13</v>
      </c>
      <c r="O458" t="s">
        <v>346</v>
      </c>
      <c r="P458" t="s">
        <v>294</v>
      </c>
    </row>
    <row r="459" spans="1:16" ht="15" customHeight="1" x14ac:dyDescent="0.25">
      <c r="A459" s="123">
        <v>45660</v>
      </c>
      <c r="B459" t="s">
        <v>386</v>
      </c>
      <c r="C459" t="s">
        <v>387</v>
      </c>
      <c r="D459" t="s">
        <v>223</v>
      </c>
      <c r="E459" t="s">
        <v>234</v>
      </c>
      <c r="F459" t="s">
        <v>183</v>
      </c>
      <c r="G459" t="s">
        <v>861</v>
      </c>
      <c r="H459" s="77">
        <v>28</v>
      </c>
      <c r="I459" s="124">
        <v>169.76</v>
      </c>
      <c r="J459" s="124">
        <v>4753.34</v>
      </c>
      <c r="K459" s="77">
        <v>30</v>
      </c>
      <c r="L459" t="s">
        <v>345</v>
      </c>
      <c r="M459" s="126">
        <v>950.66800000000001</v>
      </c>
      <c r="N459" s="124">
        <v>4753.34</v>
      </c>
      <c r="O459" t="s">
        <v>346</v>
      </c>
      <c r="P459" t="s">
        <v>294</v>
      </c>
    </row>
    <row r="460" spans="1:16" ht="15" customHeight="1" x14ac:dyDescent="0.25">
      <c r="A460" s="123">
        <v>45710</v>
      </c>
      <c r="B460" t="s">
        <v>373</v>
      </c>
      <c r="C460" t="s">
        <v>374</v>
      </c>
      <c r="D460" t="s">
        <v>225</v>
      </c>
      <c r="E460" t="s">
        <v>343</v>
      </c>
      <c r="F460" t="s">
        <v>178</v>
      </c>
      <c r="G460" t="s">
        <v>862</v>
      </c>
      <c r="H460" s="77">
        <v>69</v>
      </c>
      <c r="I460" s="124">
        <v>47.94</v>
      </c>
      <c r="J460" s="124">
        <v>3307.63</v>
      </c>
      <c r="K460" s="77">
        <v>30</v>
      </c>
      <c r="L460" t="s">
        <v>345</v>
      </c>
      <c r="M460" s="126">
        <v>661.52599999999995</v>
      </c>
      <c r="N460" s="124">
        <v>3307.63</v>
      </c>
      <c r="O460" t="s">
        <v>346</v>
      </c>
      <c r="P460" t="s">
        <v>294</v>
      </c>
    </row>
    <row r="461" spans="1:16" ht="15" customHeight="1" x14ac:dyDescent="0.25">
      <c r="A461" s="123">
        <v>45716</v>
      </c>
      <c r="B461" t="s">
        <v>378</v>
      </c>
      <c r="C461" t="s">
        <v>379</v>
      </c>
      <c r="D461" t="s">
        <v>227</v>
      </c>
      <c r="E461" t="s">
        <v>360</v>
      </c>
      <c r="F461" t="s">
        <v>180</v>
      </c>
      <c r="G461" t="s">
        <v>863</v>
      </c>
      <c r="H461" s="77">
        <v>34</v>
      </c>
      <c r="I461" s="124">
        <v>129.36000000000001</v>
      </c>
      <c r="J461" s="124">
        <v>4398.37</v>
      </c>
      <c r="K461" s="77">
        <v>60</v>
      </c>
      <c r="L461" t="s">
        <v>345</v>
      </c>
      <c r="M461" s="126">
        <v>879.67399999999998</v>
      </c>
      <c r="N461" s="124">
        <v>4398.37</v>
      </c>
      <c r="O461" t="s">
        <v>346</v>
      </c>
      <c r="P461" t="s">
        <v>294</v>
      </c>
    </row>
    <row r="462" spans="1:16" ht="15" customHeight="1" x14ac:dyDescent="0.25">
      <c r="A462" s="123">
        <v>45856</v>
      </c>
      <c r="B462" t="s">
        <v>378</v>
      </c>
      <c r="C462" t="s">
        <v>379</v>
      </c>
      <c r="D462" t="s">
        <v>227</v>
      </c>
      <c r="E462" t="s">
        <v>364</v>
      </c>
      <c r="F462" t="s">
        <v>182</v>
      </c>
      <c r="G462" t="s">
        <v>864</v>
      </c>
      <c r="H462" s="77">
        <v>79</v>
      </c>
      <c r="I462" s="124">
        <v>279.91000000000003</v>
      </c>
      <c r="J462" s="124">
        <v>22113.06</v>
      </c>
      <c r="K462" s="77">
        <v>45</v>
      </c>
      <c r="L462" t="s">
        <v>351</v>
      </c>
      <c r="M462" s="126">
        <v>4422.6120000000001</v>
      </c>
      <c r="N462" s="124">
        <v>22113.06</v>
      </c>
      <c r="O462" t="s">
        <v>346</v>
      </c>
      <c r="P462" t="s">
        <v>294</v>
      </c>
    </row>
    <row r="463" spans="1:16" ht="15" customHeight="1" x14ac:dyDescent="0.25">
      <c r="A463" s="123">
        <v>45892</v>
      </c>
      <c r="B463" t="s">
        <v>370</v>
      </c>
      <c r="C463" t="s">
        <v>371</v>
      </c>
      <c r="D463" t="s">
        <v>227</v>
      </c>
      <c r="E463" t="s">
        <v>420</v>
      </c>
      <c r="F463" t="s">
        <v>182</v>
      </c>
      <c r="G463" t="s">
        <v>865</v>
      </c>
      <c r="H463" s="77">
        <v>80</v>
      </c>
      <c r="I463" s="124">
        <v>96.86</v>
      </c>
      <c r="J463" s="124">
        <v>7748.84</v>
      </c>
      <c r="K463" s="77">
        <v>30</v>
      </c>
      <c r="L463" t="s">
        <v>351</v>
      </c>
      <c r="M463" s="126">
        <v>1549.768</v>
      </c>
      <c r="N463" s="124">
        <v>7748.84</v>
      </c>
      <c r="O463" t="s">
        <v>346</v>
      </c>
      <c r="P463" t="s">
        <v>294</v>
      </c>
    </row>
    <row r="464" spans="1:16" ht="15" customHeight="1" x14ac:dyDescent="0.25">
      <c r="A464" s="123">
        <v>45960</v>
      </c>
      <c r="B464" t="s">
        <v>393</v>
      </c>
      <c r="C464" t="s">
        <v>394</v>
      </c>
      <c r="D464" t="s">
        <v>227</v>
      </c>
      <c r="E464" t="s">
        <v>403</v>
      </c>
      <c r="F464" t="s">
        <v>181</v>
      </c>
      <c r="G464" t="s">
        <v>866</v>
      </c>
      <c r="H464" s="77">
        <v>11</v>
      </c>
      <c r="I464" s="124">
        <v>149.72</v>
      </c>
      <c r="J464" s="124">
        <v>1646.94</v>
      </c>
      <c r="K464" s="77">
        <v>60</v>
      </c>
      <c r="L464" t="s">
        <v>339</v>
      </c>
      <c r="M464" s="126">
        <v>329.38799999999998</v>
      </c>
      <c r="N464" s="124">
        <v>1646.94</v>
      </c>
      <c r="O464" t="s">
        <v>346</v>
      </c>
      <c r="P464" t="s">
        <v>294</v>
      </c>
    </row>
    <row r="465" spans="1:16" ht="15" customHeight="1" x14ac:dyDescent="0.25">
      <c r="A465" s="123">
        <v>45814</v>
      </c>
      <c r="B465" t="s">
        <v>431</v>
      </c>
      <c r="C465" t="s">
        <v>432</v>
      </c>
      <c r="D465" t="s">
        <v>221</v>
      </c>
      <c r="E465" t="s">
        <v>415</v>
      </c>
      <c r="F465" t="s">
        <v>178</v>
      </c>
      <c r="G465" t="s">
        <v>867</v>
      </c>
      <c r="H465" s="77">
        <v>15</v>
      </c>
      <c r="I465" s="124">
        <v>73.12</v>
      </c>
      <c r="J465" s="124">
        <v>1096.77</v>
      </c>
      <c r="K465" s="77">
        <v>30</v>
      </c>
      <c r="L465" t="s">
        <v>345</v>
      </c>
      <c r="M465" s="126">
        <v>219.35400000000001</v>
      </c>
      <c r="N465" s="124">
        <v>1096.77</v>
      </c>
      <c r="O465" t="s">
        <v>340</v>
      </c>
      <c r="P465" t="s">
        <v>294</v>
      </c>
    </row>
    <row r="466" spans="1:16" ht="15" customHeight="1" x14ac:dyDescent="0.25">
      <c r="A466" s="123">
        <v>45856</v>
      </c>
      <c r="B466" t="s">
        <v>488</v>
      </c>
      <c r="C466" t="s">
        <v>489</v>
      </c>
      <c r="D466" t="s">
        <v>225</v>
      </c>
      <c r="E466" t="s">
        <v>412</v>
      </c>
      <c r="F466" t="s">
        <v>179</v>
      </c>
      <c r="G466" t="s">
        <v>868</v>
      </c>
      <c r="H466" s="77">
        <v>54</v>
      </c>
      <c r="I466" s="124">
        <v>169.22</v>
      </c>
      <c r="J466" s="124">
        <v>9137.67</v>
      </c>
      <c r="K466" s="77">
        <v>60</v>
      </c>
      <c r="L466" t="s">
        <v>339</v>
      </c>
      <c r="M466" s="126">
        <v>1827.5340000000001</v>
      </c>
      <c r="N466" s="124">
        <v>9137.67</v>
      </c>
      <c r="O466" t="s">
        <v>346</v>
      </c>
      <c r="P466" t="s">
        <v>294</v>
      </c>
    </row>
    <row r="467" spans="1:16" ht="15" customHeight="1" x14ac:dyDescent="0.25">
      <c r="A467" s="123">
        <v>45753</v>
      </c>
      <c r="B467" t="s">
        <v>370</v>
      </c>
      <c r="C467" t="s">
        <v>371</v>
      </c>
      <c r="D467" t="s">
        <v>227</v>
      </c>
      <c r="E467" t="s">
        <v>234</v>
      </c>
      <c r="F467" t="s">
        <v>183</v>
      </c>
      <c r="G467" t="s">
        <v>869</v>
      </c>
      <c r="H467" s="77">
        <v>63</v>
      </c>
      <c r="I467" s="124">
        <v>265.67</v>
      </c>
      <c r="J467" s="124">
        <v>16737.11</v>
      </c>
      <c r="K467" s="77">
        <v>60</v>
      </c>
      <c r="L467" t="s">
        <v>351</v>
      </c>
      <c r="M467" s="126">
        <v>3347.422</v>
      </c>
      <c r="N467" s="124">
        <v>16737.11</v>
      </c>
      <c r="O467" t="s">
        <v>346</v>
      </c>
      <c r="P467" t="s">
        <v>294</v>
      </c>
    </row>
    <row r="468" spans="1:16" ht="15" customHeight="1" x14ac:dyDescent="0.25">
      <c r="A468" s="123">
        <v>45743</v>
      </c>
      <c r="B468" t="s">
        <v>488</v>
      </c>
      <c r="C468" t="s">
        <v>489</v>
      </c>
      <c r="D468" t="s">
        <v>225</v>
      </c>
      <c r="E468" t="s">
        <v>412</v>
      </c>
      <c r="F468" t="s">
        <v>179</v>
      </c>
      <c r="G468" t="s">
        <v>870</v>
      </c>
      <c r="H468" s="77">
        <v>63</v>
      </c>
      <c r="I468" s="124">
        <v>252.33</v>
      </c>
      <c r="J468" s="124">
        <v>15896.96</v>
      </c>
      <c r="K468" s="77">
        <v>45</v>
      </c>
      <c r="L468" t="s">
        <v>339</v>
      </c>
      <c r="M468" s="126">
        <v>3179.3919999999998</v>
      </c>
      <c r="N468" s="124">
        <v>15896.96</v>
      </c>
      <c r="O468" t="s">
        <v>346</v>
      </c>
      <c r="P468" t="s">
        <v>294</v>
      </c>
    </row>
    <row r="469" spans="1:16" ht="15" customHeight="1" x14ac:dyDescent="0.25">
      <c r="A469" s="123">
        <v>45975</v>
      </c>
      <c r="B469" t="s">
        <v>398</v>
      </c>
      <c r="C469" t="s">
        <v>399</v>
      </c>
      <c r="D469" t="s">
        <v>227</v>
      </c>
      <c r="E469" t="s">
        <v>420</v>
      </c>
      <c r="F469" t="s">
        <v>182</v>
      </c>
      <c r="G469" t="s">
        <v>871</v>
      </c>
      <c r="H469" s="77">
        <v>7</v>
      </c>
      <c r="I469" s="124">
        <v>144.1</v>
      </c>
      <c r="J469" s="124">
        <v>1008.7</v>
      </c>
      <c r="K469" s="77">
        <v>45</v>
      </c>
      <c r="L469" t="s">
        <v>339</v>
      </c>
      <c r="M469" s="126">
        <v>201.74</v>
      </c>
      <c r="N469" s="124">
        <v>1008.7</v>
      </c>
      <c r="O469" t="s">
        <v>346</v>
      </c>
      <c r="P469" t="s">
        <v>294</v>
      </c>
    </row>
    <row r="470" spans="1:16" ht="15" customHeight="1" x14ac:dyDescent="0.25">
      <c r="A470" s="123">
        <v>45854</v>
      </c>
      <c r="B470" t="s">
        <v>370</v>
      </c>
      <c r="C470" t="s">
        <v>371</v>
      </c>
      <c r="D470" t="s">
        <v>227</v>
      </c>
      <c r="E470" t="s">
        <v>442</v>
      </c>
      <c r="F470" t="s">
        <v>179</v>
      </c>
      <c r="G470" t="s">
        <v>872</v>
      </c>
      <c r="H470" s="77">
        <v>72</v>
      </c>
      <c r="I470" s="124">
        <v>134.44999999999999</v>
      </c>
      <c r="J470" s="124">
        <v>9680.2900000000009</v>
      </c>
      <c r="K470" s="77">
        <v>60</v>
      </c>
      <c r="L470" t="s">
        <v>351</v>
      </c>
      <c r="M470" s="126">
        <v>1936.058</v>
      </c>
      <c r="N470" s="124">
        <v>9680.2900000000009</v>
      </c>
      <c r="O470" t="s">
        <v>340</v>
      </c>
      <c r="P470" t="s">
        <v>294</v>
      </c>
    </row>
    <row r="471" spans="1:16" ht="15" customHeight="1" x14ac:dyDescent="0.25">
      <c r="A471" s="123">
        <v>45909</v>
      </c>
      <c r="B471" t="s">
        <v>409</v>
      </c>
      <c r="C471" t="s">
        <v>410</v>
      </c>
      <c r="D471" t="s">
        <v>223</v>
      </c>
      <c r="E471" t="s">
        <v>236</v>
      </c>
      <c r="F471" t="s">
        <v>183</v>
      </c>
      <c r="G471" t="s">
        <v>873</v>
      </c>
      <c r="H471" s="77">
        <v>54</v>
      </c>
      <c r="I471" s="124">
        <v>218.56</v>
      </c>
      <c r="J471" s="124">
        <v>11802.5</v>
      </c>
      <c r="K471" s="77">
        <v>60</v>
      </c>
      <c r="L471" t="s">
        <v>345</v>
      </c>
      <c r="M471" s="126">
        <v>2360.5</v>
      </c>
      <c r="N471" s="124">
        <v>11802.5</v>
      </c>
      <c r="O471" t="s">
        <v>346</v>
      </c>
      <c r="P471" t="s">
        <v>294</v>
      </c>
    </row>
    <row r="472" spans="1:16" ht="15" customHeight="1" x14ac:dyDescent="0.25">
      <c r="A472" s="123">
        <v>45947</v>
      </c>
      <c r="B472" t="s">
        <v>431</v>
      </c>
      <c r="C472" t="s">
        <v>432</v>
      </c>
      <c r="D472" t="s">
        <v>221</v>
      </c>
      <c r="E472" t="s">
        <v>442</v>
      </c>
      <c r="F472" t="s">
        <v>179</v>
      </c>
      <c r="G472" t="s">
        <v>874</v>
      </c>
      <c r="H472" s="77">
        <v>4</v>
      </c>
      <c r="I472" s="124">
        <v>154.72999999999999</v>
      </c>
      <c r="J472" s="124">
        <v>618.91999999999996</v>
      </c>
      <c r="K472" s="77">
        <v>30</v>
      </c>
      <c r="L472" t="s">
        <v>345</v>
      </c>
      <c r="M472" s="126">
        <v>123.78400000000001</v>
      </c>
      <c r="N472" s="124">
        <v>618.91999999999996</v>
      </c>
      <c r="O472" t="s">
        <v>340</v>
      </c>
      <c r="P472" t="s">
        <v>294</v>
      </c>
    </row>
    <row r="473" spans="1:16" ht="15" customHeight="1" x14ac:dyDescent="0.25">
      <c r="A473" s="123">
        <v>45933</v>
      </c>
      <c r="B473" t="s">
        <v>431</v>
      </c>
      <c r="C473" t="s">
        <v>432</v>
      </c>
      <c r="D473" t="s">
        <v>221</v>
      </c>
      <c r="E473" t="s">
        <v>356</v>
      </c>
      <c r="F473" t="s">
        <v>181</v>
      </c>
      <c r="G473" t="s">
        <v>875</v>
      </c>
      <c r="H473" s="77">
        <v>37</v>
      </c>
      <c r="I473" s="124">
        <v>62.03</v>
      </c>
      <c r="J473" s="124">
        <v>2295</v>
      </c>
      <c r="K473" s="77">
        <v>30</v>
      </c>
      <c r="L473" t="s">
        <v>345</v>
      </c>
      <c r="M473" s="126">
        <v>459</v>
      </c>
      <c r="N473" s="124">
        <v>2295</v>
      </c>
      <c r="O473" t="s">
        <v>340</v>
      </c>
      <c r="P473" t="s">
        <v>294</v>
      </c>
    </row>
    <row r="474" spans="1:16" ht="15" customHeight="1" x14ac:dyDescent="0.25">
      <c r="A474" s="123">
        <v>45919</v>
      </c>
      <c r="B474" t="s">
        <v>354</v>
      </c>
      <c r="C474" t="s">
        <v>355</v>
      </c>
      <c r="D474" t="s">
        <v>227</v>
      </c>
      <c r="E474" t="s">
        <v>417</v>
      </c>
      <c r="F474" t="s">
        <v>184</v>
      </c>
      <c r="G474" t="s">
        <v>876</v>
      </c>
      <c r="H474" s="77">
        <v>15</v>
      </c>
      <c r="I474" s="124">
        <v>32.590000000000003</v>
      </c>
      <c r="J474" s="124">
        <v>488.91</v>
      </c>
      <c r="K474" s="77">
        <v>60</v>
      </c>
      <c r="L474" t="s">
        <v>339</v>
      </c>
      <c r="M474" s="126">
        <v>97.781999999999996</v>
      </c>
      <c r="N474" s="124">
        <v>488.91</v>
      </c>
      <c r="O474" t="s">
        <v>346</v>
      </c>
      <c r="P474" t="s">
        <v>294</v>
      </c>
    </row>
    <row r="475" spans="1:16" ht="15" customHeight="1" x14ac:dyDescent="0.25">
      <c r="A475" s="123">
        <v>45679</v>
      </c>
      <c r="B475" t="s">
        <v>386</v>
      </c>
      <c r="C475" t="s">
        <v>387</v>
      </c>
      <c r="D475" t="s">
        <v>223</v>
      </c>
      <c r="E475" t="s">
        <v>364</v>
      </c>
      <c r="F475" t="s">
        <v>182</v>
      </c>
      <c r="G475" t="s">
        <v>877</v>
      </c>
      <c r="H475" s="77">
        <v>57</v>
      </c>
      <c r="I475" s="124">
        <v>201.47</v>
      </c>
      <c r="J475" s="124">
        <v>11483.99</v>
      </c>
      <c r="K475" s="77">
        <v>60</v>
      </c>
      <c r="L475" t="s">
        <v>339</v>
      </c>
      <c r="M475" s="126">
        <v>2296.7979999999998</v>
      </c>
      <c r="N475" s="124">
        <v>11483.99</v>
      </c>
      <c r="O475" t="s">
        <v>346</v>
      </c>
      <c r="P475" t="s">
        <v>294</v>
      </c>
    </row>
    <row r="476" spans="1:16" ht="15" customHeight="1" x14ac:dyDescent="0.25">
      <c r="A476" s="123">
        <v>45992</v>
      </c>
      <c r="B476" t="s">
        <v>335</v>
      </c>
      <c r="C476" t="s">
        <v>336</v>
      </c>
      <c r="D476" t="s">
        <v>223</v>
      </c>
      <c r="E476" t="s">
        <v>343</v>
      </c>
      <c r="F476" t="s">
        <v>178</v>
      </c>
      <c r="G476" t="s">
        <v>878</v>
      </c>
      <c r="H476" s="77">
        <v>32</v>
      </c>
      <c r="I476" s="124">
        <v>160.63</v>
      </c>
      <c r="J476" s="124">
        <v>5140.24</v>
      </c>
      <c r="K476" s="77">
        <v>45</v>
      </c>
      <c r="L476" t="s">
        <v>339</v>
      </c>
      <c r="M476" s="126">
        <v>1028.048</v>
      </c>
      <c r="N476" s="124">
        <v>5140.24</v>
      </c>
      <c r="O476" t="s">
        <v>346</v>
      </c>
      <c r="P476" t="s">
        <v>294</v>
      </c>
    </row>
    <row r="477" spans="1:16" ht="15" customHeight="1" x14ac:dyDescent="0.25">
      <c r="A477" s="123">
        <v>45702</v>
      </c>
      <c r="B477" t="s">
        <v>390</v>
      </c>
      <c r="C477" t="s">
        <v>391</v>
      </c>
      <c r="D477" t="s">
        <v>221</v>
      </c>
      <c r="E477" t="s">
        <v>437</v>
      </c>
      <c r="F477" t="s">
        <v>181</v>
      </c>
      <c r="G477" t="s">
        <v>879</v>
      </c>
      <c r="H477" s="77">
        <v>57</v>
      </c>
      <c r="I477" s="124">
        <v>191.84</v>
      </c>
      <c r="J477" s="124">
        <v>10934.84</v>
      </c>
      <c r="K477" s="77">
        <v>30</v>
      </c>
      <c r="L477" t="s">
        <v>339</v>
      </c>
      <c r="M477" s="126">
        <v>2186.9679999999998</v>
      </c>
      <c r="N477" s="124">
        <v>10934.84</v>
      </c>
      <c r="O477" t="s">
        <v>346</v>
      </c>
      <c r="P477" t="s">
        <v>294</v>
      </c>
    </row>
    <row r="478" spans="1:16" ht="15" customHeight="1" x14ac:dyDescent="0.25">
      <c r="A478" s="123">
        <v>45970</v>
      </c>
      <c r="B478" t="s">
        <v>488</v>
      </c>
      <c r="C478" t="s">
        <v>489</v>
      </c>
      <c r="D478" t="s">
        <v>225</v>
      </c>
      <c r="E478" t="s">
        <v>364</v>
      </c>
      <c r="F478" t="s">
        <v>182</v>
      </c>
      <c r="G478" t="s">
        <v>880</v>
      </c>
      <c r="H478" s="77">
        <v>55</v>
      </c>
      <c r="I478" s="124">
        <v>130.44999999999999</v>
      </c>
      <c r="J478" s="124">
        <v>7174.7</v>
      </c>
      <c r="K478" s="77">
        <v>30</v>
      </c>
      <c r="L478" t="s">
        <v>351</v>
      </c>
      <c r="M478" s="126">
        <v>1434.94</v>
      </c>
      <c r="N478" s="124">
        <v>7174.7</v>
      </c>
      <c r="O478" t="s">
        <v>346</v>
      </c>
      <c r="P478" t="s">
        <v>294</v>
      </c>
    </row>
    <row r="479" spans="1:16" ht="15" customHeight="1" x14ac:dyDescent="0.25">
      <c r="A479" s="123">
        <v>45688</v>
      </c>
      <c r="B479" t="s">
        <v>386</v>
      </c>
      <c r="C479" t="s">
        <v>387</v>
      </c>
      <c r="D479" t="s">
        <v>223</v>
      </c>
      <c r="E479" t="s">
        <v>423</v>
      </c>
      <c r="F479" t="s">
        <v>180</v>
      </c>
      <c r="G479" t="s">
        <v>881</v>
      </c>
      <c r="H479" s="77">
        <v>73</v>
      </c>
      <c r="I479" s="124">
        <v>296.68</v>
      </c>
      <c r="J479" s="124">
        <v>21657.52</v>
      </c>
      <c r="K479" s="77">
        <v>45</v>
      </c>
      <c r="L479" t="s">
        <v>351</v>
      </c>
      <c r="M479" s="126">
        <v>4331.5039999999999</v>
      </c>
      <c r="N479" s="124">
        <v>21657.52</v>
      </c>
      <c r="O479" t="s">
        <v>346</v>
      </c>
      <c r="P479" t="s">
        <v>294</v>
      </c>
    </row>
    <row r="480" spans="1:16" ht="15" customHeight="1" x14ac:dyDescent="0.25">
      <c r="A480" s="123">
        <v>46018</v>
      </c>
      <c r="B480" t="s">
        <v>341</v>
      </c>
      <c r="C480" t="s">
        <v>342</v>
      </c>
      <c r="D480" t="s">
        <v>223</v>
      </c>
      <c r="E480" t="s">
        <v>381</v>
      </c>
      <c r="F480" t="s">
        <v>179</v>
      </c>
      <c r="G480" t="s">
        <v>882</v>
      </c>
      <c r="H480" s="77">
        <v>38</v>
      </c>
      <c r="I480" s="124">
        <v>978.81</v>
      </c>
      <c r="J480" s="124">
        <v>37194.92</v>
      </c>
      <c r="K480" s="77">
        <v>45</v>
      </c>
      <c r="L480" t="s">
        <v>351</v>
      </c>
      <c r="M480" s="126">
        <v>7438.9840000000004</v>
      </c>
      <c r="N480" s="124">
        <v>37194.92</v>
      </c>
      <c r="O480" t="s">
        <v>346</v>
      </c>
      <c r="P480" t="s">
        <v>294</v>
      </c>
    </row>
    <row r="481" spans="1:16" ht="15" customHeight="1" x14ac:dyDescent="0.25">
      <c r="A481" s="123">
        <v>45868</v>
      </c>
      <c r="B481" t="s">
        <v>398</v>
      </c>
      <c r="C481" t="s">
        <v>399</v>
      </c>
      <c r="D481" t="s">
        <v>227</v>
      </c>
      <c r="E481" t="s">
        <v>415</v>
      </c>
      <c r="F481" t="s">
        <v>178</v>
      </c>
      <c r="G481" t="s">
        <v>883</v>
      </c>
      <c r="H481" s="77">
        <v>8</v>
      </c>
      <c r="I481" s="124">
        <v>120.32</v>
      </c>
      <c r="J481" s="124">
        <v>962.56</v>
      </c>
      <c r="K481" s="77">
        <v>45</v>
      </c>
      <c r="L481" t="s">
        <v>351</v>
      </c>
      <c r="M481" s="126">
        <v>192.512</v>
      </c>
      <c r="N481" s="124">
        <v>962.56</v>
      </c>
      <c r="O481" t="s">
        <v>340</v>
      </c>
      <c r="P481" t="s">
        <v>294</v>
      </c>
    </row>
    <row r="482" spans="1:16" ht="15" customHeight="1" x14ac:dyDescent="0.25">
      <c r="A482" s="123">
        <v>45732</v>
      </c>
      <c r="B482" t="s">
        <v>347</v>
      </c>
      <c r="C482" t="s">
        <v>348</v>
      </c>
      <c r="D482" t="s">
        <v>223</v>
      </c>
      <c r="E482" t="s">
        <v>442</v>
      </c>
      <c r="F482" t="s">
        <v>179</v>
      </c>
      <c r="G482" t="s">
        <v>884</v>
      </c>
      <c r="H482" s="77">
        <v>42</v>
      </c>
      <c r="I482" s="124">
        <v>167.77</v>
      </c>
      <c r="J482" s="124">
        <v>7046.4</v>
      </c>
      <c r="K482" s="77">
        <v>30</v>
      </c>
      <c r="L482" t="s">
        <v>351</v>
      </c>
      <c r="M482" s="126">
        <v>1409.28</v>
      </c>
      <c r="N482" s="124">
        <v>7046.4</v>
      </c>
      <c r="O482" t="s">
        <v>340</v>
      </c>
      <c r="P482" t="s">
        <v>294</v>
      </c>
    </row>
    <row r="483" spans="1:16" ht="15" customHeight="1" x14ac:dyDescent="0.25">
      <c r="A483" s="123">
        <v>45953</v>
      </c>
      <c r="B483" t="s">
        <v>383</v>
      </c>
      <c r="C483" t="s">
        <v>384</v>
      </c>
      <c r="D483" t="s">
        <v>225</v>
      </c>
      <c r="E483" t="s">
        <v>396</v>
      </c>
      <c r="F483" t="s">
        <v>184</v>
      </c>
      <c r="G483" t="s">
        <v>885</v>
      </c>
      <c r="H483" s="77">
        <v>35</v>
      </c>
      <c r="I483" s="124">
        <v>44.34</v>
      </c>
      <c r="J483" s="124">
        <v>1551.98</v>
      </c>
      <c r="K483" s="77">
        <v>60</v>
      </c>
      <c r="L483" t="s">
        <v>345</v>
      </c>
      <c r="M483" s="126">
        <v>310.39600000000002</v>
      </c>
      <c r="N483" s="124">
        <v>1551.98</v>
      </c>
      <c r="O483" t="s">
        <v>346</v>
      </c>
      <c r="P483" t="s">
        <v>294</v>
      </c>
    </row>
    <row r="484" spans="1:16" ht="15" customHeight="1" x14ac:dyDescent="0.25">
      <c r="A484" s="123">
        <v>45982</v>
      </c>
      <c r="B484" t="s">
        <v>354</v>
      </c>
      <c r="C484" t="s">
        <v>355</v>
      </c>
      <c r="D484" t="s">
        <v>227</v>
      </c>
      <c r="E484" t="s">
        <v>396</v>
      </c>
      <c r="F484" t="s">
        <v>184</v>
      </c>
      <c r="G484" t="s">
        <v>886</v>
      </c>
      <c r="H484" s="77">
        <v>12</v>
      </c>
      <c r="I484" s="124">
        <v>31</v>
      </c>
      <c r="J484" s="124">
        <v>371.98</v>
      </c>
      <c r="K484" s="77">
        <v>45</v>
      </c>
      <c r="L484" t="s">
        <v>351</v>
      </c>
      <c r="M484" s="126">
        <v>74.396000000000001</v>
      </c>
      <c r="N484" s="124">
        <v>371.98</v>
      </c>
      <c r="O484" t="s">
        <v>346</v>
      </c>
      <c r="P484" t="s">
        <v>294</v>
      </c>
    </row>
    <row r="485" spans="1:16" ht="15" customHeight="1" x14ac:dyDescent="0.25">
      <c r="A485" s="123">
        <v>45846</v>
      </c>
      <c r="B485" t="s">
        <v>383</v>
      </c>
      <c r="C485" t="s">
        <v>384</v>
      </c>
      <c r="D485" t="s">
        <v>225</v>
      </c>
      <c r="E485" t="s">
        <v>403</v>
      </c>
      <c r="F485" t="s">
        <v>181</v>
      </c>
      <c r="G485" t="s">
        <v>887</v>
      </c>
      <c r="H485" s="77">
        <v>59</v>
      </c>
      <c r="I485" s="124">
        <v>246.05</v>
      </c>
      <c r="J485" s="124">
        <v>14516.92</v>
      </c>
      <c r="K485" s="77">
        <v>45</v>
      </c>
      <c r="L485" t="s">
        <v>345</v>
      </c>
      <c r="M485" s="126">
        <v>2903.384</v>
      </c>
      <c r="N485" s="124">
        <v>14516.92</v>
      </c>
      <c r="O485" t="s">
        <v>346</v>
      </c>
      <c r="P485" t="s">
        <v>294</v>
      </c>
    </row>
    <row r="486" spans="1:16" ht="15" customHeight="1" x14ac:dyDescent="0.25">
      <c r="A486" s="123">
        <v>45705</v>
      </c>
      <c r="B486" t="s">
        <v>431</v>
      </c>
      <c r="C486" t="s">
        <v>432</v>
      </c>
      <c r="D486" t="s">
        <v>221</v>
      </c>
      <c r="E486" t="s">
        <v>440</v>
      </c>
      <c r="F486" t="s">
        <v>177</v>
      </c>
      <c r="G486" t="s">
        <v>888</v>
      </c>
      <c r="H486" s="77">
        <v>59</v>
      </c>
      <c r="I486" s="124">
        <v>79.16</v>
      </c>
      <c r="J486" s="124">
        <v>4670.57</v>
      </c>
      <c r="K486" s="77">
        <v>60</v>
      </c>
      <c r="L486" t="s">
        <v>351</v>
      </c>
      <c r="M486" s="126">
        <v>934.11400000000003</v>
      </c>
      <c r="N486" s="124">
        <v>4670.57</v>
      </c>
      <c r="O486" t="s">
        <v>346</v>
      </c>
      <c r="P486" t="s">
        <v>294</v>
      </c>
    </row>
    <row r="487" spans="1:16" ht="15" customHeight="1" x14ac:dyDescent="0.25">
      <c r="A487" s="123">
        <v>45931</v>
      </c>
      <c r="B487" t="s">
        <v>370</v>
      </c>
      <c r="C487" t="s">
        <v>371</v>
      </c>
      <c r="D487" t="s">
        <v>227</v>
      </c>
      <c r="E487" t="s">
        <v>376</v>
      </c>
      <c r="F487" t="s">
        <v>182</v>
      </c>
      <c r="G487" t="s">
        <v>889</v>
      </c>
      <c r="H487" s="77">
        <v>51</v>
      </c>
      <c r="I487" s="124">
        <v>43.45</v>
      </c>
      <c r="J487" s="124">
        <v>2216.0100000000002</v>
      </c>
      <c r="K487" s="77">
        <v>30</v>
      </c>
      <c r="L487" t="s">
        <v>345</v>
      </c>
      <c r="M487" s="126">
        <v>443.202</v>
      </c>
      <c r="N487" s="124">
        <v>2216.0100000000002</v>
      </c>
      <c r="O487" t="s">
        <v>340</v>
      </c>
      <c r="P487" t="s">
        <v>294</v>
      </c>
    </row>
    <row r="488" spans="1:16" ht="15" customHeight="1" x14ac:dyDescent="0.25">
      <c r="A488" s="123">
        <v>45823</v>
      </c>
      <c r="B488" t="s">
        <v>347</v>
      </c>
      <c r="C488" t="s">
        <v>348</v>
      </c>
      <c r="D488" t="s">
        <v>223</v>
      </c>
      <c r="E488" t="s">
        <v>427</v>
      </c>
      <c r="F488" t="s">
        <v>184</v>
      </c>
      <c r="G488" t="s">
        <v>890</v>
      </c>
      <c r="H488" s="77">
        <v>37</v>
      </c>
      <c r="I488" s="124">
        <v>52.56</v>
      </c>
      <c r="J488" s="124">
        <v>1944.56</v>
      </c>
      <c r="K488" s="77">
        <v>45</v>
      </c>
      <c r="L488" t="s">
        <v>351</v>
      </c>
      <c r="M488" s="126">
        <v>388.91199999999998</v>
      </c>
      <c r="N488" s="124">
        <v>1944.56</v>
      </c>
      <c r="O488" t="s">
        <v>346</v>
      </c>
      <c r="P488" t="s">
        <v>294</v>
      </c>
    </row>
    <row r="489" spans="1:16" ht="15" customHeight="1" x14ac:dyDescent="0.25">
      <c r="A489" s="123">
        <v>45906</v>
      </c>
      <c r="B489" t="s">
        <v>341</v>
      </c>
      <c r="C489" t="s">
        <v>342</v>
      </c>
      <c r="D489" t="s">
        <v>223</v>
      </c>
      <c r="E489" t="s">
        <v>412</v>
      </c>
      <c r="F489" t="s">
        <v>179</v>
      </c>
      <c r="G489" t="s">
        <v>891</v>
      </c>
      <c r="H489" s="77">
        <v>44</v>
      </c>
      <c r="I489" s="124">
        <v>99.3</v>
      </c>
      <c r="J489" s="124">
        <v>4369.0200000000004</v>
      </c>
      <c r="K489" s="77">
        <v>60</v>
      </c>
      <c r="L489" t="s">
        <v>339</v>
      </c>
      <c r="M489" s="126">
        <v>873.80399999999997</v>
      </c>
      <c r="N489" s="124">
        <v>4369.0200000000004</v>
      </c>
      <c r="O489" t="s">
        <v>346</v>
      </c>
      <c r="P489" t="s">
        <v>294</v>
      </c>
    </row>
    <row r="490" spans="1:16" ht="15" customHeight="1" x14ac:dyDescent="0.25">
      <c r="A490" s="123">
        <v>45893</v>
      </c>
      <c r="B490" t="s">
        <v>386</v>
      </c>
      <c r="C490" t="s">
        <v>387</v>
      </c>
      <c r="D490" t="s">
        <v>223</v>
      </c>
      <c r="E490" t="s">
        <v>343</v>
      </c>
      <c r="F490" t="s">
        <v>178</v>
      </c>
      <c r="G490" t="s">
        <v>892</v>
      </c>
      <c r="H490" s="77">
        <v>3</v>
      </c>
      <c r="I490" s="124">
        <v>164.4</v>
      </c>
      <c r="J490" s="124">
        <v>493.21</v>
      </c>
      <c r="K490" s="77">
        <v>30</v>
      </c>
      <c r="L490" t="s">
        <v>339</v>
      </c>
      <c r="M490" s="126">
        <v>98.641999999999996</v>
      </c>
      <c r="N490" s="124">
        <v>493.21</v>
      </c>
      <c r="O490" t="s">
        <v>346</v>
      </c>
      <c r="P490" t="s">
        <v>294</v>
      </c>
    </row>
    <row r="491" spans="1:16" ht="15" customHeight="1" x14ac:dyDescent="0.25">
      <c r="A491" s="123">
        <v>45877</v>
      </c>
      <c r="B491" t="s">
        <v>358</v>
      </c>
      <c r="C491" t="s">
        <v>359</v>
      </c>
      <c r="D491" t="s">
        <v>225</v>
      </c>
      <c r="E491" t="s">
        <v>396</v>
      </c>
      <c r="F491" t="s">
        <v>184</v>
      </c>
      <c r="G491" t="s">
        <v>893</v>
      </c>
      <c r="H491" s="77">
        <v>26</v>
      </c>
      <c r="I491" s="124">
        <v>121.8</v>
      </c>
      <c r="J491" s="124">
        <v>3166.83</v>
      </c>
      <c r="K491" s="77">
        <v>60</v>
      </c>
      <c r="L491" t="s">
        <v>339</v>
      </c>
      <c r="M491" s="126">
        <v>633.36599999999999</v>
      </c>
      <c r="N491" s="124">
        <v>3166.83</v>
      </c>
      <c r="O491" t="s">
        <v>346</v>
      </c>
      <c r="P491" t="s">
        <v>294</v>
      </c>
    </row>
    <row r="492" spans="1:16" ht="15" customHeight="1" x14ac:dyDescent="0.25">
      <c r="A492" s="123">
        <v>45798</v>
      </c>
      <c r="B492" t="s">
        <v>390</v>
      </c>
      <c r="C492" t="s">
        <v>391</v>
      </c>
      <c r="D492" t="s">
        <v>221</v>
      </c>
      <c r="E492" t="s">
        <v>356</v>
      </c>
      <c r="F492" t="s">
        <v>181</v>
      </c>
      <c r="G492" t="s">
        <v>894</v>
      </c>
      <c r="H492" s="77">
        <v>12</v>
      </c>
      <c r="I492" s="124">
        <v>219.04</v>
      </c>
      <c r="J492" s="124">
        <v>2628.45</v>
      </c>
      <c r="K492" s="77">
        <v>60</v>
      </c>
      <c r="L492" t="s">
        <v>345</v>
      </c>
      <c r="M492" s="126">
        <v>525.69000000000005</v>
      </c>
      <c r="N492" s="124">
        <v>2628.45</v>
      </c>
      <c r="O492" t="s">
        <v>340</v>
      </c>
      <c r="P492" t="s">
        <v>294</v>
      </c>
    </row>
    <row r="493" spans="1:16" ht="15" customHeight="1" x14ac:dyDescent="0.25">
      <c r="A493" s="123">
        <v>45998</v>
      </c>
      <c r="B493" t="s">
        <v>406</v>
      </c>
      <c r="C493" t="s">
        <v>407</v>
      </c>
      <c r="D493" t="s">
        <v>225</v>
      </c>
      <c r="E493" t="s">
        <v>368</v>
      </c>
      <c r="F493" t="s">
        <v>178</v>
      </c>
      <c r="G493" t="s">
        <v>895</v>
      </c>
      <c r="H493" s="77">
        <v>22</v>
      </c>
      <c r="I493" s="124">
        <v>146.69999999999999</v>
      </c>
      <c r="J493" s="124">
        <v>3227.29</v>
      </c>
      <c r="K493" s="77">
        <v>30</v>
      </c>
      <c r="L493" t="s">
        <v>345</v>
      </c>
      <c r="M493" s="126">
        <v>645.45799999999997</v>
      </c>
      <c r="N493" s="124">
        <v>3227.29</v>
      </c>
      <c r="O493" t="s">
        <v>346</v>
      </c>
      <c r="P493" t="s">
        <v>294</v>
      </c>
    </row>
    <row r="494" spans="1:16" ht="15" customHeight="1" x14ac:dyDescent="0.25">
      <c r="A494" s="123">
        <v>46016</v>
      </c>
      <c r="B494" t="s">
        <v>335</v>
      </c>
      <c r="C494" t="s">
        <v>336</v>
      </c>
      <c r="D494" t="s">
        <v>223</v>
      </c>
      <c r="E494" t="s">
        <v>403</v>
      </c>
      <c r="F494" t="s">
        <v>181</v>
      </c>
      <c r="G494" t="s">
        <v>896</v>
      </c>
      <c r="H494" s="77">
        <v>30</v>
      </c>
      <c r="I494" s="124">
        <v>229.56</v>
      </c>
      <c r="J494" s="124">
        <v>6886.91</v>
      </c>
      <c r="K494" s="77">
        <v>45</v>
      </c>
      <c r="L494" t="s">
        <v>351</v>
      </c>
      <c r="M494" s="126">
        <v>1377.3820000000001</v>
      </c>
      <c r="N494" s="124">
        <v>6886.91</v>
      </c>
      <c r="O494" t="s">
        <v>346</v>
      </c>
      <c r="P494" t="s">
        <v>294</v>
      </c>
    </row>
    <row r="495" spans="1:16" ht="15" customHeight="1" x14ac:dyDescent="0.25">
      <c r="A495" s="123">
        <v>45767</v>
      </c>
      <c r="B495" t="s">
        <v>390</v>
      </c>
      <c r="C495" t="s">
        <v>391</v>
      </c>
      <c r="D495" t="s">
        <v>221</v>
      </c>
      <c r="E495" t="s">
        <v>415</v>
      </c>
      <c r="F495" t="s">
        <v>178</v>
      </c>
      <c r="G495" t="s">
        <v>897</v>
      </c>
      <c r="H495" s="77">
        <v>62</v>
      </c>
      <c r="I495" s="124">
        <v>40.47</v>
      </c>
      <c r="J495" s="124">
        <v>2509.44</v>
      </c>
      <c r="K495" s="77">
        <v>30</v>
      </c>
      <c r="L495" t="s">
        <v>339</v>
      </c>
      <c r="M495" s="126">
        <v>501.88799999999998</v>
      </c>
      <c r="N495" s="124">
        <v>2509.44</v>
      </c>
      <c r="O495" t="s">
        <v>340</v>
      </c>
      <c r="P495" t="s">
        <v>294</v>
      </c>
    </row>
    <row r="496" spans="1:16" ht="15" customHeight="1" x14ac:dyDescent="0.25">
      <c r="A496" s="123">
        <v>46006</v>
      </c>
      <c r="B496" t="s">
        <v>335</v>
      </c>
      <c r="C496" t="s">
        <v>336</v>
      </c>
      <c r="D496" t="s">
        <v>223</v>
      </c>
      <c r="E496" t="s">
        <v>352</v>
      </c>
      <c r="F496" t="s">
        <v>180</v>
      </c>
      <c r="G496" t="s">
        <v>898</v>
      </c>
      <c r="H496" s="77">
        <v>57</v>
      </c>
      <c r="I496" s="124">
        <v>577.77</v>
      </c>
      <c r="J496" s="124">
        <v>32933</v>
      </c>
      <c r="K496" s="77">
        <v>30</v>
      </c>
      <c r="L496" t="s">
        <v>339</v>
      </c>
      <c r="M496" s="126">
        <v>6586.6</v>
      </c>
      <c r="N496" s="124">
        <v>32933</v>
      </c>
      <c r="O496" t="s">
        <v>346</v>
      </c>
      <c r="P496" t="s">
        <v>294</v>
      </c>
    </row>
    <row r="497" spans="1:16" ht="15" customHeight="1" x14ac:dyDescent="0.25">
      <c r="A497" s="123">
        <v>45874</v>
      </c>
      <c r="B497" t="s">
        <v>431</v>
      </c>
      <c r="C497" t="s">
        <v>432</v>
      </c>
      <c r="D497" t="s">
        <v>221</v>
      </c>
      <c r="E497" t="s">
        <v>376</v>
      </c>
      <c r="F497" t="s">
        <v>182</v>
      </c>
      <c r="G497" t="s">
        <v>899</v>
      </c>
      <c r="H497" s="77">
        <v>17</v>
      </c>
      <c r="I497" s="124">
        <v>127.78</v>
      </c>
      <c r="J497" s="124">
        <v>2172.19</v>
      </c>
      <c r="K497" s="77">
        <v>45</v>
      </c>
      <c r="L497" t="s">
        <v>339</v>
      </c>
      <c r="M497" s="126">
        <v>434.43799999999999</v>
      </c>
      <c r="N497" s="124">
        <v>2172.19</v>
      </c>
      <c r="O497" t="s">
        <v>340</v>
      </c>
      <c r="P497" t="s">
        <v>294</v>
      </c>
    </row>
    <row r="498" spans="1:16" ht="15" customHeight="1" x14ac:dyDescent="0.25">
      <c r="A498" s="123">
        <v>45710</v>
      </c>
      <c r="B498" t="s">
        <v>390</v>
      </c>
      <c r="C498" t="s">
        <v>391</v>
      </c>
      <c r="D498" t="s">
        <v>221</v>
      </c>
      <c r="E498" t="s">
        <v>235</v>
      </c>
      <c r="F498" t="s">
        <v>183</v>
      </c>
      <c r="G498" t="s">
        <v>900</v>
      </c>
      <c r="H498" s="77">
        <v>14</v>
      </c>
      <c r="I498" s="124">
        <v>169.58</v>
      </c>
      <c r="J498" s="124">
        <v>2374.0500000000002</v>
      </c>
      <c r="K498" s="77">
        <v>45</v>
      </c>
      <c r="L498" t="s">
        <v>345</v>
      </c>
      <c r="M498" s="126">
        <v>474.81</v>
      </c>
      <c r="N498" s="124">
        <v>2374.0500000000002</v>
      </c>
      <c r="O498" t="s">
        <v>346</v>
      </c>
      <c r="P498" t="s">
        <v>294</v>
      </c>
    </row>
    <row r="499" spans="1:16" ht="15" customHeight="1" x14ac:dyDescent="0.25">
      <c r="A499" s="123">
        <v>45726</v>
      </c>
      <c r="B499" t="s">
        <v>378</v>
      </c>
      <c r="C499" t="s">
        <v>379</v>
      </c>
      <c r="D499" t="s">
        <v>227</v>
      </c>
      <c r="E499" t="s">
        <v>381</v>
      </c>
      <c r="F499" t="s">
        <v>179</v>
      </c>
      <c r="G499" t="s">
        <v>901</v>
      </c>
      <c r="H499" s="77">
        <v>19</v>
      </c>
      <c r="I499" s="124">
        <v>162.11000000000001</v>
      </c>
      <c r="J499" s="124">
        <v>3080.08</v>
      </c>
      <c r="K499" s="77">
        <v>30</v>
      </c>
      <c r="L499" t="s">
        <v>351</v>
      </c>
      <c r="M499" s="126">
        <v>616.01599999999996</v>
      </c>
      <c r="N499" s="124">
        <v>3080.08</v>
      </c>
      <c r="O499" t="s">
        <v>346</v>
      </c>
      <c r="P499" t="s">
        <v>294</v>
      </c>
    </row>
    <row r="500" spans="1:16" ht="15" customHeight="1" x14ac:dyDescent="0.25">
      <c r="A500" s="123">
        <v>45990</v>
      </c>
      <c r="B500" t="s">
        <v>409</v>
      </c>
      <c r="C500" t="s">
        <v>410</v>
      </c>
      <c r="D500" t="s">
        <v>223</v>
      </c>
      <c r="E500" t="s">
        <v>440</v>
      </c>
      <c r="F500" t="s">
        <v>177</v>
      </c>
      <c r="G500" t="s">
        <v>902</v>
      </c>
      <c r="H500" s="77">
        <v>22</v>
      </c>
      <c r="I500" s="124">
        <v>74.14</v>
      </c>
      <c r="J500" s="124">
        <v>1630.99</v>
      </c>
      <c r="K500" s="77">
        <v>45</v>
      </c>
      <c r="L500" t="s">
        <v>345</v>
      </c>
      <c r="M500" s="126">
        <v>326.19799999999998</v>
      </c>
      <c r="N500" s="124">
        <v>1630.99</v>
      </c>
      <c r="O500" t="s">
        <v>346</v>
      </c>
      <c r="P500" t="s">
        <v>294</v>
      </c>
    </row>
    <row r="501" spans="1:16" ht="15" customHeight="1" x14ac:dyDescent="0.25">
      <c r="A501" s="123">
        <v>45735</v>
      </c>
      <c r="B501" t="s">
        <v>347</v>
      </c>
      <c r="C501" t="s">
        <v>348</v>
      </c>
      <c r="D501" t="s">
        <v>223</v>
      </c>
      <c r="E501" t="s">
        <v>352</v>
      </c>
      <c r="F501" t="s">
        <v>180</v>
      </c>
      <c r="G501" t="s">
        <v>903</v>
      </c>
      <c r="H501" s="77">
        <v>53</v>
      </c>
      <c r="I501" s="124">
        <v>116.85</v>
      </c>
      <c r="J501" s="124">
        <v>6193.24</v>
      </c>
      <c r="K501" s="77">
        <v>60</v>
      </c>
      <c r="L501" t="s">
        <v>351</v>
      </c>
      <c r="M501" s="126">
        <v>1238.6479999999999</v>
      </c>
      <c r="N501" s="124">
        <v>6193.24</v>
      </c>
      <c r="O501" t="s">
        <v>346</v>
      </c>
      <c r="P501" t="s">
        <v>294</v>
      </c>
    </row>
    <row r="502" spans="1:16" ht="15" customHeight="1" x14ac:dyDescent="0.25">
      <c r="A502" s="123">
        <v>45709</v>
      </c>
      <c r="B502" t="s">
        <v>378</v>
      </c>
      <c r="C502" t="s">
        <v>379</v>
      </c>
      <c r="D502" t="s">
        <v>227</v>
      </c>
      <c r="E502" t="s">
        <v>423</v>
      </c>
      <c r="F502" t="s">
        <v>180</v>
      </c>
      <c r="G502" t="s">
        <v>904</v>
      </c>
      <c r="H502" s="77">
        <v>18</v>
      </c>
      <c r="I502" s="124">
        <v>416.07</v>
      </c>
      <c r="J502" s="124">
        <v>7489.3</v>
      </c>
      <c r="K502" s="77">
        <v>30</v>
      </c>
      <c r="L502" t="s">
        <v>351</v>
      </c>
      <c r="M502" s="126">
        <v>1497.86</v>
      </c>
      <c r="N502" s="124">
        <v>7489.3</v>
      </c>
      <c r="O502" t="s">
        <v>346</v>
      </c>
      <c r="P502" t="s">
        <v>294</v>
      </c>
    </row>
    <row r="503" spans="1:16" ht="15" customHeight="1" x14ac:dyDescent="0.25">
      <c r="A503" s="123">
        <v>45877</v>
      </c>
      <c r="B503" t="s">
        <v>409</v>
      </c>
      <c r="C503" t="s">
        <v>410</v>
      </c>
      <c r="D503" t="s">
        <v>223</v>
      </c>
      <c r="E503" t="s">
        <v>234</v>
      </c>
      <c r="F503" t="s">
        <v>183</v>
      </c>
      <c r="G503" t="s">
        <v>905</v>
      </c>
      <c r="H503" s="77">
        <v>41</v>
      </c>
      <c r="I503" s="124">
        <v>857.45</v>
      </c>
      <c r="J503" s="124">
        <v>35155.410000000003</v>
      </c>
      <c r="K503" s="77">
        <v>30</v>
      </c>
      <c r="L503" t="s">
        <v>339</v>
      </c>
      <c r="M503" s="126">
        <v>7031.0820000000003</v>
      </c>
      <c r="N503" s="124">
        <v>35155.410000000003</v>
      </c>
      <c r="O503" t="s">
        <v>346</v>
      </c>
      <c r="P503" t="s">
        <v>294</v>
      </c>
    </row>
    <row r="504" spans="1:16" ht="15" customHeight="1" x14ac:dyDescent="0.25">
      <c r="A504" s="123">
        <v>45941</v>
      </c>
      <c r="B504" t="s">
        <v>347</v>
      </c>
      <c r="C504" t="s">
        <v>348</v>
      </c>
      <c r="D504" t="s">
        <v>223</v>
      </c>
      <c r="E504" t="s">
        <v>415</v>
      </c>
      <c r="F504" t="s">
        <v>178</v>
      </c>
      <c r="G504" t="s">
        <v>906</v>
      </c>
      <c r="H504" s="77">
        <v>77</v>
      </c>
      <c r="I504" s="124">
        <v>30.12</v>
      </c>
      <c r="J504" s="124">
        <v>2319.21</v>
      </c>
      <c r="K504" s="77">
        <v>60</v>
      </c>
      <c r="L504" t="s">
        <v>351</v>
      </c>
      <c r="M504" s="126">
        <v>463.84199999999998</v>
      </c>
      <c r="N504" s="124">
        <v>2319.21</v>
      </c>
      <c r="O504" t="s">
        <v>340</v>
      </c>
      <c r="P504" t="s">
        <v>294</v>
      </c>
    </row>
    <row r="505" spans="1:16" ht="15" customHeight="1" x14ac:dyDescent="0.25">
      <c r="A505" s="123">
        <v>45671</v>
      </c>
      <c r="B505" t="s">
        <v>383</v>
      </c>
      <c r="C505" t="s">
        <v>384</v>
      </c>
      <c r="D505" t="s">
        <v>225</v>
      </c>
      <c r="E505" t="s">
        <v>403</v>
      </c>
      <c r="F505" t="s">
        <v>181</v>
      </c>
      <c r="G505" t="s">
        <v>907</v>
      </c>
      <c r="H505" s="77">
        <v>39</v>
      </c>
      <c r="I505" s="124">
        <v>299.83999999999997</v>
      </c>
      <c r="J505" s="124">
        <v>11693.9</v>
      </c>
      <c r="K505" s="77">
        <v>30</v>
      </c>
      <c r="L505" t="s">
        <v>351</v>
      </c>
      <c r="M505" s="126">
        <v>2338.7800000000002</v>
      </c>
      <c r="N505" s="124">
        <v>11693.9</v>
      </c>
      <c r="O505" t="s">
        <v>346</v>
      </c>
      <c r="P505" t="s">
        <v>294</v>
      </c>
    </row>
    <row r="506" spans="1:16" ht="15" customHeight="1" x14ac:dyDescent="0.25">
      <c r="A506" s="123">
        <v>45858</v>
      </c>
      <c r="B506" t="s">
        <v>386</v>
      </c>
      <c r="C506" t="s">
        <v>387</v>
      </c>
      <c r="D506" t="s">
        <v>223</v>
      </c>
      <c r="E506" t="s">
        <v>352</v>
      </c>
      <c r="F506" t="s">
        <v>180</v>
      </c>
      <c r="G506" t="s">
        <v>908</v>
      </c>
      <c r="H506" s="77">
        <v>38</v>
      </c>
      <c r="I506" s="124">
        <v>174.79</v>
      </c>
      <c r="J506" s="124">
        <v>6642.17</v>
      </c>
      <c r="K506" s="77">
        <v>60</v>
      </c>
      <c r="L506" t="s">
        <v>339</v>
      </c>
      <c r="M506" s="126">
        <v>1328.434</v>
      </c>
      <c r="N506" s="124">
        <v>6642.17</v>
      </c>
      <c r="O506" t="s">
        <v>346</v>
      </c>
      <c r="P506" t="s">
        <v>294</v>
      </c>
    </row>
    <row r="507" spans="1:16" ht="15" customHeight="1" x14ac:dyDescent="0.25">
      <c r="A507" s="123">
        <v>45715</v>
      </c>
      <c r="B507" t="s">
        <v>431</v>
      </c>
      <c r="C507" t="s">
        <v>432</v>
      </c>
      <c r="D507" t="s">
        <v>221</v>
      </c>
      <c r="E507" t="s">
        <v>427</v>
      </c>
      <c r="F507" t="s">
        <v>184</v>
      </c>
      <c r="G507" t="s">
        <v>909</v>
      </c>
      <c r="H507" s="77">
        <v>31</v>
      </c>
      <c r="I507" s="124">
        <v>57.37</v>
      </c>
      <c r="J507" s="124">
        <v>1778.55</v>
      </c>
      <c r="K507" s="77">
        <v>45</v>
      </c>
      <c r="L507" t="s">
        <v>351</v>
      </c>
      <c r="M507" s="126">
        <v>355.71</v>
      </c>
      <c r="N507" s="124">
        <v>1778.55</v>
      </c>
      <c r="O507" t="s">
        <v>346</v>
      </c>
      <c r="P507" t="s">
        <v>294</v>
      </c>
    </row>
    <row r="508" spans="1:16" ht="15" customHeight="1" x14ac:dyDescent="0.25">
      <c r="A508" s="123">
        <v>45664</v>
      </c>
      <c r="B508" t="s">
        <v>383</v>
      </c>
      <c r="C508" t="s">
        <v>384</v>
      </c>
      <c r="D508" t="s">
        <v>225</v>
      </c>
      <c r="E508" t="s">
        <v>343</v>
      </c>
      <c r="F508" t="s">
        <v>178</v>
      </c>
      <c r="G508" t="s">
        <v>910</v>
      </c>
      <c r="H508" s="77">
        <v>47</v>
      </c>
      <c r="I508" s="124">
        <v>46.93</v>
      </c>
      <c r="J508" s="124">
        <v>2205.52</v>
      </c>
      <c r="K508" s="77">
        <v>45</v>
      </c>
      <c r="L508" t="s">
        <v>339</v>
      </c>
      <c r="M508" s="126">
        <v>441.10399999999998</v>
      </c>
      <c r="N508" s="124">
        <v>2205.52</v>
      </c>
      <c r="O508" t="s">
        <v>346</v>
      </c>
      <c r="P508" t="s">
        <v>294</v>
      </c>
    </row>
    <row r="509" spans="1:16" ht="15" customHeight="1" x14ac:dyDescent="0.25">
      <c r="A509" s="123">
        <v>45937</v>
      </c>
      <c r="B509" t="s">
        <v>335</v>
      </c>
      <c r="C509" t="s">
        <v>336</v>
      </c>
      <c r="D509" t="s">
        <v>223</v>
      </c>
      <c r="E509" t="s">
        <v>234</v>
      </c>
      <c r="F509" t="s">
        <v>183</v>
      </c>
      <c r="G509" t="s">
        <v>911</v>
      </c>
      <c r="H509" s="77">
        <v>23</v>
      </c>
      <c r="I509" s="124">
        <v>186.53</v>
      </c>
      <c r="J509" s="124">
        <v>4290.17</v>
      </c>
      <c r="K509" s="77">
        <v>45</v>
      </c>
      <c r="L509" t="s">
        <v>339</v>
      </c>
      <c r="M509" s="126">
        <v>858.03399999999999</v>
      </c>
      <c r="N509" s="124">
        <v>4290.17</v>
      </c>
      <c r="O509" t="s">
        <v>346</v>
      </c>
      <c r="P509" t="s">
        <v>294</v>
      </c>
    </row>
    <row r="510" spans="1:16" ht="15" customHeight="1" x14ac:dyDescent="0.25">
      <c r="A510" s="123">
        <v>45792</v>
      </c>
      <c r="B510" t="s">
        <v>358</v>
      </c>
      <c r="C510" t="s">
        <v>359</v>
      </c>
      <c r="D510" t="s">
        <v>225</v>
      </c>
      <c r="E510" t="s">
        <v>415</v>
      </c>
      <c r="F510" t="s">
        <v>178</v>
      </c>
      <c r="G510" t="s">
        <v>912</v>
      </c>
      <c r="H510" s="77">
        <v>28</v>
      </c>
      <c r="I510" s="124">
        <v>66.760000000000005</v>
      </c>
      <c r="J510" s="124">
        <v>1869.22</v>
      </c>
      <c r="K510" s="77">
        <v>30</v>
      </c>
      <c r="L510" t="s">
        <v>339</v>
      </c>
      <c r="M510" s="126">
        <v>373.84399999999999</v>
      </c>
      <c r="N510" s="124">
        <v>1869.22</v>
      </c>
      <c r="O510" t="s">
        <v>340</v>
      </c>
      <c r="P510" t="s">
        <v>294</v>
      </c>
    </row>
    <row r="511" spans="1:16" ht="15" customHeight="1" x14ac:dyDescent="0.25">
      <c r="A511" s="123">
        <v>46022</v>
      </c>
      <c r="B511" t="s">
        <v>362</v>
      </c>
      <c r="C511" t="s">
        <v>363</v>
      </c>
      <c r="D511" t="s">
        <v>221</v>
      </c>
      <c r="E511" t="s">
        <v>403</v>
      </c>
      <c r="F511" t="s">
        <v>181</v>
      </c>
      <c r="G511" t="s">
        <v>913</v>
      </c>
      <c r="H511" s="77">
        <v>65</v>
      </c>
      <c r="I511" s="124">
        <v>139.30000000000001</v>
      </c>
      <c r="J511" s="124">
        <v>9054.27</v>
      </c>
      <c r="K511" s="77">
        <v>45</v>
      </c>
      <c r="L511" t="s">
        <v>345</v>
      </c>
      <c r="M511" s="126">
        <v>1810.854</v>
      </c>
      <c r="N511" s="124">
        <v>9054.27</v>
      </c>
      <c r="O511" t="s">
        <v>346</v>
      </c>
      <c r="P511" t="s">
        <v>294</v>
      </c>
    </row>
    <row r="512" spans="1:16" ht="15" customHeight="1" x14ac:dyDescent="0.25">
      <c r="A512" s="123">
        <v>45985</v>
      </c>
      <c r="B512" t="s">
        <v>366</v>
      </c>
      <c r="C512" t="s">
        <v>367</v>
      </c>
      <c r="D512" t="s">
        <v>221</v>
      </c>
      <c r="E512" t="s">
        <v>235</v>
      </c>
      <c r="F512" t="s">
        <v>183</v>
      </c>
      <c r="G512" t="s">
        <v>914</v>
      </c>
      <c r="H512" s="77">
        <v>69</v>
      </c>
      <c r="I512" s="124">
        <v>348.12</v>
      </c>
      <c r="J512" s="124">
        <v>24019.96</v>
      </c>
      <c r="K512" s="77">
        <v>60</v>
      </c>
      <c r="L512" t="s">
        <v>351</v>
      </c>
      <c r="M512" s="126">
        <v>4803.9920000000002</v>
      </c>
      <c r="N512" s="124">
        <v>24019.96</v>
      </c>
      <c r="O512" t="s">
        <v>346</v>
      </c>
      <c r="P512" t="s">
        <v>294</v>
      </c>
    </row>
    <row r="513" spans="1:16" ht="15" customHeight="1" x14ac:dyDescent="0.25">
      <c r="A513" s="123">
        <v>45816</v>
      </c>
      <c r="B513" t="s">
        <v>431</v>
      </c>
      <c r="C513" t="s">
        <v>432</v>
      </c>
      <c r="D513" t="s">
        <v>221</v>
      </c>
      <c r="E513" t="s">
        <v>356</v>
      </c>
      <c r="F513" t="s">
        <v>915</v>
      </c>
      <c r="G513" t="s">
        <v>916</v>
      </c>
      <c r="H513" s="77">
        <v>11</v>
      </c>
      <c r="I513" s="124">
        <v>214</v>
      </c>
      <c r="J513" s="124">
        <v>2354.0500000000002</v>
      </c>
      <c r="K513" s="77">
        <v>60</v>
      </c>
      <c r="L513" t="s">
        <v>339</v>
      </c>
      <c r="M513" s="126">
        <v>470.81</v>
      </c>
      <c r="N513" s="124">
        <v>2354.0500000000002</v>
      </c>
      <c r="O513" t="s">
        <v>340</v>
      </c>
      <c r="P513" t="s">
        <v>294</v>
      </c>
    </row>
    <row r="514" spans="1:16" ht="15" customHeight="1" x14ac:dyDescent="0.25">
      <c r="A514" s="123">
        <v>45958</v>
      </c>
      <c r="B514" t="s">
        <v>406</v>
      </c>
      <c r="C514" t="s">
        <v>407</v>
      </c>
      <c r="D514" t="s">
        <v>225</v>
      </c>
      <c r="E514" t="s">
        <v>420</v>
      </c>
      <c r="F514" t="s">
        <v>182</v>
      </c>
      <c r="G514" t="s">
        <v>917</v>
      </c>
      <c r="H514" s="77">
        <v>9</v>
      </c>
      <c r="I514" s="124">
        <v>83.3</v>
      </c>
      <c r="J514" s="124">
        <v>749.71</v>
      </c>
      <c r="K514" s="77">
        <v>45</v>
      </c>
      <c r="L514" t="s">
        <v>351</v>
      </c>
      <c r="M514" s="126">
        <v>149.94200000000001</v>
      </c>
      <c r="N514" s="124">
        <v>749.71</v>
      </c>
      <c r="O514" t="s">
        <v>346</v>
      </c>
      <c r="P514" t="s">
        <v>294</v>
      </c>
    </row>
    <row r="515" spans="1:16" ht="15" customHeight="1" x14ac:dyDescent="0.25">
      <c r="A515" s="123">
        <v>45783</v>
      </c>
      <c r="B515" t="s">
        <v>390</v>
      </c>
      <c r="C515" t="s">
        <v>391</v>
      </c>
      <c r="D515" t="s">
        <v>221</v>
      </c>
      <c r="E515" t="s">
        <v>423</v>
      </c>
      <c r="F515" t="s">
        <v>180</v>
      </c>
      <c r="G515" t="s">
        <v>918</v>
      </c>
      <c r="H515" s="77">
        <v>12</v>
      </c>
      <c r="I515" s="124">
        <v>151.76</v>
      </c>
      <c r="J515" s="124">
        <v>1821.12</v>
      </c>
      <c r="K515" s="77">
        <v>45</v>
      </c>
      <c r="L515" t="s">
        <v>339</v>
      </c>
      <c r="M515" s="126">
        <v>364.22399999999999</v>
      </c>
      <c r="N515" s="124">
        <v>1821.12</v>
      </c>
      <c r="O515" t="s">
        <v>346</v>
      </c>
      <c r="P515" t="s">
        <v>294</v>
      </c>
    </row>
    <row r="516" spans="1:16" ht="15" customHeight="1" x14ac:dyDescent="0.25">
      <c r="A516" s="123">
        <v>45999</v>
      </c>
      <c r="B516" t="s">
        <v>401</v>
      </c>
      <c r="C516" t="s">
        <v>402</v>
      </c>
      <c r="D516" t="s">
        <v>221</v>
      </c>
      <c r="E516" t="s">
        <v>496</v>
      </c>
      <c r="F516" t="s">
        <v>177</v>
      </c>
      <c r="G516" t="s">
        <v>919</v>
      </c>
      <c r="H516" s="77">
        <v>23</v>
      </c>
      <c r="I516" s="124">
        <v>87.38</v>
      </c>
      <c r="J516" s="124">
        <v>2009.74</v>
      </c>
      <c r="K516" s="77">
        <v>30</v>
      </c>
      <c r="L516" t="s">
        <v>339</v>
      </c>
      <c r="M516" s="126">
        <v>401.94799999999998</v>
      </c>
      <c r="N516" s="124">
        <v>2009.74</v>
      </c>
      <c r="O516" t="s">
        <v>346</v>
      </c>
      <c r="P516" t="s">
        <v>294</v>
      </c>
    </row>
    <row r="517" spans="1:16" ht="15" customHeight="1" x14ac:dyDescent="0.25">
      <c r="A517" s="123">
        <v>45663</v>
      </c>
      <c r="B517" t="s">
        <v>373</v>
      </c>
      <c r="C517" t="s">
        <v>374</v>
      </c>
      <c r="D517" t="s">
        <v>225</v>
      </c>
      <c r="E517" t="s">
        <v>412</v>
      </c>
      <c r="F517" t="s">
        <v>179</v>
      </c>
      <c r="G517" t="s">
        <v>920</v>
      </c>
      <c r="H517" s="77">
        <v>21</v>
      </c>
      <c r="I517" s="124">
        <v>272.70999999999998</v>
      </c>
      <c r="J517" s="124">
        <v>5726.98</v>
      </c>
      <c r="K517" s="77">
        <v>45</v>
      </c>
      <c r="L517" t="s">
        <v>345</v>
      </c>
      <c r="M517" s="126">
        <v>1145.396</v>
      </c>
      <c r="N517" s="124">
        <v>5726.98</v>
      </c>
      <c r="O517" t="s">
        <v>346</v>
      </c>
      <c r="P517" t="s">
        <v>294</v>
      </c>
    </row>
    <row r="518" spans="1:16" ht="15" customHeight="1" x14ac:dyDescent="0.25">
      <c r="A518" s="123">
        <v>45848</v>
      </c>
      <c r="B518" t="s">
        <v>390</v>
      </c>
      <c r="C518" t="s">
        <v>391</v>
      </c>
      <c r="D518" t="s">
        <v>221</v>
      </c>
      <c r="E518" t="s">
        <v>356</v>
      </c>
      <c r="F518" t="s">
        <v>181</v>
      </c>
      <c r="G518" t="s">
        <v>921</v>
      </c>
      <c r="H518" s="77">
        <v>17</v>
      </c>
      <c r="I518" s="124">
        <v>289.77999999999997</v>
      </c>
      <c r="J518" s="124">
        <v>4926.3100000000004</v>
      </c>
      <c r="K518" s="77">
        <v>60</v>
      </c>
      <c r="L518" t="s">
        <v>345</v>
      </c>
      <c r="M518" s="126">
        <v>985.26199999999994</v>
      </c>
      <c r="N518" s="124">
        <v>4926.3100000000004</v>
      </c>
      <c r="O518" t="s">
        <v>340</v>
      </c>
      <c r="P518" t="s">
        <v>294</v>
      </c>
    </row>
    <row r="519" spans="1:16" ht="15" customHeight="1" x14ac:dyDescent="0.25">
      <c r="A519" s="123">
        <v>45829</v>
      </c>
      <c r="B519" t="s">
        <v>383</v>
      </c>
      <c r="C519" t="s">
        <v>384</v>
      </c>
      <c r="D519" t="s">
        <v>225</v>
      </c>
      <c r="E519" t="s">
        <v>415</v>
      </c>
      <c r="F519" t="s">
        <v>178</v>
      </c>
      <c r="G519" t="s">
        <v>922</v>
      </c>
      <c r="H519" s="77">
        <v>55</v>
      </c>
      <c r="I519" s="124">
        <v>37.97</v>
      </c>
      <c r="J519" s="124">
        <v>2088.2199999999998</v>
      </c>
      <c r="K519" s="77">
        <v>45</v>
      </c>
      <c r="L519" t="s">
        <v>351</v>
      </c>
      <c r="M519" s="126">
        <v>417.64400000000001</v>
      </c>
      <c r="N519" s="124">
        <v>2088.2199999999998</v>
      </c>
      <c r="O519" t="s">
        <v>340</v>
      </c>
      <c r="P519" t="s">
        <v>294</v>
      </c>
    </row>
    <row r="520" spans="1:16" ht="15" customHeight="1" x14ac:dyDescent="0.25">
      <c r="A520" s="123">
        <v>45953</v>
      </c>
      <c r="B520" t="s">
        <v>390</v>
      </c>
      <c r="C520" t="s">
        <v>391</v>
      </c>
      <c r="D520" t="s">
        <v>221</v>
      </c>
      <c r="E520" t="s">
        <v>403</v>
      </c>
      <c r="F520" t="s">
        <v>181</v>
      </c>
      <c r="G520" t="s">
        <v>923</v>
      </c>
      <c r="H520" s="77">
        <v>10</v>
      </c>
      <c r="I520" s="124">
        <v>232.35</v>
      </c>
      <c r="J520" s="124">
        <v>2323.54</v>
      </c>
      <c r="K520" s="77">
        <v>45</v>
      </c>
      <c r="L520" t="s">
        <v>345</v>
      </c>
      <c r="M520" s="126">
        <v>464.70800000000003</v>
      </c>
      <c r="N520" s="124">
        <v>2323.54</v>
      </c>
      <c r="O520" t="s">
        <v>346</v>
      </c>
      <c r="P520" t="s">
        <v>294</v>
      </c>
    </row>
    <row r="521" spans="1:16" ht="15" customHeight="1" x14ac:dyDescent="0.25">
      <c r="A521" s="123">
        <v>45913</v>
      </c>
      <c r="B521" t="s">
        <v>347</v>
      </c>
      <c r="C521" t="s">
        <v>348</v>
      </c>
      <c r="D521" t="s">
        <v>223</v>
      </c>
      <c r="E521" t="s">
        <v>376</v>
      </c>
      <c r="F521" t="s">
        <v>182</v>
      </c>
      <c r="G521" t="s">
        <v>924</v>
      </c>
      <c r="H521" s="77">
        <v>73</v>
      </c>
      <c r="I521" s="124">
        <v>143.62</v>
      </c>
      <c r="J521" s="124">
        <v>10483.93</v>
      </c>
      <c r="K521" s="77">
        <v>30</v>
      </c>
      <c r="L521" t="s">
        <v>345</v>
      </c>
      <c r="M521" s="126">
        <v>2096.7860000000001</v>
      </c>
      <c r="N521" s="124">
        <v>10483.93</v>
      </c>
      <c r="O521" t="s">
        <v>340</v>
      </c>
      <c r="P521" t="s">
        <v>294</v>
      </c>
    </row>
    <row r="522" spans="1:16" ht="15" customHeight="1" x14ac:dyDescent="0.25">
      <c r="A522" s="123">
        <v>45951</v>
      </c>
      <c r="B522" t="s">
        <v>373</v>
      </c>
      <c r="C522" t="s">
        <v>374</v>
      </c>
      <c r="D522" t="s">
        <v>225</v>
      </c>
      <c r="E522" t="s">
        <v>356</v>
      </c>
      <c r="F522" t="s">
        <v>181</v>
      </c>
      <c r="G522" t="s">
        <v>925</v>
      </c>
      <c r="H522" s="77">
        <v>15</v>
      </c>
      <c r="I522" s="124">
        <v>87.83</v>
      </c>
      <c r="J522" s="124">
        <v>1317.52</v>
      </c>
      <c r="K522" s="77">
        <v>30</v>
      </c>
      <c r="L522" t="s">
        <v>351</v>
      </c>
      <c r="M522" s="126">
        <v>263.50400000000002</v>
      </c>
      <c r="N522" s="124">
        <v>1317.52</v>
      </c>
      <c r="O522" t="s">
        <v>340</v>
      </c>
      <c r="P522" t="s">
        <v>294</v>
      </c>
    </row>
    <row r="523" spans="1:16" ht="15" customHeight="1" x14ac:dyDescent="0.25">
      <c r="A523" s="123">
        <v>45664</v>
      </c>
      <c r="B523" t="s">
        <v>390</v>
      </c>
      <c r="C523" t="s">
        <v>391</v>
      </c>
      <c r="D523" t="s">
        <v>221</v>
      </c>
      <c r="E523" t="s">
        <v>349</v>
      </c>
      <c r="F523" t="s">
        <v>177</v>
      </c>
      <c r="G523" t="s">
        <v>926</v>
      </c>
      <c r="H523" s="77">
        <v>32</v>
      </c>
      <c r="I523" s="124">
        <v>161.80000000000001</v>
      </c>
      <c r="J523" s="124">
        <v>5177.49</v>
      </c>
      <c r="K523" s="77">
        <v>30</v>
      </c>
      <c r="L523" t="s">
        <v>345</v>
      </c>
      <c r="M523" s="126">
        <v>1035.498</v>
      </c>
      <c r="N523" s="124">
        <v>5177.49</v>
      </c>
      <c r="O523" t="s">
        <v>340</v>
      </c>
      <c r="P523" t="s">
        <v>294</v>
      </c>
    </row>
    <row r="524" spans="1:16" ht="15" customHeight="1" x14ac:dyDescent="0.25">
      <c r="A524" s="123">
        <v>45749</v>
      </c>
      <c r="B524" t="s">
        <v>362</v>
      </c>
      <c r="C524" t="s">
        <v>363</v>
      </c>
      <c r="D524" t="s">
        <v>221</v>
      </c>
      <c r="E524" t="s">
        <v>235</v>
      </c>
      <c r="F524" t="s">
        <v>183</v>
      </c>
      <c r="G524" t="s">
        <v>927</v>
      </c>
      <c r="H524" s="77">
        <v>5</v>
      </c>
      <c r="I524" s="124">
        <v>208.38</v>
      </c>
      <c r="J524" s="124">
        <v>1041.8800000000001</v>
      </c>
      <c r="K524" s="77">
        <v>60</v>
      </c>
      <c r="L524" t="s">
        <v>351</v>
      </c>
      <c r="M524" s="126">
        <v>208.376</v>
      </c>
      <c r="N524" s="124">
        <v>1041.8800000000001</v>
      </c>
      <c r="O524" t="s">
        <v>346</v>
      </c>
      <c r="P524" t="s">
        <v>294</v>
      </c>
    </row>
    <row r="525" spans="1:16" ht="15" customHeight="1" x14ac:dyDescent="0.25">
      <c r="A525" s="123">
        <v>45822</v>
      </c>
      <c r="B525" t="s">
        <v>354</v>
      </c>
      <c r="C525" t="s">
        <v>355</v>
      </c>
      <c r="D525" t="s">
        <v>227</v>
      </c>
      <c r="E525" t="s">
        <v>235</v>
      </c>
      <c r="F525" t="s">
        <v>183</v>
      </c>
      <c r="G525" t="s">
        <v>928</v>
      </c>
      <c r="H525" s="77">
        <v>32</v>
      </c>
      <c r="I525" s="124">
        <v>410.6</v>
      </c>
      <c r="J525" s="124">
        <v>13139.1</v>
      </c>
      <c r="K525" s="77">
        <v>45</v>
      </c>
      <c r="L525" t="s">
        <v>351</v>
      </c>
      <c r="M525" s="126">
        <v>2627.82</v>
      </c>
      <c r="N525" s="124">
        <v>13139.1</v>
      </c>
      <c r="O525" t="s">
        <v>346</v>
      </c>
      <c r="P525" t="s">
        <v>294</v>
      </c>
    </row>
    <row r="526" spans="1:16" ht="15" customHeight="1" x14ac:dyDescent="0.25">
      <c r="A526" s="123">
        <v>45950</v>
      </c>
      <c r="B526" t="s">
        <v>488</v>
      </c>
      <c r="C526" t="s">
        <v>489</v>
      </c>
      <c r="D526" t="s">
        <v>225</v>
      </c>
      <c r="E526" t="s">
        <v>356</v>
      </c>
      <c r="F526" t="s">
        <v>181</v>
      </c>
      <c r="G526" t="s">
        <v>929</v>
      </c>
      <c r="H526" s="77">
        <v>48</v>
      </c>
      <c r="I526" s="124">
        <v>144.58000000000001</v>
      </c>
      <c r="J526" s="124">
        <v>6939.85</v>
      </c>
      <c r="K526" s="77">
        <v>30</v>
      </c>
      <c r="L526" t="s">
        <v>351</v>
      </c>
      <c r="M526" s="126">
        <v>1387.97</v>
      </c>
      <c r="N526" s="124">
        <v>6939.85</v>
      </c>
      <c r="O526" t="s">
        <v>340</v>
      </c>
      <c r="P526" t="s">
        <v>294</v>
      </c>
    </row>
    <row r="527" spans="1:16" ht="15" customHeight="1" x14ac:dyDescent="0.25">
      <c r="A527" s="123">
        <v>45772</v>
      </c>
      <c r="B527" t="s">
        <v>370</v>
      </c>
      <c r="C527" t="s">
        <v>371</v>
      </c>
      <c r="D527" t="s">
        <v>227</v>
      </c>
      <c r="E527" t="s">
        <v>349</v>
      </c>
      <c r="F527" t="s">
        <v>177</v>
      </c>
      <c r="G527" t="s">
        <v>930</v>
      </c>
      <c r="H527" s="77">
        <v>67</v>
      </c>
      <c r="I527" s="124">
        <v>44.47</v>
      </c>
      <c r="J527" s="124">
        <v>2979.47</v>
      </c>
      <c r="K527" s="77">
        <v>30</v>
      </c>
      <c r="L527" t="s">
        <v>345</v>
      </c>
      <c r="M527" s="126">
        <v>595.89400000000001</v>
      </c>
      <c r="N527" s="124">
        <v>2979.47</v>
      </c>
      <c r="O527" t="s">
        <v>340</v>
      </c>
      <c r="P527" t="s">
        <v>294</v>
      </c>
    </row>
    <row r="528" spans="1:16" ht="15" customHeight="1" x14ac:dyDescent="0.25">
      <c r="A528" s="123">
        <v>45817</v>
      </c>
      <c r="B528" t="s">
        <v>362</v>
      </c>
      <c r="C528" t="s">
        <v>363</v>
      </c>
      <c r="D528" t="s">
        <v>221</v>
      </c>
      <c r="E528" t="s">
        <v>427</v>
      </c>
      <c r="F528" t="s">
        <v>184</v>
      </c>
      <c r="G528" t="s">
        <v>931</v>
      </c>
      <c r="H528" s="77">
        <v>42</v>
      </c>
      <c r="I528" s="124">
        <v>30.64</v>
      </c>
      <c r="J528" s="124">
        <v>1286.92</v>
      </c>
      <c r="K528" s="77">
        <v>30</v>
      </c>
      <c r="L528" t="s">
        <v>351</v>
      </c>
      <c r="M528" s="126">
        <v>257.38400000000001</v>
      </c>
      <c r="N528" s="124">
        <v>1286.92</v>
      </c>
      <c r="O528" t="s">
        <v>346</v>
      </c>
      <c r="P528" t="s">
        <v>294</v>
      </c>
    </row>
    <row r="529" spans="1:16" ht="15" customHeight="1" x14ac:dyDescent="0.25">
      <c r="A529" s="123">
        <v>45760</v>
      </c>
      <c r="B529" t="s">
        <v>401</v>
      </c>
      <c r="C529" t="s">
        <v>402</v>
      </c>
      <c r="D529" t="s">
        <v>221</v>
      </c>
      <c r="E529" t="s">
        <v>496</v>
      </c>
      <c r="F529" t="s">
        <v>177</v>
      </c>
      <c r="G529" t="s">
        <v>932</v>
      </c>
      <c r="H529" s="77">
        <v>38</v>
      </c>
      <c r="I529" s="124">
        <v>123.22</v>
      </c>
      <c r="J529" s="124">
        <v>4682.21</v>
      </c>
      <c r="K529" s="77">
        <v>60</v>
      </c>
      <c r="L529" t="s">
        <v>345</v>
      </c>
      <c r="M529" s="126">
        <v>936.44200000000001</v>
      </c>
      <c r="N529" s="124">
        <v>4682.21</v>
      </c>
      <c r="O529" t="s">
        <v>346</v>
      </c>
      <c r="P529" t="s">
        <v>294</v>
      </c>
    </row>
    <row r="530" spans="1:16" ht="15" customHeight="1" x14ac:dyDescent="0.25">
      <c r="A530" s="123">
        <v>45846</v>
      </c>
      <c r="B530" t="s">
        <v>488</v>
      </c>
      <c r="C530" t="s">
        <v>489</v>
      </c>
      <c r="D530" t="s">
        <v>225</v>
      </c>
      <c r="E530" t="s">
        <v>360</v>
      </c>
      <c r="F530" t="s">
        <v>180</v>
      </c>
      <c r="G530" t="s">
        <v>933</v>
      </c>
      <c r="H530" s="77">
        <v>76</v>
      </c>
      <c r="I530" s="124">
        <v>288.39</v>
      </c>
      <c r="J530" s="124">
        <v>21917.52</v>
      </c>
      <c r="K530" s="77">
        <v>45</v>
      </c>
      <c r="L530" t="s">
        <v>339</v>
      </c>
      <c r="M530" s="126">
        <v>4383.5039999999999</v>
      </c>
      <c r="N530" s="124">
        <v>21917.52</v>
      </c>
      <c r="O530" t="s">
        <v>346</v>
      </c>
      <c r="P530" t="s">
        <v>294</v>
      </c>
    </row>
    <row r="531" spans="1:16" ht="15" customHeight="1" x14ac:dyDescent="0.25">
      <c r="A531" s="123">
        <v>45661</v>
      </c>
      <c r="B531" t="s">
        <v>362</v>
      </c>
      <c r="C531" t="s">
        <v>363</v>
      </c>
      <c r="D531" t="s">
        <v>221</v>
      </c>
      <c r="E531" t="s">
        <v>423</v>
      </c>
      <c r="F531" t="s">
        <v>180</v>
      </c>
      <c r="G531" t="s">
        <v>934</v>
      </c>
      <c r="H531" s="77">
        <v>53</v>
      </c>
      <c r="I531" s="124">
        <v>152.03</v>
      </c>
      <c r="J531" s="124">
        <v>8057.66</v>
      </c>
      <c r="K531" s="77">
        <v>30</v>
      </c>
      <c r="L531" t="s">
        <v>339</v>
      </c>
      <c r="M531" s="126">
        <v>1611.5319999999999</v>
      </c>
      <c r="N531" s="124">
        <v>8057.66</v>
      </c>
      <c r="O531" t="s">
        <v>346</v>
      </c>
      <c r="P531" t="s">
        <v>294</v>
      </c>
    </row>
    <row r="532" spans="1:16" ht="15" customHeight="1" x14ac:dyDescent="0.25">
      <c r="A532" s="123">
        <v>46013</v>
      </c>
      <c r="B532" t="s">
        <v>358</v>
      </c>
      <c r="C532" t="s">
        <v>359</v>
      </c>
      <c r="D532" t="s">
        <v>225</v>
      </c>
      <c r="E532" t="s">
        <v>364</v>
      </c>
      <c r="F532" t="s">
        <v>182</v>
      </c>
      <c r="G532" t="s">
        <v>935</v>
      </c>
      <c r="H532" s="77">
        <v>2</v>
      </c>
      <c r="I532" s="124">
        <v>134.97999999999999</v>
      </c>
      <c r="J532" s="124">
        <v>269.95</v>
      </c>
      <c r="K532" s="77">
        <v>45</v>
      </c>
      <c r="L532" t="s">
        <v>339</v>
      </c>
      <c r="M532" s="126">
        <v>53.99</v>
      </c>
      <c r="N532" s="124">
        <v>269.95</v>
      </c>
      <c r="O532" t="s">
        <v>346</v>
      </c>
      <c r="P532" t="s">
        <v>294</v>
      </c>
    </row>
    <row r="533" spans="1:16" ht="15" customHeight="1" x14ac:dyDescent="0.25">
      <c r="A533" s="123">
        <v>45815</v>
      </c>
      <c r="B533" t="s">
        <v>378</v>
      </c>
      <c r="C533" t="s">
        <v>379</v>
      </c>
      <c r="D533" t="s">
        <v>227</v>
      </c>
      <c r="E533" t="s">
        <v>236</v>
      </c>
      <c r="F533" t="s">
        <v>183</v>
      </c>
      <c r="G533" t="s">
        <v>936</v>
      </c>
      <c r="H533" s="77">
        <v>14</v>
      </c>
      <c r="I533" s="124">
        <v>120.29</v>
      </c>
      <c r="J533" s="124">
        <v>1684.13</v>
      </c>
      <c r="K533" s="77">
        <v>30</v>
      </c>
      <c r="L533" t="s">
        <v>351</v>
      </c>
      <c r="M533" s="126">
        <v>336.82600000000002</v>
      </c>
      <c r="N533" s="124">
        <v>1684.13</v>
      </c>
      <c r="O533" t="s">
        <v>346</v>
      </c>
      <c r="P533" t="s">
        <v>294</v>
      </c>
    </row>
    <row r="534" spans="1:16" ht="15" customHeight="1" x14ac:dyDescent="0.25">
      <c r="A534" s="123">
        <v>45688</v>
      </c>
      <c r="B534" t="s">
        <v>386</v>
      </c>
      <c r="C534" t="s">
        <v>387</v>
      </c>
      <c r="D534" t="s">
        <v>223</v>
      </c>
      <c r="E534" t="s">
        <v>234</v>
      </c>
      <c r="F534" t="s">
        <v>183</v>
      </c>
      <c r="G534" t="s">
        <v>937</v>
      </c>
      <c r="H534" s="77">
        <v>19</v>
      </c>
      <c r="I534" s="124">
        <v>289.29000000000002</v>
      </c>
      <c r="J534" s="124">
        <v>5496.56</v>
      </c>
      <c r="K534" s="77">
        <v>60</v>
      </c>
      <c r="L534" t="s">
        <v>345</v>
      </c>
      <c r="M534" s="126">
        <v>1099.3119999999999</v>
      </c>
      <c r="N534" s="124">
        <v>5496.56</v>
      </c>
      <c r="O534" t="s">
        <v>346</v>
      </c>
      <c r="P534" t="s">
        <v>294</v>
      </c>
    </row>
    <row r="535" spans="1:16" ht="15" customHeight="1" x14ac:dyDescent="0.25">
      <c r="A535" s="123">
        <v>45924</v>
      </c>
      <c r="B535" t="s">
        <v>406</v>
      </c>
      <c r="C535" t="s">
        <v>407</v>
      </c>
      <c r="D535" t="s">
        <v>225</v>
      </c>
      <c r="E535" t="s">
        <v>349</v>
      </c>
      <c r="F535" t="s">
        <v>177</v>
      </c>
      <c r="G535" t="s">
        <v>938</v>
      </c>
      <c r="H535" s="77">
        <v>53</v>
      </c>
      <c r="I535" s="124">
        <v>61.65</v>
      </c>
      <c r="J535" s="124">
        <v>3267.32</v>
      </c>
      <c r="K535" s="77">
        <v>60</v>
      </c>
      <c r="L535" t="s">
        <v>345</v>
      </c>
      <c r="M535" s="126">
        <v>653.46400000000006</v>
      </c>
      <c r="N535" s="124">
        <v>3267.32</v>
      </c>
      <c r="O535" t="s">
        <v>340</v>
      </c>
      <c r="P535" t="s">
        <v>294</v>
      </c>
    </row>
    <row r="536" spans="1:16" ht="15" customHeight="1" x14ac:dyDescent="0.25">
      <c r="A536" s="123">
        <v>45706</v>
      </c>
      <c r="B536" t="s">
        <v>409</v>
      </c>
      <c r="C536" t="s">
        <v>410</v>
      </c>
      <c r="D536" t="s">
        <v>223</v>
      </c>
      <c r="E536" t="s">
        <v>343</v>
      </c>
      <c r="F536" t="s">
        <v>178</v>
      </c>
      <c r="G536" t="s">
        <v>939</v>
      </c>
      <c r="H536" s="77">
        <v>65</v>
      </c>
      <c r="I536" s="124">
        <v>45.42</v>
      </c>
      <c r="J536" s="124">
        <v>2952.08</v>
      </c>
      <c r="K536" s="77">
        <v>30</v>
      </c>
      <c r="L536" t="s">
        <v>351</v>
      </c>
      <c r="M536" s="126">
        <v>590.41600000000005</v>
      </c>
      <c r="N536" s="124">
        <v>2952.08</v>
      </c>
      <c r="O536" t="s">
        <v>346</v>
      </c>
      <c r="P536" t="s">
        <v>294</v>
      </c>
    </row>
    <row r="537" spans="1:16" ht="15" customHeight="1" x14ac:dyDescent="0.25">
      <c r="A537" s="123">
        <v>45948</v>
      </c>
      <c r="B537" t="s">
        <v>354</v>
      </c>
      <c r="C537" t="s">
        <v>355</v>
      </c>
      <c r="D537" t="s">
        <v>227</v>
      </c>
      <c r="E537" t="s">
        <v>343</v>
      </c>
      <c r="F537" t="s">
        <v>178</v>
      </c>
      <c r="G537" t="s">
        <v>940</v>
      </c>
      <c r="H537" s="77">
        <v>8</v>
      </c>
      <c r="I537" s="124">
        <v>66.72</v>
      </c>
      <c r="J537" s="124">
        <v>533.73</v>
      </c>
      <c r="K537" s="77">
        <v>45</v>
      </c>
      <c r="L537" t="s">
        <v>351</v>
      </c>
      <c r="M537" s="126">
        <v>106.746</v>
      </c>
      <c r="N537" s="124">
        <v>533.73</v>
      </c>
      <c r="O537" t="s">
        <v>346</v>
      </c>
      <c r="P537" t="s">
        <v>294</v>
      </c>
    </row>
    <row r="538" spans="1:16" ht="15" customHeight="1" x14ac:dyDescent="0.25">
      <c r="A538" s="123">
        <v>45791</v>
      </c>
      <c r="B538" t="s">
        <v>488</v>
      </c>
      <c r="C538" t="s">
        <v>489</v>
      </c>
      <c r="D538" t="s">
        <v>225</v>
      </c>
      <c r="E538" t="s">
        <v>360</v>
      </c>
      <c r="F538" t="s">
        <v>180</v>
      </c>
      <c r="G538" t="s">
        <v>941</v>
      </c>
      <c r="H538" s="77">
        <v>41</v>
      </c>
      <c r="I538" s="124">
        <v>155.75</v>
      </c>
      <c r="J538" s="124">
        <v>6385.63</v>
      </c>
      <c r="K538" s="77">
        <v>45</v>
      </c>
      <c r="L538" t="s">
        <v>351</v>
      </c>
      <c r="M538" s="126">
        <v>1277.126</v>
      </c>
      <c r="N538" s="124">
        <v>6385.63</v>
      </c>
      <c r="O538" t="s">
        <v>346</v>
      </c>
      <c r="P538" t="s">
        <v>294</v>
      </c>
    </row>
    <row r="539" spans="1:16" ht="15" customHeight="1" x14ac:dyDescent="0.25">
      <c r="A539" s="123">
        <v>45889</v>
      </c>
      <c r="B539" t="s">
        <v>354</v>
      </c>
      <c r="C539" t="s">
        <v>355</v>
      </c>
      <c r="D539" t="s">
        <v>227</v>
      </c>
      <c r="E539" t="s">
        <v>420</v>
      </c>
      <c r="F539" t="s">
        <v>182</v>
      </c>
      <c r="G539" t="s">
        <v>942</v>
      </c>
      <c r="H539" s="77">
        <v>35</v>
      </c>
      <c r="I539" s="124">
        <v>76.89</v>
      </c>
      <c r="J539" s="124">
        <v>2691.14</v>
      </c>
      <c r="K539" s="77">
        <v>30</v>
      </c>
      <c r="L539" t="s">
        <v>339</v>
      </c>
      <c r="M539" s="126">
        <v>538.22799999999995</v>
      </c>
      <c r="N539" s="124">
        <v>2691.14</v>
      </c>
      <c r="O539" t="s">
        <v>346</v>
      </c>
      <c r="P539" t="s">
        <v>294</v>
      </c>
    </row>
    <row r="540" spans="1:16" ht="15" customHeight="1" x14ac:dyDescent="0.25">
      <c r="A540" s="123">
        <v>45713</v>
      </c>
      <c r="B540" t="s">
        <v>358</v>
      </c>
      <c r="C540" t="s">
        <v>359</v>
      </c>
      <c r="D540" t="s">
        <v>225</v>
      </c>
      <c r="E540" t="s">
        <v>412</v>
      </c>
      <c r="F540" t="s">
        <v>179</v>
      </c>
      <c r="G540" t="s">
        <v>943</v>
      </c>
      <c r="H540" s="77">
        <v>20</v>
      </c>
      <c r="I540" s="124">
        <v>313.07</v>
      </c>
      <c r="J540" s="124">
        <v>6261.34</v>
      </c>
      <c r="K540" s="77">
        <v>30</v>
      </c>
      <c r="L540" t="s">
        <v>339</v>
      </c>
      <c r="M540" s="126">
        <v>1252.268</v>
      </c>
      <c r="N540" s="124">
        <v>6261.34</v>
      </c>
      <c r="O540" t="s">
        <v>346</v>
      </c>
      <c r="P540" t="s">
        <v>294</v>
      </c>
    </row>
    <row r="541" spans="1:16" ht="15" customHeight="1" x14ac:dyDescent="0.25">
      <c r="A541" s="123">
        <v>45866</v>
      </c>
      <c r="B541" t="s">
        <v>362</v>
      </c>
      <c r="C541" t="s">
        <v>363</v>
      </c>
      <c r="D541" t="s">
        <v>221</v>
      </c>
      <c r="E541" t="s">
        <v>427</v>
      </c>
      <c r="F541" t="s">
        <v>184</v>
      </c>
      <c r="G541" t="s">
        <v>944</v>
      </c>
      <c r="H541" s="77">
        <v>16</v>
      </c>
      <c r="I541" s="124">
        <v>54.61</v>
      </c>
      <c r="J541" s="124">
        <v>873.74</v>
      </c>
      <c r="K541" s="77">
        <v>60</v>
      </c>
      <c r="L541" t="s">
        <v>345</v>
      </c>
      <c r="M541" s="126">
        <v>174.74799999999999</v>
      </c>
      <c r="N541" s="124">
        <v>873.74</v>
      </c>
      <c r="O541" t="s">
        <v>346</v>
      </c>
      <c r="P541" t="s">
        <v>294</v>
      </c>
    </row>
    <row r="542" spans="1:16" ht="15" customHeight="1" x14ac:dyDescent="0.25">
      <c r="A542" s="123">
        <v>45895</v>
      </c>
      <c r="B542" t="s">
        <v>347</v>
      </c>
      <c r="C542" t="s">
        <v>348</v>
      </c>
      <c r="D542" t="s">
        <v>223</v>
      </c>
      <c r="E542" t="s">
        <v>427</v>
      </c>
      <c r="F542" t="s">
        <v>184</v>
      </c>
      <c r="G542" t="s">
        <v>945</v>
      </c>
      <c r="H542" s="77">
        <v>34</v>
      </c>
      <c r="I542" s="124">
        <v>118.76</v>
      </c>
      <c r="J542" s="124">
        <v>4037.9</v>
      </c>
      <c r="K542" s="77">
        <v>30</v>
      </c>
      <c r="L542" t="s">
        <v>339</v>
      </c>
      <c r="M542" s="126">
        <v>807.58</v>
      </c>
      <c r="N542" s="124">
        <v>4037.9</v>
      </c>
      <c r="O542" t="s">
        <v>346</v>
      </c>
      <c r="P542" t="s">
        <v>294</v>
      </c>
    </row>
    <row r="543" spans="1:16" ht="15" customHeight="1" x14ac:dyDescent="0.25">
      <c r="A543" s="123">
        <v>46014</v>
      </c>
      <c r="B543" t="s">
        <v>401</v>
      </c>
      <c r="C543" t="s">
        <v>402</v>
      </c>
      <c r="D543" t="s">
        <v>221</v>
      </c>
      <c r="E543" t="s">
        <v>403</v>
      </c>
      <c r="F543" t="s">
        <v>181</v>
      </c>
      <c r="G543" t="s">
        <v>946</v>
      </c>
      <c r="H543" s="77">
        <v>78</v>
      </c>
      <c r="I543" s="124">
        <v>118.19</v>
      </c>
      <c r="J543" s="124">
        <v>9218.7800000000007</v>
      </c>
      <c r="K543" s="77">
        <v>30</v>
      </c>
      <c r="L543" t="s">
        <v>339</v>
      </c>
      <c r="M543" s="126">
        <v>1843.7560000000001</v>
      </c>
      <c r="N543" s="124">
        <v>9218.7800000000007</v>
      </c>
      <c r="O543" t="s">
        <v>346</v>
      </c>
      <c r="P543" t="s">
        <v>294</v>
      </c>
    </row>
    <row r="544" spans="1:16" ht="15" customHeight="1" x14ac:dyDescent="0.25">
      <c r="A544" s="123">
        <v>46022</v>
      </c>
      <c r="B544" t="s">
        <v>431</v>
      </c>
      <c r="C544" t="s">
        <v>432</v>
      </c>
      <c r="D544" t="s">
        <v>221</v>
      </c>
      <c r="E544" t="s">
        <v>442</v>
      </c>
      <c r="F544" t="s">
        <v>179</v>
      </c>
      <c r="G544" t="s">
        <v>947</v>
      </c>
      <c r="H544" s="77">
        <v>32</v>
      </c>
      <c r="I544" s="124">
        <v>240.89</v>
      </c>
      <c r="J544" s="124">
        <v>7708.55</v>
      </c>
      <c r="K544" s="77">
        <v>45</v>
      </c>
      <c r="L544" t="s">
        <v>345</v>
      </c>
      <c r="M544" s="126">
        <v>1541.71</v>
      </c>
      <c r="N544" s="124">
        <v>7708.55</v>
      </c>
      <c r="O544" t="s">
        <v>340</v>
      </c>
      <c r="P544" t="s">
        <v>294</v>
      </c>
    </row>
    <row r="545" spans="1:16" ht="15" customHeight="1" x14ac:dyDescent="0.25">
      <c r="A545" s="123">
        <v>45811</v>
      </c>
      <c r="B545" t="s">
        <v>366</v>
      </c>
      <c r="C545" t="s">
        <v>367</v>
      </c>
      <c r="D545" t="s">
        <v>221</v>
      </c>
      <c r="E545" t="s">
        <v>440</v>
      </c>
      <c r="F545" t="s">
        <v>177</v>
      </c>
      <c r="G545" t="s">
        <v>948</v>
      </c>
      <c r="H545" s="77">
        <v>34</v>
      </c>
      <c r="I545" s="124">
        <v>265.17</v>
      </c>
      <c r="J545" s="124">
        <v>9015.6299999999992</v>
      </c>
      <c r="K545" s="77">
        <v>30</v>
      </c>
      <c r="L545" t="s">
        <v>339</v>
      </c>
      <c r="M545" s="126">
        <v>1803.126</v>
      </c>
      <c r="N545" s="124">
        <v>9015.6299999999992</v>
      </c>
      <c r="O545" t="s">
        <v>346</v>
      </c>
      <c r="P545" t="s">
        <v>294</v>
      </c>
    </row>
    <row r="546" spans="1:16" ht="15" customHeight="1" x14ac:dyDescent="0.25">
      <c r="A546" s="123">
        <v>45939</v>
      </c>
      <c r="B546" t="s">
        <v>347</v>
      </c>
      <c r="C546" t="s">
        <v>348</v>
      </c>
      <c r="D546" t="s">
        <v>223</v>
      </c>
      <c r="E546" t="s">
        <v>417</v>
      </c>
      <c r="F546" t="s">
        <v>184</v>
      </c>
      <c r="G546" t="s">
        <v>949</v>
      </c>
      <c r="H546" s="77">
        <v>32</v>
      </c>
      <c r="I546" s="124">
        <v>19.260000000000002</v>
      </c>
      <c r="J546" s="124">
        <v>616.35</v>
      </c>
      <c r="K546" s="77">
        <v>30</v>
      </c>
      <c r="L546" t="s">
        <v>345</v>
      </c>
      <c r="M546" s="126">
        <v>123.27</v>
      </c>
      <c r="N546" s="124">
        <v>616.35</v>
      </c>
      <c r="O546" t="s">
        <v>346</v>
      </c>
      <c r="P546" t="s">
        <v>294</v>
      </c>
    </row>
    <row r="547" spans="1:16" ht="15" customHeight="1" x14ac:dyDescent="0.25">
      <c r="A547" s="123">
        <v>45664</v>
      </c>
      <c r="B547" t="s">
        <v>366</v>
      </c>
      <c r="C547" t="s">
        <v>367</v>
      </c>
      <c r="D547" t="s">
        <v>221</v>
      </c>
      <c r="E547" t="s">
        <v>442</v>
      </c>
      <c r="F547" t="s">
        <v>179</v>
      </c>
      <c r="G547" t="s">
        <v>950</v>
      </c>
      <c r="H547" s="77">
        <v>8</v>
      </c>
      <c r="I547" s="124">
        <v>116.12</v>
      </c>
      <c r="J547" s="124">
        <v>929</v>
      </c>
      <c r="K547" s="77">
        <v>30</v>
      </c>
      <c r="L547" t="s">
        <v>339</v>
      </c>
      <c r="M547" s="126">
        <v>185.8</v>
      </c>
      <c r="N547" s="124">
        <v>929</v>
      </c>
      <c r="O547" t="s">
        <v>340</v>
      </c>
      <c r="P547" t="s">
        <v>294</v>
      </c>
    </row>
    <row r="548" spans="1:16" ht="15" customHeight="1" x14ac:dyDescent="0.25">
      <c r="A548" s="123">
        <v>46009</v>
      </c>
      <c r="B548" t="s">
        <v>335</v>
      </c>
      <c r="C548" t="s">
        <v>336</v>
      </c>
      <c r="D548" t="s">
        <v>223</v>
      </c>
      <c r="E548" t="s">
        <v>234</v>
      </c>
      <c r="F548" t="s">
        <v>183</v>
      </c>
      <c r="G548" t="s">
        <v>951</v>
      </c>
      <c r="H548" s="77">
        <v>11</v>
      </c>
      <c r="I548" s="124">
        <v>412.06</v>
      </c>
      <c r="J548" s="124">
        <v>4532.67</v>
      </c>
      <c r="K548" s="77">
        <v>60</v>
      </c>
      <c r="L548" t="s">
        <v>351</v>
      </c>
      <c r="M548" s="126">
        <v>906.53399999999999</v>
      </c>
      <c r="N548" s="124">
        <v>4532.67</v>
      </c>
      <c r="O548" t="s">
        <v>346</v>
      </c>
      <c r="P548" t="s">
        <v>294</v>
      </c>
    </row>
    <row r="549" spans="1:16" ht="15" customHeight="1" x14ac:dyDescent="0.25">
      <c r="A549" s="123">
        <v>45691</v>
      </c>
      <c r="B549" t="s">
        <v>398</v>
      </c>
      <c r="C549" t="s">
        <v>399</v>
      </c>
      <c r="D549" t="s">
        <v>227</v>
      </c>
      <c r="E549" t="s">
        <v>415</v>
      </c>
      <c r="F549" t="s">
        <v>178</v>
      </c>
      <c r="G549" t="s">
        <v>952</v>
      </c>
      <c r="H549" s="77">
        <v>26</v>
      </c>
      <c r="I549" s="124">
        <v>58.13</v>
      </c>
      <c r="J549" s="124">
        <v>1511.43</v>
      </c>
      <c r="K549" s="77">
        <v>60</v>
      </c>
      <c r="L549" t="s">
        <v>345</v>
      </c>
      <c r="M549" s="126">
        <v>302.286</v>
      </c>
      <c r="N549" s="124">
        <v>1511.43</v>
      </c>
      <c r="O549" t="s">
        <v>340</v>
      </c>
      <c r="P549" t="s">
        <v>294</v>
      </c>
    </row>
    <row r="550" spans="1:16" ht="15" customHeight="1" x14ac:dyDescent="0.25">
      <c r="A550" s="123">
        <v>45720</v>
      </c>
      <c r="B550" t="s">
        <v>354</v>
      </c>
      <c r="C550" t="s">
        <v>355</v>
      </c>
      <c r="D550" t="s">
        <v>227</v>
      </c>
      <c r="E550" t="s">
        <v>953</v>
      </c>
      <c r="F550" t="s">
        <v>178</v>
      </c>
      <c r="G550" t="s">
        <v>954</v>
      </c>
      <c r="H550" s="77">
        <v>6</v>
      </c>
      <c r="I550" s="124">
        <v>79.72</v>
      </c>
      <c r="J550" s="124">
        <v>478.32</v>
      </c>
      <c r="K550" s="77">
        <v>45</v>
      </c>
      <c r="L550" t="s">
        <v>339</v>
      </c>
      <c r="M550" s="126">
        <v>95.664000000000001</v>
      </c>
      <c r="N550" s="124">
        <v>478.32</v>
      </c>
      <c r="O550" t="s">
        <v>346</v>
      </c>
      <c r="P550" t="s">
        <v>294</v>
      </c>
    </row>
    <row r="551" spans="1:16" ht="15" customHeight="1" x14ac:dyDescent="0.25">
      <c r="A551" s="123">
        <v>45860</v>
      </c>
      <c r="B551" t="s">
        <v>341</v>
      </c>
      <c r="C551" t="s">
        <v>342</v>
      </c>
      <c r="D551" t="s">
        <v>223</v>
      </c>
      <c r="E551" t="s">
        <v>236</v>
      </c>
      <c r="F551" t="s">
        <v>183</v>
      </c>
      <c r="G551" t="s">
        <v>955</v>
      </c>
      <c r="H551" s="77">
        <v>64</v>
      </c>
      <c r="I551" s="124">
        <v>215.2</v>
      </c>
      <c r="J551" s="124">
        <v>13773.11</v>
      </c>
      <c r="K551" s="77">
        <v>30</v>
      </c>
      <c r="L551" t="s">
        <v>345</v>
      </c>
      <c r="M551" s="126">
        <v>2754.6219999999998</v>
      </c>
      <c r="N551" s="124">
        <v>13773.11</v>
      </c>
      <c r="O551" t="s">
        <v>346</v>
      </c>
      <c r="P551" t="s">
        <v>294</v>
      </c>
    </row>
    <row r="552" spans="1:16" ht="15" customHeight="1" x14ac:dyDescent="0.25">
      <c r="A552" s="123">
        <v>45839</v>
      </c>
      <c r="B552" t="s">
        <v>378</v>
      </c>
      <c r="C552" t="s">
        <v>379</v>
      </c>
      <c r="D552" t="s">
        <v>227</v>
      </c>
      <c r="E552" t="s">
        <v>235</v>
      </c>
      <c r="F552" t="s">
        <v>183</v>
      </c>
      <c r="G552" t="s">
        <v>956</v>
      </c>
      <c r="H552" s="77">
        <v>28</v>
      </c>
      <c r="I552" s="124">
        <v>314.63</v>
      </c>
      <c r="J552" s="124">
        <v>8809.7199999999993</v>
      </c>
      <c r="K552" s="77">
        <v>30</v>
      </c>
      <c r="L552" t="s">
        <v>345</v>
      </c>
      <c r="M552" s="126">
        <v>1761.944</v>
      </c>
      <c r="N552" s="124">
        <v>8809.7199999999993</v>
      </c>
      <c r="O552" t="s">
        <v>346</v>
      </c>
      <c r="P552" t="s">
        <v>294</v>
      </c>
    </row>
    <row r="553" spans="1:16" ht="15" customHeight="1" x14ac:dyDescent="0.25">
      <c r="A553" s="123">
        <v>45675</v>
      </c>
      <c r="B553" t="s">
        <v>386</v>
      </c>
      <c r="C553" t="s">
        <v>387</v>
      </c>
      <c r="D553" t="s">
        <v>223</v>
      </c>
      <c r="E553" t="s">
        <v>396</v>
      </c>
      <c r="F553" t="s">
        <v>184</v>
      </c>
      <c r="G553" t="s">
        <v>957</v>
      </c>
      <c r="H553" s="77">
        <v>79</v>
      </c>
      <c r="I553" s="124">
        <v>68.849999999999994</v>
      </c>
      <c r="J553" s="124">
        <v>5438.8</v>
      </c>
      <c r="K553" s="77">
        <v>60</v>
      </c>
      <c r="L553" t="s">
        <v>351</v>
      </c>
      <c r="M553" s="126">
        <v>1087.76</v>
      </c>
      <c r="N553" s="124">
        <v>5438.8</v>
      </c>
      <c r="O553" t="s">
        <v>346</v>
      </c>
      <c r="P553" t="s">
        <v>294</v>
      </c>
    </row>
    <row r="554" spans="1:16" ht="15" customHeight="1" x14ac:dyDescent="0.25">
      <c r="A554" s="123">
        <v>45868</v>
      </c>
      <c r="B554" t="s">
        <v>362</v>
      </c>
      <c r="C554" t="s">
        <v>363</v>
      </c>
      <c r="D554" t="s">
        <v>221</v>
      </c>
      <c r="E554" t="s">
        <v>437</v>
      </c>
      <c r="F554" t="s">
        <v>181</v>
      </c>
      <c r="G554" t="s">
        <v>958</v>
      </c>
      <c r="H554" s="77">
        <v>71</v>
      </c>
      <c r="I554" s="124">
        <v>418.18</v>
      </c>
      <c r="J554" s="124">
        <v>29690.65</v>
      </c>
      <c r="K554" s="77">
        <v>45</v>
      </c>
      <c r="L554" t="s">
        <v>339</v>
      </c>
      <c r="M554" s="126">
        <v>5938.13</v>
      </c>
      <c r="N554" s="124">
        <v>29690.65</v>
      </c>
      <c r="O554" t="s">
        <v>346</v>
      </c>
      <c r="P554" t="s">
        <v>294</v>
      </c>
    </row>
    <row r="555" spans="1:16" ht="15" customHeight="1" x14ac:dyDescent="0.25">
      <c r="A555" s="123">
        <v>45728</v>
      </c>
      <c r="B555" t="s">
        <v>488</v>
      </c>
      <c r="C555" t="s">
        <v>489</v>
      </c>
      <c r="D555" t="s">
        <v>225</v>
      </c>
      <c r="E555" t="s">
        <v>437</v>
      </c>
      <c r="F555" t="s">
        <v>181</v>
      </c>
      <c r="G555" t="s">
        <v>959</v>
      </c>
      <c r="H555" s="77">
        <v>54</v>
      </c>
      <c r="I555" s="124">
        <v>253.04</v>
      </c>
      <c r="J555" s="124">
        <v>13664.32</v>
      </c>
      <c r="K555" s="77">
        <v>30</v>
      </c>
      <c r="L555" t="s">
        <v>351</v>
      </c>
      <c r="M555" s="126">
        <v>2732.864</v>
      </c>
      <c r="N555" s="124">
        <v>13664.32</v>
      </c>
      <c r="O555" t="s">
        <v>346</v>
      </c>
      <c r="P555" t="s">
        <v>294</v>
      </c>
    </row>
    <row r="556" spans="1:16" ht="15" customHeight="1" x14ac:dyDescent="0.25">
      <c r="A556" s="123">
        <v>45936</v>
      </c>
      <c r="B556" t="s">
        <v>390</v>
      </c>
      <c r="C556" t="s">
        <v>391</v>
      </c>
      <c r="D556" t="s">
        <v>221</v>
      </c>
      <c r="E556" t="s">
        <v>352</v>
      </c>
      <c r="F556" t="s">
        <v>180</v>
      </c>
      <c r="G556" t="s">
        <v>960</v>
      </c>
      <c r="H556" s="77">
        <v>3</v>
      </c>
      <c r="I556" s="124">
        <v>301.01</v>
      </c>
      <c r="J556" s="124">
        <v>903.03</v>
      </c>
      <c r="K556" s="77">
        <v>45</v>
      </c>
      <c r="L556" t="s">
        <v>351</v>
      </c>
      <c r="M556" s="126">
        <v>180.60599999999999</v>
      </c>
      <c r="N556" s="124">
        <v>903.03</v>
      </c>
      <c r="O556" t="s">
        <v>346</v>
      </c>
      <c r="P556" t="s">
        <v>294</v>
      </c>
    </row>
    <row r="557" spans="1:16" ht="15" customHeight="1" x14ac:dyDescent="0.25">
      <c r="A557" s="123">
        <v>45906</v>
      </c>
      <c r="B557" t="s">
        <v>341</v>
      </c>
      <c r="C557" t="s">
        <v>342</v>
      </c>
      <c r="D557" t="s">
        <v>223</v>
      </c>
      <c r="E557" t="s">
        <v>417</v>
      </c>
      <c r="F557" t="s">
        <v>184</v>
      </c>
      <c r="G557" t="s">
        <v>961</v>
      </c>
      <c r="H557" s="77">
        <v>45</v>
      </c>
      <c r="I557" s="124">
        <v>59.8</v>
      </c>
      <c r="J557" s="124">
        <v>2690.87</v>
      </c>
      <c r="K557" s="77">
        <v>60</v>
      </c>
      <c r="L557" t="s">
        <v>351</v>
      </c>
      <c r="M557" s="126">
        <v>538.17399999999998</v>
      </c>
      <c r="N557" s="124">
        <v>2690.87</v>
      </c>
      <c r="O557" t="s">
        <v>346</v>
      </c>
      <c r="P557" t="s">
        <v>294</v>
      </c>
    </row>
    <row r="558" spans="1:16" ht="15" customHeight="1" x14ac:dyDescent="0.25">
      <c r="A558" s="123">
        <v>45750</v>
      </c>
      <c r="B558" t="s">
        <v>335</v>
      </c>
      <c r="C558" t="s">
        <v>336</v>
      </c>
      <c r="D558" t="s">
        <v>223</v>
      </c>
      <c r="E558" t="s">
        <v>234</v>
      </c>
      <c r="F558" t="s">
        <v>183</v>
      </c>
      <c r="G558" t="s">
        <v>962</v>
      </c>
      <c r="H558" s="77">
        <v>4</v>
      </c>
      <c r="I558" s="124">
        <v>229.43</v>
      </c>
      <c r="J558" s="124">
        <v>917.72</v>
      </c>
      <c r="K558" s="77">
        <v>45</v>
      </c>
      <c r="L558" t="s">
        <v>351</v>
      </c>
      <c r="M558" s="126">
        <v>183.54400000000001</v>
      </c>
      <c r="N558" s="124">
        <v>917.72</v>
      </c>
      <c r="O558" t="s">
        <v>346</v>
      </c>
      <c r="P558" t="s">
        <v>294</v>
      </c>
    </row>
    <row r="559" spans="1:16" ht="15" customHeight="1" x14ac:dyDescent="0.25">
      <c r="A559" s="123">
        <v>45687</v>
      </c>
      <c r="B559" t="s">
        <v>409</v>
      </c>
      <c r="C559" t="s">
        <v>410</v>
      </c>
      <c r="D559" t="s">
        <v>223</v>
      </c>
      <c r="E559" t="s">
        <v>496</v>
      </c>
      <c r="F559" t="s">
        <v>177</v>
      </c>
      <c r="G559" t="s">
        <v>963</v>
      </c>
      <c r="H559" s="77">
        <v>61</v>
      </c>
      <c r="I559" s="124">
        <v>94.59</v>
      </c>
      <c r="J559" s="124">
        <v>5770.18</v>
      </c>
      <c r="K559" s="77">
        <v>60</v>
      </c>
      <c r="L559" t="s">
        <v>345</v>
      </c>
      <c r="M559" s="126">
        <v>1154.0360000000001</v>
      </c>
      <c r="N559" s="124">
        <v>5770.18</v>
      </c>
      <c r="O559" t="s">
        <v>346</v>
      </c>
      <c r="P559" t="s">
        <v>294</v>
      </c>
    </row>
    <row r="560" spans="1:16" ht="15" customHeight="1" x14ac:dyDescent="0.25">
      <c r="A560" s="123">
        <v>45709</v>
      </c>
      <c r="B560" t="s">
        <v>341</v>
      </c>
      <c r="C560" t="s">
        <v>342</v>
      </c>
      <c r="D560" t="s">
        <v>223</v>
      </c>
      <c r="E560" t="s">
        <v>423</v>
      </c>
      <c r="F560" t="s">
        <v>180</v>
      </c>
      <c r="G560" t="s">
        <v>964</v>
      </c>
      <c r="H560" s="77">
        <v>32</v>
      </c>
      <c r="I560" s="124">
        <v>310.57</v>
      </c>
      <c r="J560" s="124">
        <v>9938.24</v>
      </c>
      <c r="K560" s="77">
        <v>60</v>
      </c>
      <c r="L560" t="s">
        <v>339</v>
      </c>
      <c r="M560" s="126">
        <v>1987.6479999999999</v>
      </c>
      <c r="N560" s="124">
        <v>9938.24</v>
      </c>
      <c r="O560" t="s">
        <v>346</v>
      </c>
      <c r="P560" t="s">
        <v>294</v>
      </c>
    </row>
    <row r="561" spans="1:16" ht="15" customHeight="1" x14ac:dyDescent="0.25">
      <c r="A561" s="123">
        <v>45952</v>
      </c>
      <c r="B561" t="s">
        <v>370</v>
      </c>
      <c r="C561" t="s">
        <v>371</v>
      </c>
      <c r="D561" t="s">
        <v>227</v>
      </c>
      <c r="E561" t="s">
        <v>349</v>
      </c>
      <c r="F561" t="s">
        <v>177</v>
      </c>
      <c r="G561" t="s">
        <v>965</v>
      </c>
      <c r="H561" s="77">
        <v>50</v>
      </c>
      <c r="I561" s="124">
        <v>95.2</v>
      </c>
      <c r="J561" s="124">
        <v>4759.8599999999997</v>
      </c>
      <c r="K561" s="77">
        <v>45</v>
      </c>
      <c r="L561" t="s">
        <v>339</v>
      </c>
      <c r="M561" s="126">
        <v>951.97199999999998</v>
      </c>
      <c r="N561" s="124">
        <v>4759.8599999999997</v>
      </c>
      <c r="O561" t="s">
        <v>340</v>
      </c>
      <c r="P561" t="s">
        <v>294</v>
      </c>
    </row>
    <row r="562" spans="1:16" ht="15" customHeight="1" x14ac:dyDescent="0.25">
      <c r="A562" s="123">
        <v>45820</v>
      </c>
      <c r="B562" t="s">
        <v>354</v>
      </c>
      <c r="C562" t="s">
        <v>355</v>
      </c>
      <c r="D562" t="s">
        <v>227</v>
      </c>
      <c r="E562" t="s">
        <v>352</v>
      </c>
      <c r="F562" t="s">
        <v>180</v>
      </c>
      <c r="G562" t="s">
        <v>966</v>
      </c>
      <c r="H562" s="77">
        <v>46</v>
      </c>
      <c r="I562" s="124">
        <v>293.19</v>
      </c>
      <c r="J562" s="124">
        <v>13486.96</v>
      </c>
      <c r="K562" s="77">
        <v>60</v>
      </c>
      <c r="L562" t="s">
        <v>339</v>
      </c>
      <c r="M562" s="126">
        <v>2697.3919999999998</v>
      </c>
      <c r="N562" s="124">
        <v>13486.96</v>
      </c>
      <c r="O562" t="s">
        <v>346</v>
      </c>
      <c r="P562" t="s">
        <v>294</v>
      </c>
    </row>
    <row r="563" spans="1:16" ht="15" customHeight="1" x14ac:dyDescent="0.25">
      <c r="A563" s="123">
        <v>45946</v>
      </c>
      <c r="B563" t="s">
        <v>370</v>
      </c>
      <c r="C563" t="s">
        <v>371</v>
      </c>
      <c r="D563" t="s">
        <v>227</v>
      </c>
      <c r="E563" t="s">
        <v>364</v>
      </c>
      <c r="F563" t="s">
        <v>182</v>
      </c>
      <c r="G563" t="s">
        <v>967</v>
      </c>
      <c r="H563" s="77">
        <v>19</v>
      </c>
      <c r="I563" s="124">
        <v>297.48</v>
      </c>
      <c r="J563" s="124">
        <v>5652.12</v>
      </c>
      <c r="K563" s="77">
        <v>60</v>
      </c>
      <c r="L563" t="s">
        <v>339</v>
      </c>
      <c r="M563" s="126">
        <v>1130.424</v>
      </c>
      <c r="N563" s="124">
        <v>5652.12</v>
      </c>
      <c r="O563" t="s">
        <v>346</v>
      </c>
      <c r="P563" t="s">
        <v>294</v>
      </c>
    </row>
    <row r="564" spans="1:16" ht="15" customHeight="1" x14ac:dyDescent="0.25">
      <c r="A564" s="123">
        <v>45909</v>
      </c>
      <c r="B564" t="s">
        <v>398</v>
      </c>
      <c r="C564" t="s">
        <v>399</v>
      </c>
      <c r="D564" t="s">
        <v>227</v>
      </c>
      <c r="E564" t="s">
        <v>356</v>
      </c>
      <c r="F564" t="s">
        <v>181</v>
      </c>
      <c r="G564" t="s">
        <v>968</v>
      </c>
      <c r="H564" s="77">
        <v>5</v>
      </c>
      <c r="I564" s="124">
        <v>355.22</v>
      </c>
      <c r="J564" s="124">
        <v>1776.12</v>
      </c>
      <c r="K564" s="77">
        <v>30</v>
      </c>
      <c r="L564" t="s">
        <v>339</v>
      </c>
      <c r="M564" s="126">
        <v>355.22399999999999</v>
      </c>
      <c r="N564" s="124">
        <v>1776.12</v>
      </c>
      <c r="O564" t="s">
        <v>340</v>
      </c>
      <c r="P564" t="s">
        <v>294</v>
      </c>
    </row>
    <row r="565" spans="1:16" ht="15" customHeight="1" x14ac:dyDescent="0.25">
      <c r="A565" s="123">
        <v>45927</v>
      </c>
      <c r="B565" t="s">
        <v>347</v>
      </c>
      <c r="C565" t="s">
        <v>348</v>
      </c>
      <c r="D565" t="s">
        <v>223</v>
      </c>
      <c r="E565" t="s">
        <v>423</v>
      </c>
      <c r="F565" t="s">
        <v>180</v>
      </c>
      <c r="G565" t="s">
        <v>969</v>
      </c>
      <c r="H565" s="77">
        <v>62</v>
      </c>
      <c r="I565" s="124">
        <v>208.96</v>
      </c>
      <c r="J565" s="124">
        <v>12955.59</v>
      </c>
      <c r="K565" s="77">
        <v>30</v>
      </c>
      <c r="L565" t="s">
        <v>345</v>
      </c>
      <c r="M565" s="126">
        <v>2591.1179999999999</v>
      </c>
      <c r="N565" s="124">
        <v>12955.59</v>
      </c>
      <c r="O565" t="s">
        <v>346</v>
      </c>
      <c r="P565" t="s">
        <v>294</v>
      </c>
    </row>
    <row r="566" spans="1:16" ht="15" customHeight="1" x14ac:dyDescent="0.25">
      <c r="A566" s="123">
        <v>45832</v>
      </c>
      <c r="B566" t="s">
        <v>398</v>
      </c>
      <c r="C566" t="s">
        <v>399</v>
      </c>
      <c r="D566" t="s">
        <v>227</v>
      </c>
      <c r="E566" t="s">
        <v>423</v>
      </c>
      <c r="F566" t="s">
        <v>180</v>
      </c>
      <c r="G566" t="s">
        <v>970</v>
      </c>
      <c r="H566" s="77">
        <v>23</v>
      </c>
      <c r="I566" s="124">
        <v>484.02</v>
      </c>
      <c r="J566" s="124">
        <v>11132.49</v>
      </c>
      <c r="K566" s="77">
        <v>45</v>
      </c>
      <c r="L566" t="s">
        <v>339</v>
      </c>
      <c r="M566" s="126">
        <v>2226.498</v>
      </c>
      <c r="N566" s="124">
        <v>11132.49</v>
      </c>
      <c r="O566" t="s">
        <v>346</v>
      </c>
      <c r="P566" t="s">
        <v>294</v>
      </c>
    </row>
    <row r="567" spans="1:16" ht="15" customHeight="1" x14ac:dyDescent="0.25">
      <c r="A567" s="123">
        <v>46018</v>
      </c>
      <c r="B567" t="s">
        <v>386</v>
      </c>
      <c r="C567" t="s">
        <v>387</v>
      </c>
      <c r="D567" t="s">
        <v>223</v>
      </c>
      <c r="E567" t="s">
        <v>412</v>
      </c>
      <c r="F567" t="s">
        <v>179</v>
      </c>
      <c r="G567" t="s">
        <v>971</v>
      </c>
      <c r="H567" s="77">
        <v>19</v>
      </c>
      <c r="I567" s="124">
        <v>143.81</v>
      </c>
      <c r="J567" s="124">
        <v>2732.45</v>
      </c>
      <c r="K567" s="77">
        <v>30</v>
      </c>
      <c r="L567" t="s">
        <v>351</v>
      </c>
      <c r="M567" s="126">
        <v>546.49</v>
      </c>
      <c r="N567" s="124">
        <v>2732.45</v>
      </c>
      <c r="O567" t="s">
        <v>346</v>
      </c>
      <c r="P567" t="s">
        <v>294</v>
      </c>
    </row>
    <row r="568" spans="1:16" ht="15" customHeight="1" x14ac:dyDescent="0.25">
      <c r="A568" s="123">
        <v>46018</v>
      </c>
      <c r="B568" t="s">
        <v>366</v>
      </c>
      <c r="C568" t="s">
        <v>367</v>
      </c>
      <c r="D568" t="s">
        <v>221</v>
      </c>
      <c r="E568" t="s">
        <v>368</v>
      </c>
      <c r="F568" t="s">
        <v>178</v>
      </c>
      <c r="G568" t="s">
        <v>972</v>
      </c>
      <c r="H568" s="77">
        <v>51</v>
      </c>
      <c r="I568" s="124">
        <v>21.19</v>
      </c>
      <c r="J568" s="124">
        <v>1080.57</v>
      </c>
      <c r="K568" s="77">
        <v>60</v>
      </c>
      <c r="L568" t="s">
        <v>339</v>
      </c>
      <c r="M568" s="126">
        <v>216.114</v>
      </c>
      <c r="N568" s="124">
        <v>1080.57</v>
      </c>
      <c r="O568" t="s">
        <v>346</v>
      </c>
      <c r="P568" t="s">
        <v>294</v>
      </c>
    </row>
    <row r="569" spans="1:16" ht="15" customHeight="1" x14ac:dyDescent="0.25">
      <c r="A569" s="123">
        <v>45727</v>
      </c>
      <c r="B569" t="s">
        <v>383</v>
      </c>
      <c r="C569" t="s">
        <v>384</v>
      </c>
      <c r="D569" t="s">
        <v>225</v>
      </c>
      <c r="E569" t="s">
        <v>437</v>
      </c>
      <c r="F569" t="s">
        <v>181</v>
      </c>
      <c r="G569" t="s">
        <v>973</v>
      </c>
      <c r="H569" s="77">
        <v>21</v>
      </c>
      <c r="I569" s="124">
        <v>126.37</v>
      </c>
      <c r="J569" s="124">
        <v>2653.68</v>
      </c>
      <c r="K569" s="77">
        <v>60</v>
      </c>
      <c r="L569" t="s">
        <v>345</v>
      </c>
      <c r="M569" s="126">
        <v>530.73599999999999</v>
      </c>
      <c r="N569" s="124">
        <v>2653.68</v>
      </c>
      <c r="O569" t="s">
        <v>346</v>
      </c>
      <c r="P569" t="s">
        <v>294</v>
      </c>
    </row>
    <row r="570" spans="1:16" ht="15" customHeight="1" x14ac:dyDescent="0.25">
      <c r="A570" s="123">
        <v>45820</v>
      </c>
      <c r="B570" t="s">
        <v>341</v>
      </c>
      <c r="C570" t="s">
        <v>342</v>
      </c>
      <c r="D570" t="s">
        <v>223</v>
      </c>
      <c r="E570" t="s">
        <v>417</v>
      </c>
      <c r="F570" t="s">
        <v>184</v>
      </c>
      <c r="G570" t="s">
        <v>974</v>
      </c>
      <c r="H570" s="77">
        <v>23</v>
      </c>
      <c r="I570" s="124">
        <v>26.8</v>
      </c>
      <c r="J570" s="124">
        <v>616.49</v>
      </c>
      <c r="K570" s="77">
        <v>60</v>
      </c>
      <c r="L570" t="s">
        <v>351</v>
      </c>
      <c r="M570" s="126">
        <v>123.298</v>
      </c>
      <c r="N570" s="124">
        <v>616.49</v>
      </c>
      <c r="O570" t="s">
        <v>346</v>
      </c>
      <c r="P570" t="s">
        <v>294</v>
      </c>
    </row>
    <row r="571" spans="1:16" ht="15" customHeight="1" x14ac:dyDescent="0.25">
      <c r="A571" s="123">
        <v>45998</v>
      </c>
      <c r="B571" t="s">
        <v>378</v>
      </c>
      <c r="C571" t="s">
        <v>379</v>
      </c>
      <c r="D571" t="s">
        <v>227</v>
      </c>
      <c r="E571" t="s">
        <v>376</v>
      </c>
      <c r="F571" t="s">
        <v>182</v>
      </c>
      <c r="G571" t="s">
        <v>975</v>
      </c>
      <c r="H571" s="77">
        <v>76</v>
      </c>
      <c r="I571" s="124">
        <v>78.3</v>
      </c>
      <c r="J571" s="124">
        <v>5950.78</v>
      </c>
      <c r="K571" s="77">
        <v>30</v>
      </c>
      <c r="L571" t="s">
        <v>345</v>
      </c>
      <c r="M571" s="126">
        <v>1190.1559999999999</v>
      </c>
      <c r="N571" s="124">
        <v>5950.78</v>
      </c>
      <c r="O571" t="s">
        <v>340</v>
      </c>
      <c r="P571" t="s">
        <v>294</v>
      </c>
    </row>
    <row r="572" spans="1:16" ht="15" customHeight="1" x14ac:dyDescent="0.25">
      <c r="A572" s="123">
        <v>45748</v>
      </c>
      <c r="B572" t="s">
        <v>362</v>
      </c>
      <c r="C572" t="s">
        <v>363</v>
      </c>
      <c r="D572" t="s">
        <v>221</v>
      </c>
      <c r="E572" t="s">
        <v>356</v>
      </c>
      <c r="F572" t="s">
        <v>181</v>
      </c>
      <c r="G572" t="s">
        <v>976</v>
      </c>
      <c r="H572" s="77">
        <v>1</v>
      </c>
      <c r="I572" s="124">
        <v>222.24</v>
      </c>
      <c r="J572" s="124">
        <v>222.24</v>
      </c>
      <c r="K572" s="77">
        <v>60</v>
      </c>
      <c r="L572" t="s">
        <v>351</v>
      </c>
      <c r="M572" s="126">
        <v>44.448</v>
      </c>
      <c r="N572" s="124">
        <v>222.24</v>
      </c>
      <c r="O572" t="s">
        <v>340</v>
      </c>
      <c r="P572" t="s">
        <v>294</v>
      </c>
    </row>
    <row r="573" spans="1:16" ht="15" customHeight="1" x14ac:dyDescent="0.25">
      <c r="A573" s="123">
        <v>45966</v>
      </c>
      <c r="B573" t="s">
        <v>393</v>
      </c>
      <c r="C573" t="s">
        <v>394</v>
      </c>
      <c r="D573" t="s">
        <v>227</v>
      </c>
      <c r="E573" t="s">
        <v>349</v>
      </c>
      <c r="F573" t="s">
        <v>177</v>
      </c>
      <c r="G573" t="s">
        <v>977</v>
      </c>
      <c r="H573" s="77">
        <v>41</v>
      </c>
      <c r="I573" s="124">
        <v>301.73</v>
      </c>
      <c r="J573" s="124">
        <v>12370.93</v>
      </c>
      <c r="K573" s="77">
        <v>60</v>
      </c>
      <c r="L573" t="s">
        <v>339</v>
      </c>
      <c r="M573" s="126">
        <v>2474.1860000000001</v>
      </c>
      <c r="N573" s="124">
        <v>12370.93</v>
      </c>
      <c r="O573" t="s">
        <v>340</v>
      </c>
      <c r="P573" t="s">
        <v>294</v>
      </c>
    </row>
    <row r="574" spans="1:16" ht="15" customHeight="1" x14ac:dyDescent="0.25">
      <c r="A574" s="123">
        <v>45730</v>
      </c>
      <c r="B574" t="s">
        <v>409</v>
      </c>
      <c r="C574" t="s">
        <v>410</v>
      </c>
      <c r="D574" t="s">
        <v>223</v>
      </c>
      <c r="E574" t="s">
        <v>368</v>
      </c>
      <c r="F574" t="s">
        <v>178</v>
      </c>
      <c r="G574" t="s">
        <v>978</v>
      </c>
      <c r="H574" s="77">
        <v>43</v>
      </c>
      <c r="I574" s="124">
        <v>77.8</v>
      </c>
      <c r="J574" s="124">
        <v>3345.59</v>
      </c>
      <c r="K574" s="77">
        <v>60</v>
      </c>
      <c r="L574" t="s">
        <v>339</v>
      </c>
      <c r="M574" s="126">
        <v>669.11800000000005</v>
      </c>
      <c r="N574" s="124">
        <v>3345.59</v>
      </c>
      <c r="O574" t="s">
        <v>346</v>
      </c>
      <c r="P574" t="s">
        <v>294</v>
      </c>
    </row>
    <row r="575" spans="1:16" ht="15" customHeight="1" x14ac:dyDescent="0.25">
      <c r="A575" s="123">
        <v>45743</v>
      </c>
      <c r="B575" t="s">
        <v>390</v>
      </c>
      <c r="C575" t="s">
        <v>391</v>
      </c>
      <c r="D575" t="s">
        <v>221</v>
      </c>
      <c r="E575" t="s">
        <v>420</v>
      </c>
      <c r="F575" t="s">
        <v>182</v>
      </c>
      <c r="G575" t="s">
        <v>979</v>
      </c>
      <c r="H575" s="77">
        <v>12</v>
      </c>
      <c r="I575" s="124">
        <v>84.21</v>
      </c>
      <c r="J575" s="124">
        <v>1010.58</v>
      </c>
      <c r="K575" s="77">
        <v>60</v>
      </c>
      <c r="L575" t="s">
        <v>351</v>
      </c>
      <c r="M575" s="126">
        <v>202.11600000000001</v>
      </c>
      <c r="N575" s="124">
        <v>1010.58</v>
      </c>
      <c r="O575" t="s">
        <v>346</v>
      </c>
      <c r="P575" t="s">
        <v>294</v>
      </c>
    </row>
    <row r="576" spans="1:16" ht="15" customHeight="1" x14ac:dyDescent="0.25">
      <c r="A576" s="123">
        <v>45663</v>
      </c>
      <c r="B576" t="s">
        <v>401</v>
      </c>
      <c r="C576" t="s">
        <v>402</v>
      </c>
      <c r="D576" t="s">
        <v>221</v>
      </c>
      <c r="E576" t="s">
        <v>420</v>
      </c>
      <c r="F576" t="s">
        <v>182</v>
      </c>
      <c r="G576" t="s">
        <v>980</v>
      </c>
      <c r="H576" s="77">
        <v>34</v>
      </c>
      <c r="I576" s="124">
        <v>149.91</v>
      </c>
      <c r="J576" s="124">
        <v>5097.0200000000004</v>
      </c>
      <c r="K576" s="77">
        <v>30</v>
      </c>
      <c r="L576" t="s">
        <v>339</v>
      </c>
      <c r="M576" s="126">
        <v>1019.404</v>
      </c>
      <c r="N576" s="124">
        <v>5097.0200000000004</v>
      </c>
      <c r="O576" t="s">
        <v>346</v>
      </c>
      <c r="P576" t="s">
        <v>294</v>
      </c>
    </row>
    <row r="577" spans="1:16" ht="15" customHeight="1" x14ac:dyDescent="0.25">
      <c r="A577" s="123">
        <v>45789</v>
      </c>
      <c r="B577" t="s">
        <v>335</v>
      </c>
      <c r="C577" t="s">
        <v>336</v>
      </c>
      <c r="D577" t="s">
        <v>223</v>
      </c>
      <c r="E577" t="s">
        <v>368</v>
      </c>
      <c r="F577" t="s">
        <v>178</v>
      </c>
      <c r="G577" t="s">
        <v>981</v>
      </c>
      <c r="H577" s="77">
        <v>14</v>
      </c>
      <c r="I577" s="124">
        <v>19.260000000000002</v>
      </c>
      <c r="J577" s="124">
        <v>269.7</v>
      </c>
      <c r="K577" s="77">
        <v>60</v>
      </c>
      <c r="L577" t="s">
        <v>339</v>
      </c>
      <c r="M577" s="126">
        <v>53.94</v>
      </c>
      <c r="N577" s="124">
        <v>269.7</v>
      </c>
      <c r="O577" t="s">
        <v>346</v>
      </c>
      <c r="P577" t="s">
        <v>294</v>
      </c>
    </row>
    <row r="578" spans="1:16" ht="15" customHeight="1" x14ac:dyDescent="0.25">
      <c r="A578" s="123">
        <v>45872</v>
      </c>
      <c r="B578" t="s">
        <v>398</v>
      </c>
      <c r="C578" t="s">
        <v>399</v>
      </c>
      <c r="D578" t="s">
        <v>227</v>
      </c>
      <c r="E578" t="s">
        <v>234</v>
      </c>
      <c r="F578" t="s">
        <v>183</v>
      </c>
      <c r="G578" t="s">
        <v>982</v>
      </c>
      <c r="H578" s="77">
        <v>22</v>
      </c>
      <c r="I578" s="124">
        <v>341.51</v>
      </c>
      <c r="J578" s="124">
        <v>7513.17</v>
      </c>
      <c r="K578" s="77">
        <v>45</v>
      </c>
      <c r="L578" t="s">
        <v>345</v>
      </c>
      <c r="M578" s="126">
        <v>1502.634</v>
      </c>
      <c r="N578" s="124">
        <v>7513.17</v>
      </c>
      <c r="O578" t="s">
        <v>346</v>
      </c>
      <c r="P578" t="s">
        <v>294</v>
      </c>
    </row>
    <row r="579" spans="1:16" ht="15" customHeight="1" x14ac:dyDescent="0.25">
      <c r="A579" s="123">
        <v>45850</v>
      </c>
      <c r="B579" t="s">
        <v>335</v>
      </c>
      <c r="C579" t="s">
        <v>336</v>
      </c>
      <c r="D579" t="s">
        <v>223</v>
      </c>
      <c r="E579" t="s">
        <v>364</v>
      </c>
      <c r="F579" t="s">
        <v>182</v>
      </c>
      <c r="G579" t="s">
        <v>983</v>
      </c>
      <c r="H579" s="77">
        <v>13</v>
      </c>
      <c r="I579" s="124">
        <v>145.16</v>
      </c>
      <c r="J579" s="124">
        <v>1887.11</v>
      </c>
      <c r="K579" s="77">
        <v>45</v>
      </c>
      <c r="L579" t="s">
        <v>351</v>
      </c>
      <c r="M579" s="126">
        <v>377.42200000000003</v>
      </c>
      <c r="N579" s="124">
        <v>1887.11</v>
      </c>
      <c r="O579" t="s">
        <v>346</v>
      </c>
      <c r="P579" t="s">
        <v>294</v>
      </c>
    </row>
    <row r="580" spans="1:16" ht="15" customHeight="1" x14ac:dyDescent="0.25">
      <c r="A580" s="123">
        <v>45889</v>
      </c>
      <c r="B580" t="s">
        <v>347</v>
      </c>
      <c r="C580" t="s">
        <v>348</v>
      </c>
      <c r="D580" t="s">
        <v>223</v>
      </c>
      <c r="E580" t="s">
        <v>423</v>
      </c>
      <c r="F580" t="s">
        <v>180</v>
      </c>
      <c r="G580" t="s">
        <v>984</v>
      </c>
      <c r="H580" s="77">
        <v>10</v>
      </c>
      <c r="I580" s="124">
        <v>110.86</v>
      </c>
      <c r="J580" s="124">
        <v>1108.57</v>
      </c>
      <c r="K580" s="77">
        <v>30</v>
      </c>
      <c r="L580" t="s">
        <v>345</v>
      </c>
      <c r="M580" s="126">
        <v>221.714</v>
      </c>
      <c r="N580" s="124">
        <v>1108.57</v>
      </c>
      <c r="O580" t="s">
        <v>346</v>
      </c>
      <c r="P580" t="s">
        <v>294</v>
      </c>
    </row>
    <row r="581" spans="1:16" ht="15" customHeight="1" x14ac:dyDescent="0.25">
      <c r="A581" s="123">
        <v>45711</v>
      </c>
      <c r="B581" t="s">
        <v>390</v>
      </c>
      <c r="C581" t="s">
        <v>391</v>
      </c>
      <c r="D581" t="s">
        <v>221</v>
      </c>
      <c r="E581" t="s">
        <v>420</v>
      </c>
      <c r="F581" t="s">
        <v>182</v>
      </c>
      <c r="G581" t="s">
        <v>985</v>
      </c>
      <c r="H581" s="77">
        <v>10</v>
      </c>
      <c r="I581" s="124">
        <v>178.21</v>
      </c>
      <c r="J581" s="124">
        <v>1782.06</v>
      </c>
      <c r="K581" s="77">
        <v>45</v>
      </c>
      <c r="L581" t="s">
        <v>339</v>
      </c>
      <c r="M581" s="126">
        <v>356.41199999999998</v>
      </c>
      <c r="N581" s="124">
        <v>1782.06</v>
      </c>
      <c r="O581" t="s">
        <v>346</v>
      </c>
      <c r="P581" t="s">
        <v>294</v>
      </c>
    </row>
    <row r="582" spans="1:16" ht="15" customHeight="1" x14ac:dyDescent="0.25">
      <c r="A582" s="123">
        <v>45696</v>
      </c>
      <c r="B582" t="s">
        <v>378</v>
      </c>
      <c r="C582" t="s">
        <v>379</v>
      </c>
      <c r="D582" t="s">
        <v>227</v>
      </c>
      <c r="E582" t="s">
        <v>412</v>
      </c>
      <c r="F582" t="s">
        <v>179</v>
      </c>
      <c r="G582" t="s">
        <v>986</v>
      </c>
      <c r="H582" s="77">
        <v>71</v>
      </c>
      <c r="I582" s="124">
        <v>216.83</v>
      </c>
      <c r="J582" s="124">
        <v>15395.18</v>
      </c>
      <c r="K582" s="77">
        <v>30</v>
      </c>
      <c r="L582" t="s">
        <v>345</v>
      </c>
      <c r="M582" s="126">
        <v>3079.0360000000001</v>
      </c>
      <c r="N582" s="124">
        <v>15395.18</v>
      </c>
      <c r="O582" t="s">
        <v>346</v>
      </c>
      <c r="P582" t="s">
        <v>294</v>
      </c>
    </row>
    <row r="583" spans="1:16" ht="15" customHeight="1" x14ac:dyDescent="0.25">
      <c r="A583" s="123">
        <v>45673</v>
      </c>
      <c r="B583" t="s">
        <v>373</v>
      </c>
      <c r="C583" t="s">
        <v>374</v>
      </c>
      <c r="D583" t="s">
        <v>225</v>
      </c>
      <c r="E583" t="s">
        <v>417</v>
      </c>
      <c r="F583" t="s">
        <v>184</v>
      </c>
      <c r="G583" t="s">
        <v>987</v>
      </c>
      <c r="H583" s="77">
        <v>56</v>
      </c>
      <c r="I583" s="124">
        <v>59.68</v>
      </c>
      <c r="J583" s="124">
        <v>3342.36</v>
      </c>
      <c r="K583" s="77">
        <v>60</v>
      </c>
      <c r="L583" t="s">
        <v>339</v>
      </c>
      <c r="M583" s="126">
        <v>668.47199999999998</v>
      </c>
      <c r="N583" s="124">
        <v>3342.36</v>
      </c>
      <c r="O583" t="s">
        <v>346</v>
      </c>
      <c r="P583" t="s">
        <v>294</v>
      </c>
    </row>
    <row r="584" spans="1:16" ht="15" customHeight="1" x14ac:dyDescent="0.25">
      <c r="A584" s="123">
        <v>45685</v>
      </c>
      <c r="B584" t="s">
        <v>383</v>
      </c>
      <c r="C584" t="s">
        <v>384</v>
      </c>
      <c r="D584" t="s">
        <v>225</v>
      </c>
      <c r="E584" t="s">
        <v>235</v>
      </c>
      <c r="F584" t="s">
        <v>183</v>
      </c>
      <c r="G584" t="s">
        <v>988</v>
      </c>
      <c r="H584" s="77">
        <v>13</v>
      </c>
      <c r="I584" s="124">
        <v>424.88</v>
      </c>
      <c r="J584" s="124">
        <v>5523.47</v>
      </c>
      <c r="K584" s="77">
        <v>45</v>
      </c>
      <c r="L584" t="s">
        <v>339</v>
      </c>
      <c r="M584" s="126">
        <v>1104.694</v>
      </c>
      <c r="N584" s="124">
        <v>5523.47</v>
      </c>
      <c r="O584" t="s">
        <v>346</v>
      </c>
      <c r="P584" t="s">
        <v>294</v>
      </c>
    </row>
    <row r="585" spans="1:16" ht="15" customHeight="1" x14ac:dyDescent="0.25">
      <c r="A585" s="123">
        <v>45941</v>
      </c>
      <c r="B585" t="s">
        <v>398</v>
      </c>
      <c r="C585" t="s">
        <v>399</v>
      </c>
      <c r="D585" t="s">
        <v>227</v>
      </c>
      <c r="E585" t="s">
        <v>236</v>
      </c>
      <c r="F585" t="s">
        <v>183</v>
      </c>
      <c r="G585" t="s">
        <v>989</v>
      </c>
      <c r="H585" s="77">
        <v>70</v>
      </c>
      <c r="I585" s="124">
        <v>1045.93</v>
      </c>
      <c r="J585" s="124">
        <v>73215.23</v>
      </c>
      <c r="K585" s="77">
        <v>45</v>
      </c>
      <c r="L585" t="s">
        <v>351</v>
      </c>
      <c r="M585" s="126">
        <v>14643.046</v>
      </c>
      <c r="N585" s="124">
        <v>73215.23</v>
      </c>
      <c r="O585" t="s">
        <v>346</v>
      </c>
      <c r="P585" t="s">
        <v>294</v>
      </c>
    </row>
    <row r="586" spans="1:16" ht="15" customHeight="1" x14ac:dyDescent="0.25">
      <c r="A586" s="123">
        <v>45707</v>
      </c>
      <c r="B586" t="s">
        <v>488</v>
      </c>
      <c r="C586" t="s">
        <v>489</v>
      </c>
      <c r="D586" t="s">
        <v>225</v>
      </c>
      <c r="E586" t="s">
        <v>356</v>
      </c>
      <c r="F586" t="s">
        <v>181</v>
      </c>
      <c r="G586" t="s">
        <v>990</v>
      </c>
      <c r="H586" s="77">
        <v>7</v>
      </c>
      <c r="I586" s="124">
        <v>243.14</v>
      </c>
      <c r="J586" s="124">
        <v>1702.01</v>
      </c>
      <c r="K586" s="77">
        <v>45</v>
      </c>
      <c r="L586" t="s">
        <v>351</v>
      </c>
      <c r="M586" s="126">
        <v>340.40199999999999</v>
      </c>
      <c r="N586" s="124">
        <v>1702.01</v>
      </c>
      <c r="O586" t="s">
        <v>340</v>
      </c>
      <c r="P586" t="s">
        <v>294</v>
      </c>
    </row>
    <row r="587" spans="1:16" ht="15" customHeight="1" x14ac:dyDescent="0.25">
      <c r="A587" s="123">
        <v>45685</v>
      </c>
      <c r="B587" t="s">
        <v>366</v>
      </c>
      <c r="C587" t="s">
        <v>367</v>
      </c>
      <c r="D587" t="s">
        <v>221</v>
      </c>
      <c r="E587" t="s">
        <v>396</v>
      </c>
      <c r="F587" t="s">
        <v>184</v>
      </c>
      <c r="G587" t="s">
        <v>991</v>
      </c>
      <c r="H587" s="77">
        <v>47</v>
      </c>
      <c r="I587" s="124">
        <v>85.97</v>
      </c>
      <c r="J587" s="124">
        <v>4040.63</v>
      </c>
      <c r="K587" s="77">
        <v>30</v>
      </c>
      <c r="L587" t="s">
        <v>345</v>
      </c>
      <c r="M587" s="126">
        <v>808.12599999999998</v>
      </c>
      <c r="N587" s="124">
        <v>4040.63</v>
      </c>
      <c r="O587" t="s">
        <v>346</v>
      </c>
      <c r="P587" t="s">
        <v>294</v>
      </c>
    </row>
    <row r="588" spans="1:16" ht="15" customHeight="1" x14ac:dyDescent="0.25">
      <c r="A588" s="123">
        <v>45978</v>
      </c>
      <c r="B588" t="s">
        <v>378</v>
      </c>
      <c r="C588" t="s">
        <v>379</v>
      </c>
      <c r="D588" t="s">
        <v>227</v>
      </c>
      <c r="E588" t="s">
        <v>403</v>
      </c>
      <c r="F588" t="s">
        <v>181</v>
      </c>
      <c r="G588" t="s">
        <v>992</v>
      </c>
      <c r="H588" s="77">
        <v>77</v>
      </c>
      <c r="I588" s="124">
        <v>170.88</v>
      </c>
      <c r="J588" s="124">
        <v>13157.99</v>
      </c>
      <c r="K588" s="77">
        <v>45</v>
      </c>
      <c r="L588" t="s">
        <v>339</v>
      </c>
      <c r="M588" s="126">
        <v>2631.598</v>
      </c>
      <c r="N588" s="124">
        <v>13157.99</v>
      </c>
      <c r="O588" t="s">
        <v>346</v>
      </c>
      <c r="P588" t="s">
        <v>294</v>
      </c>
    </row>
    <row r="589" spans="1:16" ht="15" customHeight="1" x14ac:dyDescent="0.25">
      <c r="A589" s="123">
        <v>45745</v>
      </c>
      <c r="B589" t="s">
        <v>358</v>
      </c>
      <c r="C589" t="s">
        <v>359</v>
      </c>
      <c r="D589" t="s">
        <v>225</v>
      </c>
      <c r="E589" t="s">
        <v>349</v>
      </c>
      <c r="F589" t="s">
        <v>177</v>
      </c>
      <c r="G589" t="s">
        <v>993</v>
      </c>
      <c r="H589" s="77">
        <v>38</v>
      </c>
      <c r="I589" s="124">
        <v>75.19</v>
      </c>
      <c r="J589" s="124">
        <v>2857.39</v>
      </c>
      <c r="K589" s="77">
        <v>30</v>
      </c>
      <c r="L589" t="s">
        <v>345</v>
      </c>
      <c r="M589" s="126">
        <v>571.47799999999995</v>
      </c>
      <c r="N589" s="124">
        <v>2857.39</v>
      </c>
      <c r="O589" t="s">
        <v>340</v>
      </c>
      <c r="P589" t="s">
        <v>294</v>
      </c>
    </row>
    <row r="590" spans="1:16" ht="15" customHeight="1" x14ac:dyDescent="0.25">
      <c r="A590" s="123">
        <v>45899</v>
      </c>
      <c r="B590" t="s">
        <v>409</v>
      </c>
      <c r="C590" t="s">
        <v>410</v>
      </c>
      <c r="D590" t="s">
        <v>223</v>
      </c>
      <c r="E590" t="s">
        <v>437</v>
      </c>
      <c r="F590" t="s">
        <v>181</v>
      </c>
      <c r="G590" t="s">
        <v>994</v>
      </c>
      <c r="H590" s="77">
        <v>63</v>
      </c>
      <c r="I590" s="124">
        <v>347.34</v>
      </c>
      <c r="J590" s="124">
        <v>21882.6</v>
      </c>
      <c r="K590" s="77">
        <v>60</v>
      </c>
      <c r="L590" t="s">
        <v>345</v>
      </c>
      <c r="M590" s="126">
        <v>4376.5200000000004</v>
      </c>
      <c r="N590" s="124">
        <v>21882.6</v>
      </c>
      <c r="O590" t="s">
        <v>346</v>
      </c>
      <c r="P590" t="s">
        <v>294</v>
      </c>
    </row>
    <row r="591" spans="1:16" ht="15" customHeight="1" x14ac:dyDescent="0.25">
      <c r="A591" s="123">
        <v>45847</v>
      </c>
      <c r="B591" t="s">
        <v>347</v>
      </c>
      <c r="C591" t="s">
        <v>348</v>
      </c>
      <c r="D591" t="s">
        <v>223</v>
      </c>
      <c r="E591" t="s">
        <v>235</v>
      </c>
      <c r="F591" t="s">
        <v>183</v>
      </c>
      <c r="G591" t="s">
        <v>995</v>
      </c>
      <c r="H591" s="77">
        <v>49</v>
      </c>
      <c r="I591" s="124">
        <v>187.34</v>
      </c>
      <c r="J591" s="124">
        <v>9179.76</v>
      </c>
      <c r="K591" s="77">
        <v>45</v>
      </c>
      <c r="L591" t="s">
        <v>339</v>
      </c>
      <c r="M591" s="126">
        <v>1835.952</v>
      </c>
      <c r="N591" s="124">
        <v>9179.76</v>
      </c>
      <c r="O591" t="s">
        <v>346</v>
      </c>
      <c r="P591" t="s">
        <v>294</v>
      </c>
    </row>
    <row r="592" spans="1:16" ht="15" customHeight="1" x14ac:dyDescent="0.25">
      <c r="A592" s="123">
        <v>45883</v>
      </c>
      <c r="B592" t="s">
        <v>406</v>
      </c>
      <c r="C592" t="s">
        <v>407</v>
      </c>
      <c r="D592" t="s">
        <v>225</v>
      </c>
      <c r="E592" t="s">
        <v>496</v>
      </c>
      <c r="F592" t="s">
        <v>177</v>
      </c>
      <c r="G592" t="s">
        <v>996</v>
      </c>
      <c r="H592" s="77">
        <v>60</v>
      </c>
      <c r="I592" s="124">
        <v>124.82</v>
      </c>
      <c r="J592" s="124">
        <v>7489.05</v>
      </c>
      <c r="K592" s="77">
        <v>45</v>
      </c>
      <c r="L592" t="s">
        <v>339</v>
      </c>
      <c r="M592" s="126">
        <v>1497.81</v>
      </c>
      <c r="N592" s="124">
        <v>7489.05</v>
      </c>
      <c r="O592" t="s">
        <v>346</v>
      </c>
      <c r="P592" t="s">
        <v>294</v>
      </c>
    </row>
    <row r="593" spans="1:16" ht="15" customHeight="1" x14ac:dyDescent="0.25">
      <c r="A593" s="123">
        <v>46014</v>
      </c>
      <c r="B593" t="s">
        <v>362</v>
      </c>
      <c r="C593" t="s">
        <v>363</v>
      </c>
      <c r="D593" t="s">
        <v>221</v>
      </c>
      <c r="E593" t="s">
        <v>349</v>
      </c>
      <c r="F593" t="s">
        <v>177</v>
      </c>
      <c r="G593" t="s">
        <v>997</v>
      </c>
      <c r="H593" s="77">
        <v>13</v>
      </c>
      <c r="I593" s="124">
        <v>92.28</v>
      </c>
      <c r="J593" s="124">
        <v>1199.58</v>
      </c>
      <c r="K593" s="77">
        <v>30</v>
      </c>
      <c r="L593" t="s">
        <v>351</v>
      </c>
      <c r="M593" s="126">
        <v>239.916</v>
      </c>
      <c r="N593" s="124">
        <v>1199.58</v>
      </c>
      <c r="O593" t="s">
        <v>340</v>
      </c>
      <c r="P593" t="s">
        <v>294</v>
      </c>
    </row>
    <row r="594" spans="1:16" ht="15" customHeight="1" x14ac:dyDescent="0.25">
      <c r="A594" s="123">
        <v>45774</v>
      </c>
      <c r="B594" t="s">
        <v>335</v>
      </c>
      <c r="C594" t="s">
        <v>336</v>
      </c>
      <c r="D594" t="s">
        <v>223</v>
      </c>
      <c r="E594" t="s">
        <v>236</v>
      </c>
      <c r="F594" t="s">
        <v>183</v>
      </c>
      <c r="G594" t="s">
        <v>998</v>
      </c>
      <c r="H594" s="77">
        <v>71</v>
      </c>
      <c r="I594" s="124">
        <v>390.42</v>
      </c>
      <c r="J594" s="124">
        <v>27719.77</v>
      </c>
      <c r="K594" s="77">
        <v>30</v>
      </c>
      <c r="L594" t="s">
        <v>345</v>
      </c>
      <c r="M594" s="126">
        <v>5543.9539999999997</v>
      </c>
      <c r="N594" s="124">
        <v>27719.77</v>
      </c>
      <c r="O594" t="s">
        <v>346</v>
      </c>
      <c r="P594" t="s">
        <v>294</v>
      </c>
    </row>
    <row r="595" spans="1:16" ht="15" customHeight="1" x14ac:dyDescent="0.25">
      <c r="A595" s="123">
        <v>46009</v>
      </c>
      <c r="B595" t="s">
        <v>362</v>
      </c>
      <c r="C595" t="s">
        <v>363</v>
      </c>
      <c r="D595" t="s">
        <v>221</v>
      </c>
      <c r="E595" t="s">
        <v>236</v>
      </c>
      <c r="F595" t="s">
        <v>183</v>
      </c>
      <c r="G595" t="s">
        <v>999</v>
      </c>
      <c r="H595" s="77">
        <v>61</v>
      </c>
      <c r="I595" s="124">
        <v>360.43</v>
      </c>
      <c r="J595" s="124">
        <v>21986.21</v>
      </c>
      <c r="K595" s="77">
        <v>60</v>
      </c>
      <c r="L595" t="s">
        <v>339</v>
      </c>
      <c r="M595" s="126">
        <v>4397.2420000000002</v>
      </c>
      <c r="N595" s="124">
        <v>21986.21</v>
      </c>
      <c r="O595" t="s">
        <v>346</v>
      </c>
      <c r="P595" t="s">
        <v>294</v>
      </c>
    </row>
    <row r="596" spans="1:16" ht="15" customHeight="1" x14ac:dyDescent="0.25">
      <c r="A596" s="123">
        <v>45860</v>
      </c>
      <c r="B596" t="s">
        <v>398</v>
      </c>
      <c r="C596" t="s">
        <v>399</v>
      </c>
      <c r="D596" t="s">
        <v>227</v>
      </c>
      <c r="E596" t="s">
        <v>356</v>
      </c>
      <c r="F596" t="s">
        <v>181</v>
      </c>
      <c r="G596" t="s">
        <v>1000</v>
      </c>
      <c r="H596" s="77">
        <v>5</v>
      </c>
      <c r="I596" s="124">
        <v>389.27</v>
      </c>
      <c r="J596" s="124">
        <v>1946.35</v>
      </c>
      <c r="K596" s="77">
        <v>60</v>
      </c>
      <c r="L596" t="s">
        <v>351</v>
      </c>
      <c r="M596" s="126">
        <v>389.27</v>
      </c>
      <c r="N596" s="124">
        <v>1946.35</v>
      </c>
      <c r="O596" t="s">
        <v>340</v>
      </c>
      <c r="P596" t="s">
        <v>294</v>
      </c>
    </row>
    <row r="597" spans="1:16" ht="15" customHeight="1" x14ac:dyDescent="0.25">
      <c r="A597" s="123">
        <v>45887</v>
      </c>
      <c r="B597" t="s">
        <v>347</v>
      </c>
      <c r="C597" t="s">
        <v>348</v>
      </c>
      <c r="D597" t="s">
        <v>223</v>
      </c>
      <c r="E597" t="s">
        <v>442</v>
      </c>
      <c r="F597" t="s">
        <v>179</v>
      </c>
      <c r="G597" t="s">
        <v>1001</v>
      </c>
      <c r="H597" s="77">
        <v>23</v>
      </c>
      <c r="I597" s="124">
        <v>135.97</v>
      </c>
      <c r="J597" s="124">
        <v>3127.35</v>
      </c>
      <c r="K597" s="77">
        <v>30</v>
      </c>
      <c r="L597" t="s">
        <v>339</v>
      </c>
      <c r="M597" s="126">
        <v>625.47</v>
      </c>
      <c r="N597" s="124">
        <v>3127.35</v>
      </c>
      <c r="O597" t="s">
        <v>340</v>
      </c>
      <c r="P597" t="s">
        <v>294</v>
      </c>
    </row>
    <row r="598" spans="1:16" ht="15" customHeight="1" x14ac:dyDescent="0.25">
      <c r="A598" s="123">
        <v>45874</v>
      </c>
      <c r="B598" t="s">
        <v>393</v>
      </c>
      <c r="C598" t="s">
        <v>394</v>
      </c>
      <c r="D598" t="s">
        <v>227</v>
      </c>
      <c r="E598" t="s">
        <v>442</v>
      </c>
      <c r="F598" t="s">
        <v>179</v>
      </c>
      <c r="G598" t="s">
        <v>1002</v>
      </c>
      <c r="H598" s="77">
        <v>11</v>
      </c>
      <c r="I598" s="124">
        <v>155.16999999999999</v>
      </c>
      <c r="J598" s="124">
        <v>1706.88</v>
      </c>
      <c r="K598" s="77">
        <v>60</v>
      </c>
      <c r="L598" t="s">
        <v>345</v>
      </c>
      <c r="M598" s="126">
        <v>341.37599999999998</v>
      </c>
      <c r="N598" s="124">
        <v>1706.88</v>
      </c>
      <c r="O598" t="s">
        <v>340</v>
      </c>
      <c r="P598" t="s">
        <v>294</v>
      </c>
    </row>
    <row r="599" spans="1:16" ht="15" customHeight="1" x14ac:dyDescent="0.25">
      <c r="A599" s="123">
        <v>45790</v>
      </c>
      <c r="B599" t="s">
        <v>341</v>
      </c>
      <c r="C599" t="s">
        <v>342</v>
      </c>
      <c r="D599" t="s">
        <v>223</v>
      </c>
      <c r="E599" t="s">
        <v>412</v>
      </c>
      <c r="F599" t="s">
        <v>179</v>
      </c>
      <c r="G599" t="s">
        <v>1003</v>
      </c>
      <c r="H599" s="77">
        <v>41</v>
      </c>
      <c r="I599" s="124">
        <v>105.07</v>
      </c>
      <c r="J599" s="124">
        <v>4307.91</v>
      </c>
      <c r="K599" s="77">
        <v>60</v>
      </c>
      <c r="L599" t="s">
        <v>339</v>
      </c>
      <c r="M599" s="126">
        <v>861.58199999999999</v>
      </c>
      <c r="N599" s="124">
        <v>4307.91</v>
      </c>
      <c r="O599" t="s">
        <v>346</v>
      </c>
      <c r="P599" t="s">
        <v>294</v>
      </c>
    </row>
    <row r="600" spans="1:16" ht="15" customHeight="1" x14ac:dyDescent="0.25">
      <c r="A600" s="123">
        <v>45861</v>
      </c>
      <c r="B600" t="s">
        <v>341</v>
      </c>
      <c r="C600" t="s">
        <v>342</v>
      </c>
      <c r="D600" t="s">
        <v>223</v>
      </c>
      <c r="E600" t="s">
        <v>236</v>
      </c>
      <c r="F600" t="s">
        <v>183</v>
      </c>
      <c r="G600" t="s">
        <v>1004</v>
      </c>
      <c r="H600" s="77">
        <v>71</v>
      </c>
      <c r="I600" s="124">
        <v>234.96</v>
      </c>
      <c r="J600" s="124">
        <v>16682.259999999998</v>
      </c>
      <c r="K600" s="77">
        <v>45</v>
      </c>
      <c r="L600" t="s">
        <v>345</v>
      </c>
      <c r="M600" s="126">
        <v>3336.4520000000002</v>
      </c>
      <c r="N600" s="124">
        <v>16682.259999999998</v>
      </c>
      <c r="O600" t="s">
        <v>346</v>
      </c>
      <c r="P600" t="s">
        <v>294</v>
      </c>
    </row>
    <row r="601" spans="1:16" ht="15" customHeight="1" x14ac:dyDescent="0.25">
      <c r="A601" s="123">
        <v>46016</v>
      </c>
      <c r="B601" t="s">
        <v>488</v>
      </c>
      <c r="C601" t="s">
        <v>489</v>
      </c>
      <c r="D601" t="s">
        <v>225</v>
      </c>
      <c r="E601" t="s">
        <v>396</v>
      </c>
      <c r="F601" t="s">
        <v>184</v>
      </c>
      <c r="G601" t="s">
        <v>1005</v>
      </c>
      <c r="H601" s="77">
        <v>80</v>
      </c>
      <c r="I601" s="124">
        <v>92.3</v>
      </c>
      <c r="J601" s="124">
        <v>7383.7</v>
      </c>
      <c r="K601" s="77">
        <v>60</v>
      </c>
      <c r="L601" t="s">
        <v>351</v>
      </c>
      <c r="M601" s="126">
        <v>1476.74</v>
      </c>
      <c r="N601" s="124">
        <v>7383.7</v>
      </c>
      <c r="O601" t="s">
        <v>346</v>
      </c>
      <c r="P601" t="s">
        <v>294</v>
      </c>
    </row>
    <row r="602" spans="1:16" ht="15" customHeight="1" x14ac:dyDescent="0.25">
      <c r="A602" s="123">
        <v>45734</v>
      </c>
      <c r="B602" t="s">
        <v>373</v>
      </c>
      <c r="C602" t="s">
        <v>374</v>
      </c>
      <c r="D602" t="s">
        <v>225</v>
      </c>
      <c r="E602" t="s">
        <v>368</v>
      </c>
      <c r="F602" t="s">
        <v>178</v>
      </c>
      <c r="G602" t="s">
        <v>1006</v>
      </c>
      <c r="H602" s="77">
        <v>19</v>
      </c>
      <c r="I602" s="124">
        <v>98.57</v>
      </c>
      <c r="J602" s="124">
        <v>1872.76</v>
      </c>
      <c r="K602" s="77">
        <v>60</v>
      </c>
      <c r="L602" t="s">
        <v>351</v>
      </c>
      <c r="M602" s="126">
        <v>374.55200000000002</v>
      </c>
      <c r="N602" s="124">
        <v>1872.76</v>
      </c>
      <c r="O602" t="s">
        <v>346</v>
      </c>
      <c r="P602" t="s">
        <v>294</v>
      </c>
    </row>
    <row r="603" spans="1:16" ht="15" customHeight="1" x14ac:dyDescent="0.25">
      <c r="A603" s="123">
        <v>45946</v>
      </c>
      <c r="B603" t="s">
        <v>383</v>
      </c>
      <c r="C603" t="s">
        <v>384</v>
      </c>
      <c r="D603" t="s">
        <v>225</v>
      </c>
      <c r="E603" t="s">
        <v>415</v>
      </c>
      <c r="F603" t="s">
        <v>178</v>
      </c>
      <c r="G603" t="s">
        <v>1007</v>
      </c>
      <c r="H603" s="77">
        <v>13</v>
      </c>
      <c r="I603" s="124">
        <v>39.14</v>
      </c>
      <c r="J603" s="124">
        <v>508.85</v>
      </c>
      <c r="K603" s="77">
        <v>45</v>
      </c>
      <c r="L603" t="s">
        <v>351</v>
      </c>
      <c r="M603" s="126">
        <v>101.77</v>
      </c>
      <c r="N603" s="124">
        <v>508.85</v>
      </c>
      <c r="O603" t="s">
        <v>340</v>
      </c>
      <c r="P603" t="s">
        <v>294</v>
      </c>
    </row>
    <row r="604" spans="1:16" ht="15" customHeight="1" x14ac:dyDescent="0.25">
      <c r="A604" s="123">
        <v>45854</v>
      </c>
      <c r="B604" t="s">
        <v>366</v>
      </c>
      <c r="C604" t="s">
        <v>367</v>
      </c>
      <c r="D604" t="s">
        <v>221</v>
      </c>
      <c r="E604" t="s">
        <v>234</v>
      </c>
      <c r="F604" t="s">
        <v>183</v>
      </c>
      <c r="G604" t="s">
        <v>1008</v>
      </c>
      <c r="H604" s="77">
        <v>63</v>
      </c>
      <c r="I604" s="124">
        <v>483.99</v>
      </c>
      <c r="J604" s="124">
        <v>30491.42</v>
      </c>
      <c r="K604" s="77">
        <v>60</v>
      </c>
      <c r="L604" t="s">
        <v>351</v>
      </c>
      <c r="M604" s="126">
        <v>6098.2839999999997</v>
      </c>
      <c r="N604" s="124">
        <v>30491.42</v>
      </c>
      <c r="O604" t="s">
        <v>346</v>
      </c>
      <c r="P604" t="s">
        <v>294</v>
      </c>
    </row>
    <row r="605" spans="1:16" ht="15" customHeight="1" x14ac:dyDescent="0.25">
      <c r="A605" s="123">
        <v>45799</v>
      </c>
      <c r="B605" t="s">
        <v>354</v>
      </c>
      <c r="C605" t="s">
        <v>355</v>
      </c>
      <c r="D605" t="s">
        <v>227</v>
      </c>
      <c r="E605" t="s">
        <v>349</v>
      </c>
      <c r="F605" t="s">
        <v>177</v>
      </c>
      <c r="G605" t="s">
        <v>1009</v>
      </c>
      <c r="H605" s="77">
        <v>52</v>
      </c>
      <c r="I605" s="124">
        <v>252.92</v>
      </c>
      <c r="J605" s="124">
        <v>13152.09</v>
      </c>
      <c r="K605" s="77">
        <v>30</v>
      </c>
      <c r="L605" t="s">
        <v>351</v>
      </c>
      <c r="M605" s="126">
        <v>2630.4180000000001</v>
      </c>
      <c r="N605" s="124">
        <v>13152.09</v>
      </c>
      <c r="O605" t="s">
        <v>340</v>
      </c>
      <c r="P605" t="s">
        <v>294</v>
      </c>
    </row>
    <row r="606" spans="1:16" ht="15" customHeight="1" x14ac:dyDescent="0.25">
      <c r="A606" s="123">
        <v>45860</v>
      </c>
      <c r="B606" t="s">
        <v>393</v>
      </c>
      <c r="C606" t="s">
        <v>394</v>
      </c>
      <c r="D606" t="s">
        <v>227</v>
      </c>
      <c r="E606" t="s">
        <v>235</v>
      </c>
      <c r="F606" t="s">
        <v>183</v>
      </c>
      <c r="G606" t="s">
        <v>1010</v>
      </c>
      <c r="H606" s="77">
        <v>43</v>
      </c>
      <c r="I606" s="124">
        <v>376.6</v>
      </c>
      <c r="J606" s="124">
        <v>16193.61</v>
      </c>
      <c r="K606" s="77">
        <v>60</v>
      </c>
      <c r="L606" t="s">
        <v>339</v>
      </c>
      <c r="M606" s="126">
        <v>3238.7220000000002</v>
      </c>
      <c r="N606" s="124">
        <v>16193.61</v>
      </c>
      <c r="O606" t="s">
        <v>346</v>
      </c>
      <c r="P606" t="s">
        <v>294</v>
      </c>
    </row>
    <row r="607" spans="1:16" ht="15" customHeight="1" x14ac:dyDescent="0.25">
      <c r="A607" s="123">
        <v>45848</v>
      </c>
      <c r="B607" t="s">
        <v>406</v>
      </c>
      <c r="C607" t="s">
        <v>407</v>
      </c>
      <c r="D607" t="s">
        <v>225</v>
      </c>
      <c r="E607" t="s">
        <v>427</v>
      </c>
      <c r="F607" t="s">
        <v>184</v>
      </c>
      <c r="G607" t="s">
        <v>1011</v>
      </c>
      <c r="H607" s="77">
        <v>3</v>
      </c>
      <c r="I607" s="124">
        <v>210.55</v>
      </c>
      <c r="J607" s="124">
        <v>631.65</v>
      </c>
      <c r="K607" s="77">
        <v>45</v>
      </c>
      <c r="L607" t="s">
        <v>345</v>
      </c>
      <c r="M607" s="126">
        <v>126.33</v>
      </c>
      <c r="N607" s="124">
        <v>631.65</v>
      </c>
      <c r="O607" t="s">
        <v>346</v>
      </c>
      <c r="P607" t="s">
        <v>294</v>
      </c>
    </row>
    <row r="608" spans="1:16" ht="15" customHeight="1" x14ac:dyDescent="0.25">
      <c r="A608" s="123">
        <v>46014</v>
      </c>
      <c r="B608" t="s">
        <v>335</v>
      </c>
      <c r="C608" t="s">
        <v>336</v>
      </c>
      <c r="D608" t="s">
        <v>223</v>
      </c>
      <c r="E608" t="s">
        <v>437</v>
      </c>
      <c r="F608" t="s">
        <v>181</v>
      </c>
      <c r="G608" t="s">
        <v>1012</v>
      </c>
      <c r="H608" s="77">
        <v>13</v>
      </c>
      <c r="I608" s="124">
        <v>143.75</v>
      </c>
      <c r="J608" s="124">
        <v>1868.69</v>
      </c>
      <c r="K608" s="77">
        <v>30</v>
      </c>
      <c r="L608" t="s">
        <v>339</v>
      </c>
      <c r="M608" s="126">
        <v>373.738</v>
      </c>
      <c r="N608" s="124">
        <v>1868.69</v>
      </c>
      <c r="O608" t="s">
        <v>346</v>
      </c>
      <c r="P608" t="s">
        <v>294</v>
      </c>
    </row>
    <row r="609" spans="1:16" ht="15" customHeight="1" x14ac:dyDescent="0.25">
      <c r="A609" s="123">
        <v>45795</v>
      </c>
      <c r="B609" t="s">
        <v>488</v>
      </c>
      <c r="C609" t="s">
        <v>489</v>
      </c>
      <c r="D609" t="s">
        <v>225</v>
      </c>
      <c r="E609" t="s">
        <v>427</v>
      </c>
      <c r="F609" t="s">
        <v>184</v>
      </c>
      <c r="G609" t="s">
        <v>1013</v>
      </c>
      <c r="H609" s="77">
        <v>54</v>
      </c>
      <c r="I609" s="124">
        <v>37.82</v>
      </c>
      <c r="J609" s="124">
        <v>2042.46</v>
      </c>
      <c r="K609" s="77">
        <v>60</v>
      </c>
      <c r="L609" t="s">
        <v>351</v>
      </c>
      <c r="M609" s="126">
        <v>408.49200000000002</v>
      </c>
      <c r="N609" s="124">
        <v>2042.46</v>
      </c>
      <c r="O609" t="s">
        <v>346</v>
      </c>
      <c r="P609" t="s">
        <v>294</v>
      </c>
    </row>
    <row r="610" spans="1:16" ht="15" customHeight="1" x14ac:dyDescent="0.25">
      <c r="A610" s="123">
        <v>45766</v>
      </c>
      <c r="B610" t="s">
        <v>386</v>
      </c>
      <c r="C610" t="s">
        <v>387</v>
      </c>
      <c r="D610" t="s">
        <v>223</v>
      </c>
      <c r="E610" t="s">
        <v>360</v>
      </c>
      <c r="F610" t="s">
        <v>180</v>
      </c>
      <c r="G610" t="s">
        <v>1014</v>
      </c>
      <c r="H610" s="77">
        <v>53</v>
      </c>
      <c r="I610" s="124">
        <v>93.99</v>
      </c>
      <c r="J610" s="124">
        <v>4981.3500000000004</v>
      </c>
      <c r="K610" s="77">
        <v>60</v>
      </c>
      <c r="L610" t="s">
        <v>345</v>
      </c>
      <c r="M610" s="126">
        <v>996.27</v>
      </c>
      <c r="N610" s="124">
        <v>4981.3500000000004</v>
      </c>
      <c r="O610" t="s">
        <v>346</v>
      </c>
      <c r="P610" t="s">
        <v>294</v>
      </c>
    </row>
    <row r="611" spans="1:16" ht="15" customHeight="1" x14ac:dyDescent="0.25">
      <c r="A611" s="123">
        <v>45921</v>
      </c>
      <c r="B611" t="s">
        <v>378</v>
      </c>
      <c r="C611" t="s">
        <v>379</v>
      </c>
      <c r="D611" t="s">
        <v>227</v>
      </c>
      <c r="E611" t="s">
        <v>376</v>
      </c>
      <c r="F611" t="s">
        <v>182</v>
      </c>
      <c r="G611" t="s">
        <v>1015</v>
      </c>
      <c r="H611" s="77">
        <v>21</v>
      </c>
      <c r="I611" s="124">
        <v>216.31</v>
      </c>
      <c r="J611" s="124">
        <v>4542.46</v>
      </c>
      <c r="K611" s="77">
        <v>30</v>
      </c>
      <c r="L611" t="s">
        <v>345</v>
      </c>
      <c r="M611" s="126">
        <v>908.49199999999996</v>
      </c>
      <c r="N611" s="124">
        <v>4542.46</v>
      </c>
      <c r="O611" t="s">
        <v>340</v>
      </c>
      <c r="P611" t="s">
        <v>294</v>
      </c>
    </row>
    <row r="612" spans="1:16" ht="15" customHeight="1" x14ac:dyDescent="0.25">
      <c r="A612" s="123">
        <v>45926</v>
      </c>
      <c r="B612" t="s">
        <v>393</v>
      </c>
      <c r="C612" t="s">
        <v>394</v>
      </c>
      <c r="D612" t="s">
        <v>227</v>
      </c>
      <c r="E612" t="s">
        <v>235</v>
      </c>
      <c r="F612" t="s">
        <v>183</v>
      </c>
      <c r="G612" t="s">
        <v>1016</v>
      </c>
      <c r="H612" s="77">
        <v>73</v>
      </c>
      <c r="I612" s="124">
        <v>429.96</v>
      </c>
      <c r="J612" s="124">
        <v>31386.81</v>
      </c>
      <c r="K612" s="77">
        <v>30</v>
      </c>
      <c r="L612" t="s">
        <v>339</v>
      </c>
      <c r="M612" s="126">
        <v>6277.3620000000001</v>
      </c>
      <c r="N612" s="124">
        <v>31386.81</v>
      </c>
      <c r="O612" t="s">
        <v>346</v>
      </c>
      <c r="P612" t="s">
        <v>294</v>
      </c>
    </row>
    <row r="613" spans="1:16" ht="15" customHeight="1" x14ac:dyDescent="0.25">
      <c r="A613" s="123">
        <v>45785</v>
      </c>
      <c r="B613" t="s">
        <v>431</v>
      </c>
      <c r="C613" t="s">
        <v>432</v>
      </c>
      <c r="D613" t="s">
        <v>221</v>
      </c>
      <c r="E613" t="s">
        <v>423</v>
      </c>
      <c r="F613" t="s">
        <v>180</v>
      </c>
      <c r="G613" t="s">
        <v>1017</v>
      </c>
      <c r="H613" s="77">
        <v>5</v>
      </c>
      <c r="I613" s="124">
        <v>242.47</v>
      </c>
      <c r="J613" s="124">
        <v>1212.3599999999999</v>
      </c>
      <c r="K613" s="77">
        <v>45</v>
      </c>
      <c r="L613" t="s">
        <v>339</v>
      </c>
      <c r="M613" s="126">
        <v>242.47200000000001</v>
      </c>
      <c r="N613" s="124">
        <v>1212.3599999999999</v>
      </c>
      <c r="O613" t="s">
        <v>346</v>
      </c>
      <c r="P613" t="s">
        <v>294</v>
      </c>
    </row>
    <row r="614" spans="1:16" ht="15" customHeight="1" x14ac:dyDescent="0.25">
      <c r="A614" s="123">
        <v>45846</v>
      </c>
      <c r="B614" t="s">
        <v>335</v>
      </c>
      <c r="C614" t="s">
        <v>336</v>
      </c>
      <c r="D614" t="s">
        <v>223</v>
      </c>
      <c r="E614" t="s">
        <v>360</v>
      </c>
      <c r="F614" t="s">
        <v>180</v>
      </c>
      <c r="G614" t="s">
        <v>1018</v>
      </c>
      <c r="H614" s="77">
        <v>60</v>
      </c>
      <c r="I614" s="124">
        <v>291.62</v>
      </c>
      <c r="J614" s="124">
        <v>17497.060000000001</v>
      </c>
      <c r="K614" s="77">
        <v>60</v>
      </c>
      <c r="L614" t="s">
        <v>345</v>
      </c>
      <c r="M614" s="126">
        <v>3499.4119999999998</v>
      </c>
      <c r="N614" s="124">
        <v>17497.060000000001</v>
      </c>
      <c r="O614" t="s">
        <v>346</v>
      </c>
      <c r="P614" t="s">
        <v>294</v>
      </c>
    </row>
    <row r="615" spans="1:16" ht="15" customHeight="1" x14ac:dyDescent="0.25">
      <c r="A615" s="123">
        <v>45673</v>
      </c>
      <c r="B615" t="s">
        <v>358</v>
      </c>
      <c r="C615" t="s">
        <v>359</v>
      </c>
      <c r="D615" t="s">
        <v>225</v>
      </c>
      <c r="E615" t="s">
        <v>343</v>
      </c>
      <c r="F615" t="s">
        <v>178</v>
      </c>
      <c r="G615" t="s">
        <v>1019</v>
      </c>
      <c r="H615" s="77">
        <v>31</v>
      </c>
      <c r="I615" s="124">
        <v>35</v>
      </c>
      <c r="J615" s="124">
        <v>1085.02</v>
      </c>
      <c r="K615" s="77">
        <v>45</v>
      </c>
      <c r="L615" t="s">
        <v>345</v>
      </c>
      <c r="M615" s="126">
        <v>217.00399999999999</v>
      </c>
      <c r="N615" s="124">
        <v>1085.02</v>
      </c>
      <c r="O615" t="s">
        <v>346</v>
      </c>
      <c r="P615" t="s">
        <v>294</v>
      </c>
    </row>
    <row r="616" spans="1:16" ht="15" customHeight="1" x14ac:dyDescent="0.25">
      <c r="A616" s="123">
        <v>45900</v>
      </c>
      <c r="B616" t="s">
        <v>366</v>
      </c>
      <c r="C616" t="s">
        <v>367</v>
      </c>
      <c r="D616" t="s">
        <v>221</v>
      </c>
      <c r="E616" t="s">
        <v>396</v>
      </c>
      <c r="F616" t="s">
        <v>184</v>
      </c>
      <c r="G616" t="s">
        <v>1020</v>
      </c>
      <c r="H616" s="77">
        <v>76</v>
      </c>
      <c r="I616" s="124">
        <v>287.91000000000003</v>
      </c>
      <c r="J616" s="124">
        <v>21881.24</v>
      </c>
      <c r="K616" s="77">
        <v>60</v>
      </c>
      <c r="L616" t="s">
        <v>345</v>
      </c>
      <c r="M616" s="126">
        <v>4376.2479999999996</v>
      </c>
      <c r="N616" s="124">
        <v>21881.24</v>
      </c>
      <c r="O616" t="s">
        <v>346</v>
      </c>
      <c r="P616" t="s">
        <v>294</v>
      </c>
    </row>
    <row r="617" spans="1:16" ht="15" customHeight="1" x14ac:dyDescent="0.25">
      <c r="A617" s="123">
        <v>46010</v>
      </c>
      <c r="B617" t="s">
        <v>386</v>
      </c>
      <c r="C617" t="s">
        <v>387</v>
      </c>
      <c r="D617" t="s">
        <v>223</v>
      </c>
      <c r="E617" t="s">
        <v>381</v>
      </c>
      <c r="F617" t="s">
        <v>179</v>
      </c>
      <c r="G617" t="s">
        <v>1021</v>
      </c>
      <c r="H617" s="77">
        <v>12</v>
      </c>
      <c r="I617" s="124">
        <v>193.26</v>
      </c>
      <c r="J617" s="124">
        <v>2319.1</v>
      </c>
      <c r="K617" s="77">
        <v>45</v>
      </c>
      <c r="L617" t="s">
        <v>339</v>
      </c>
      <c r="M617" s="126">
        <v>463.82</v>
      </c>
      <c r="N617" s="124">
        <v>2319.1</v>
      </c>
      <c r="O617" t="s">
        <v>346</v>
      </c>
      <c r="P617" t="s">
        <v>294</v>
      </c>
    </row>
    <row r="618" spans="1:16" ht="15" customHeight="1" x14ac:dyDescent="0.25">
      <c r="A618" s="123">
        <v>45950</v>
      </c>
      <c r="B618" t="s">
        <v>401</v>
      </c>
      <c r="C618" t="s">
        <v>402</v>
      </c>
      <c r="D618" t="s">
        <v>221</v>
      </c>
      <c r="E618" t="s">
        <v>349</v>
      </c>
      <c r="F618" t="s">
        <v>177</v>
      </c>
      <c r="G618" t="s">
        <v>1022</v>
      </c>
      <c r="H618" s="77">
        <v>28</v>
      </c>
      <c r="I618" s="124">
        <v>127.44</v>
      </c>
      <c r="J618" s="124">
        <v>3568.37</v>
      </c>
      <c r="K618" s="77">
        <v>30</v>
      </c>
      <c r="L618" t="s">
        <v>351</v>
      </c>
      <c r="M618" s="126">
        <v>713.67399999999998</v>
      </c>
      <c r="N618" s="124">
        <v>3568.37</v>
      </c>
      <c r="O618" t="s">
        <v>340</v>
      </c>
      <c r="P618" t="s">
        <v>294</v>
      </c>
    </row>
    <row r="619" spans="1:16" ht="15" customHeight="1" x14ac:dyDescent="0.25">
      <c r="A619" s="123">
        <v>45991</v>
      </c>
      <c r="B619" t="s">
        <v>366</v>
      </c>
      <c r="C619" t="s">
        <v>367</v>
      </c>
      <c r="D619" t="s">
        <v>221</v>
      </c>
      <c r="E619" t="s">
        <v>360</v>
      </c>
      <c r="F619" t="s">
        <v>180</v>
      </c>
      <c r="G619" t="s">
        <v>1023</v>
      </c>
      <c r="H619" s="77">
        <v>53</v>
      </c>
      <c r="I619" s="124">
        <v>372.65</v>
      </c>
      <c r="J619" s="124">
        <v>19750.310000000001</v>
      </c>
      <c r="K619" s="77">
        <v>60</v>
      </c>
      <c r="L619" t="s">
        <v>339</v>
      </c>
      <c r="M619" s="126">
        <v>3950.0619999999999</v>
      </c>
      <c r="N619" s="124">
        <v>19750.310000000001</v>
      </c>
      <c r="O619" t="s">
        <v>346</v>
      </c>
      <c r="P619" t="s">
        <v>294</v>
      </c>
    </row>
    <row r="620" spans="1:16" ht="15" customHeight="1" x14ac:dyDescent="0.25">
      <c r="A620" s="123">
        <v>45725</v>
      </c>
      <c r="B620" t="s">
        <v>362</v>
      </c>
      <c r="C620" t="s">
        <v>363</v>
      </c>
      <c r="D620" t="s">
        <v>221</v>
      </c>
      <c r="E620" t="s">
        <v>496</v>
      </c>
      <c r="F620" t="s">
        <v>177</v>
      </c>
      <c r="G620" t="s">
        <v>1024</v>
      </c>
      <c r="H620" s="77">
        <v>23</v>
      </c>
      <c r="I620" s="124">
        <v>156.34</v>
      </c>
      <c r="J620" s="124">
        <v>3595.87</v>
      </c>
      <c r="K620" s="77">
        <v>60</v>
      </c>
      <c r="L620" t="s">
        <v>339</v>
      </c>
      <c r="M620" s="126">
        <v>719.17399999999998</v>
      </c>
      <c r="N620" s="124">
        <v>3595.87</v>
      </c>
      <c r="O620" t="s">
        <v>346</v>
      </c>
      <c r="P620" t="s">
        <v>294</v>
      </c>
    </row>
    <row r="621" spans="1:16" ht="15" customHeight="1" x14ac:dyDescent="0.25">
      <c r="A621" s="123">
        <v>45814</v>
      </c>
      <c r="B621" t="s">
        <v>358</v>
      </c>
      <c r="C621" t="s">
        <v>359</v>
      </c>
      <c r="D621" t="s">
        <v>225</v>
      </c>
      <c r="E621" t="s">
        <v>403</v>
      </c>
      <c r="F621" t="s">
        <v>181</v>
      </c>
      <c r="G621" t="s">
        <v>1025</v>
      </c>
      <c r="H621" s="77">
        <v>36</v>
      </c>
      <c r="I621" s="124">
        <v>248.83</v>
      </c>
      <c r="J621" s="124">
        <v>8957.82</v>
      </c>
      <c r="K621" s="77">
        <v>45</v>
      </c>
      <c r="L621" t="s">
        <v>345</v>
      </c>
      <c r="M621" s="126">
        <v>1791.5640000000001</v>
      </c>
      <c r="N621" s="124">
        <v>8957.82</v>
      </c>
      <c r="O621" t="s">
        <v>346</v>
      </c>
      <c r="P621" t="s">
        <v>294</v>
      </c>
    </row>
    <row r="622" spans="1:16" ht="15" customHeight="1" x14ac:dyDescent="0.25">
      <c r="A622" s="123">
        <v>45769</v>
      </c>
      <c r="B622" t="s">
        <v>362</v>
      </c>
      <c r="C622" t="s">
        <v>363</v>
      </c>
      <c r="D622" t="s">
        <v>221</v>
      </c>
      <c r="E622" t="s">
        <v>427</v>
      </c>
      <c r="F622" t="s">
        <v>184</v>
      </c>
      <c r="G622" t="s">
        <v>1026</v>
      </c>
      <c r="H622" s="77">
        <v>60</v>
      </c>
      <c r="I622" s="124">
        <v>48.56</v>
      </c>
      <c r="J622" s="124">
        <v>2913.39</v>
      </c>
      <c r="K622" s="77">
        <v>45</v>
      </c>
      <c r="L622" t="s">
        <v>351</v>
      </c>
      <c r="M622" s="126">
        <v>582.678</v>
      </c>
      <c r="N622" s="124">
        <v>2913.39</v>
      </c>
      <c r="O622" t="s">
        <v>346</v>
      </c>
      <c r="P622" t="s">
        <v>294</v>
      </c>
    </row>
    <row r="623" spans="1:16" ht="15" customHeight="1" x14ac:dyDescent="0.25">
      <c r="A623" s="123">
        <v>45710</v>
      </c>
      <c r="B623" t="s">
        <v>383</v>
      </c>
      <c r="C623" t="s">
        <v>384</v>
      </c>
      <c r="D623" t="s">
        <v>225</v>
      </c>
      <c r="E623" t="s">
        <v>236</v>
      </c>
      <c r="F623" t="s">
        <v>183</v>
      </c>
      <c r="G623" t="s">
        <v>1027</v>
      </c>
      <c r="H623" s="77">
        <v>1</v>
      </c>
      <c r="I623" s="124">
        <v>388.81</v>
      </c>
      <c r="J623" s="124">
        <v>388.81</v>
      </c>
      <c r="K623" s="77">
        <v>60</v>
      </c>
      <c r="L623" t="s">
        <v>351</v>
      </c>
      <c r="M623" s="126">
        <v>77.762</v>
      </c>
      <c r="N623" s="124">
        <v>388.81</v>
      </c>
      <c r="O623" t="s">
        <v>346</v>
      </c>
      <c r="P623" t="s">
        <v>294</v>
      </c>
    </row>
    <row r="624" spans="1:16" ht="15" customHeight="1" x14ac:dyDescent="0.25">
      <c r="A624" s="123">
        <v>46008</v>
      </c>
      <c r="B624" t="s">
        <v>373</v>
      </c>
      <c r="C624" t="s">
        <v>374</v>
      </c>
      <c r="D624" t="s">
        <v>225</v>
      </c>
      <c r="E624" t="s">
        <v>437</v>
      </c>
      <c r="F624" t="s">
        <v>181</v>
      </c>
      <c r="G624" t="s">
        <v>1028</v>
      </c>
      <c r="H624" s="77">
        <v>14</v>
      </c>
      <c r="I624" s="124">
        <v>619.39</v>
      </c>
      <c r="J624" s="124">
        <v>8671.51</v>
      </c>
      <c r="K624" s="77">
        <v>45</v>
      </c>
      <c r="L624" t="s">
        <v>339</v>
      </c>
      <c r="M624" s="126">
        <v>1734.3019999999999</v>
      </c>
      <c r="N624" s="124">
        <v>8671.51</v>
      </c>
      <c r="O624" t="s">
        <v>346</v>
      </c>
      <c r="P624" t="s">
        <v>294</v>
      </c>
    </row>
    <row r="625" spans="1:16" ht="15" customHeight="1" x14ac:dyDescent="0.25">
      <c r="A625" s="123">
        <v>45824</v>
      </c>
      <c r="B625" t="s">
        <v>354</v>
      </c>
      <c r="C625" t="s">
        <v>355</v>
      </c>
      <c r="D625" t="s">
        <v>227</v>
      </c>
      <c r="E625" t="s">
        <v>403</v>
      </c>
      <c r="F625" t="s">
        <v>181</v>
      </c>
      <c r="G625" t="s">
        <v>1029</v>
      </c>
      <c r="H625" s="77">
        <v>36</v>
      </c>
      <c r="I625" s="124">
        <v>461.1</v>
      </c>
      <c r="J625" s="124">
        <v>16599.490000000002</v>
      </c>
      <c r="K625" s="77">
        <v>45</v>
      </c>
      <c r="L625" t="s">
        <v>351</v>
      </c>
      <c r="M625" s="126">
        <v>3319.8980000000001</v>
      </c>
      <c r="N625" s="124">
        <v>16599.490000000002</v>
      </c>
      <c r="O625" t="s">
        <v>346</v>
      </c>
      <c r="P625" t="s">
        <v>294</v>
      </c>
    </row>
    <row r="626" spans="1:16" ht="15" customHeight="1" x14ac:dyDescent="0.25">
      <c r="A626" s="123">
        <v>45734</v>
      </c>
      <c r="B626" t="s">
        <v>341</v>
      </c>
      <c r="C626" t="s">
        <v>342</v>
      </c>
      <c r="D626" t="s">
        <v>223</v>
      </c>
      <c r="E626" t="s">
        <v>356</v>
      </c>
      <c r="F626" t="s">
        <v>181</v>
      </c>
      <c r="G626" t="s">
        <v>1030</v>
      </c>
      <c r="H626" s="77">
        <v>67</v>
      </c>
      <c r="I626" s="124">
        <v>528.41</v>
      </c>
      <c r="J626" s="124">
        <v>35403.74</v>
      </c>
      <c r="K626" s="77">
        <v>30</v>
      </c>
      <c r="L626" t="s">
        <v>339</v>
      </c>
      <c r="M626" s="126">
        <v>7080.7479999999996</v>
      </c>
      <c r="N626" s="124">
        <v>35403.74</v>
      </c>
      <c r="O626" t="s">
        <v>340</v>
      </c>
      <c r="P626" t="s">
        <v>294</v>
      </c>
    </row>
    <row r="627" spans="1:16" ht="15" customHeight="1" x14ac:dyDescent="0.25">
      <c r="A627" s="123">
        <v>45821</v>
      </c>
      <c r="B627" t="s">
        <v>366</v>
      </c>
      <c r="C627" t="s">
        <v>367</v>
      </c>
      <c r="D627" t="s">
        <v>221</v>
      </c>
      <c r="E627" t="s">
        <v>236</v>
      </c>
      <c r="F627" t="s">
        <v>183</v>
      </c>
      <c r="G627" t="s">
        <v>1031</v>
      </c>
      <c r="H627" s="77">
        <v>18</v>
      </c>
      <c r="I627" s="124">
        <v>226.47</v>
      </c>
      <c r="J627" s="124">
        <v>4076.47</v>
      </c>
      <c r="K627" s="77">
        <v>60</v>
      </c>
      <c r="L627" t="s">
        <v>339</v>
      </c>
      <c r="M627" s="126">
        <v>815.29399999999998</v>
      </c>
      <c r="N627" s="124">
        <v>4076.47</v>
      </c>
      <c r="O627" t="s">
        <v>346</v>
      </c>
      <c r="P627" t="s">
        <v>294</v>
      </c>
    </row>
    <row r="628" spans="1:16" ht="15" customHeight="1" x14ac:dyDescent="0.25">
      <c r="A628" s="123">
        <v>45790</v>
      </c>
      <c r="B628" t="s">
        <v>390</v>
      </c>
      <c r="C628" t="s">
        <v>391</v>
      </c>
      <c r="D628" t="s">
        <v>221</v>
      </c>
      <c r="E628" t="s">
        <v>427</v>
      </c>
      <c r="F628" t="s">
        <v>184</v>
      </c>
      <c r="G628" t="s">
        <v>1032</v>
      </c>
      <c r="H628" s="77">
        <v>54</v>
      </c>
      <c r="I628" s="124">
        <v>43.52</v>
      </c>
      <c r="J628" s="124">
        <v>2350.04</v>
      </c>
      <c r="K628" s="77">
        <v>45</v>
      </c>
      <c r="L628" t="s">
        <v>345</v>
      </c>
      <c r="M628" s="126">
        <v>470.00799999999998</v>
      </c>
      <c r="N628" s="124">
        <v>2350.04</v>
      </c>
      <c r="O628" t="s">
        <v>346</v>
      </c>
      <c r="P628" t="s">
        <v>294</v>
      </c>
    </row>
    <row r="629" spans="1:16" ht="15" customHeight="1" x14ac:dyDescent="0.25">
      <c r="A629" s="123">
        <v>46020</v>
      </c>
      <c r="B629" t="s">
        <v>386</v>
      </c>
      <c r="C629" t="s">
        <v>387</v>
      </c>
      <c r="D629" t="s">
        <v>223</v>
      </c>
      <c r="E629" t="s">
        <v>440</v>
      </c>
      <c r="F629" t="s">
        <v>177</v>
      </c>
      <c r="G629" t="s">
        <v>1033</v>
      </c>
      <c r="H629" s="77">
        <v>74</v>
      </c>
      <c r="I629" s="124">
        <v>111.98</v>
      </c>
      <c r="J629" s="124">
        <v>8286.43</v>
      </c>
      <c r="K629" s="77">
        <v>30</v>
      </c>
      <c r="L629" t="s">
        <v>345</v>
      </c>
      <c r="M629" s="126">
        <v>1657.2860000000001</v>
      </c>
      <c r="N629" s="124">
        <v>8286.43</v>
      </c>
      <c r="O629" t="s">
        <v>346</v>
      </c>
      <c r="P629" t="s">
        <v>294</v>
      </c>
    </row>
    <row r="630" spans="1:16" ht="15" customHeight="1" x14ac:dyDescent="0.25">
      <c r="A630" s="123">
        <v>45931</v>
      </c>
      <c r="B630" t="s">
        <v>362</v>
      </c>
      <c r="C630" t="s">
        <v>363</v>
      </c>
      <c r="D630" t="s">
        <v>221</v>
      </c>
      <c r="E630" t="s">
        <v>352</v>
      </c>
      <c r="F630" t="s">
        <v>180</v>
      </c>
      <c r="G630" t="s">
        <v>1034</v>
      </c>
      <c r="H630" s="77">
        <v>61</v>
      </c>
      <c r="I630" s="124">
        <v>257.77999999999997</v>
      </c>
      <c r="J630" s="124">
        <v>15724.63</v>
      </c>
      <c r="K630" s="77">
        <v>60</v>
      </c>
      <c r="L630" t="s">
        <v>345</v>
      </c>
      <c r="M630" s="126">
        <v>3144.9259999999999</v>
      </c>
      <c r="N630" s="124">
        <v>15724.63</v>
      </c>
      <c r="O630" t="s">
        <v>346</v>
      </c>
      <c r="P630" t="s">
        <v>294</v>
      </c>
    </row>
    <row r="631" spans="1:16" ht="15" customHeight="1" x14ac:dyDescent="0.25">
      <c r="A631" s="123">
        <v>45994</v>
      </c>
      <c r="B631" t="s">
        <v>401</v>
      </c>
      <c r="C631" t="s">
        <v>402</v>
      </c>
      <c r="D631" t="s">
        <v>221</v>
      </c>
      <c r="E631" t="s">
        <v>356</v>
      </c>
      <c r="F631" t="s">
        <v>181</v>
      </c>
      <c r="G631" t="s">
        <v>1035</v>
      </c>
      <c r="H631" s="77">
        <v>72</v>
      </c>
      <c r="I631" s="124">
        <v>401.59</v>
      </c>
      <c r="J631" s="124">
        <v>28914.52</v>
      </c>
      <c r="K631" s="77">
        <v>30</v>
      </c>
      <c r="L631" t="s">
        <v>345</v>
      </c>
      <c r="M631" s="126">
        <v>5782.9040000000005</v>
      </c>
      <c r="N631" s="124">
        <v>28914.52</v>
      </c>
      <c r="O631" t="s">
        <v>340</v>
      </c>
      <c r="P631" t="s">
        <v>294</v>
      </c>
    </row>
    <row r="632" spans="1:16" ht="15" customHeight="1" x14ac:dyDescent="0.25">
      <c r="A632" s="123">
        <v>45790</v>
      </c>
      <c r="B632" t="s">
        <v>341</v>
      </c>
      <c r="C632" t="s">
        <v>342</v>
      </c>
      <c r="D632" t="s">
        <v>223</v>
      </c>
      <c r="E632" t="s">
        <v>396</v>
      </c>
      <c r="F632" t="s">
        <v>184</v>
      </c>
      <c r="G632" t="s">
        <v>1036</v>
      </c>
      <c r="H632" s="77">
        <v>72</v>
      </c>
      <c r="I632" s="124">
        <v>29.57</v>
      </c>
      <c r="J632" s="124">
        <v>2128.77</v>
      </c>
      <c r="K632" s="77">
        <v>30</v>
      </c>
      <c r="L632" t="s">
        <v>351</v>
      </c>
      <c r="M632" s="126">
        <v>425.75400000000002</v>
      </c>
      <c r="N632" s="124">
        <v>2128.77</v>
      </c>
      <c r="O632" t="s">
        <v>346</v>
      </c>
      <c r="P632" t="s">
        <v>294</v>
      </c>
    </row>
    <row r="633" spans="1:16" ht="15" customHeight="1" x14ac:dyDescent="0.25">
      <c r="A633" s="123">
        <v>45839</v>
      </c>
      <c r="B633" t="s">
        <v>362</v>
      </c>
      <c r="C633" t="s">
        <v>363</v>
      </c>
      <c r="D633" t="s">
        <v>221</v>
      </c>
      <c r="E633" t="s">
        <v>415</v>
      </c>
      <c r="F633" t="s">
        <v>178</v>
      </c>
      <c r="G633" t="s">
        <v>1037</v>
      </c>
      <c r="H633" s="77">
        <v>29</v>
      </c>
      <c r="I633" s="124">
        <v>150.75</v>
      </c>
      <c r="J633" s="124">
        <v>4371.82</v>
      </c>
      <c r="K633" s="77">
        <v>60</v>
      </c>
      <c r="L633" t="s">
        <v>345</v>
      </c>
      <c r="M633" s="126">
        <v>874.36400000000003</v>
      </c>
      <c r="N633" s="124">
        <v>4371.82</v>
      </c>
      <c r="O633" t="s">
        <v>340</v>
      </c>
      <c r="P633" t="s">
        <v>294</v>
      </c>
    </row>
    <row r="634" spans="1:16" ht="15" customHeight="1" x14ac:dyDescent="0.25">
      <c r="A634" s="123">
        <v>45791</v>
      </c>
      <c r="B634" t="s">
        <v>347</v>
      </c>
      <c r="C634" t="s">
        <v>348</v>
      </c>
      <c r="D634" t="s">
        <v>223</v>
      </c>
      <c r="E634" t="s">
        <v>420</v>
      </c>
      <c r="F634" t="s">
        <v>182</v>
      </c>
      <c r="G634" t="s">
        <v>1038</v>
      </c>
      <c r="H634" s="77">
        <v>75</v>
      </c>
      <c r="I634" s="124">
        <v>87.09</v>
      </c>
      <c r="J634" s="124">
        <v>6531.95</v>
      </c>
      <c r="K634" s="77">
        <v>45</v>
      </c>
      <c r="L634" t="s">
        <v>345</v>
      </c>
      <c r="M634" s="126">
        <v>1306.3900000000001</v>
      </c>
      <c r="N634" s="124">
        <v>6531.95</v>
      </c>
      <c r="O634" t="s">
        <v>346</v>
      </c>
      <c r="P634" t="s">
        <v>294</v>
      </c>
    </row>
    <row r="635" spans="1:16" ht="15" customHeight="1" x14ac:dyDescent="0.25">
      <c r="A635" s="123">
        <v>45982</v>
      </c>
      <c r="B635" t="s">
        <v>390</v>
      </c>
      <c r="C635" t="s">
        <v>391</v>
      </c>
      <c r="D635" t="s">
        <v>221</v>
      </c>
      <c r="E635" t="s">
        <v>396</v>
      </c>
      <c r="F635" t="s">
        <v>184</v>
      </c>
      <c r="G635" t="s">
        <v>1039</v>
      </c>
      <c r="H635" s="77">
        <v>75</v>
      </c>
      <c r="I635" s="124">
        <v>59.31</v>
      </c>
      <c r="J635" s="124">
        <v>4447.92</v>
      </c>
      <c r="K635" s="77">
        <v>60</v>
      </c>
      <c r="L635" t="s">
        <v>351</v>
      </c>
      <c r="M635" s="126">
        <v>889.58399999999995</v>
      </c>
      <c r="N635" s="124">
        <v>4447.92</v>
      </c>
      <c r="O635" t="s">
        <v>346</v>
      </c>
      <c r="P635" t="s">
        <v>294</v>
      </c>
    </row>
    <row r="636" spans="1:16" ht="15" customHeight="1" x14ac:dyDescent="0.25">
      <c r="A636" s="123">
        <v>45914</v>
      </c>
      <c r="B636" t="s">
        <v>488</v>
      </c>
      <c r="C636" t="s">
        <v>489</v>
      </c>
      <c r="D636" t="s">
        <v>225</v>
      </c>
      <c r="E636" t="s">
        <v>396</v>
      </c>
      <c r="F636" t="s">
        <v>184</v>
      </c>
      <c r="G636" t="s">
        <v>1040</v>
      </c>
      <c r="H636" s="77">
        <v>16</v>
      </c>
      <c r="I636" s="124">
        <v>42.98</v>
      </c>
      <c r="J636" s="124">
        <v>687.75</v>
      </c>
      <c r="K636" s="77">
        <v>60</v>
      </c>
      <c r="L636" t="s">
        <v>345</v>
      </c>
      <c r="M636" s="126">
        <v>137.55000000000001</v>
      </c>
      <c r="N636" s="124">
        <v>687.75</v>
      </c>
      <c r="O636" t="s">
        <v>346</v>
      </c>
      <c r="P636" t="s">
        <v>294</v>
      </c>
    </row>
    <row r="637" spans="1:16" ht="15" customHeight="1" x14ac:dyDescent="0.25">
      <c r="A637" s="123">
        <v>45685</v>
      </c>
      <c r="B637" t="s">
        <v>341</v>
      </c>
      <c r="C637" t="s">
        <v>342</v>
      </c>
      <c r="D637" t="s">
        <v>223</v>
      </c>
      <c r="E637" t="s">
        <v>437</v>
      </c>
      <c r="F637" t="s">
        <v>181</v>
      </c>
      <c r="G637" t="s">
        <v>1041</v>
      </c>
      <c r="H637" s="77">
        <v>20</v>
      </c>
      <c r="I637" s="124">
        <v>88.54</v>
      </c>
      <c r="J637" s="124">
        <v>1770.8</v>
      </c>
      <c r="K637" s="77">
        <v>30</v>
      </c>
      <c r="L637" t="s">
        <v>339</v>
      </c>
      <c r="M637" s="126">
        <v>354.16</v>
      </c>
      <c r="N637" s="124">
        <v>1770.8</v>
      </c>
      <c r="O637" t="s">
        <v>346</v>
      </c>
      <c r="P637" t="s">
        <v>294</v>
      </c>
    </row>
    <row r="638" spans="1:16" ht="15" customHeight="1" x14ac:dyDescent="0.25">
      <c r="A638" s="123">
        <v>45892</v>
      </c>
      <c r="B638" t="s">
        <v>362</v>
      </c>
      <c r="C638" t="s">
        <v>363</v>
      </c>
      <c r="D638" t="s">
        <v>221</v>
      </c>
      <c r="E638" t="s">
        <v>236</v>
      </c>
      <c r="F638" t="s">
        <v>183</v>
      </c>
      <c r="G638" t="s">
        <v>1042</v>
      </c>
      <c r="H638" s="77">
        <v>19</v>
      </c>
      <c r="I638" s="124">
        <v>471.79</v>
      </c>
      <c r="J638" s="124">
        <v>8963.94</v>
      </c>
      <c r="K638" s="77">
        <v>45</v>
      </c>
      <c r="L638" t="s">
        <v>351</v>
      </c>
      <c r="M638" s="126">
        <v>1792.788</v>
      </c>
      <c r="N638" s="124">
        <v>8963.94</v>
      </c>
      <c r="O638" t="s">
        <v>346</v>
      </c>
      <c r="P638" t="s">
        <v>294</v>
      </c>
    </row>
    <row r="639" spans="1:16" ht="15" customHeight="1" x14ac:dyDescent="0.25">
      <c r="A639" s="123">
        <v>45828</v>
      </c>
      <c r="B639" t="s">
        <v>362</v>
      </c>
      <c r="C639" t="s">
        <v>363</v>
      </c>
      <c r="D639" t="s">
        <v>221</v>
      </c>
      <c r="E639" t="s">
        <v>368</v>
      </c>
      <c r="F639" t="s">
        <v>178</v>
      </c>
      <c r="G639" t="s">
        <v>1043</v>
      </c>
      <c r="H639" s="77">
        <v>23</v>
      </c>
      <c r="I639" s="124">
        <v>67.67</v>
      </c>
      <c r="J639" s="124">
        <v>1556.52</v>
      </c>
      <c r="K639" s="77">
        <v>45</v>
      </c>
      <c r="L639" t="s">
        <v>351</v>
      </c>
      <c r="M639" s="126">
        <v>311.30399999999997</v>
      </c>
      <c r="N639" s="124">
        <v>1556.52</v>
      </c>
      <c r="O639" t="s">
        <v>346</v>
      </c>
      <c r="P639" t="s">
        <v>294</v>
      </c>
    </row>
    <row r="640" spans="1:16" ht="15" customHeight="1" x14ac:dyDescent="0.25">
      <c r="A640" s="123">
        <v>45798</v>
      </c>
      <c r="B640" t="s">
        <v>431</v>
      </c>
      <c r="C640" t="s">
        <v>432</v>
      </c>
      <c r="D640" t="s">
        <v>221</v>
      </c>
      <c r="E640" t="s">
        <v>496</v>
      </c>
      <c r="F640" t="s">
        <v>177</v>
      </c>
      <c r="G640" t="s">
        <v>1044</v>
      </c>
      <c r="H640" s="77">
        <v>27</v>
      </c>
      <c r="I640" s="124">
        <v>59.03</v>
      </c>
      <c r="J640" s="124">
        <v>1593.76</v>
      </c>
      <c r="K640" s="77">
        <v>30</v>
      </c>
      <c r="L640" t="s">
        <v>351</v>
      </c>
      <c r="M640" s="126">
        <v>318.75200000000001</v>
      </c>
      <c r="N640" s="124">
        <v>1593.76</v>
      </c>
      <c r="O640" t="s">
        <v>346</v>
      </c>
      <c r="P640" t="s">
        <v>294</v>
      </c>
    </row>
    <row r="641" spans="1:16" ht="15" customHeight="1" x14ac:dyDescent="0.25">
      <c r="A641" s="123">
        <v>45724</v>
      </c>
      <c r="B641" t="s">
        <v>383</v>
      </c>
      <c r="C641" t="s">
        <v>384</v>
      </c>
      <c r="D641" t="s">
        <v>225</v>
      </c>
      <c r="E641" t="s">
        <v>396</v>
      </c>
      <c r="F641" t="s">
        <v>184</v>
      </c>
      <c r="G641" t="s">
        <v>1045</v>
      </c>
      <c r="H641" s="77">
        <v>79</v>
      </c>
      <c r="I641" s="124">
        <v>36.79</v>
      </c>
      <c r="J641" s="124">
        <v>2906.32</v>
      </c>
      <c r="K641" s="77">
        <v>45</v>
      </c>
      <c r="L641" t="s">
        <v>351</v>
      </c>
      <c r="M641" s="126">
        <v>581.26400000000001</v>
      </c>
      <c r="N641" s="124">
        <v>2906.32</v>
      </c>
      <c r="O641" t="s">
        <v>346</v>
      </c>
      <c r="P641" t="s">
        <v>294</v>
      </c>
    </row>
    <row r="642" spans="1:16" ht="15" customHeight="1" x14ac:dyDescent="0.25">
      <c r="A642" s="123">
        <v>45902</v>
      </c>
      <c r="B642" t="s">
        <v>383</v>
      </c>
      <c r="C642" t="s">
        <v>384</v>
      </c>
      <c r="D642" t="s">
        <v>225</v>
      </c>
      <c r="E642" t="s">
        <v>234</v>
      </c>
      <c r="F642" t="s">
        <v>183</v>
      </c>
      <c r="G642" t="s">
        <v>1046</v>
      </c>
      <c r="H642" s="77">
        <v>50</v>
      </c>
      <c r="I642" s="124">
        <v>249.41</v>
      </c>
      <c r="J642" s="124">
        <v>12470.53</v>
      </c>
      <c r="K642" s="77">
        <v>30</v>
      </c>
      <c r="L642" t="s">
        <v>339</v>
      </c>
      <c r="M642" s="126">
        <v>2494.1060000000002</v>
      </c>
      <c r="N642" s="124">
        <v>12470.53</v>
      </c>
      <c r="O642" t="s">
        <v>346</v>
      </c>
      <c r="P642" t="s">
        <v>294</v>
      </c>
    </row>
    <row r="643" spans="1:16" ht="15" customHeight="1" x14ac:dyDescent="0.25">
      <c r="A643" s="123">
        <v>45849</v>
      </c>
      <c r="B643" t="s">
        <v>406</v>
      </c>
      <c r="C643" t="s">
        <v>407</v>
      </c>
      <c r="D643" t="s">
        <v>225</v>
      </c>
      <c r="E643" t="s">
        <v>352</v>
      </c>
      <c r="F643" t="s">
        <v>180</v>
      </c>
      <c r="G643" t="s">
        <v>1047</v>
      </c>
      <c r="H643" s="77">
        <v>2</v>
      </c>
      <c r="I643" s="124">
        <v>626.04999999999995</v>
      </c>
      <c r="J643" s="124">
        <v>1252.0899999999999</v>
      </c>
      <c r="K643" s="77">
        <v>45</v>
      </c>
      <c r="L643" t="s">
        <v>351</v>
      </c>
      <c r="M643" s="126">
        <v>250.41800000000001</v>
      </c>
      <c r="N643" s="124">
        <v>1252.0899999999999</v>
      </c>
      <c r="O643" t="s">
        <v>346</v>
      </c>
      <c r="P643" t="s">
        <v>294</v>
      </c>
    </row>
    <row r="644" spans="1:16" ht="15" customHeight="1" x14ac:dyDescent="0.25">
      <c r="A644" s="123">
        <v>45660</v>
      </c>
      <c r="B644" t="s">
        <v>370</v>
      </c>
      <c r="C644" t="s">
        <v>371</v>
      </c>
      <c r="D644" t="s">
        <v>227</v>
      </c>
      <c r="E644" t="s">
        <v>440</v>
      </c>
      <c r="F644" t="s">
        <v>177</v>
      </c>
      <c r="G644" t="s">
        <v>1048</v>
      </c>
      <c r="H644" s="77">
        <v>32</v>
      </c>
      <c r="I644" s="124">
        <v>104.03</v>
      </c>
      <c r="J644" s="124">
        <v>3329.08</v>
      </c>
      <c r="K644" s="77">
        <v>30</v>
      </c>
      <c r="L644" t="s">
        <v>351</v>
      </c>
      <c r="M644" s="126">
        <v>665.81600000000003</v>
      </c>
      <c r="N644" s="124">
        <v>3329.08</v>
      </c>
      <c r="O644" t="s">
        <v>346</v>
      </c>
      <c r="P644" t="s">
        <v>294</v>
      </c>
    </row>
    <row r="645" spans="1:16" ht="15" customHeight="1" x14ac:dyDescent="0.25">
      <c r="A645" s="123">
        <v>45710</v>
      </c>
      <c r="B645" t="s">
        <v>347</v>
      </c>
      <c r="C645" t="s">
        <v>348</v>
      </c>
      <c r="D645" t="s">
        <v>223</v>
      </c>
      <c r="E645" t="s">
        <v>356</v>
      </c>
      <c r="F645" t="s">
        <v>181</v>
      </c>
      <c r="G645" t="s">
        <v>1049</v>
      </c>
      <c r="H645" s="77">
        <v>50</v>
      </c>
      <c r="I645" s="124">
        <v>96.25</v>
      </c>
      <c r="J645" s="124">
        <v>4812.26</v>
      </c>
      <c r="K645" s="77">
        <v>60</v>
      </c>
      <c r="L645" t="s">
        <v>351</v>
      </c>
      <c r="M645" s="126">
        <v>962.452</v>
      </c>
      <c r="N645" s="124">
        <v>4812.26</v>
      </c>
      <c r="O645" t="s">
        <v>340</v>
      </c>
      <c r="P645" t="s">
        <v>294</v>
      </c>
    </row>
    <row r="646" spans="1:16" ht="15" customHeight="1" x14ac:dyDescent="0.25">
      <c r="A646" s="123">
        <v>45681</v>
      </c>
      <c r="B646" t="s">
        <v>335</v>
      </c>
      <c r="C646" t="s">
        <v>336</v>
      </c>
      <c r="D646" t="s">
        <v>223</v>
      </c>
      <c r="E646" t="s">
        <v>442</v>
      </c>
      <c r="F646" t="s">
        <v>179</v>
      </c>
      <c r="G646" t="s">
        <v>1050</v>
      </c>
      <c r="H646" s="77">
        <v>39</v>
      </c>
      <c r="I646" s="124">
        <v>157.24</v>
      </c>
      <c r="J646" s="124">
        <v>6132.51</v>
      </c>
      <c r="K646" s="77">
        <v>45</v>
      </c>
      <c r="L646" t="s">
        <v>345</v>
      </c>
      <c r="M646" s="126">
        <v>1226.502</v>
      </c>
      <c r="N646" s="124">
        <v>6132.51</v>
      </c>
      <c r="O646" t="s">
        <v>340</v>
      </c>
      <c r="P646" t="s">
        <v>294</v>
      </c>
    </row>
    <row r="647" spans="1:16" ht="15" customHeight="1" x14ac:dyDescent="0.25">
      <c r="A647" s="123">
        <v>46009</v>
      </c>
      <c r="B647" t="s">
        <v>386</v>
      </c>
      <c r="C647" t="s">
        <v>387</v>
      </c>
      <c r="D647" t="s">
        <v>223</v>
      </c>
      <c r="E647" t="s">
        <v>420</v>
      </c>
      <c r="F647" t="s">
        <v>182</v>
      </c>
      <c r="G647" t="s">
        <v>1051</v>
      </c>
      <c r="H647" s="77">
        <v>18</v>
      </c>
      <c r="I647" s="124">
        <v>81.77</v>
      </c>
      <c r="J647" s="124">
        <v>1471.81</v>
      </c>
      <c r="K647" s="77">
        <v>45</v>
      </c>
      <c r="L647" t="s">
        <v>345</v>
      </c>
      <c r="M647" s="126">
        <v>294.36200000000002</v>
      </c>
      <c r="N647" s="124">
        <v>1471.81</v>
      </c>
      <c r="O647" t="s">
        <v>346</v>
      </c>
      <c r="P647" t="s">
        <v>294</v>
      </c>
    </row>
    <row r="648" spans="1:16" ht="15" customHeight="1" x14ac:dyDescent="0.25">
      <c r="A648" s="123">
        <v>45864</v>
      </c>
      <c r="B648" t="s">
        <v>335</v>
      </c>
      <c r="C648" t="s">
        <v>336</v>
      </c>
      <c r="D648" t="s">
        <v>223</v>
      </c>
      <c r="E648" t="s">
        <v>423</v>
      </c>
      <c r="F648" t="s">
        <v>180</v>
      </c>
      <c r="G648" t="s">
        <v>1052</v>
      </c>
      <c r="H648" s="77">
        <v>3</v>
      </c>
      <c r="I648" s="124">
        <v>56.72</v>
      </c>
      <c r="J648" s="124">
        <v>170.17</v>
      </c>
      <c r="K648" s="77">
        <v>30</v>
      </c>
      <c r="L648" t="s">
        <v>339</v>
      </c>
      <c r="M648" s="126">
        <v>34.033999999999999</v>
      </c>
      <c r="N648" s="124">
        <v>170.17</v>
      </c>
      <c r="O648" t="s">
        <v>346</v>
      </c>
      <c r="P648" t="s">
        <v>294</v>
      </c>
    </row>
    <row r="649" spans="1:16" ht="15" customHeight="1" x14ac:dyDescent="0.25">
      <c r="A649" s="123">
        <v>45669</v>
      </c>
      <c r="B649" t="s">
        <v>378</v>
      </c>
      <c r="C649" t="s">
        <v>379</v>
      </c>
      <c r="D649" t="s">
        <v>227</v>
      </c>
      <c r="E649" t="s">
        <v>442</v>
      </c>
      <c r="F649" t="s">
        <v>179</v>
      </c>
      <c r="G649" t="s">
        <v>1053</v>
      </c>
      <c r="H649" s="77">
        <v>76</v>
      </c>
      <c r="I649" s="124">
        <v>174.7</v>
      </c>
      <c r="J649" s="124">
        <v>13277.52</v>
      </c>
      <c r="K649" s="77">
        <v>60</v>
      </c>
      <c r="L649" t="s">
        <v>339</v>
      </c>
      <c r="M649" s="126">
        <v>2655.5039999999999</v>
      </c>
      <c r="N649" s="124">
        <v>13277.52</v>
      </c>
      <c r="O649" t="s">
        <v>340</v>
      </c>
      <c r="P649" t="s">
        <v>294</v>
      </c>
    </row>
    <row r="650" spans="1:16" ht="15" customHeight="1" x14ac:dyDescent="0.25">
      <c r="A650" s="123">
        <v>45991</v>
      </c>
      <c r="B650" t="s">
        <v>335</v>
      </c>
      <c r="C650" t="s">
        <v>336</v>
      </c>
      <c r="D650" t="s">
        <v>223</v>
      </c>
      <c r="E650" t="s">
        <v>364</v>
      </c>
      <c r="F650" t="s">
        <v>182</v>
      </c>
      <c r="G650" t="s">
        <v>1054</v>
      </c>
      <c r="H650" s="77">
        <v>5</v>
      </c>
      <c r="I650" s="124">
        <v>83.67</v>
      </c>
      <c r="J650" s="124">
        <v>418.34</v>
      </c>
      <c r="K650" s="77">
        <v>45</v>
      </c>
      <c r="L650" t="s">
        <v>351</v>
      </c>
      <c r="M650" s="126">
        <v>83.668000000000006</v>
      </c>
      <c r="N650" s="124">
        <v>418.34</v>
      </c>
      <c r="O650" t="s">
        <v>346</v>
      </c>
      <c r="P650" t="s">
        <v>294</v>
      </c>
    </row>
    <row r="651" spans="1:16" ht="15" customHeight="1" x14ac:dyDescent="0.25">
      <c r="A651" s="123">
        <v>45682</v>
      </c>
      <c r="B651" t="s">
        <v>335</v>
      </c>
      <c r="C651" t="s">
        <v>336</v>
      </c>
      <c r="D651" t="s">
        <v>223</v>
      </c>
      <c r="E651" t="s">
        <v>440</v>
      </c>
      <c r="F651" t="s">
        <v>177</v>
      </c>
      <c r="G651" t="s">
        <v>1055</v>
      </c>
      <c r="H651" s="77">
        <v>14</v>
      </c>
      <c r="I651" s="124">
        <v>175.99</v>
      </c>
      <c r="J651" s="124">
        <v>2463.81</v>
      </c>
      <c r="K651" s="77">
        <v>60</v>
      </c>
      <c r="L651" t="s">
        <v>339</v>
      </c>
      <c r="M651" s="126">
        <v>492.762</v>
      </c>
      <c r="N651" s="124">
        <v>2463.81</v>
      </c>
      <c r="O651" t="s">
        <v>346</v>
      </c>
      <c r="P651" t="s">
        <v>294</v>
      </c>
    </row>
    <row r="652" spans="1:16" ht="15" customHeight="1" x14ac:dyDescent="0.25">
      <c r="A652" s="123">
        <v>45885</v>
      </c>
      <c r="B652" t="s">
        <v>386</v>
      </c>
      <c r="C652" t="s">
        <v>387</v>
      </c>
      <c r="D652" t="s">
        <v>223</v>
      </c>
      <c r="E652" t="s">
        <v>368</v>
      </c>
      <c r="F652" t="s">
        <v>178</v>
      </c>
      <c r="G652" t="s">
        <v>1056</v>
      </c>
      <c r="H652" s="77">
        <v>49</v>
      </c>
      <c r="I652" s="124">
        <v>179.7</v>
      </c>
      <c r="J652" s="124">
        <v>8805.51</v>
      </c>
      <c r="K652" s="77">
        <v>30</v>
      </c>
      <c r="L652" t="s">
        <v>351</v>
      </c>
      <c r="M652" s="126">
        <v>1761.1020000000001</v>
      </c>
      <c r="N652" s="124">
        <v>8805.51</v>
      </c>
      <c r="O652" t="s">
        <v>346</v>
      </c>
      <c r="P652" t="s">
        <v>294</v>
      </c>
    </row>
    <row r="653" spans="1:16" ht="15" customHeight="1" x14ac:dyDescent="0.25">
      <c r="A653" s="123">
        <v>45736</v>
      </c>
      <c r="B653" t="s">
        <v>383</v>
      </c>
      <c r="C653" t="s">
        <v>384</v>
      </c>
      <c r="D653" t="s">
        <v>225</v>
      </c>
      <c r="E653" t="s">
        <v>417</v>
      </c>
      <c r="F653" t="s">
        <v>184</v>
      </c>
      <c r="G653" t="s">
        <v>1057</v>
      </c>
      <c r="H653" s="77">
        <v>27</v>
      </c>
      <c r="I653" s="124">
        <v>139.37</v>
      </c>
      <c r="J653" s="124">
        <v>3762.86</v>
      </c>
      <c r="K653" s="77">
        <v>60</v>
      </c>
      <c r="L653" t="s">
        <v>351</v>
      </c>
      <c r="M653" s="126">
        <v>752.572</v>
      </c>
      <c r="N653" s="124">
        <v>3762.86</v>
      </c>
      <c r="O653" t="s">
        <v>346</v>
      </c>
      <c r="P653" t="s">
        <v>294</v>
      </c>
    </row>
    <row r="654" spans="1:16" ht="15" customHeight="1" x14ac:dyDescent="0.25">
      <c r="A654" s="123">
        <v>45873</v>
      </c>
      <c r="B654" t="s">
        <v>409</v>
      </c>
      <c r="C654" t="s">
        <v>410</v>
      </c>
      <c r="D654" t="s">
        <v>223</v>
      </c>
      <c r="E654" t="s">
        <v>496</v>
      </c>
      <c r="F654" t="s">
        <v>177</v>
      </c>
      <c r="G654" t="s">
        <v>1058</v>
      </c>
      <c r="H654" s="77">
        <v>13</v>
      </c>
      <c r="I654" s="124">
        <v>103.5</v>
      </c>
      <c r="J654" s="124">
        <v>1345.54</v>
      </c>
      <c r="K654" s="77">
        <v>60</v>
      </c>
      <c r="L654" t="s">
        <v>351</v>
      </c>
      <c r="M654" s="126">
        <v>269.108</v>
      </c>
      <c r="N654" s="124">
        <v>1345.54</v>
      </c>
      <c r="O654" t="s">
        <v>346</v>
      </c>
      <c r="P654" t="s">
        <v>294</v>
      </c>
    </row>
    <row r="655" spans="1:16" ht="15" customHeight="1" x14ac:dyDescent="0.25">
      <c r="A655" s="123">
        <v>45711</v>
      </c>
      <c r="B655" t="s">
        <v>370</v>
      </c>
      <c r="C655" t="s">
        <v>371</v>
      </c>
      <c r="D655" t="s">
        <v>227</v>
      </c>
      <c r="E655" t="s">
        <v>381</v>
      </c>
      <c r="F655" t="s">
        <v>179</v>
      </c>
      <c r="G655" t="s">
        <v>1059</v>
      </c>
      <c r="H655" s="77">
        <v>66</v>
      </c>
      <c r="I655" s="124">
        <v>97.94</v>
      </c>
      <c r="J655" s="124">
        <v>6464.12</v>
      </c>
      <c r="K655" s="77">
        <v>60</v>
      </c>
      <c r="L655" t="s">
        <v>351</v>
      </c>
      <c r="M655" s="126">
        <v>1292.8240000000001</v>
      </c>
      <c r="N655" s="124">
        <v>6464.12</v>
      </c>
      <c r="O655" t="s">
        <v>346</v>
      </c>
      <c r="P655" t="s">
        <v>294</v>
      </c>
    </row>
    <row r="656" spans="1:16" ht="15" customHeight="1" x14ac:dyDescent="0.25">
      <c r="A656" s="123">
        <v>45712</v>
      </c>
      <c r="B656" t="s">
        <v>406</v>
      </c>
      <c r="C656" t="s">
        <v>407</v>
      </c>
      <c r="D656" t="s">
        <v>225</v>
      </c>
      <c r="E656" t="s">
        <v>356</v>
      </c>
      <c r="F656" t="s">
        <v>181</v>
      </c>
      <c r="G656" t="s">
        <v>1060</v>
      </c>
      <c r="H656" s="77">
        <v>64</v>
      </c>
      <c r="I656" s="124">
        <v>905.94</v>
      </c>
      <c r="J656" s="124">
        <v>57980.3</v>
      </c>
      <c r="K656" s="77">
        <v>30</v>
      </c>
      <c r="L656" t="s">
        <v>351</v>
      </c>
      <c r="M656" s="126">
        <v>11596.06</v>
      </c>
      <c r="N656" s="124">
        <v>57980.3</v>
      </c>
      <c r="O656" t="s">
        <v>340</v>
      </c>
      <c r="P656" t="s">
        <v>294</v>
      </c>
    </row>
    <row r="657" spans="1:16" ht="15" customHeight="1" x14ac:dyDescent="0.25">
      <c r="A657" s="123">
        <v>45761</v>
      </c>
      <c r="B657" t="s">
        <v>354</v>
      </c>
      <c r="C657" t="s">
        <v>355</v>
      </c>
      <c r="D657" t="s">
        <v>227</v>
      </c>
      <c r="E657" t="s">
        <v>403</v>
      </c>
      <c r="F657" t="s">
        <v>181</v>
      </c>
      <c r="G657" t="s">
        <v>1061</v>
      </c>
      <c r="H657" s="77">
        <v>46</v>
      </c>
      <c r="I657" s="124">
        <v>227.28</v>
      </c>
      <c r="J657" s="124">
        <v>10455.040000000001</v>
      </c>
      <c r="K657" s="77">
        <v>60</v>
      </c>
      <c r="L657" t="s">
        <v>345</v>
      </c>
      <c r="M657" s="126">
        <v>2091.0079999999998</v>
      </c>
      <c r="N657" s="124">
        <v>10455.040000000001</v>
      </c>
      <c r="O657" t="s">
        <v>346</v>
      </c>
      <c r="P657" t="s">
        <v>294</v>
      </c>
    </row>
    <row r="658" spans="1:16" ht="15" customHeight="1" x14ac:dyDescent="0.25">
      <c r="A658" s="123">
        <v>45938</v>
      </c>
      <c r="B658" t="s">
        <v>366</v>
      </c>
      <c r="C658" t="s">
        <v>367</v>
      </c>
      <c r="D658" t="s">
        <v>221</v>
      </c>
      <c r="E658" t="s">
        <v>442</v>
      </c>
      <c r="F658" t="s">
        <v>179</v>
      </c>
      <c r="G658" t="s">
        <v>1062</v>
      </c>
      <c r="H658" s="77">
        <v>64</v>
      </c>
      <c r="I658" s="124">
        <v>181.38</v>
      </c>
      <c r="J658" s="124">
        <v>11608.59</v>
      </c>
      <c r="K658" s="77">
        <v>30</v>
      </c>
      <c r="L658" t="s">
        <v>351</v>
      </c>
      <c r="M658" s="126">
        <v>2321.7179999999998</v>
      </c>
      <c r="N658" s="124">
        <v>11608.59</v>
      </c>
      <c r="O658" t="s">
        <v>340</v>
      </c>
      <c r="P658" t="s">
        <v>294</v>
      </c>
    </row>
    <row r="659" spans="1:16" ht="15" customHeight="1" x14ac:dyDescent="0.25">
      <c r="A659" s="123">
        <v>45659</v>
      </c>
      <c r="B659" t="s">
        <v>335</v>
      </c>
      <c r="C659" t="s">
        <v>336</v>
      </c>
      <c r="D659" t="s">
        <v>223</v>
      </c>
      <c r="E659" t="s">
        <v>376</v>
      </c>
      <c r="F659" t="s">
        <v>182</v>
      </c>
      <c r="G659" t="s">
        <v>1063</v>
      </c>
      <c r="H659" s="77">
        <v>2</v>
      </c>
      <c r="I659" s="124">
        <v>93.75</v>
      </c>
      <c r="J659" s="124">
        <v>187.5</v>
      </c>
      <c r="K659" s="77">
        <v>60</v>
      </c>
      <c r="L659" t="s">
        <v>339</v>
      </c>
      <c r="M659" s="126">
        <v>37.5</v>
      </c>
      <c r="N659" s="124">
        <v>187.5</v>
      </c>
      <c r="O659" t="s">
        <v>340</v>
      </c>
      <c r="P659" t="s">
        <v>294</v>
      </c>
    </row>
    <row r="660" spans="1:16" ht="15" customHeight="1" x14ac:dyDescent="0.25">
      <c r="A660" s="123">
        <v>45704</v>
      </c>
      <c r="B660" t="s">
        <v>386</v>
      </c>
      <c r="C660" t="s">
        <v>387</v>
      </c>
      <c r="D660" t="s">
        <v>223</v>
      </c>
      <c r="E660" t="s">
        <v>396</v>
      </c>
      <c r="F660" t="s">
        <v>184</v>
      </c>
      <c r="G660" t="s">
        <v>1064</v>
      </c>
      <c r="H660" s="77">
        <v>66</v>
      </c>
      <c r="I660" s="124">
        <v>83.63</v>
      </c>
      <c r="J660" s="124">
        <v>5519.76</v>
      </c>
      <c r="K660" s="77">
        <v>30</v>
      </c>
      <c r="L660" t="s">
        <v>351</v>
      </c>
      <c r="M660" s="126">
        <v>1103.952</v>
      </c>
      <c r="N660" s="124">
        <v>5519.76</v>
      </c>
      <c r="O660" t="s">
        <v>346</v>
      </c>
      <c r="P660" t="s">
        <v>294</v>
      </c>
    </row>
    <row r="661" spans="1:16" ht="15" customHeight="1" x14ac:dyDescent="0.25">
      <c r="A661" s="123">
        <v>45987</v>
      </c>
      <c r="B661" t="s">
        <v>390</v>
      </c>
      <c r="C661" t="s">
        <v>391</v>
      </c>
      <c r="D661" t="s">
        <v>221</v>
      </c>
      <c r="E661" t="s">
        <v>368</v>
      </c>
      <c r="F661" t="s">
        <v>178</v>
      </c>
      <c r="G661" t="s">
        <v>1065</v>
      </c>
      <c r="H661" s="77">
        <v>30</v>
      </c>
      <c r="I661" s="124">
        <v>60.04</v>
      </c>
      <c r="J661" s="124">
        <v>1801.16</v>
      </c>
      <c r="K661" s="77">
        <v>45</v>
      </c>
      <c r="L661" t="s">
        <v>345</v>
      </c>
      <c r="M661" s="126">
        <v>360.23200000000003</v>
      </c>
      <c r="N661" s="124">
        <v>1801.16</v>
      </c>
      <c r="O661" t="s">
        <v>346</v>
      </c>
      <c r="P661" t="s">
        <v>294</v>
      </c>
    </row>
    <row r="662" spans="1:16" ht="15" customHeight="1" x14ac:dyDescent="0.25">
      <c r="A662" s="123">
        <v>45709</v>
      </c>
      <c r="B662" t="s">
        <v>358</v>
      </c>
      <c r="C662" t="s">
        <v>359</v>
      </c>
      <c r="D662" t="s">
        <v>225</v>
      </c>
      <c r="E662" t="s">
        <v>396</v>
      </c>
      <c r="F662" t="s">
        <v>184</v>
      </c>
      <c r="G662" t="s">
        <v>1066</v>
      </c>
      <c r="H662" s="77">
        <v>23</v>
      </c>
      <c r="I662" s="124">
        <v>54.71</v>
      </c>
      <c r="J662" s="124">
        <v>1258.24</v>
      </c>
      <c r="K662" s="77">
        <v>30</v>
      </c>
      <c r="L662" t="s">
        <v>345</v>
      </c>
      <c r="M662" s="126">
        <v>251.648</v>
      </c>
      <c r="N662" s="124">
        <v>1258.24</v>
      </c>
      <c r="O662" t="s">
        <v>346</v>
      </c>
      <c r="P662" t="s">
        <v>294</v>
      </c>
    </row>
    <row r="663" spans="1:16" ht="15" customHeight="1" x14ac:dyDescent="0.25">
      <c r="A663" s="123">
        <v>45717</v>
      </c>
      <c r="B663" t="s">
        <v>406</v>
      </c>
      <c r="C663" t="s">
        <v>407</v>
      </c>
      <c r="D663" t="s">
        <v>225</v>
      </c>
      <c r="E663" t="s">
        <v>420</v>
      </c>
      <c r="F663" t="s">
        <v>182</v>
      </c>
      <c r="G663" t="s">
        <v>1067</v>
      </c>
      <c r="H663" s="77">
        <v>13</v>
      </c>
      <c r="I663" s="124">
        <v>70.319999999999993</v>
      </c>
      <c r="J663" s="124">
        <v>914.2</v>
      </c>
      <c r="K663" s="77">
        <v>30</v>
      </c>
      <c r="L663" t="s">
        <v>339</v>
      </c>
      <c r="M663" s="126">
        <v>182.84</v>
      </c>
      <c r="N663" s="124">
        <v>914.2</v>
      </c>
      <c r="O663" t="s">
        <v>346</v>
      </c>
      <c r="P663" t="s">
        <v>294</v>
      </c>
    </row>
    <row r="664" spans="1:16" ht="15" customHeight="1" x14ac:dyDescent="0.25">
      <c r="A664" s="123">
        <v>45841</v>
      </c>
      <c r="B664" t="s">
        <v>398</v>
      </c>
      <c r="C664" t="s">
        <v>399</v>
      </c>
      <c r="D664" t="s">
        <v>227</v>
      </c>
      <c r="E664" t="s">
        <v>381</v>
      </c>
      <c r="F664" t="s">
        <v>179</v>
      </c>
      <c r="G664" t="s">
        <v>1068</v>
      </c>
      <c r="H664" s="77">
        <v>57</v>
      </c>
      <c r="I664" s="124">
        <v>176.79</v>
      </c>
      <c r="J664" s="124">
        <v>10076.83</v>
      </c>
      <c r="K664" s="77">
        <v>60</v>
      </c>
      <c r="L664" t="s">
        <v>345</v>
      </c>
      <c r="M664" s="126">
        <v>2015.366</v>
      </c>
      <c r="N664" s="124">
        <v>10076.83</v>
      </c>
      <c r="O664" t="s">
        <v>346</v>
      </c>
      <c r="P664" t="s">
        <v>294</v>
      </c>
    </row>
    <row r="665" spans="1:16" ht="15" customHeight="1" x14ac:dyDescent="0.25">
      <c r="A665" s="123">
        <v>45833</v>
      </c>
      <c r="B665" t="s">
        <v>406</v>
      </c>
      <c r="C665" t="s">
        <v>407</v>
      </c>
      <c r="D665" t="s">
        <v>225</v>
      </c>
      <c r="E665" t="s">
        <v>368</v>
      </c>
      <c r="F665" t="s">
        <v>178</v>
      </c>
      <c r="G665" t="s">
        <v>1069</v>
      </c>
      <c r="H665" s="77">
        <v>24</v>
      </c>
      <c r="I665" s="124">
        <v>48.21</v>
      </c>
      <c r="J665" s="124">
        <v>1156.97</v>
      </c>
      <c r="K665" s="77">
        <v>30</v>
      </c>
      <c r="L665" t="s">
        <v>345</v>
      </c>
      <c r="M665" s="126">
        <v>231.39400000000001</v>
      </c>
      <c r="N665" s="124">
        <v>1156.97</v>
      </c>
      <c r="O665" t="s">
        <v>346</v>
      </c>
      <c r="P665" t="s">
        <v>294</v>
      </c>
    </row>
    <row r="666" spans="1:16" ht="15" customHeight="1" x14ac:dyDescent="0.25">
      <c r="A666" s="123">
        <v>45855</v>
      </c>
      <c r="B666" t="s">
        <v>406</v>
      </c>
      <c r="C666" t="s">
        <v>407</v>
      </c>
      <c r="D666" t="s">
        <v>225</v>
      </c>
      <c r="E666" t="s">
        <v>427</v>
      </c>
      <c r="F666" t="s">
        <v>184</v>
      </c>
      <c r="G666" t="s">
        <v>1070</v>
      </c>
      <c r="H666" s="77">
        <v>62</v>
      </c>
      <c r="I666" s="124">
        <v>50.67</v>
      </c>
      <c r="J666" s="124">
        <v>3141.82</v>
      </c>
      <c r="K666" s="77">
        <v>45</v>
      </c>
      <c r="L666" t="s">
        <v>351</v>
      </c>
      <c r="M666" s="126">
        <v>628.36400000000003</v>
      </c>
      <c r="N666" s="124">
        <v>3141.82</v>
      </c>
      <c r="O666" t="s">
        <v>346</v>
      </c>
      <c r="P666" t="s">
        <v>294</v>
      </c>
    </row>
    <row r="667" spans="1:16" ht="15" customHeight="1" x14ac:dyDescent="0.25">
      <c r="A667" s="123">
        <v>46014</v>
      </c>
      <c r="B667" t="s">
        <v>347</v>
      </c>
      <c r="C667" t="s">
        <v>348</v>
      </c>
      <c r="D667" t="s">
        <v>223</v>
      </c>
      <c r="E667" t="s">
        <v>415</v>
      </c>
      <c r="F667" t="s">
        <v>178</v>
      </c>
      <c r="G667" t="s">
        <v>1071</v>
      </c>
      <c r="H667" s="77">
        <v>8</v>
      </c>
      <c r="I667" s="124">
        <v>68.92</v>
      </c>
      <c r="J667" s="124">
        <v>551.35</v>
      </c>
      <c r="K667" s="77">
        <v>30</v>
      </c>
      <c r="L667" t="s">
        <v>339</v>
      </c>
      <c r="M667" s="126">
        <v>110.27</v>
      </c>
      <c r="N667" s="124">
        <v>551.35</v>
      </c>
      <c r="O667" t="s">
        <v>340</v>
      </c>
      <c r="P667" t="s">
        <v>294</v>
      </c>
    </row>
    <row r="668" spans="1:16" ht="15" customHeight="1" x14ac:dyDescent="0.25">
      <c r="A668" s="123">
        <v>46005</v>
      </c>
      <c r="B668" t="s">
        <v>347</v>
      </c>
      <c r="C668" t="s">
        <v>348</v>
      </c>
      <c r="D668" t="s">
        <v>223</v>
      </c>
      <c r="E668" t="s">
        <v>417</v>
      </c>
      <c r="F668" t="s">
        <v>184</v>
      </c>
      <c r="G668" t="s">
        <v>1072</v>
      </c>
      <c r="H668" s="77">
        <v>57</v>
      </c>
      <c r="I668" s="124">
        <v>65.19</v>
      </c>
      <c r="J668" s="124">
        <v>3715.62</v>
      </c>
      <c r="K668" s="77">
        <v>30</v>
      </c>
      <c r="L668" t="s">
        <v>351</v>
      </c>
      <c r="M668" s="126">
        <v>743.12400000000002</v>
      </c>
      <c r="N668" s="124">
        <v>3715.62</v>
      </c>
      <c r="O668" t="s">
        <v>346</v>
      </c>
      <c r="P668" t="s">
        <v>294</v>
      </c>
    </row>
    <row r="669" spans="1:16" ht="15" customHeight="1" x14ac:dyDescent="0.25">
      <c r="A669" s="123">
        <v>45672</v>
      </c>
      <c r="B669" t="s">
        <v>358</v>
      </c>
      <c r="C669" t="s">
        <v>359</v>
      </c>
      <c r="D669" t="s">
        <v>225</v>
      </c>
      <c r="E669" t="s">
        <v>364</v>
      </c>
      <c r="F669" t="s">
        <v>182</v>
      </c>
      <c r="G669" t="s">
        <v>1073</v>
      </c>
      <c r="H669" s="77">
        <v>17</v>
      </c>
      <c r="I669" s="124">
        <v>217.26</v>
      </c>
      <c r="J669" s="124">
        <v>3693.34</v>
      </c>
      <c r="K669" s="77">
        <v>45</v>
      </c>
      <c r="L669" t="s">
        <v>345</v>
      </c>
      <c r="M669" s="126">
        <v>738.66800000000001</v>
      </c>
      <c r="N669" s="124">
        <v>3693.34</v>
      </c>
      <c r="O669" t="s">
        <v>346</v>
      </c>
      <c r="P669" t="s">
        <v>294</v>
      </c>
    </row>
    <row r="670" spans="1:16" ht="15" customHeight="1" x14ac:dyDescent="0.25">
      <c r="A670" s="123">
        <v>45681</v>
      </c>
      <c r="B670" t="s">
        <v>431</v>
      </c>
      <c r="C670" t="s">
        <v>432</v>
      </c>
      <c r="D670" t="s">
        <v>221</v>
      </c>
      <c r="E670" t="s">
        <v>234</v>
      </c>
      <c r="F670" t="s">
        <v>183</v>
      </c>
      <c r="G670" t="s">
        <v>1074</v>
      </c>
      <c r="H670" s="77">
        <v>9</v>
      </c>
      <c r="I670" s="124">
        <v>69.81</v>
      </c>
      <c r="J670" s="124">
        <v>628.27</v>
      </c>
      <c r="K670" s="77">
        <v>45</v>
      </c>
      <c r="L670" t="s">
        <v>351</v>
      </c>
      <c r="M670" s="126">
        <v>125.654</v>
      </c>
      <c r="N670" s="124">
        <v>628.27</v>
      </c>
      <c r="O670" t="s">
        <v>346</v>
      </c>
      <c r="P670" t="s">
        <v>294</v>
      </c>
    </row>
    <row r="671" spans="1:16" ht="15" customHeight="1" x14ac:dyDescent="0.25">
      <c r="A671" s="123">
        <v>46005</v>
      </c>
      <c r="B671" t="s">
        <v>393</v>
      </c>
      <c r="C671" t="s">
        <v>394</v>
      </c>
      <c r="D671" t="s">
        <v>227</v>
      </c>
      <c r="E671" t="s">
        <v>440</v>
      </c>
      <c r="F671" t="s">
        <v>177</v>
      </c>
      <c r="G671" t="s">
        <v>1075</v>
      </c>
      <c r="H671" s="77">
        <v>68</v>
      </c>
      <c r="I671" s="124">
        <v>218.73</v>
      </c>
      <c r="J671" s="124">
        <v>14873.38</v>
      </c>
      <c r="K671" s="77">
        <v>60</v>
      </c>
      <c r="L671" t="s">
        <v>351</v>
      </c>
      <c r="M671" s="126">
        <v>2974.6759999999999</v>
      </c>
      <c r="N671" s="124">
        <v>14873.38</v>
      </c>
      <c r="O671" t="s">
        <v>346</v>
      </c>
      <c r="P671" t="s">
        <v>294</v>
      </c>
    </row>
    <row r="672" spans="1:16" ht="15" customHeight="1" x14ac:dyDescent="0.25">
      <c r="A672" s="123">
        <v>45831</v>
      </c>
      <c r="B672" t="s">
        <v>398</v>
      </c>
      <c r="C672" t="s">
        <v>399</v>
      </c>
      <c r="D672" t="s">
        <v>227</v>
      </c>
      <c r="E672" t="s">
        <v>352</v>
      </c>
      <c r="F672" t="s">
        <v>180</v>
      </c>
      <c r="G672" t="s">
        <v>1076</v>
      </c>
      <c r="H672" s="77">
        <v>67</v>
      </c>
      <c r="I672" s="124">
        <v>496.12</v>
      </c>
      <c r="J672" s="124">
        <v>33239.71</v>
      </c>
      <c r="K672" s="77">
        <v>60</v>
      </c>
      <c r="L672" t="s">
        <v>351</v>
      </c>
      <c r="M672" s="126">
        <v>6647.942</v>
      </c>
      <c r="N672" s="124">
        <v>33239.71</v>
      </c>
      <c r="O672" t="s">
        <v>346</v>
      </c>
      <c r="P672" t="s">
        <v>294</v>
      </c>
    </row>
    <row r="673" spans="1:16" ht="15" customHeight="1" x14ac:dyDescent="0.25">
      <c r="A673" s="123">
        <v>45996</v>
      </c>
      <c r="B673" t="s">
        <v>393</v>
      </c>
      <c r="C673" t="s">
        <v>394</v>
      </c>
      <c r="D673" t="s">
        <v>227</v>
      </c>
      <c r="E673" t="s">
        <v>368</v>
      </c>
      <c r="F673" t="s">
        <v>178</v>
      </c>
      <c r="G673" t="s">
        <v>1077</v>
      </c>
      <c r="H673" s="77">
        <v>32</v>
      </c>
      <c r="I673" s="124">
        <v>20.78</v>
      </c>
      <c r="J673" s="124">
        <v>664.98</v>
      </c>
      <c r="K673" s="77">
        <v>45</v>
      </c>
      <c r="L673" t="s">
        <v>345</v>
      </c>
      <c r="M673" s="126">
        <v>132.99600000000001</v>
      </c>
      <c r="N673" s="124">
        <v>664.98</v>
      </c>
      <c r="O673" t="s">
        <v>346</v>
      </c>
      <c r="P673" t="s">
        <v>294</v>
      </c>
    </row>
    <row r="674" spans="1:16" ht="15" customHeight="1" x14ac:dyDescent="0.25">
      <c r="A674" s="123">
        <v>45943</v>
      </c>
      <c r="B674" t="s">
        <v>393</v>
      </c>
      <c r="C674" t="s">
        <v>394</v>
      </c>
      <c r="D674" t="s">
        <v>227</v>
      </c>
      <c r="E674" t="s">
        <v>235</v>
      </c>
      <c r="F674" t="s">
        <v>183</v>
      </c>
      <c r="G674" t="s">
        <v>1078</v>
      </c>
      <c r="H674" s="77">
        <v>79</v>
      </c>
      <c r="I674" s="124">
        <v>248.47</v>
      </c>
      <c r="J674" s="124">
        <v>19628.78</v>
      </c>
      <c r="K674" s="77">
        <v>30</v>
      </c>
      <c r="L674" t="s">
        <v>339</v>
      </c>
      <c r="M674" s="126">
        <v>3925.7559999999999</v>
      </c>
      <c r="N674" s="124">
        <v>19628.78</v>
      </c>
      <c r="O674" t="s">
        <v>346</v>
      </c>
      <c r="P674" t="s">
        <v>294</v>
      </c>
    </row>
    <row r="675" spans="1:16" ht="15" customHeight="1" x14ac:dyDescent="0.25">
      <c r="A675" s="123">
        <v>45898</v>
      </c>
      <c r="B675" t="s">
        <v>347</v>
      </c>
      <c r="C675" t="s">
        <v>348</v>
      </c>
      <c r="D675" t="s">
        <v>223</v>
      </c>
      <c r="E675" t="s">
        <v>412</v>
      </c>
      <c r="F675" t="s">
        <v>179</v>
      </c>
      <c r="G675" t="s">
        <v>1079</v>
      </c>
      <c r="H675" s="77">
        <v>64</v>
      </c>
      <c r="I675" s="124">
        <v>146.74</v>
      </c>
      <c r="J675" s="124">
        <v>9391.3799999999992</v>
      </c>
      <c r="K675" s="77">
        <v>30</v>
      </c>
      <c r="L675" t="s">
        <v>339</v>
      </c>
      <c r="M675" s="126">
        <v>1878.2760000000001</v>
      </c>
      <c r="N675" s="124">
        <v>9391.3799999999992</v>
      </c>
      <c r="O675" t="s">
        <v>346</v>
      </c>
      <c r="P675" t="s">
        <v>294</v>
      </c>
    </row>
    <row r="676" spans="1:16" ht="15" customHeight="1" x14ac:dyDescent="0.25">
      <c r="A676" s="123">
        <v>45781</v>
      </c>
      <c r="B676" t="s">
        <v>393</v>
      </c>
      <c r="C676" t="s">
        <v>394</v>
      </c>
      <c r="D676" t="s">
        <v>227</v>
      </c>
      <c r="E676" t="s">
        <v>427</v>
      </c>
      <c r="F676" t="s">
        <v>184</v>
      </c>
      <c r="G676" t="s">
        <v>1080</v>
      </c>
      <c r="H676" s="77">
        <v>43</v>
      </c>
      <c r="I676" s="124">
        <v>34.58</v>
      </c>
      <c r="J676" s="124">
        <v>1487.06</v>
      </c>
      <c r="K676" s="77">
        <v>45</v>
      </c>
      <c r="L676" t="s">
        <v>339</v>
      </c>
      <c r="M676" s="126">
        <v>297.41199999999998</v>
      </c>
      <c r="N676" s="124">
        <v>1487.06</v>
      </c>
      <c r="O676" t="s">
        <v>346</v>
      </c>
      <c r="P676" t="s">
        <v>294</v>
      </c>
    </row>
    <row r="677" spans="1:16" ht="15" customHeight="1" x14ac:dyDescent="0.25">
      <c r="A677" s="123">
        <v>45987</v>
      </c>
      <c r="B677" t="s">
        <v>362</v>
      </c>
      <c r="C677" t="s">
        <v>363</v>
      </c>
      <c r="D677" t="s">
        <v>221</v>
      </c>
      <c r="E677" t="s">
        <v>352</v>
      </c>
      <c r="F677" t="s">
        <v>180</v>
      </c>
      <c r="G677" t="s">
        <v>1081</v>
      </c>
      <c r="H677" s="77">
        <v>49</v>
      </c>
      <c r="I677" s="124">
        <v>162.99</v>
      </c>
      <c r="J677" s="124">
        <v>7986.29</v>
      </c>
      <c r="K677" s="77">
        <v>45</v>
      </c>
      <c r="L677" t="s">
        <v>339</v>
      </c>
      <c r="M677" s="126">
        <v>1597.258</v>
      </c>
      <c r="N677" s="124">
        <v>7986.29</v>
      </c>
      <c r="O677" t="s">
        <v>346</v>
      </c>
      <c r="P677" t="s">
        <v>294</v>
      </c>
    </row>
    <row r="678" spans="1:16" ht="15" customHeight="1" x14ac:dyDescent="0.25">
      <c r="A678" s="123">
        <v>45951</v>
      </c>
      <c r="B678" t="s">
        <v>431</v>
      </c>
      <c r="C678" t="s">
        <v>432</v>
      </c>
      <c r="D678" t="s">
        <v>221</v>
      </c>
      <c r="E678" t="s">
        <v>427</v>
      </c>
      <c r="F678" t="s">
        <v>184</v>
      </c>
      <c r="G678" t="s">
        <v>1082</v>
      </c>
      <c r="H678" s="77">
        <v>58</v>
      </c>
      <c r="I678" s="124">
        <v>40.72</v>
      </c>
      <c r="J678" s="124">
        <v>2361.65</v>
      </c>
      <c r="K678" s="77">
        <v>30</v>
      </c>
      <c r="L678" t="s">
        <v>345</v>
      </c>
      <c r="M678" s="126">
        <v>472.33</v>
      </c>
      <c r="N678" s="124">
        <v>2361.65</v>
      </c>
      <c r="O678" t="s">
        <v>346</v>
      </c>
      <c r="P678" t="s">
        <v>294</v>
      </c>
    </row>
    <row r="679" spans="1:16" ht="15" customHeight="1" x14ac:dyDescent="0.25">
      <c r="A679" s="123">
        <v>45912</v>
      </c>
      <c r="B679" t="s">
        <v>373</v>
      </c>
      <c r="C679" t="s">
        <v>374</v>
      </c>
      <c r="D679" t="s">
        <v>225</v>
      </c>
      <c r="E679" t="s">
        <v>376</v>
      </c>
      <c r="F679" t="s">
        <v>182</v>
      </c>
      <c r="G679" t="s">
        <v>1083</v>
      </c>
      <c r="H679" s="77">
        <v>3</v>
      </c>
      <c r="I679" s="124">
        <v>249.04</v>
      </c>
      <c r="J679" s="124">
        <v>747.13</v>
      </c>
      <c r="K679" s="77">
        <v>30</v>
      </c>
      <c r="L679" t="s">
        <v>345</v>
      </c>
      <c r="M679" s="126">
        <v>149.42599999999999</v>
      </c>
      <c r="N679" s="124">
        <v>747.13</v>
      </c>
      <c r="O679" t="s">
        <v>340</v>
      </c>
      <c r="P679" t="s">
        <v>294</v>
      </c>
    </row>
    <row r="680" spans="1:16" ht="15" customHeight="1" x14ac:dyDescent="0.25">
      <c r="A680" s="123">
        <v>45939</v>
      </c>
      <c r="B680" t="s">
        <v>335</v>
      </c>
      <c r="C680" t="s">
        <v>336</v>
      </c>
      <c r="D680" t="s">
        <v>223</v>
      </c>
      <c r="E680" t="s">
        <v>440</v>
      </c>
      <c r="F680" t="s">
        <v>177</v>
      </c>
      <c r="G680" t="s">
        <v>1084</v>
      </c>
      <c r="H680" s="77">
        <v>1</v>
      </c>
      <c r="I680" s="124">
        <v>200.76</v>
      </c>
      <c r="J680" s="124">
        <v>200.76</v>
      </c>
      <c r="K680" s="77">
        <v>30</v>
      </c>
      <c r="L680" t="s">
        <v>351</v>
      </c>
      <c r="M680" s="126">
        <v>40.152000000000001</v>
      </c>
      <c r="N680" s="124">
        <v>200.76</v>
      </c>
      <c r="O680" t="s">
        <v>346</v>
      </c>
      <c r="P680" t="s">
        <v>294</v>
      </c>
    </row>
    <row r="681" spans="1:16" ht="15" customHeight="1" x14ac:dyDescent="0.25">
      <c r="A681" s="123">
        <v>45945</v>
      </c>
      <c r="B681" t="s">
        <v>409</v>
      </c>
      <c r="C681" t="s">
        <v>410</v>
      </c>
      <c r="D681" t="s">
        <v>223</v>
      </c>
      <c r="E681" t="s">
        <v>403</v>
      </c>
      <c r="F681" t="s">
        <v>181</v>
      </c>
      <c r="G681" t="s">
        <v>1085</v>
      </c>
      <c r="H681" s="77">
        <v>27</v>
      </c>
      <c r="I681" s="124">
        <v>442.74</v>
      </c>
      <c r="J681" s="124">
        <v>11953.98</v>
      </c>
      <c r="K681" s="77">
        <v>60</v>
      </c>
      <c r="L681" t="s">
        <v>351</v>
      </c>
      <c r="M681" s="126">
        <v>2390.7959999999998</v>
      </c>
      <c r="N681" s="124">
        <v>11953.98</v>
      </c>
      <c r="O681" t="s">
        <v>346</v>
      </c>
      <c r="P681" t="s">
        <v>294</v>
      </c>
    </row>
    <row r="682" spans="1:16" ht="15" customHeight="1" x14ac:dyDescent="0.25">
      <c r="A682" s="123">
        <v>45685</v>
      </c>
      <c r="B682" t="s">
        <v>358</v>
      </c>
      <c r="C682" t="s">
        <v>359</v>
      </c>
      <c r="D682" t="s">
        <v>225</v>
      </c>
      <c r="E682" t="s">
        <v>420</v>
      </c>
      <c r="F682" t="s">
        <v>182</v>
      </c>
      <c r="G682" t="s">
        <v>1086</v>
      </c>
      <c r="H682" s="77">
        <v>29</v>
      </c>
      <c r="I682" s="124">
        <v>141.29</v>
      </c>
      <c r="J682" s="124">
        <v>4097.34</v>
      </c>
      <c r="K682" s="77">
        <v>45</v>
      </c>
      <c r="L682" t="s">
        <v>345</v>
      </c>
      <c r="M682" s="126">
        <v>819.46799999999996</v>
      </c>
      <c r="N682" s="124">
        <v>4097.34</v>
      </c>
      <c r="O682" t="s">
        <v>346</v>
      </c>
      <c r="P682" t="s">
        <v>294</v>
      </c>
    </row>
    <row r="683" spans="1:16" ht="15" customHeight="1" x14ac:dyDescent="0.25">
      <c r="A683" s="123">
        <v>45994</v>
      </c>
      <c r="B683" t="s">
        <v>383</v>
      </c>
      <c r="C683" t="s">
        <v>384</v>
      </c>
      <c r="D683" t="s">
        <v>225</v>
      </c>
      <c r="E683" t="s">
        <v>417</v>
      </c>
      <c r="F683" t="s">
        <v>184</v>
      </c>
      <c r="G683" t="s">
        <v>1087</v>
      </c>
      <c r="H683" s="77">
        <v>47</v>
      </c>
      <c r="I683" s="124">
        <v>40.31</v>
      </c>
      <c r="J683" s="124">
        <v>1894.4</v>
      </c>
      <c r="K683" s="77">
        <v>60</v>
      </c>
      <c r="L683" t="s">
        <v>345</v>
      </c>
      <c r="M683" s="126">
        <v>378.88</v>
      </c>
      <c r="N683" s="124">
        <v>1894.4</v>
      </c>
      <c r="O683" t="s">
        <v>346</v>
      </c>
      <c r="P683" t="s">
        <v>294</v>
      </c>
    </row>
    <row r="684" spans="1:16" ht="15" customHeight="1" x14ac:dyDescent="0.25">
      <c r="A684" s="123">
        <v>45771</v>
      </c>
      <c r="B684" t="s">
        <v>341</v>
      </c>
      <c r="C684" t="s">
        <v>342</v>
      </c>
      <c r="D684" t="s">
        <v>223</v>
      </c>
      <c r="E684" t="s">
        <v>343</v>
      </c>
      <c r="F684" t="s">
        <v>178</v>
      </c>
      <c r="G684" t="s">
        <v>1088</v>
      </c>
      <c r="H684" s="77">
        <v>1</v>
      </c>
      <c r="I684" s="124">
        <v>48.71</v>
      </c>
      <c r="J684" s="124">
        <v>48.71</v>
      </c>
      <c r="K684" s="77">
        <v>45</v>
      </c>
      <c r="L684" t="s">
        <v>345</v>
      </c>
      <c r="M684" s="126">
        <v>9.7420000000000009</v>
      </c>
      <c r="N684" s="124">
        <v>48.71</v>
      </c>
      <c r="O684" t="s">
        <v>346</v>
      </c>
      <c r="P684" t="s">
        <v>294</v>
      </c>
    </row>
    <row r="685" spans="1:16" ht="15" customHeight="1" x14ac:dyDescent="0.25">
      <c r="A685" s="123">
        <v>45925</v>
      </c>
      <c r="B685" t="s">
        <v>347</v>
      </c>
      <c r="C685" t="s">
        <v>348</v>
      </c>
      <c r="D685" t="s">
        <v>223</v>
      </c>
      <c r="E685" t="s">
        <v>403</v>
      </c>
      <c r="F685" t="s">
        <v>181</v>
      </c>
      <c r="G685" t="s">
        <v>1089</v>
      </c>
      <c r="H685" s="77">
        <v>48</v>
      </c>
      <c r="I685" s="124">
        <v>287.95</v>
      </c>
      <c r="J685" s="124">
        <v>13821.55</v>
      </c>
      <c r="K685" s="77">
        <v>60</v>
      </c>
      <c r="L685" t="s">
        <v>339</v>
      </c>
      <c r="M685" s="126">
        <v>2764.31</v>
      </c>
      <c r="N685" s="124">
        <v>13821.55</v>
      </c>
      <c r="O685" t="s">
        <v>346</v>
      </c>
      <c r="P685" t="s">
        <v>294</v>
      </c>
    </row>
    <row r="686" spans="1:16" ht="15" customHeight="1" x14ac:dyDescent="0.25">
      <c r="A686" s="123">
        <v>45729</v>
      </c>
      <c r="B686" t="s">
        <v>378</v>
      </c>
      <c r="C686" t="s">
        <v>379</v>
      </c>
      <c r="D686" t="s">
        <v>227</v>
      </c>
      <c r="E686" t="s">
        <v>381</v>
      </c>
      <c r="F686" t="s">
        <v>179</v>
      </c>
      <c r="G686" t="s">
        <v>1090</v>
      </c>
      <c r="H686" s="77">
        <v>53</v>
      </c>
      <c r="I686" s="124">
        <v>91.91</v>
      </c>
      <c r="J686" s="124">
        <v>4871.12</v>
      </c>
      <c r="K686" s="77">
        <v>30</v>
      </c>
      <c r="L686" t="s">
        <v>345</v>
      </c>
      <c r="M686" s="126">
        <v>974.22400000000005</v>
      </c>
      <c r="N686" s="124">
        <v>4871.12</v>
      </c>
      <c r="O686" t="s">
        <v>346</v>
      </c>
      <c r="P686" t="s">
        <v>294</v>
      </c>
    </row>
    <row r="687" spans="1:16" ht="15" customHeight="1" x14ac:dyDescent="0.25">
      <c r="A687" s="123">
        <v>45719</v>
      </c>
      <c r="B687" t="s">
        <v>409</v>
      </c>
      <c r="C687" t="s">
        <v>410</v>
      </c>
      <c r="D687" t="s">
        <v>223</v>
      </c>
      <c r="E687" t="s">
        <v>1091</v>
      </c>
      <c r="F687" t="s">
        <v>180</v>
      </c>
      <c r="G687" t="s">
        <v>1092</v>
      </c>
      <c r="H687" s="77">
        <v>51</v>
      </c>
      <c r="I687" s="124">
        <v>370.04</v>
      </c>
      <c r="J687" s="124">
        <v>18872.02</v>
      </c>
      <c r="K687" s="77">
        <v>30</v>
      </c>
      <c r="L687" t="s">
        <v>345</v>
      </c>
      <c r="M687" s="126">
        <v>3774.404</v>
      </c>
      <c r="N687" s="124">
        <v>18872.02</v>
      </c>
      <c r="O687" t="s">
        <v>346</v>
      </c>
      <c r="P687" t="s">
        <v>294</v>
      </c>
    </row>
    <row r="688" spans="1:16" ht="15" customHeight="1" x14ac:dyDescent="0.25">
      <c r="A688" s="123">
        <v>45870</v>
      </c>
      <c r="B688" t="s">
        <v>370</v>
      </c>
      <c r="C688" t="s">
        <v>371</v>
      </c>
      <c r="D688" t="s">
        <v>227</v>
      </c>
      <c r="E688" t="s">
        <v>376</v>
      </c>
      <c r="F688" t="s">
        <v>182</v>
      </c>
      <c r="G688" t="s">
        <v>1093</v>
      </c>
      <c r="H688" s="77">
        <v>6</v>
      </c>
      <c r="I688" s="124">
        <v>83.24</v>
      </c>
      <c r="J688" s="124">
        <v>499.42</v>
      </c>
      <c r="K688" s="77">
        <v>60</v>
      </c>
      <c r="L688" t="s">
        <v>351</v>
      </c>
      <c r="M688" s="126">
        <v>99.884</v>
      </c>
      <c r="N688" s="124">
        <v>499.42</v>
      </c>
      <c r="O688" t="s">
        <v>340</v>
      </c>
      <c r="P688" t="s">
        <v>294</v>
      </c>
    </row>
    <row r="689" spans="1:16" ht="15" customHeight="1" x14ac:dyDescent="0.25">
      <c r="A689" s="123">
        <v>45892</v>
      </c>
      <c r="B689" t="s">
        <v>341</v>
      </c>
      <c r="C689" t="s">
        <v>342</v>
      </c>
      <c r="D689" t="s">
        <v>223</v>
      </c>
      <c r="E689" t="s">
        <v>368</v>
      </c>
      <c r="F689" t="s">
        <v>178</v>
      </c>
      <c r="G689" t="s">
        <v>1094</v>
      </c>
      <c r="H689" s="77">
        <v>76</v>
      </c>
      <c r="I689" s="124">
        <v>52.89</v>
      </c>
      <c r="J689" s="124">
        <v>4019.73</v>
      </c>
      <c r="K689" s="77">
        <v>60</v>
      </c>
      <c r="L689" t="s">
        <v>339</v>
      </c>
      <c r="M689" s="126">
        <v>803.94600000000003</v>
      </c>
      <c r="N689" s="124">
        <v>4019.73</v>
      </c>
      <c r="O689" t="s">
        <v>346</v>
      </c>
      <c r="P689" t="s">
        <v>294</v>
      </c>
    </row>
    <row r="690" spans="1:16" ht="15" customHeight="1" x14ac:dyDescent="0.25">
      <c r="A690" s="123">
        <v>45682</v>
      </c>
      <c r="B690" t="s">
        <v>383</v>
      </c>
      <c r="C690" t="s">
        <v>384</v>
      </c>
      <c r="D690" t="s">
        <v>225</v>
      </c>
      <c r="E690" t="s">
        <v>440</v>
      </c>
      <c r="F690" t="s">
        <v>177</v>
      </c>
      <c r="G690" t="s">
        <v>1095</v>
      </c>
      <c r="H690" s="77">
        <v>71</v>
      </c>
      <c r="I690" s="124">
        <v>177.42</v>
      </c>
      <c r="J690" s="124">
        <v>12596.82</v>
      </c>
      <c r="K690" s="77">
        <v>45</v>
      </c>
      <c r="L690" t="s">
        <v>351</v>
      </c>
      <c r="M690" s="126">
        <v>2519.364</v>
      </c>
      <c r="N690" s="124">
        <v>12596.82</v>
      </c>
      <c r="O690" t="s">
        <v>346</v>
      </c>
      <c r="P690" t="s">
        <v>294</v>
      </c>
    </row>
    <row r="691" spans="1:16" ht="15" customHeight="1" x14ac:dyDescent="0.25">
      <c r="A691" s="123">
        <v>45954</v>
      </c>
      <c r="B691" t="s">
        <v>386</v>
      </c>
      <c r="C691" t="s">
        <v>387</v>
      </c>
      <c r="D691" t="s">
        <v>223</v>
      </c>
      <c r="E691" t="s">
        <v>412</v>
      </c>
      <c r="F691" t="s">
        <v>179</v>
      </c>
      <c r="G691" t="s">
        <v>1096</v>
      </c>
      <c r="H691" s="77">
        <v>23</v>
      </c>
      <c r="I691" s="124">
        <v>229.82</v>
      </c>
      <c r="J691" s="124">
        <v>5285.89</v>
      </c>
      <c r="K691" s="77">
        <v>60</v>
      </c>
      <c r="L691" t="s">
        <v>339</v>
      </c>
      <c r="M691" s="126">
        <v>1057.1780000000001</v>
      </c>
      <c r="N691" s="124">
        <v>5285.89</v>
      </c>
      <c r="O691" t="s">
        <v>346</v>
      </c>
      <c r="P691" t="s">
        <v>294</v>
      </c>
    </row>
    <row r="692" spans="1:16" ht="15" customHeight="1" x14ac:dyDescent="0.25">
      <c r="A692" s="123">
        <v>45965</v>
      </c>
      <c r="B692" t="s">
        <v>386</v>
      </c>
      <c r="C692" t="s">
        <v>387</v>
      </c>
      <c r="D692" t="s">
        <v>223</v>
      </c>
      <c r="E692" t="s">
        <v>236</v>
      </c>
      <c r="F692" t="s">
        <v>183</v>
      </c>
      <c r="G692" t="s">
        <v>1097</v>
      </c>
      <c r="H692" s="77">
        <v>78</v>
      </c>
      <c r="I692" s="124">
        <v>245.98</v>
      </c>
      <c r="J692" s="124">
        <v>19186.46</v>
      </c>
      <c r="K692" s="77">
        <v>45</v>
      </c>
      <c r="L692" t="s">
        <v>351</v>
      </c>
      <c r="M692" s="126">
        <v>3837.2919999999999</v>
      </c>
      <c r="N692" s="124">
        <v>19186.46</v>
      </c>
      <c r="O692" t="s">
        <v>346</v>
      </c>
      <c r="P692" t="s">
        <v>294</v>
      </c>
    </row>
    <row r="693" spans="1:16" ht="15" customHeight="1" x14ac:dyDescent="0.25">
      <c r="A693" s="123">
        <v>46012</v>
      </c>
      <c r="B693" t="s">
        <v>488</v>
      </c>
      <c r="C693" t="s">
        <v>489</v>
      </c>
      <c r="D693" t="s">
        <v>225</v>
      </c>
      <c r="E693" t="s">
        <v>236</v>
      </c>
      <c r="F693" t="s">
        <v>183</v>
      </c>
      <c r="G693" t="s">
        <v>1098</v>
      </c>
      <c r="H693" s="77">
        <v>32</v>
      </c>
      <c r="I693" s="124">
        <v>567.6</v>
      </c>
      <c r="J693" s="124">
        <v>18163.14</v>
      </c>
      <c r="K693" s="77">
        <v>45</v>
      </c>
      <c r="L693" t="s">
        <v>345</v>
      </c>
      <c r="M693" s="126">
        <v>3632.6280000000002</v>
      </c>
      <c r="N693" s="124">
        <v>18163.14</v>
      </c>
      <c r="O693" t="s">
        <v>346</v>
      </c>
      <c r="P693" t="s">
        <v>294</v>
      </c>
    </row>
    <row r="694" spans="1:16" ht="15" customHeight="1" x14ac:dyDescent="0.25">
      <c r="A694" s="123">
        <v>45726</v>
      </c>
      <c r="B694" t="s">
        <v>390</v>
      </c>
      <c r="C694" t="s">
        <v>391</v>
      </c>
      <c r="D694" t="s">
        <v>221</v>
      </c>
      <c r="E694" t="s">
        <v>437</v>
      </c>
      <c r="F694" t="s">
        <v>181</v>
      </c>
      <c r="G694" t="s">
        <v>1099</v>
      </c>
      <c r="H694" s="77">
        <v>18</v>
      </c>
      <c r="I694" s="124">
        <v>121.39</v>
      </c>
      <c r="J694" s="124">
        <v>2185.09</v>
      </c>
      <c r="K694" s="77">
        <v>45</v>
      </c>
      <c r="L694" t="s">
        <v>351</v>
      </c>
      <c r="M694" s="126">
        <v>437.01799999999997</v>
      </c>
      <c r="N694" s="124">
        <v>2185.09</v>
      </c>
      <c r="O694" t="s">
        <v>346</v>
      </c>
      <c r="P694" t="s">
        <v>294</v>
      </c>
    </row>
    <row r="695" spans="1:16" ht="15" customHeight="1" x14ac:dyDescent="0.25">
      <c r="A695" s="123">
        <v>45938</v>
      </c>
      <c r="B695" t="s">
        <v>406</v>
      </c>
      <c r="C695" t="s">
        <v>407</v>
      </c>
      <c r="D695" t="s">
        <v>225</v>
      </c>
      <c r="E695" t="s">
        <v>403</v>
      </c>
      <c r="F695" t="s">
        <v>181</v>
      </c>
      <c r="G695" t="s">
        <v>1100</v>
      </c>
      <c r="H695" s="77">
        <v>41</v>
      </c>
      <c r="I695" s="124">
        <v>308.70999999999998</v>
      </c>
      <c r="J695" s="124">
        <v>12656.98</v>
      </c>
      <c r="K695" s="77">
        <v>60</v>
      </c>
      <c r="L695" t="s">
        <v>351</v>
      </c>
      <c r="M695" s="126">
        <v>2531.3960000000002</v>
      </c>
      <c r="N695" s="124">
        <v>12656.98</v>
      </c>
      <c r="O695" t="s">
        <v>346</v>
      </c>
      <c r="P695" t="s">
        <v>294</v>
      </c>
    </row>
    <row r="696" spans="1:16" ht="15" customHeight="1" x14ac:dyDescent="0.25">
      <c r="A696" s="123">
        <v>45765</v>
      </c>
      <c r="B696" t="s">
        <v>393</v>
      </c>
      <c r="C696" t="s">
        <v>394</v>
      </c>
      <c r="D696" t="s">
        <v>227</v>
      </c>
      <c r="E696" t="s">
        <v>423</v>
      </c>
      <c r="F696" t="s">
        <v>180</v>
      </c>
      <c r="G696" t="s">
        <v>1101</v>
      </c>
      <c r="H696" s="77">
        <v>80</v>
      </c>
      <c r="I696" s="124">
        <v>346.43</v>
      </c>
      <c r="J696" s="124">
        <v>27714.01</v>
      </c>
      <c r="K696" s="77">
        <v>60</v>
      </c>
      <c r="L696" t="s">
        <v>345</v>
      </c>
      <c r="M696" s="126">
        <v>5542.8019999999997</v>
      </c>
      <c r="N696" s="124">
        <v>27714.01</v>
      </c>
      <c r="O696" t="s">
        <v>346</v>
      </c>
      <c r="P696" t="s">
        <v>294</v>
      </c>
    </row>
    <row r="697" spans="1:16" ht="15" customHeight="1" x14ac:dyDescent="0.25">
      <c r="A697" s="123">
        <v>45725</v>
      </c>
      <c r="B697" t="s">
        <v>378</v>
      </c>
      <c r="C697" t="s">
        <v>379</v>
      </c>
      <c r="D697" t="s">
        <v>227</v>
      </c>
      <c r="E697" t="s">
        <v>364</v>
      </c>
      <c r="F697" t="s">
        <v>182</v>
      </c>
      <c r="G697" t="s">
        <v>1102</v>
      </c>
      <c r="H697" s="77">
        <v>23</v>
      </c>
      <c r="I697" s="124">
        <v>80.13</v>
      </c>
      <c r="J697" s="124">
        <v>1842.95</v>
      </c>
      <c r="K697" s="77">
        <v>60</v>
      </c>
      <c r="L697" t="s">
        <v>351</v>
      </c>
      <c r="M697" s="126">
        <v>368.59</v>
      </c>
      <c r="N697" s="124">
        <v>1842.95</v>
      </c>
      <c r="O697" t="s">
        <v>346</v>
      </c>
      <c r="P697" t="s">
        <v>294</v>
      </c>
    </row>
    <row r="698" spans="1:16" ht="15" customHeight="1" x14ac:dyDescent="0.25">
      <c r="A698" s="123">
        <v>45717</v>
      </c>
      <c r="B698" t="s">
        <v>409</v>
      </c>
      <c r="C698" t="s">
        <v>410</v>
      </c>
      <c r="D698" t="s">
        <v>223</v>
      </c>
      <c r="E698" t="s">
        <v>364</v>
      </c>
      <c r="F698" t="s">
        <v>182</v>
      </c>
      <c r="G698" t="s">
        <v>1103</v>
      </c>
      <c r="H698" s="77">
        <v>46</v>
      </c>
      <c r="I698" s="124">
        <v>113.66</v>
      </c>
      <c r="J698" s="124">
        <v>5228.5600000000004</v>
      </c>
      <c r="K698" s="77">
        <v>60</v>
      </c>
      <c r="L698" t="s">
        <v>345</v>
      </c>
      <c r="M698" s="126">
        <v>1045.712</v>
      </c>
      <c r="N698" s="124">
        <v>5228.5600000000004</v>
      </c>
      <c r="O698" t="s">
        <v>346</v>
      </c>
      <c r="P698" t="s">
        <v>294</v>
      </c>
    </row>
    <row r="699" spans="1:16" ht="15" customHeight="1" x14ac:dyDescent="0.25">
      <c r="A699" s="123">
        <v>45931</v>
      </c>
      <c r="B699" t="s">
        <v>347</v>
      </c>
      <c r="C699" t="s">
        <v>348</v>
      </c>
      <c r="D699" t="s">
        <v>223</v>
      </c>
      <c r="E699" t="s">
        <v>236</v>
      </c>
      <c r="F699" t="s">
        <v>183</v>
      </c>
      <c r="G699" t="s">
        <v>1104</v>
      </c>
      <c r="H699" s="77">
        <v>37</v>
      </c>
      <c r="I699" s="124">
        <v>150.76</v>
      </c>
      <c r="J699" s="124">
        <v>5578.01</v>
      </c>
      <c r="K699" s="77">
        <v>45</v>
      </c>
      <c r="L699" t="s">
        <v>339</v>
      </c>
      <c r="M699" s="126">
        <v>1115.6020000000001</v>
      </c>
      <c r="N699" s="124">
        <v>5578.01</v>
      </c>
      <c r="O699" t="s">
        <v>346</v>
      </c>
      <c r="P699" t="s">
        <v>294</v>
      </c>
    </row>
    <row r="700" spans="1:16" ht="15" customHeight="1" x14ac:dyDescent="0.25">
      <c r="A700" s="123">
        <v>45853</v>
      </c>
      <c r="B700" t="s">
        <v>431</v>
      </c>
      <c r="C700" t="s">
        <v>432</v>
      </c>
      <c r="D700" t="s">
        <v>221</v>
      </c>
      <c r="E700" t="s">
        <v>415</v>
      </c>
      <c r="F700" t="s">
        <v>178</v>
      </c>
      <c r="G700" t="s">
        <v>1105</v>
      </c>
      <c r="H700" s="77">
        <v>19</v>
      </c>
      <c r="I700" s="124">
        <v>108.05</v>
      </c>
      <c r="J700" s="124">
        <v>2052.9699999999998</v>
      </c>
      <c r="K700" s="77">
        <v>30</v>
      </c>
      <c r="L700" t="s">
        <v>351</v>
      </c>
      <c r="M700" s="126">
        <v>410.59399999999999</v>
      </c>
      <c r="N700" s="124">
        <v>2052.9699999999998</v>
      </c>
      <c r="O700" t="s">
        <v>340</v>
      </c>
      <c r="P700" t="s">
        <v>294</v>
      </c>
    </row>
    <row r="701" spans="1:16" ht="15" customHeight="1" x14ac:dyDescent="0.25">
      <c r="A701" s="123">
        <v>45740</v>
      </c>
      <c r="B701" t="s">
        <v>358</v>
      </c>
      <c r="C701" t="s">
        <v>359</v>
      </c>
      <c r="D701" t="s">
        <v>225</v>
      </c>
      <c r="E701" t="s">
        <v>360</v>
      </c>
      <c r="F701" t="s">
        <v>180</v>
      </c>
      <c r="G701" t="s">
        <v>1106</v>
      </c>
      <c r="H701" s="77">
        <v>37</v>
      </c>
      <c r="I701" s="124">
        <v>225.83</v>
      </c>
      <c r="J701" s="124">
        <v>8355.56</v>
      </c>
      <c r="K701" s="77">
        <v>60</v>
      </c>
      <c r="L701" t="s">
        <v>345</v>
      </c>
      <c r="M701" s="126">
        <v>1671.1120000000001</v>
      </c>
      <c r="N701" s="124">
        <v>8355.56</v>
      </c>
      <c r="O701" t="s">
        <v>346</v>
      </c>
      <c r="P701" t="s">
        <v>294</v>
      </c>
    </row>
    <row r="702" spans="1:16" ht="15" customHeight="1" x14ac:dyDescent="0.25">
      <c r="A702" s="123">
        <v>45809</v>
      </c>
      <c r="B702" t="s">
        <v>488</v>
      </c>
      <c r="C702" t="s">
        <v>489</v>
      </c>
      <c r="D702" t="s">
        <v>225</v>
      </c>
      <c r="E702" t="s">
        <v>440</v>
      </c>
      <c r="F702" t="s">
        <v>177</v>
      </c>
      <c r="G702" t="s">
        <v>1107</v>
      </c>
      <c r="H702" s="77">
        <v>27</v>
      </c>
      <c r="I702" s="124">
        <v>90.02</v>
      </c>
      <c r="J702" s="124">
        <v>2430.4499999999998</v>
      </c>
      <c r="K702" s="77">
        <v>60</v>
      </c>
      <c r="L702" t="s">
        <v>339</v>
      </c>
      <c r="M702" s="126">
        <v>486.09</v>
      </c>
      <c r="N702" s="124">
        <v>2430.4499999999998</v>
      </c>
      <c r="O702" t="s">
        <v>346</v>
      </c>
      <c r="P702" t="s">
        <v>294</v>
      </c>
    </row>
    <row r="703" spans="1:16" ht="15" customHeight="1" x14ac:dyDescent="0.25">
      <c r="A703" s="123">
        <v>45973</v>
      </c>
      <c r="B703" t="s">
        <v>393</v>
      </c>
      <c r="C703" t="s">
        <v>394</v>
      </c>
      <c r="D703" t="s">
        <v>227</v>
      </c>
      <c r="E703" t="s">
        <v>396</v>
      </c>
      <c r="F703" t="s">
        <v>184</v>
      </c>
      <c r="G703" t="s">
        <v>1108</v>
      </c>
      <c r="H703" s="77">
        <v>72</v>
      </c>
      <c r="I703" s="124">
        <v>133.55000000000001</v>
      </c>
      <c r="J703" s="124">
        <v>9615.2900000000009</v>
      </c>
      <c r="K703" s="77">
        <v>30</v>
      </c>
      <c r="L703" t="s">
        <v>351</v>
      </c>
      <c r="M703" s="126">
        <v>1923.058</v>
      </c>
      <c r="N703" s="124">
        <v>9615.2900000000009</v>
      </c>
      <c r="O703" t="s">
        <v>346</v>
      </c>
      <c r="P703" t="s">
        <v>294</v>
      </c>
    </row>
    <row r="704" spans="1:16" ht="15" customHeight="1" x14ac:dyDescent="0.25">
      <c r="A704" s="123">
        <v>45919</v>
      </c>
      <c r="B704" t="s">
        <v>386</v>
      </c>
      <c r="C704" t="s">
        <v>387</v>
      </c>
      <c r="D704" t="s">
        <v>223</v>
      </c>
      <c r="E704" t="s">
        <v>235</v>
      </c>
      <c r="F704" t="s">
        <v>183</v>
      </c>
      <c r="G704" t="s">
        <v>1109</v>
      </c>
      <c r="H704" s="77">
        <v>37</v>
      </c>
      <c r="I704" s="124">
        <v>203.65</v>
      </c>
      <c r="J704" s="124">
        <v>7534.98</v>
      </c>
      <c r="K704" s="77">
        <v>60</v>
      </c>
      <c r="L704" t="s">
        <v>351</v>
      </c>
      <c r="M704" s="126">
        <v>1506.9960000000001</v>
      </c>
      <c r="N704" s="124">
        <v>7534.98</v>
      </c>
      <c r="O704" t="s">
        <v>346</v>
      </c>
      <c r="P704" t="s">
        <v>294</v>
      </c>
    </row>
    <row r="705" spans="1:16" ht="15" customHeight="1" x14ac:dyDescent="0.25">
      <c r="A705" s="123">
        <v>45871</v>
      </c>
      <c r="B705" t="s">
        <v>488</v>
      </c>
      <c r="C705" t="s">
        <v>489</v>
      </c>
      <c r="D705" t="s">
        <v>225</v>
      </c>
      <c r="E705" t="s">
        <v>234</v>
      </c>
      <c r="F705" t="s">
        <v>183</v>
      </c>
      <c r="G705" t="s">
        <v>1110</v>
      </c>
      <c r="H705" s="77">
        <v>41</v>
      </c>
      <c r="I705" s="124">
        <v>138.26</v>
      </c>
      <c r="J705" s="124">
        <v>5668.62</v>
      </c>
      <c r="K705" s="77">
        <v>60</v>
      </c>
      <c r="L705" t="s">
        <v>339</v>
      </c>
      <c r="M705" s="126">
        <v>1133.7239999999999</v>
      </c>
      <c r="N705" s="124">
        <v>5668.62</v>
      </c>
      <c r="O705" t="s">
        <v>346</v>
      </c>
      <c r="P705" t="s">
        <v>294</v>
      </c>
    </row>
    <row r="706" spans="1:16" ht="15" customHeight="1" x14ac:dyDescent="0.25">
      <c r="A706" s="123">
        <v>45975</v>
      </c>
      <c r="B706" t="s">
        <v>362</v>
      </c>
      <c r="C706" t="s">
        <v>363</v>
      </c>
      <c r="D706" t="s">
        <v>221</v>
      </c>
      <c r="E706" t="s">
        <v>356</v>
      </c>
      <c r="F706" t="s">
        <v>181</v>
      </c>
      <c r="G706" t="s">
        <v>1111</v>
      </c>
      <c r="H706" s="77">
        <v>57</v>
      </c>
      <c r="I706" s="124">
        <v>93.46</v>
      </c>
      <c r="J706" s="124">
        <v>5326.94</v>
      </c>
      <c r="K706" s="77">
        <v>30</v>
      </c>
      <c r="L706" t="s">
        <v>351</v>
      </c>
      <c r="M706" s="126">
        <v>1065.3879999999999</v>
      </c>
      <c r="N706" s="124">
        <v>5326.94</v>
      </c>
      <c r="O706" t="s">
        <v>340</v>
      </c>
      <c r="P706" t="s">
        <v>294</v>
      </c>
    </row>
    <row r="707" spans="1:16" ht="15" customHeight="1" x14ac:dyDescent="0.25">
      <c r="A707" s="123">
        <v>45937</v>
      </c>
      <c r="B707" t="s">
        <v>488</v>
      </c>
      <c r="C707" t="s">
        <v>489</v>
      </c>
      <c r="D707" t="s">
        <v>225</v>
      </c>
      <c r="E707" t="s">
        <v>364</v>
      </c>
      <c r="F707" t="s">
        <v>182</v>
      </c>
      <c r="G707" t="s">
        <v>1112</v>
      </c>
      <c r="H707" s="77">
        <v>78</v>
      </c>
      <c r="I707" s="124">
        <v>132.58000000000001</v>
      </c>
      <c r="J707" s="124">
        <v>10341.200000000001</v>
      </c>
      <c r="K707" s="77">
        <v>30</v>
      </c>
      <c r="L707" t="s">
        <v>351</v>
      </c>
      <c r="M707" s="126">
        <v>2068.2399999999998</v>
      </c>
      <c r="N707" s="124">
        <v>10341.200000000001</v>
      </c>
      <c r="O707" t="s">
        <v>346</v>
      </c>
      <c r="P707" t="s">
        <v>294</v>
      </c>
    </row>
    <row r="708" spans="1:16" ht="15" customHeight="1" x14ac:dyDescent="0.25">
      <c r="A708" s="123">
        <v>45748</v>
      </c>
      <c r="B708" t="s">
        <v>335</v>
      </c>
      <c r="C708" t="s">
        <v>336</v>
      </c>
      <c r="D708" t="s">
        <v>223</v>
      </c>
      <c r="E708" t="s">
        <v>437</v>
      </c>
      <c r="F708" t="s">
        <v>181</v>
      </c>
      <c r="G708" t="s">
        <v>1113</v>
      </c>
      <c r="H708" s="77">
        <v>10</v>
      </c>
      <c r="I708" s="124">
        <v>108.79</v>
      </c>
      <c r="J708" s="124">
        <v>1087.8699999999999</v>
      </c>
      <c r="K708" s="77">
        <v>30</v>
      </c>
      <c r="L708" t="s">
        <v>339</v>
      </c>
      <c r="M708" s="126">
        <v>217.57400000000001</v>
      </c>
      <c r="N708" s="124">
        <v>1087.8699999999999</v>
      </c>
      <c r="O708" t="s">
        <v>346</v>
      </c>
      <c r="P708" t="s">
        <v>294</v>
      </c>
    </row>
    <row r="709" spans="1:16" ht="15" customHeight="1" x14ac:dyDescent="0.25">
      <c r="A709" s="123">
        <v>45678</v>
      </c>
      <c r="B709" t="s">
        <v>370</v>
      </c>
      <c r="C709" t="s">
        <v>371</v>
      </c>
      <c r="D709" t="s">
        <v>227</v>
      </c>
      <c r="E709" t="s">
        <v>368</v>
      </c>
      <c r="F709" t="s">
        <v>178</v>
      </c>
      <c r="G709" t="s">
        <v>1114</v>
      </c>
      <c r="H709" s="77">
        <v>55</v>
      </c>
      <c r="I709" s="124">
        <v>170.63</v>
      </c>
      <c r="J709" s="124">
        <v>9384.9</v>
      </c>
      <c r="K709" s="77">
        <v>45</v>
      </c>
      <c r="L709" t="s">
        <v>351</v>
      </c>
      <c r="M709" s="126">
        <v>1876.98</v>
      </c>
      <c r="N709" s="124">
        <v>9384.9</v>
      </c>
      <c r="O709" t="s">
        <v>346</v>
      </c>
      <c r="P709" t="s">
        <v>294</v>
      </c>
    </row>
    <row r="710" spans="1:16" ht="15" customHeight="1" x14ac:dyDescent="0.25">
      <c r="A710" s="123">
        <v>45957</v>
      </c>
      <c r="B710" t="s">
        <v>378</v>
      </c>
      <c r="C710" t="s">
        <v>379</v>
      </c>
      <c r="D710" t="s">
        <v>227</v>
      </c>
      <c r="E710" t="s">
        <v>442</v>
      </c>
      <c r="F710" t="s">
        <v>179</v>
      </c>
      <c r="G710" t="s">
        <v>1115</v>
      </c>
      <c r="H710" s="77">
        <v>33</v>
      </c>
      <c r="I710" s="124">
        <v>57.28</v>
      </c>
      <c r="J710" s="124">
        <v>1890.13</v>
      </c>
      <c r="K710" s="77">
        <v>30</v>
      </c>
      <c r="L710" t="s">
        <v>345</v>
      </c>
      <c r="M710" s="126">
        <v>378.02600000000001</v>
      </c>
      <c r="N710" s="124">
        <v>1890.13</v>
      </c>
      <c r="O710" t="s">
        <v>340</v>
      </c>
      <c r="P710" t="s">
        <v>294</v>
      </c>
    </row>
    <row r="711" spans="1:16" ht="15" customHeight="1" x14ac:dyDescent="0.25">
      <c r="A711" s="123">
        <v>45736</v>
      </c>
      <c r="B711" t="s">
        <v>406</v>
      </c>
      <c r="C711" t="s">
        <v>407</v>
      </c>
      <c r="D711" t="s">
        <v>225</v>
      </c>
      <c r="E711" t="s">
        <v>442</v>
      </c>
      <c r="F711" t="s">
        <v>179</v>
      </c>
      <c r="G711" t="s">
        <v>1116</v>
      </c>
      <c r="H711" s="77">
        <v>42</v>
      </c>
      <c r="I711" s="124">
        <v>457.61</v>
      </c>
      <c r="J711" s="124">
        <v>19219.439999999999</v>
      </c>
      <c r="K711" s="77">
        <v>60</v>
      </c>
      <c r="L711" t="s">
        <v>339</v>
      </c>
      <c r="M711" s="126">
        <v>3843.8879999999999</v>
      </c>
      <c r="N711" s="124">
        <v>19219.439999999999</v>
      </c>
      <c r="O711" t="s">
        <v>340</v>
      </c>
      <c r="P711" t="s">
        <v>294</v>
      </c>
    </row>
    <row r="712" spans="1:16" ht="15" customHeight="1" x14ac:dyDescent="0.25">
      <c r="A712" s="123">
        <v>45951</v>
      </c>
      <c r="B712" t="s">
        <v>358</v>
      </c>
      <c r="C712" t="s">
        <v>359</v>
      </c>
      <c r="D712" t="s">
        <v>225</v>
      </c>
      <c r="E712" t="s">
        <v>437</v>
      </c>
      <c r="F712" t="s">
        <v>181</v>
      </c>
      <c r="G712" t="s">
        <v>1117</v>
      </c>
      <c r="H712" s="77">
        <v>71</v>
      </c>
      <c r="I712" s="124">
        <v>247.07</v>
      </c>
      <c r="J712" s="124">
        <v>17542.240000000002</v>
      </c>
      <c r="K712" s="77">
        <v>45</v>
      </c>
      <c r="L712" t="s">
        <v>339</v>
      </c>
      <c r="M712" s="126">
        <v>3508.4479999999999</v>
      </c>
      <c r="N712" s="124">
        <v>17542.240000000002</v>
      </c>
      <c r="O712" t="s">
        <v>346</v>
      </c>
      <c r="P712" t="s">
        <v>294</v>
      </c>
    </row>
    <row r="713" spans="1:16" ht="15" customHeight="1" x14ac:dyDescent="0.25">
      <c r="A713" s="123">
        <v>45770</v>
      </c>
      <c r="B713" t="s">
        <v>341</v>
      </c>
      <c r="C713" t="s">
        <v>342</v>
      </c>
      <c r="D713" t="s">
        <v>223</v>
      </c>
      <c r="E713" t="s">
        <v>364</v>
      </c>
      <c r="F713" t="s">
        <v>182</v>
      </c>
      <c r="G713" t="s">
        <v>1118</v>
      </c>
      <c r="H713" s="77">
        <v>24</v>
      </c>
      <c r="I713" s="124">
        <v>90.08</v>
      </c>
      <c r="J713" s="124">
        <v>2161.89</v>
      </c>
      <c r="K713" s="77">
        <v>60</v>
      </c>
      <c r="L713" t="s">
        <v>339</v>
      </c>
      <c r="M713" s="126">
        <v>432.37799999999999</v>
      </c>
      <c r="N713" s="124">
        <v>2161.89</v>
      </c>
      <c r="O713" t="s">
        <v>346</v>
      </c>
      <c r="P713" t="s">
        <v>294</v>
      </c>
    </row>
    <row r="714" spans="1:16" ht="15" customHeight="1" x14ac:dyDescent="0.25">
      <c r="A714" s="123">
        <v>45936</v>
      </c>
      <c r="B714" t="s">
        <v>383</v>
      </c>
      <c r="C714" t="s">
        <v>384</v>
      </c>
      <c r="D714" t="s">
        <v>225</v>
      </c>
      <c r="E714" t="s">
        <v>381</v>
      </c>
      <c r="F714" t="s">
        <v>179</v>
      </c>
      <c r="G714" t="s">
        <v>1119</v>
      </c>
      <c r="H714" s="77">
        <v>69</v>
      </c>
      <c r="I714" s="124">
        <v>133.38999999999999</v>
      </c>
      <c r="J714" s="124">
        <v>9203.67</v>
      </c>
      <c r="K714" s="77">
        <v>45</v>
      </c>
      <c r="L714" t="s">
        <v>339</v>
      </c>
      <c r="M714" s="126">
        <v>1840.7339999999999</v>
      </c>
      <c r="N714" s="124">
        <v>9203.67</v>
      </c>
      <c r="O714" t="s">
        <v>346</v>
      </c>
      <c r="P714" t="s">
        <v>294</v>
      </c>
    </row>
    <row r="715" spans="1:16" ht="15" customHeight="1" x14ac:dyDescent="0.25">
      <c r="A715" s="123">
        <v>45997</v>
      </c>
      <c r="B715" t="s">
        <v>362</v>
      </c>
      <c r="C715" t="s">
        <v>363</v>
      </c>
      <c r="D715" t="s">
        <v>221</v>
      </c>
      <c r="E715" t="s">
        <v>423</v>
      </c>
      <c r="F715" t="s">
        <v>180</v>
      </c>
      <c r="G715" t="s">
        <v>1120</v>
      </c>
      <c r="H715" s="77">
        <v>43</v>
      </c>
      <c r="I715" s="124">
        <v>311.37</v>
      </c>
      <c r="J715" s="124">
        <v>13388.96</v>
      </c>
      <c r="K715" s="77">
        <v>45</v>
      </c>
      <c r="L715" t="s">
        <v>345</v>
      </c>
      <c r="M715" s="126">
        <v>2677.7919999999999</v>
      </c>
      <c r="N715" s="124">
        <v>13388.96</v>
      </c>
      <c r="O715" t="s">
        <v>346</v>
      </c>
      <c r="P715" t="s">
        <v>294</v>
      </c>
    </row>
    <row r="716" spans="1:16" ht="15" customHeight="1" x14ac:dyDescent="0.25">
      <c r="A716" s="123">
        <v>45929</v>
      </c>
      <c r="B716" t="s">
        <v>431</v>
      </c>
      <c r="C716" t="s">
        <v>432</v>
      </c>
      <c r="D716" t="s">
        <v>221</v>
      </c>
      <c r="E716" t="s">
        <v>352</v>
      </c>
      <c r="F716" t="s">
        <v>180</v>
      </c>
      <c r="G716" t="s">
        <v>1121</v>
      </c>
      <c r="H716" s="77">
        <v>61</v>
      </c>
      <c r="I716" s="124">
        <v>244.88</v>
      </c>
      <c r="J716" s="124">
        <v>14937.58</v>
      </c>
      <c r="K716" s="77">
        <v>60</v>
      </c>
      <c r="L716" t="s">
        <v>351</v>
      </c>
      <c r="M716" s="126">
        <v>2987.5160000000001</v>
      </c>
      <c r="N716" s="124">
        <v>14937.58</v>
      </c>
      <c r="O716" t="s">
        <v>346</v>
      </c>
      <c r="P716" t="s">
        <v>294</v>
      </c>
    </row>
    <row r="717" spans="1:16" ht="15" customHeight="1" x14ac:dyDescent="0.25">
      <c r="A717" s="123">
        <v>45835</v>
      </c>
      <c r="B717" t="s">
        <v>409</v>
      </c>
      <c r="C717" t="s">
        <v>410</v>
      </c>
      <c r="D717" t="s">
        <v>223</v>
      </c>
      <c r="E717" t="s">
        <v>343</v>
      </c>
      <c r="F717" t="s">
        <v>178</v>
      </c>
      <c r="G717" t="s">
        <v>1122</v>
      </c>
      <c r="H717" s="77">
        <v>58</v>
      </c>
      <c r="I717" s="124">
        <v>119.25</v>
      </c>
      <c r="J717" s="124">
        <v>6916.37</v>
      </c>
      <c r="K717" s="77">
        <v>30</v>
      </c>
      <c r="L717" t="s">
        <v>351</v>
      </c>
      <c r="M717" s="126">
        <v>1383.2739999999999</v>
      </c>
      <c r="N717" s="124">
        <v>6916.37</v>
      </c>
      <c r="O717" t="s">
        <v>346</v>
      </c>
      <c r="P717" t="s">
        <v>294</v>
      </c>
    </row>
    <row r="718" spans="1:16" ht="15" customHeight="1" x14ac:dyDescent="0.25">
      <c r="A718" s="123">
        <v>46007</v>
      </c>
      <c r="B718" t="s">
        <v>378</v>
      </c>
      <c r="C718" t="s">
        <v>379</v>
      </c>
      <c r="D718" t="s">
        <v>227</v>
      </c>
      <c r="E718" t="s">
        <v>423</v>
      </c>
      <c r="F718" t="s">
        <v>180</v>
      </c>
      <c r="G718" t="s">
        <v>1123</v>
      </c>
      <c r="H718" s="77">
        <v>42</v>
      </c>
      <c r="I718" s="124">
        <v>266.20999999999998</v>
      </c>
      <c r="J718" s="124">
        <v>11180.83</v>
      </c>
      <c r="K718" s="77">
        <v>45</v>
      </c>
      <c r="L718" t="s">
        <v>339</v>
      </c>
      <c r="M718" s="126">
        <v>2236.1660000000002</v>
      </c>
      <c r="N718" s="124">
        <v>11180.83</v>
      </c>
      <c r="O718" t="s">
        <v>346</v>
      </c>
      <c r="P718" t="s">
        <v>294</v>
      </c>
    </row>
    <row r="719" spans="1:16" ht="15" customHeight="1" x14ac:dyDescent="0.25">
      <c r="A719" s="123">
        <v>45802</v>
      </c>
      <c r="B719" t="s">
        <v>335</v>
      </c>
      <c r="C719" t="s">
        <v>336</v>
      </c>
      <c r="D719" t="s">
        <v>223</v>
      </c>
      <c r="E719" t="s">
        <v>403</v>
      </c>
      <c r="F719" t="s">
        <v>181</v>
      </c>
      <c r="G719" t="s">
        <v>1124</v>
      </c>
      <c r="H719" s="77">
        <v>4</v>
      </c>
      <c r="I719" s="124">
        <v>238.96</v>
      </c>
      <c r="J719" s="124">
        <v>955.84</v>
      </c>
      <c r="K719" s="77">
        <v>60</v>
      </c>
      <c r="L719" t="s">
        <v>345</v>
      </c>
      <c r="M719" s="126">
        <v>191.16800000000001</v>
      </c>
      <c r="N719" s="124">
        <v>955.84</v>
      </c>
      <c r="O719" t="s">
        <v>346</v>
      </c>
      <c r="P719" t="s">
        <v>294</v>
      </c>
    </row>
    <row r="720" spans="1:16" ht="15" customHeight="1" x14ac:dyDescent="0.25">
      <c r="A720" s="123">
        <v>45680</v>
      </c>
      <c r="B720" t="s">
        <v>488</v>
      </c>
      <c r="C720" t="s">
        <v>489</v>
      </c>
      <c r="D720" t="s">
        <v>225</v>
      </c>
      <c r="E720" t="s">
        <v>427</v>
      </c>
      <c r="F720" t="s">
        <v>184</v>
      </c>
      <c r="G720" t="s">
        <v>1125</v>
      </c>
      <c r="H720" s="77">
        <v>38</v>
      </c>
      <c r="I720" s="124">
        <v>61.41</v>
      </c>
      <c r="J720" s="124">
        <v>2333.41</v>
      </c>
      <c r="K720" s="77">
        <v>60</v>
      </c>
      <c r="L720" t="s">
        <v>339</v>
      </c>
      <c r="M720" s="126">
        <v>466.68200000000002</v>
      </c>
      <c r="N720" s="124">
        <v>2333.41</v>
      </c>
      <c r="O720" t="s">
        <v>346</v>
      </c>
      <c r="P720" t="s">
        <v>294</v>
      </c>
    </row>
    <row r="721" spans="1:16" ht="15" customHeight="1" x14ac:dyDescent="0.25">
      <c r="A721" s="123">
        <v>45743</v>
      </c>
      <c r="B721" t="s">
        <v>362</v>
      </c>
      <c r="C721" t="s">
        <v>363</v>
      </c>
      <c r="D721" t="s">
        <v>221</v>
      </c>
      <c r="E721" t="s">
        <v>415</v>
      </c>
      <c r="F721" t="s">
        <v>178</v>
      </c>
      <c r="G721" t="s">
        <v>1126</v>
      </c>
      <c r="H721" s="77">
        <v>69</v>
      </c>
      <c r="I721" s="124">
        <v>63</v>
      </c>
      <c r="J721" s="124">
        <v>4346.71</v>
      </c>
      <c r="K721" s="77">
        <v>60</v>
      </c>
      <c r="L721" t="s">
        <v>339</v>
      </c>
      <c r="M721" s="126">
        <v>869.34199999999998</v>
      </c>
      <c r="N721" s="124">
        <v>4346.71</v>
      </c>
      <c r="O721" t="s">
        <v>340</v>
      </c>
      <c r="P721" t="s">
        <v>294</v>
      </c>
    </row>
    <row r="722" spans="1:16" ht="15" customHeight="1" x14ac:dyDescent="0.25">
      <c r="A722" s="123">
        <v>46001</v>
      </c>
      <c r="B722" t="s">
        <v>386</v>
      </c>
      <c r="C722" t="s">
        <v>387</v>
      </c>
      <c r="D722" t="s">
        <v>223</v>
      </c>
      <c r="E722" t="s">
        <v>415</v>
      </c>
      <c r="F722" t="s">
        <v>178</v>
      </c>
      <c r="G722" t="s">
        <v>1127</v>
      </c>
      <c r="H722" s="77">
        <v>28</v>
      </c>
      <c r="I722" s="124">
        <v>76.989999999999995</v>
      </c>
      <c r="J722" s="124">
        <v>2155.73</v>
      </c>
      <c r="K722" s="77">
        <v>60</v>
      </c>
      <c r="L722" t="s">
        <v>345</v>
      </c>
      <c r="M722" s="126">
        <v>431.14600000000002</v>
      </c>
      <c r="N722" s="124">
        <v>2155.73</v>
      </c>
      <c r="O722" t="s">
        <v>340</v>
      </c>
      <c r="P722" t="s">
        <v>294</v>
      </c>
    </row>
    <row r="723" spans="1:16" ht="15" customHeight="1" x14ac:dyDescent="0.25">
      <c r="A723" s="123">
        <v>46017</v>
      </c>
      <c r="B723" t="s">
        <v>409</v>
      </c>
      <c r="C723" t="s">
        <v>410</v>
      </c>
      <c r="D723" t="s">
        <v>223</v>
      </c>
      <c r="E723" t="s">
        <v>352</v>
      </c>
      <c r="F723" t="s">
        <v>180</v>
      </c>
      <c r="G723" t="s">
        <v>1128</v>
      </c>
      <c r="H723" s="77">
        <v>56</v>
      </c>
      <c r="I723" s="124">
        <v>97.6</v>
      </c>
      <c r="J723" s="124">
        <v>5465.55</v>
      </c>
      <c r="K723" s="77">
        <v>60</v>
      </c>
      <c r="L723" t="s">
        <v>339</v>
      </c>
      <c r="M723" s="126">
        <v>1093.1099999999999</v>
      </c>
      <c r="N723" s="124">
        <v>5465.55</v>
      </c>
      <c r="O723" t="s">
        <v>346</v>
      </c>
      <c r="P723" t="s">
        <v>294</v>
      </c>
    </row>
    <row r="724" spans="1:16" ht="15" customHeight="1" x14ac:dyDescent="0.25">
      <c r="A724" s="123">
        <v>45893</v>
      </c>
      <c r="B724" t="s">
        <v>341</v>
      </c>
      <c r="C724" t="s">
        <v>342</v>
      </c>
      <c r="D724" t="s">
        <v>223</v>
      </c>
      <c r="E724" t="s">
        <v>442</v>
      </c>
      <c r="F724" t="s">
        <v>179</v>
      </c>
      <c r="G724" t="s">
        <v>1129</v>
      </c>
      <c r="H724" s="77">
        <v>43</v>
      </c>
      <c r="I724" s="124">
        <v>85.75</v>
      </c>
      <c r="J724" s="124">
        <v>3687.32</v>
      </c>
      <c r="K724" s="77">
        <v>30</v>
      </c>
      <c r="L724" t="s">
        <v>339</v>
      </c>
      <c r="M724" s="126">
        <v>737.46400000000006</v>
      </c>
      <c r="N724" s="124">
        <v>3687.32</v>
      </c>
      <c r="O724" t="s">
        <v>340</v>
      </c>
      <c r="P724" t="s">
        <v>294</v>
      </c>
    </row>
    <row r="725" spans="1:16" ht="15" customHeight="1" x14ac:dyDescent="0.25">
      <c r="A725" s="123">
        <v>45786</v>
      </c>
      <c r="B725" t="s">
        <v>383</v>
      </c>
      <c r="C725" t="s">
        <v>384</v>
      </c>
      <c r="D725" t="s">
        <v>225</v>
      </c>
      <c r="E725" t="s">
        <v>349</v>
      </c>
      <c r="F725" t="s">
        <v>177</v>
      </c>
      <c r="G725" t="s">
        <v>1130</v>
      </c>
      <c r="H725" s="77">
        <v>72</v>
      </c>
      <c r="I725" s="124">
        <v>180.6</v>
      </c>
      <c r="J725" s="124">
        <v>13003.23</v>
      </c>
      <c r="K725" s="77">
        <v>30</v>
      </c>
      <c r="L725" t="s">
        <v>351</v>
      </c>
      <c r="M725" s="126">
        <v>2600.6460000000002</v>
      </c>
      <c r="N725" s="124">
        <v>13003.23</v>
      </c>
      <c r="O725" t="s">
        <v>340</v>
      </c>
      <c r="P725" t="s">
        <v>294</v>
      </c>
    </row>
    <row r="726" spans="1:16" ht="15" customHeight="1" x14ac:dyDescent="0.25">
      <c r="A726" s="123">
        <v>45856</v>
      </c>
      <c r="B726" t="s">
        <v>354</v>
      </c>
      <c r="C726" t="s">
        <v>355</v>
      </c>
      <c r="D726" t="s">
        <v>227</v>
      </c>
      <c r="E726" t="s">
        <v>437</v>
      </c>
      <c r="F726" t="s">
        <v>181</v>
      </c>
      <c r="G726" t="s">
        <v>1131</v>
      </c>
      <c r="H726" s="77">
        <v>58</v>
      </c>
      <c r="I726" s="124">
        <v>241.68</v>
      </c>
      <c r="J726" s="124">
        <v>14017.29</v>
      </c>
      <c r="K726" s="77">
        <v>60</v>
      </c>
      <c r="L726" t="s">
        <v>345</v>
      </c>
      <c r="M726" s="126">
        <v>2803.4580000000001</v>
      </c>
      <c r="N726" s="124">
        <v>14017.29</v>
      </c>
      <c r="O726" t="s">
        <v>346</v>
      </c>
      <c r="P726" t="s">
        <v>294</v>
      </c>
    </row>
    <row r="727" spans="1:16" ht="15" customHeight="1" x14ac:dyDescent="0.25">
      <c r="A727" s="123">
        <v>45857</v>
      </c>
      <c r="B727" t="s">
        <v>383</v>
      </c>
      <c r="C727" t="s">
        <v>384</v>
      </c>
      <c r="D727" t="s">
        <v>225</v>
      </c>
      <c r="E727" t="s">
        <v>376</v>
      </c>
      <c r="F727" t="s">
        <v>182</v>
      </c>
      <c r="G727" t="s">
        <v>1132</v>
      </c>
      <c r="H727" s="77">
        <v>16</v>
      </c>
      <c r="I727" s="124">
        <v>85.86</v>
      </c>
      <c r="J727" s="124">
        <v>1373.72</v>
      </c>
      <c r="K727" s="77">
        <v>60</v>
      </c>
      <c r="L727" t="s">
        <v>339</v>
      </c>
      <c r="M727" s="126">
        <v>274.74400000000003</v>
      </c>
      <c r="N727" s="124">
        <v>1373.72</v>
      </c>
      <c r="O727" t="s">
        <v>340</v>
      </c>
      <c r="P727" t="s">
        <v>294</v>
      </c>
    </row>
    <row r="728" spans="1:16" ht="15" customHeight="1" x14ac:dyDescent="0.25">
      <c r="A728" s="123">
        <v>45957</v>
      </c>
      <c r="B728" t="s">
        <v>335</v>
      </c>
      <c r="C728" t="s">
        <v>336</v>
      </c>
      <c r="D728" t="s">
        <v>223</v>
      </c>
      <c r="E728" t="s">
        <v>343</v>
      </c>
      <c r="F728" t="s">
        <v>178</v>
      </c>
      <c r="G728" t="s">
        <v>1133</v>
      </c>
      <c r="H728" s="77">
        <v>6</v>
      </c>
      <c r="I728" s="124">
        <v>65.66</v>
      </c>
      <c r="J728" s="124">
        <v>393.97</v>
      </c>
      <c r="K728" s="77">
        <v>60</v>
      </c>
      <c r="L728" t="s">
        <v>339</v>
      </c>
      <c r="M728" s="126">
        <v>78.793999999999997</v>
      </c>
      <c r="N728" s="124">
        <v>393.97</v>
      </c>
      <c r="O728" t="s">
        <v>346</v>
      </c>
      <c r="P728" t="s">
        <v>294</v>
      </c>
    </row>
    <row r="729" spans="1:16" ht="15" customHeight="1" x14ac:dyDescent="0.25">
      <c r="A729" s="123">
        <v>46009</v>
      </c>
      <c r="B729" t="s">
        <v>401</v>
      </c>
      <c r="C729" t="s">
        <v>402</v>
      </c>
      <c r="D729" t="s">
        <v>221</v>
      </c>
      <c r="E729" t="s">
        <v>368</v>
      </c>
      <c r="F729" t="s">
        <v>178</v>
      </c>
      <c r="G729" t="s">
        <v>1134</v>
      </c>
      <c r="H729" s="77">
        <v>39</v>
      </c>
      <c r="I729" s="124">
        <v>78.69</v>
      </c>
      <c r="J729" s="124">
        <v>3069.04</v>
      </c>
      <c r="K729" s="77">
        <v>60</v>
      </c>
      <c r="L729" t="s">
        <v>339</v>
      </c>
      <c r="M729" s="126">
        <v>613.80799999999999</v>
      </c>
      <c r="N729" s="124">
        <v>3069.04</v>
      </c>
      <c r="O729" t="s">
        <v>346</v>
      </c>
      <c r="P729" t="s">
        <v>294</v>
      </c>
    </row>
    <row r="730" spans="1:16" ht="15" customHeight="1" x14ac:dyDescent="0.25">
      <c r="A730" s="123">
        <v>45860</v>
      </c>
      <c r="B730" t="s">
        <v>488</v>
      </c>
      <c r="C730" t="s">
        <v>489</v>
      </c>
      <c r="D730" t="s">
        <v>225</v>
      </c>
      <c r="E730" t="s">
        <v>427</v>
      </c>
      <c r="F730" t="s">
        <v>184</v>
      </c>
      <c r="G730" t="s">
        <v>1135</v>
      </c>
      <c r="H730" s="77">
        <v>4</v>
      </c>
      <c r="I730" s="124">
        <v>55.74</v>
      </c>
      <c r="J730" s="124">
        <v>222.94</v>
      </c>
      <c r="K730" s="77">
        <v>45</v>
      </c>
      <c r="L730" t="s">
        <v>339</v>
      </c>
      <c r="M730" s="126">
        <v>44.588000000000001</v>
      </c>
      <c r="N730" s="124">
        <v>222.94</v>
      </c>
      <c r="O730" t="s">
        <v>346</v>
      </c>
      <c r="P730" t="s">
        <v>294</v>
      </c>
    </row>
    <row r="731" spans="1:16" ht="15" customHeight="1" x14ac:dyDescent="0.25">
      <c r="A731" s="123">
        <v>45858</v>
      </c>
      <c r="B731" t="s">
        <v>401</v>
      </c>
      <c r="C731" t="s">
        <v>402</v>
      </c>
      <c r="D731" t="s">
        <v>221</v>
      </c>
      <c r="E731" t="s">
        <v>423</v>
      </c>
      <c r="F731" t="s">
        <v>180</v>
      </c>
      <c r="G731" t="s">
        <v>1136</v>
      </c>
      <c r="H731" s="77">
        <v>70</v>
      </c>
      <c r="I731" s="124">
        <v>162.94</v>
      </c>
      <c r="J731" s="124">
        <v>11405.93</v>
      </c>
      <c r="K731" s="77">
        <v>45</v>
      </c>
      <c r="L731" t="s">
        <v>351</v>
      </c>
      <c r="M731" s="126">
        <v>2281.1860000000001</v>
      </c>
      <c r="N731" s="124">
        <v>11405.93</v>
      </c>
      <c r="O731" t="s">
        <v>346</v>
      </c>
      <c r="P731" t="s">
        <v>294</v>
      </c>
    </row>
    <row r="732" spans="1:16" ht="15" customHeight="1" x14ac:dyDescent="0.25">
      <c r="A732" s="123">
        <v>45989</v>
      </c>
      <c r="B732" t="s">
        <v>488</v>
      </c>
      <c r="C732" t="s">
        <v>489</v>
      </c>
      <c r="D732" t="s">
        <v>225</v>
      </c>
      <c r="E732" t="s">
        <v>403</v>
      </c>
      <c r="F732" t="s">
        <v>181</v>
      </c>
      <c r="G732" t="s">
        <v>1137</v>
      </c>
      <c r="H732" s="77">
        <v>48</v>
      </c>
      <c r="I732" s="124">
        <v>245.02</v>
      </c>
      <c r="J732" s="124">
        <v>11760.99</v>
      </c>
      <c r="K732" s="77">
        <v>30</v>
      </c>
      <c r="L732" t="s">
        <v>351</v>
      </c>
      <c r="M732" s="126">
        <v>2352.1979999999999</v>
      </c>
      <c r="N732" s="124">
        <v>11760.99</v>
      </c>
      <c r="O732" t="s">
        <v>346</v>
      </c>
      <c r="P732" t="s">
        <v>294</v>
      </c>
    </row>
    <row r="733" spans="1:16" ht="15" customHeight="1" x14ac:dyDescent="0.25">
      <c r="A733" s="123">
        <v>45679</v>
      </c>
      <c r="B733" t="s">
        <v>366</v>
      </c>
      <c r="C733" t="s">
        <v>367</v>
      </c>
      <c r="D733" t="s">
        <v>221</v>
      </c>
      <c r="E733" t="s">
        <v>442</v>
      </c>
      <c r="F733" t="s">
        <v>179</v>
      </c>
      <c r="G733" t="s">
        <v>1138</v>
      </c>
      <c r="H733" s="77">
        <v>1</v>
      </c>
      <c r="I733" s="124">
        <v>105.09</v>
      </c>
      <c r="J733" s="124">
        <v>105.09</v>
      </c>
      <c r="K733" s="77">
        <v>60</v>
      </c>
      <c r="L733" t="s">
        <v>351</v>
      </c>
      <c r="M733" s="126">
        <v>21.018000000000001</v>
      </c>
      <c r="N733" s="124">
        <v>105.09</v>
      </c>
      <c r="O733" t="s">
        <v>340</v>
      </c>
      <c r="P733" t="s">
        <v>294</v>
      </c>
    </row>
    <row r="734" spans="1:16" ht="15" customHeight="1" x14ac:dyDescent="0.25">
      <c r="A734" s="123">
        <v>45765</v>
      </c>
      <c r="B734" t="s">
        <v>398</v>
      </c>
      <c r="C734" t="s">
        <v>399</v>
      </c>
      <c r="D734" t="s">
        <v>227</v>
      </c>
      <c r="E734" t="s">
        <v>368</v>
      </c>
      <c r="F734" t="s">
        <v>178</v>
      </c>
      <c r="G734" t="s">
        <v>1139</v>
      </c>
      <c r="H734" s="77">
        <v>45</v>
      </c>
      <c r="I734" s="124">
        <v>81.36</v>
      </c>
      <c r="J734" s="124">
        <v>3661.36</v>
      </c>
      <c r="K734" s="77">
        <v>30</v>
      </c>
      <c r="L734" t="s">
        <v>345</v>
      </c>
      <c r="M734" s="126">
        <v>732.27200000000005</v>
      </c>
      <c r="N734" s="124">
        <v>3661.36</v>
      </c>
      <c r="O734" t="s">
        <v>346</v>
      </c>
      <c r="P734" t="s">
        <v>294</v>
      </c>
    </row>
    <row r="735" spans="1:16" ht="15" customHeight="1" x14ac:dyDescent="0.25">
      <c r="A735" s="123">
        <v>45752</v>
      </c>
      <c r="B735" t="s">
        <v>354</v>
      </c>
      <c r="C735" t="s">
        <v>355</v>
      </c>
      <c r="D735" t="s">
        <v>227</v>
      </c>
      <c r="E735" t="s">
        <v>442</v>
      </c>
      <c r="F735" t="s">
        <v>179</v>
      </c>
      <c r="G735" t="s">
        <v>1140</v>
      </c>
      <c r="H735" s="77">
        <v>29</v>
      </c>
      <c r="I735" s="124">
        <v>70.569999999999993</v>
      </c>
      <c r="J735" s="124">
        <v>2046.39</v>
      </c>
      <c r="K735" s="77">
        <v>60</v>
      </c>
      <c r="L735" t="s">
        <v>345</v>
      </c>
      <c r="M735" s="126">
        <v>409.27800000000002</v>
      </c>
      <c r="N735" s="124">
        <v>2046.39</v>
      </c>
      <c r="O735" t="s">
        <v>340</v>
      </c>
      <c r="P735" t="s">
        <v>294</v>
      </c>
    </row>
    <row r="736" spans="1:16" ht="15" customHeight="1" x14ac:dyDescent="0.25">
      <c r="A736" s="123">
        <v>46001</v>
      </c>
      <c r="B736" t="s">
        <v>386</v>
      </c>
      <c r="C736" t="s">
        <v>387</v>
      </c>
      <c r="D736" t="s">
        <v>223</v>
      </c>
      <c r="E736" t="s">
        <v>415</v>
      </c>
      <c r="F736" t="s">
        <v>178</v>
      </c>
      <c r="G736" t="s">
        <v>1141</v>
      </c>
      <c r="H736" s="77">
        <v>73</v>
      </c>
      <c r="I736" s="124">
        <v>114.48</v>
      </c>
      <c r="J736" s="124">
        <v>8357.23</v>
      </c>
      <c r="K736" s="77">
        <v>30</v>
      </c>
      <c r="L736" t="s">
        <v>351</v>
      </c>
      <c r="M736" s="126">
        <v>1671.4459999999999</v>
      </c>
      <c r="N736" s="124">
        <v>8357.23</v>
      </c>
      <c r="O736" t="s">
        <v>340</v>
      </c>
      <c r="P736" t="s">
        <v>294</v>
      </c>
    </row>
    <row r="737" spans="1:16" ht="15" customHeight="1" x14ac:dyDescent="0.25">
      <c r="A737" s="123">
        <v>46001</v>
      </c>
      <c r="B737" t="s">
        <v>383</v>
      </c>
      <c r="C737" t="s">
        <v>384</v>
      </c>
      <c r="D737" t="s">
        <v>225</v>
      </c>
      <c r="E737" t="s">
        <v>368</v>
      </c>
      <c r="F737" t="s">
        <v>178</v>
      </c>
      <c r="G737" t="s">
        <v>1142</v>
      </c>
      <c r="H737" s="77">
        <v>9</v>
      </c>
      <c r="I737" s="124">
        <v>84.29</v>
      </c>
      <c r="J737" s="124">
        <v>758.65</v>
      </c>
      <c r="K737" s="77">
        <v>45</v>
      </c>
      <c r="L737" t="s">
        <v>339</v>
      </c>
      <c r="M737" s="126">
        <v>151.72999999999999</v>
      </c>
      <c r="N737" s="124">
        <v>758.65</v>
      </c>
      <c r="O737" t="s">
        <v>346</v>
      </c>
      <c r="P737" t="s">
        <v>294</v>
      </c>
    </row>
    <row r="738" spans="1:16" ht="15" customHeight="1" x14ac:dyDescent="0.25">
      <c r="A738" s="123">
        <v>45840</v>
      </c>
      <c r="B738" t="s">
        <v>335</v>
      </c>
      <c r="C738" t="s">
        <v>336</v>
      </c>
      <c r="D738" t="s">
        <v>223</v>
      </c>
      <c r="E738" t="s">
        <v>427</v>
      </c>
      <c r="F738" t="s">
        <v>184</v>
      </c>
      <c r="G738" t="s">
        <v>1143</v>
      </c>
      <c r="H738" s="77">
        <v>17</v>
      </c>
      <c r="I738" s="124">
        <v>86.34</v>
      </c>
      <c r="J738" s="124">
        <v>1467.8</v>
      </c>
      <c r="K738" s="77">
        <v>60</v>
      </c>
      <c r="L738" t="s">
        <v>351</v>
      </c>
      <c r="M738" s="126">
        <v>293.56</v>
      </c>
      <c r="N738" s="124">
        <v>1467.8</v>
      </c>
      <c r="O738" t="s">
        <v>346</v>
      </c>
      <c r="P738" t="s">
        <v>294</v>
      </c>
    </row>
    <row r="739" spans="1:16" ht="15" customHeight="1" x14ac:dyDescent="0.25">
      <c r="A739" s="123">
        <v>45975</v>
      </c>
      <c r="B739" t="s">
        <v>358</v>
      </c>
      <c r="C739" t="s">
        <v>359</v>
      </c>
      <c r="D739" t="s">
        <v>225</v>
      </c>
      <c r="E739" t="s">
        <v>368</v>
      </c>
      <c r="F739" t="s">
        <v>178</v>
      </c>
      <c r="G739" t="s">
        <v>1144</v>
      </c>
      <c r="H739" s="77">
        <v>9</v>
      </c>
      <c r="I739" s="124">
        <v>111.59</v>
      </c>
      <c r="J739" s="124">
        <v>1004.35</v>
      </c>
      <c r="K739" s="77">
        <v>30</v>
      </c>
      <c r="L739" t="s">
        <v>345</v>
      </c>
      <c r="M739" s="126">
        <v>200.87</v>
      </c>
      <c r="N739" s="124">
        <v>1004.35</v>
      </c>
      <c r="O739" t="s">
        <v>346</v>
      </c>
      <c r="P739" t="s">
        <v>294</v>
      </c>
    </row>
    <row r="740" spans="1:16" ht="15" customHeight="1" x14ac:dyDescent="0.25">
      <c r="A740" s="123">
        <v>45973</v>
      </c>
      <c r="B740" t="s">
        <v>362</v>
      </c>
      <c r="C740" t="s">
        <v>363</v>
      </c>
      <c r="D740" t="s">
        <v>221</v>
      </c>
      <c r="E740" t="s">
        <v>427</v>
      </c>
      <c r="F740" t="s">
        <v>184</v>
      </c>
      <c r="G740" t="s">
        <v>1145</v>
      </c>
      <c r="H740" s="77">
        <v>40</v>
      </c>
      <c r="I740" s="124">
        <v>187.45</v>
      </c>
      <c r="J740" s="124">
        <v>7497.9</v>
      </c>
      <c r="K740" s="77">
        <v>60</v>
      </c>
      <c r="L740" t="s">
        <v>351</v>
      </c>
      <c r="M740" s="126">
        <v>1499.58</v>
      </c>
      <c r="N740" s="124">
        <v>7497.9</v>
      </c>
      <c r="O740" t="s">
        <v>346</v>
      </c>
      <c r="P740" t="s">
        <v>294</v>
      </c>
    </row>
    <row r="741" spans="1:16" ht="15" customHeight="1" x14ac:dyDescent="0.25">
      <c r="A741" s="123">
        <v>45877</v>
      </c>
      <c r="B741" t="s">
        <v>335</v>
      </c>
      <c r="C741" t="s">
        <v>336</v>
      </c>
      <c r="D741" t="s">
        <v>223</v>
      </c>
      <c r="E741" t="s">
        <v>420</v>
      </c>
      <c r="F741" t="s">
        <v>182</v>
      </c>
      <c r="G741" t="s">
        <v>1146</v>
      </c>
      <c r="H741" s="77">
        <v>22</v>
      </c>
      <c r="I741" s="124">
        <v>165.97</v>
      </c>
      <c r="J741" s="124">
        <v>3651.24</v>
      </c>
      <c r="K741" s="77">
        <v>30</v>
      </c>
      <c r="L741" t="s">
        <v>345</v>
      </c>
      <c r="M741" s="126">
        <v>730.24800000000005</v>
      </c>
      <c r="N741" s="124">
        <v>3651.24</v>
      </c>
      <c r="O741" t="s">
        <v>346</v>
      </c>
      <c r="P741" t="s">
        <v>294</v>
      </c>
    </row>
    <row r="742" spans="1:16" ht="15" customHeight="1" x14ac:dyDescent="0.25">
      <c r="A742" s="123">
        <v>45986</v>
      </c>
      <c r="B742" t="s">
        <v>354</v>
      </c>
      <c r="C742" t="s">
        <v>355</v>
      </c>
      <c r="D742" t="s">
        <v>227</v>
      </c>
      <c r="E742" t="s">
        <v>352</v>
      </c>
      <c r="F742" t="s">
        <v>180</v>
      </c>
      <c r="G742" t="s">
        <v>1147</v>
      </c>
      <c r="H742" s="77">
        <v>56</v>
      </c>
      <c r="I742" s="124">
        <v>90.83</v>
      </c>
      <c r="J742" s="124">
        <v>5086.43</v>
      </c>
      <c r="K742" s="77">
        <v>45</v>
      </c>
      <c r="L742" t="s">
        <v>345</v>
      </c>
      <c r="M742" s="126">
        <v>1017.2859999999999</v>
      </c>
      <c r="N742" s="124">
        <v>5086.43</v>
      </c>
      <c r="O742" t="s">
        <v>346</v>
      </c>
      <c r="P742" t="s">
        <v>294</v>
      </c>
    </row>
    <row r="743" spans="1:16" ht="15" customHeight="1" x14ac:dyDescent="0.25">
      <c r="A743" s="123">
        <v>45894</v>
      </c>
      <c r="B743" t="s">
        <v>386</v>
      </c>
      <c r="C743" t="s">
        <v>387</v>
      </c>
      <c r="D743" t="s">
        <v>223</v>
      </c>
      <c r="E743" t="s">
        <v>420</v>
      </c>
      <c r="F743" t="s">
        <v>182</v>
      </c>
      <c r="G743" t="s">
        <v>1148</v>
      </c>
      <c r="H743" s="77">
        <v>58</v>
      </c>
      <c r="I743" s="124">
        <v>47</v>
      </c>
      <c r="J743" s="124">
        <v>2725.9</v>
      </c>
      <c r="K743" s="77">
        <v>45</v>
      </c>
      <c r="L743" t="s">
        <v>345</v>
      </c>
      <c r="M743" s="126">
        <v>545.17999999999995</v>
      </c>
      <c r="N743" s="124">
        <v>2725.9</v>
      </c>
      <c r="O743" t="s">
        <v>346</v>
      </c>
      <c r="P743" t="s">
        <v>294</v>
      </c>
    </row>
    <row r="744" spans="1:16" ht="15" customHeight="1" x14ac:dyDescent="0.25">
      <c r="A744" s="123">
        <v>45988</v>
      </c>
      <c r="B744" t="s">
        <v>409</v>
      </c>
      <c r="C744" t="s">
        <v>410</v>
      </c>
      <c r="D744" t="s">
        <v>223</v>
      </c>
      <c r="E744" t="s">
        <v>415</v>
      </c>
      <c r="F744" t="s">
        <v>178</v>
      </c>
      <c r="G744" t="s">
        <v>1149</v>
      </c>
      <c r="H744" s="77">
        <v>78</v>
      </c>
      <c r="I744" s="124">
        <v>46.1</v>
      </c>
      <c r="J744" s="124">
        <v>3595.53</v>
      </c>
      <c r="K744" s="77">
        <v>30</v>
      </c>
      <c r="L744" t="s">
        <v>345</v>
      </c>
      <c r="M744" s="126">
        <v>719.10599999999999</v>
      </c>
      <c r="N744" s="124">
        <v>3595.53</v>
      </c>
      <c r="O744" t="s">
        <v>340</v>
      </c>
      <c r="P744" t="s">
        <v>294</v>
      </c>
    </row>
    <row r="745" spans="1:16" ht="15" customHeight="1" x14ac:dyDescent="0.25">
      <c r="A745" s="123">
        <v>45978</v>
      </c>
      <c r="B745" t="s">
        <v>390</v>
      </c>
      <c r="C745" t="s">
        <v>391</v>
      </c>
      <c r="D745" t="s">
        <v>221</v>
      </c>
      <c r="E745" t="s">
        <v>360</v>
      </c>
      <c r="F745" t="s">
        <v>180</v>
      </c>
      <c r="G745" t="s">
        <v>1150</v>
      </c>
      <c r="H745" s="77">
        <v>10</v>
      </c>
      <c r="I745" s="124">
        <v>253.61</v>
      </c>
      <c r="J745" s="124">
        <v>2536.13</v>
      </c>
      <c r="K745" s="77">
        <v>60</v>
      </c>
      <c r="L745" t="s">
        <v>339</v>
      </c>
      <c r="M745" s="126">
        <v>507.226</v>
      </c>
      <c r="N745" s="124">
        <v>2536.13</v>
      </c>
      <c r="O745" t="s">
        <v>346</v>
      </c>
      <c r="P745" t="s">
        <v>294</v>
      </c>
    </row>
    <row r="746" spans="1:16" ht="15" customHeight="1" x14ac:dyDescent="0.25">
      <c r="A746" s="123">
        <v>45954</v>
      </c>
      <c r="B746" t="s">
        <v>335</v>
      </c>
      <c r="C746" t="s">
        <v>336</v>
      </c>
      <c r="D746" t="s">
        <v>223</v>
      </c>
      <c r="E746" t="s">
        <v>440</v>
      </c>
      <c r="F746" t="s">
        <v>177</v>
      </c>
      <c r="G746" t="s">
        <v>1151</v>
      </c>
      <c r="H746" s="77">
        <v>52</v>
      </c>
      <c r="I746" s="124">
        <v>159.53</v>
      </c>
      <c r="J746" s="124">
        <v>8295.33</v>
      </c>
      <c r="K746" s="77">
        <v>60</v>
      </c>
      <c r="L746" t="s">
        <v>339</v>
      </c>
      <c r="M746" s="126">
        <v>1659.066</v>
      </c>
      <c r="N746" s="124">
        <v>8295.33</v>
      </c>
      <c r="O746" t="s">
        <v>346</v>
      </c>
      <c r="P746" t="s">
        <v>294</v>
      </c>
    </row>
    <row r="747" spans="1:16" ht="15" customHeight="1" x14ac:dyDescent="0.25">
      <c r="A747" s="123">
        <v>45934</v>
      </c>
      <c r="B747" t="s">
        <v>354</v>
      </c>
      <c r="C747" t="s">
        <v>355</v>
      </c>
      <c r="D747" t="s">
        <v>227</v>
      </c>
      <c r="E747" t="s">
        <v>403</v>
      </c>
      <c r="F747" t="s">
        <v>181</v>
      </c>
      <c r="G747" t="s">
        <v>1152</v>
      </c>
      <c r="H747" s="77">
        <v>61</v>
      </c>
      <c r="I747" s="124">
        <v>147.59</v>
      </c>
      <c r="J747" s="124">
        <v>9003.26</v>
      </c>
      <c r="K747" s="77">
        <v>60</v>
      </c>
      <c r="L747" t="s">
        <v>339</v>
      </c>
      <c r="M747" s="126">
        <v>1800.652</v>
      </c>
      <c r="N747" s="124">
        <v>9003.26</v>
      </c>
      <c r="O747" t="s">
        <v>346</v>
      </c>
      <c r="P747" t="s">
        <v>294</v>
      </c>
    </row>
    <row r="748" spans="1:16" ht="15" customHeight="1" x14ac:dyDescent="0.25">
      <c r="A748" s="123">
        <v>45959</v>
      </c>
      <c r="B748" t="s">
        <v>347</v>
      </c>
      <c r="C748" t="s">
        <v>348</v>
      </c>
      <c r="D748" t="s">
        <v>223</v>
      </c>
      <c r="E748" t="s">
        <v>235</v>
      </c>
      <c r="F748" t="s">
        <v>183</v>
      </c>
      <c r="G748" t="s">
        <v>1153</v>
      </c>
      <c r="H748" s="77">
        <v>38</v>
      </c>
      <c r="I748" s="124">
        <v>332.45</v>
      </c>
      <c r="J748" s="124">
        <v>12633.29</v>
      </c>
      <c r="K748" s="77">
        <v>30</v>
      </c>
      <c r="L748" t="s">
        <v>345</v>
      </c>
      <c r="M748" s="126">
        <v>2526.6579999999999</v>
      </c>
      <c r="N748" s="124">
        <v>12633.29</v>
      </c>
      <c r="O748" t="s">
        <v>346</v>
      </c>
      <c r="P748" t="s">
        <v>294</v>
      </c>
    </row>
    <row r="749" spans="1:16" ht="15" customHeight="1" x14ac:dyDescent="0.25">
      <c r="A749" s="123">
        <v>45844</v>
      </c>
      <c r="B749" t="s">
        <v>354</v>
      </c>
      <c r="C749" t="s">
        <v>355</v>
      </c>
      <c r="D749" t="s">
        <v>227</v>
      </c>
      <c r="E749" t="s">
        <v>368</v>
      </c>
      <c r="F749" t="s">
        <v>178</v>
      </c>
      <c r="G749" t="s">
        <v>1154</v>
      </c>
      <c r="H749" s="77">
        <v>65</v>
      </c>
      <c r="I749" s="124">
        <v>42.9</v>
      </c>
      <c r="J749" s="124">
        <v>2788.65</v>
      </c>
      <c r="K749" s="77">
        <v>30</v>
      </c>
      <c r="L749" t="s">
        <v>351</v>
      </c>
      <c r="M749" s="126">
        <v>557.73</v>
      </c>
      <c r="N749" s="124">
        <v>2788.65</v>
      </c>
      <c r="O749" t="s">
        <v>346</v>
      </c>
      <c r="P749" t="s">
        <v>294</v>
      </c>
    </row>
    <row r="750" spans="1:16" ht="15" customHeight="1" x14ac:dyDescent="0.25">
      <c r="A750" s="123">
        <v>45729</v>
      </c>
      <c r="B750" t="s">
        <v>362</v>
      </c>
      <c r="C750" t="s">
        <v>363</v>
      </c>
      <c r="D750" t="s">
        <v>221</v>
      </c>
      <c r="E750" t="s">
        <v>412</v>
      </c>
      <c r="F750" t="s">
        <v>179</v>
      </c>
      <c r="G750" t="s">
        <v>1155</v>
      </c>
      <c r="H750" s="77">
        <v>58</v>
      </c>
      <c r="I750" s="124">
        <v>128.59</v>
      </c>
      <c r="J750" s="124">
        <v>7458.17</v>
      </c>
      <c r="K750" s="77">
        <v>30</v>
      </c>
      <c r="L750" t="s">
        <v>339</v>
      </c>
      <c r="M750" s="126">
        <v>1491.634</v>
      </c>
      <c r="N750" s="124">
        <v>7458.17</v>
      </c>
      <c r="O750" t="s">
        <v>346</v>
      </c>
      <c r="P750" t="s">
        <v>294</v>
      </c>
    </row>
    <row r="751" spans="1:16" ht="15" customHeight="1" x14ac:dyDescent="0.25">
      <c r="A751" s="123">
        <v>45905</v>
      </c>
      <c r="B751" t="s">
        <v>335</v>
      </c>
      <c r="C751" t="s">
        <v>336</v>
      </c>
      <c r="D751" t="s">
        <v>223</v>
      </c>
      <c r="E751" t="s">
        <v>412</v>
      </c>
      <c r="F751" t="s">
        <v>179</v>
      </c>
      <c r="G751" t="s">
        <v>1156</v>
      </c>
      <c r="H751" s="77">
        <v>46</v>
      </c>
      <c r="I751" s="124">
        <v>83.04</v>
      </c>
      <c r="J751" s="124">
        <v>3819.73</v>
      </c>
      <c r="K751" s="77">
        <v>30</v>
      </c>
      <c r="L751" t="s">
        <v>339</v>
      </c>
      <c r="M751" s="126">
        <v>763.94600000000003</v>
      </c>
      <c r="N751" s="124">
        <v>3819.73</v>
      </c>
      <c r="O751" t="s">
        <v>346</v>
      </c>
      <c r="P751" t="s">
        <v>294</v>
      </c>
    </row>
    <row r="752" spans="1:16" ht="15" customHeight="1" x14ac:dyDescent="0.25">
      <c r="A752" s="123">
        <v>45690</v>
      </c>
      <c r="B752" t="s">
        <v>398</v>
      </c>
      <c r="C752" t="s">
        <v>399</v>
      </c>
      <c r="D752" t="s">
        <v>227</v>
      </c>
      <c r="E752" t="s">
        <v>396</v>
      </c>
      <c r="F752" t="s">
        <v>184</v>
      </c>
      <c r="G752" t="s">
        <v>1157</v>
      </c>
      <c r="H752" s="77">
        <v>34</v>
      </c>
      <c r="I752" s="124">
        <v>45.14</v>
      </c>
      <c r="J752" s="124">
        <v>1534.67</v>
      </c>
      <c r="K752" s="77">
        <v>45</v>
      </c>
      <c r="L752" t="s">
        <v>339</v>
      </c>
      <c r="M752" s="126">
        <v>306.93400000000003</v>
      </c>
      <c r="N752" s="124">
        <v>1534.67</v>
      </c>
      <c r="O752" t="s">
        <v>346</v>
      </c>
      <c r="P752" t="s">
        <v>294</v>
      </c>
    </row>
    <row r="753" spans="1:16" ht="15" customHeight="1" x14ac:dyDescent="0.25">
      <c r="A753" s="123">
        <v>45842</v>
      </c>
      <c r="B753" t="s">
        <v>409</v>
      </c>
      <c r="C753" t="s">
        <v>410</v>
      </c>
      <c r="D753" t="s">
        <v>223</v>
      </c>
      <c r="E753" t="s">
        <v>352</v>
      </c>
      <c r="F753" t="s">
        <v>180</v>
      </c>
      <c r="G753" t="s">
        <v>1158</v>
      </c>
      <c r="H753" s="77">
        <v>50</v>
      </c>
      <c r="I753" s="124">
        <v>118.87</v>
      </c>
      <c r="J753" s="124">
        <v>5943.52</v>
      </c>
      <c r="K753" s="77">
        <v>45</v>
      </c>
      <c r="L753" t="s">
        <v>345</v>
      </c>
      <c r="M753" s="126">
        <v>1188.704</v>
      </c>
      <c r="N753" s="124">
        <v>5943.52</v>
      </c>
      <c r="O753" t="s">
        <v>346</v>
      </c>
      <c r="P753" t="s">
        <v>294</v>
      </c>
    </row>
    <row r="754" spans="1:16" ht="15" customHeight="1" x14ac:dyDescent="0.25">
      <c r="A754" s="123">
        <v>45823</v>
      </c>
      <c r="B754" t="s">
        <v>341</v>
      </c>
      <c r="C754" t="s">
        <v>342</v>
      </c>
      <c r="D754" t="s">
        <v>223</v>
      </c>
      <c r="E754" t="s">
        <v>440</v>
      </c>
      <c r="F754" t="s">
        <v>177</v>
      </c>
      <c r="G754" t="s">
        <v>1159</v>
      </c>
      <c r="H754" s="77">
        <v>14</v>
      </c>
      <c r="I754" s="124">
        <v>70.16</v>
      </c>
      <c r="J754" s="124">
        <v>982.22</v>
      </c>
      <c r="K754" s="77">
        <v>60</v>
      </c>
      <c r="L754" t="s">
        <v>351</v>
      </c>
      <c r="M754" s="126">
        <v>196.44399999999999</v>
      </c>
      <c r="N754" s="124">
        <v>982.22</v>
      </c>
      <c r="O754" t="s">
        <v>346</v>
      </c>
      <c r="P754" t="s">
        <v>294</v>
      </c>
    </row>
    <row r="755" spans="1:16" ht="15" customHeight="1" x14ac:dyDescent="0.25">
      <c r="A755" s="123">
        <v>45792</v>
      </c>
      <c r="B755" t="s">
        <v>335</v>
      </c>
      <c r="C755" t="s">
        <v>336</v>
      </c>
      <c r="D755" t="s">
        <v>223</v>
      </c>
      <c r="E755" t="s">
        <v>403</v>
      </c>
      <c r="F755" t="s">
        <v>181</v>
      </c>
      <c r="G755" t="s">
        <v>1160</v>
      </c>
      <c r="H755" s="77">
        <v>75</v>
      </c>
      <c r="I755" s="124">
        <v>392.73</v>
      </c>
      <c r="J755" s="124">
        <v>29454.99</v>
      </c>
      <c r="K755" s="77">
        <v>60</v>
      </c>
      <c r="L755" t="s">
        <v>351</v>
      </c>
      <c r="M755" s="126">
        <v>5890.9979999999996</v>
      </c>
      <c r="N755" s="124">
        <v>29454.99</v>
      </c>
      <c r="O755" t="s">
        <v>346</v>
      </c>
      <c r="P755" t="s">
        <v>294</v>
      </c>
    </row>
    <row r="756" spans="1:16" ht="15" customHeight="1" x14ac:dyDescent="0.25">
      <c r="A756" s="123">
        <v>45851</v>
      </c>
      <c r="B756" t="s">
        <v>370</v>
      </c>
      <c r="C756" t="s">
        <v>371</v>
      </c>
      <c r="D756" t="s">
        <v>227</v>
      </c>
      <c r="E756" t="s">
        <v>236</v>
      </c>
      <c r="F756" t="s">
        <v>183</v>
      </c>
      <c r="G756" t="s">
        <v>1161</v>
      </c>
      <c r="H756" s="77">
        <v>47</v>
      </c>
      <c r="I756" s="124">
        <v>177.97</v>
      </c>
      <c r="J756" s="124">
        <v>8364.57</v>
      </c>
      <c r="K756" s="77">
        <v>60</v>
      </c>
      <c r="L756" t="s">
        <v>351</v>
      </c>
      <c r="M756" s="126">
        <v>1672.914</v>
      </c>
      <c r="N756" s="124">
        <v>8364.57</v>
      </c>
      <c r="O756" t="s">
        <v>346</v>
      </c>
      <c r="P756" t="s">
        <v>294</v>
      </c>
    </row>
    <row r="757" spans="1:16" ht="15" customHeight="1" x14ac:dyDescent="0.25">
      <c r="A757" s="123">
        <v>45772</v>
      </c>
      <c r="B757" t="s">
        <v>406</v>
      </c>
      <c r="C757" t="s">
        <v>407</v>
      </c>
      <c r="D757" t="s">
        <v>225</v>
      </c>
      <c r="E757" t="s">
        <v>437</v>
      </c>
      <c r="F757" t="s">
        <v>181</v>
      </c>
      <c r="G757" t="s">
        <v>1162</v>
      </c>
      <c r="H757" s="77">
        <v>67</v>
      </c>
      <c r="I757" s="124">
        <v>935.83</v>
      </c>
      <c r="J757" s="124">
        <v>62700.85</v>
      </c>
      <c r="K757" s="77">
        <v>45</v>
      </c>
      <c r="L757" t="s">
        <v>345</v>
      </c>
      <c r="M757" s="126">
        <v>12540.17</v>
      </c>
      <c r="N757" s="124">
        <v>62700.85</v>
      </c>
      <c r="O757" t="s">
        <v>346</v>
      </c>
      <c r="P757" t="s">
        <v>294</v>
      </c>
    </row>
    <row r="758" spans="1:16" ht="15" customHeight="1" x14ac:dyDescent="0.25">
      <c r="A758" s="123">
        <v>45967</v>
      </c>
      <c r="B758" t="s">
        <v>488</v>
      </c>
      <c r="C758" t="s">
        <v>489</v>
      </c>
      <c r="D758" t="s">
        <v>225</v>
      </c>
      <c r="E758" t="s">
        <v>427</v>
      </c>
      <c r="F758" t="s">
        <v>184</v>
      </c>
      <c r="G758" t="s">
        <v>1163</v>
      </c>
      <c r="H758" s="77">
        <v>1</v>
      </c>
      <c r="I758" s="124">
        <v>98.38</v>
      </c>
      <c r="J758" s="124">
        <v>98.38</v>
      </c>
      <c r="K758" s="77">
        <v>60</v>
      </c>
      <c r="L758" t="s">
        <v>339</v>
      </c>
      <c r="M758" s="126">
        <v>19.675999999999998</v>
      </c>
      <c r="N758" s="124">
        <v>98.38</v>
      </c>
      <c r="O758" t="s">
        <v>346</v>
      </c>
      <c r="P758" t="s">
        <v>294</v>
      </c>
    </row>
    <row r="759" spans="1:16" ht="15" customHeight="1" x14ac:dyDescent="0.25">
      <c r="A759" s="123">
        <v>45697</v>
      </c>
      <c r="B759" t="s">
        <v>409</v>
      </c>
      <c r="C759" t="s">
        <v>410</v>
      </c>
      <c r="D759" t="s">
        <v>223</v>
      </c>
      <c r="E759" t="s">
        <v>442</v>
      </c>
      <c r="F759" t="s">
        <v>179</v>
      </c>
      <c r="G759" t="s">
        <v>1164</v>
      </c>
      <c r="H759" s="77">
        <v>66</v>
      </c>
      <c r="I759" s="124">
        <v>199.26</v>
      </c>
      <c r="J759" s="124">
        <v>13151.24</v>
      </c>
      <c r="K759" s="77">
        <v>60</v>
      </c>
      <c r="L759" t="s">
        <v>345</v>
      </c>
      <c r="M759" s="126">
        <v>2630.248</v>
      </c>
      <c r="N759" s="124">
        <v>13151.24</v>
      </c>
      <c r="O759" t="s">
        <v>340</v>
      </c>
      <c r="P759" t="s">
        <v>294</v>
      </c>
    </row>
    <row r="760" spans="1:16" ht="15" customHeight="1" x14ac:dyDescent="0.25">
      <c r="A760" s="123">
        <v>45738</v>
      </c>
      <c r="B760" t="s">
        <v>386</v>
      </c>
      <c r="C760" t="s">
        <v>387</v>
      </c>
      <c r="D760" t="s">
        <v>223</v>
      </c>
      <c r="E760" t="s">
        <v>442</v>
      </c>
      <c r="F760" t="s">
        <v>179</v>
      </c>
      <c r="G760" t="s">
        <v>1165</v>
      </c>
      <c r="H760" s="77">
        <v>47</v>
      </c>
      <c r="I760" s="124">
        <v>112.26</v>
      </c>
      <c r="J760" s="124">
        <v>5276.44</v>
      </c>
      <c r="K760" s="77">
        <v>60</v>
      </c>
      <c r="L760" t="s">
        <v>351</v>
      </c>
      <c r="M760" s="126">
        <v>1055.288</v>
      </c>
      <c r="N760" s="124">
        <v>5276.44</v>
      </c>
      <c r="O760" t="s">
        <v>340</v>
      </c>
      <c r="P760" t="s">
        <v>294</v>
      </c>
    </row>
    <row r="761" spans="1:16" ht="15" customHeight="1" x14ac:dyDescent="0.25">
      <c r="A761" s="123">
        <v>45827</v>
      </c>
      <c r="B761" t="s">
        <v>383</v>
      </c>
      <c r="C761" t="s">
        <v>384</v>
      </c>
      <c r="D761" t="s">
        <v>225</v>
      </c>
      <c r="E761" t="s">
        <v>360</v>
      </c>
      <c r="F761" t="s">
        <v>180</v>
      </c>
      <c r="G761" t="s">
        <v>1166</v>
      </c>
      <c r="H761" s="77">
        <v>15</v>
      </c>
      <c r="I761" s="124">
        <v>367.47</v>
      </c>
      <c r="J761" s="124">
        <v>5511.99</v>
      </c>
      <c r="K761" s="77">
        <v>45</v>
      </c>
      <c r="L761" t="s">
        <v>351</v>
      </c>
      <c r="M761" s="126">
        <v>1102.3979999999999</v>
      </c>
      <c r="N761" s="124">
        <v>5511.99</v>
      </c>
      <c r="O761" t="s">
        <v>346</v>
      </c>
      <c r="P761" t="s">
        <v>294</v>
      </c>
    </row>
    <row r="762" spans="1:16" ht="15" customHeight="1" x14ac:dyDescent="0.25">
      <c r="A762" s="123">
        <v>45960</v>
      </c>
      <c r="B762" t="s">
        <v>366</v>
      </c>
      <c r="C762" t="s">
        <v>367</v>
      </c>
      <c r="D762" t="s">
        <v>221</v>
      </c>
      <c r="E762" t="s">
        <v>396</v>
      </c>
      <c r="F762" t="s">
        <v>184</v>
      </c>
      <c r="G762" t="s">
        <v>1167</v>
      </c>
      <c r="H762" s="77">
        <v>21</v>
      </c>
      <c r="I762" s="124">
        <v>54.65</v>
      </c>
      <c r="J762" s="124">
        <v>1147.58</v>
      </c>
      <c r="K762" s="77">
        <v>60</v>
      </c>
      <c r="L762" t="s">
        <v>345</v>
      </c>
      <c r="M762" s="126">
        <v>229.51599999999999</v>
      </c>
      <c r="N762" s="124">
        <v>1147.58</v>
      </c>
      <c r="O762" t="s">
        <v>346</v>
      </c>
      <c r="P762" t="s">
        <v>294</v>
      </c>
    </row>
    <row r="763" spans="1:16" ht="15" customHeight="1" x14ac:dyDescent="0.25">
      <c r="A763" s="123">
        <v>45723</v>
      </c>
      <c r="B763" t="s">
        <v>358</v>
      </c>
      <c r="C763" t="s">
        <v>359</v>
      </c>
      <c r="D763" t="s">
        <v>225</v>
      </c>
      <c r="E763" t="s">
        <v>423</v>
      </c>
      <c r="F763" t="s">
        <v>180</v>
      </c>
      <c r="G763" t="s">
        <v>1168</v>
      </c>
      <c r="H763" s="77">
        <v>74</v>
      </c>
      <c r="I763" s="124">
        <v>267.35000000000002</v>
      </c>
      <c r="J763" s="124">
        <v>19784.05</v>
      </c>
      <c r="K763" s="77">
        <v>60</v>
      </c>
      <c r="L763" t="s">
        <v>339</v>
      </c>
      <c r="M763" s="126">
        <v>3956.81</v>
      </c>
      <c r="N763" s="124">
        <v>19784.05</v>
      </c>
      <c r="O763" t="s">
        <v>346</v>
      </c>
      <c r="P763" t="s">
        <v>294</v>
      </c>
    </row>
    <row r="764" spans="1:16" ht="15" customHeight="1" x14ac:dyDescent="0.25">
      <c r="A764" s="123">
        <v>45733</v>
      </c>
      <c r="B764" t="s">
        <v>378</v>
      </c>
      <c r="C764" t="s">
        <v>379</v>
      </c>
      <c r="D764" t="s">
        <v>227</v>
      </c>
      <c r="E764" t="s">
        <v>440</v>
      </c>
      <c r="F764" t="s">
        <v>177</v>
      </c>
      <c r="G764" t="s">
        <v>1169</v>
      </c>
      <c r="H764" s="77">
        <v>8</v>
      </c>
      <c r="I764" s="124">
        <v>490.56</v>
      </c>
      <c r="J764" s="124">
        <v>3924.44</v>
      </c>
      <c r="K764" s="77">
        <v>30</v>
      </c>
      <c r="L764" t="s">
        <v>345</v>
      </c>
      <c r="M764" s="126">
        <v>784.88800000000003</v>
      </c>
      <c r="N764" s="124">
        <v>3924.44</v>
      </c>
      <c r="O764" t="s">
        <v>346</v>
      </c>
      <c r="P764" t="s">
        <v>294</v>
      </c>
    </row>
    <row r="765" spans="1:16" ht="15" customHeight="1" x14ac:dyDescent="0.25">
      <c r="A765" s="123">
        <v>45946</v>
      </c>
      <c r="B765" t="s">
        <v>366</v>
      </c>
      <c r="C765" t="s">
        <v>367</v>
      </c>
      <c r="D765" t="s">
        <v>221</v>
      </c>
      <c r="E765" t="s">
        <v>236</v>
      </c>
      <c r="F765" t="s">
        <v>183</v>
      </c>
      <c r="G765" t="s">
        <v>1170</v>
      </c>
      <c r="H765" s="77">
        <v>3</v>
      </c>
      <c r="I765" s="124">
        <v>284.56</v>
      </c>
      <c r="J765" s="124">
        <v>853.68</v>
      </c>
      <c r="K765" s="77">
        <v>60</v>
      </c>
      <c r="L765" t="s">
        <v>351</v>
      </c>
      <c r="M765" s="126">
        <v>170.73599999999999</v>
      </c>
      <c r="N765" s="124">
        <v>853.68</v>
      </c>
      <c r="O765" t="s">
        <v>346</v>
      </c>
      <c r="P765" t="s">
        <v>294</v>
      </c>
    </row>
    <row r="766" spans="1:16" ht="15" customHeight="1" x14ac:dyDescent="0.25">
      <c r="A766" s="123">
        <v>45768</v>
      </c>
      <c r="B766" t="s">
        <v>386</v>
      </c>
      <c r="C766" t="s">
        <v>387</v>
      </c>
      <c r="D766" t="s">
        <v>223</v>
      </c>
      <c r="E766" t="s">
        <v>356</v>
      </c>
      <c r="F766" t="s">
        <v>181</v>
      </c>
      <c r="G766" t="s">
        <v>1171</v>
      </c>
      <c r="H766" s="77">
        <v>58</v>
      </c>
      <c r="I766" s="124">
        <v>413.94</v>
      </c>
      <c r="J766" s="124">
        <v>24008.68</v>
      </c>
      <c r="K766" s="77">
        <v>60</v>
      </c>
      <c r="L766" t="s">
        <v>345</v>
      </c>
      <c r="M766" s="126">
        <v>4801.7359999999999</v>
      </c>
      <c r="N766" s="124">
        <v>24008.68</v>
      </c>
      <c r="O766" t="s">
        <v>340</v>
      </c>
      <c r="P766" t="s">
        <v>294</v>
      </c>
    </row>
    <row r="767" spans="1:16" ht="15" customHeight="1" x14ac:dyDescent="0.25">
      <c r="A767" s="123">
        <v>45868</v>
      </c>
      <c r="B767" t="s">
        <v>358</v>
      </c>
      <c r="C767" t="s">
        <v>359</v>
      </c>
      <c r="D767" t="s">
        <v>225</v>
      </c>
      <c r="E767" t="s">
        <v>442</v>
      </c>
      <c r="F767" t="s">
        <v>179</v>
      </c>
      <c r="G767" t="s">
        <v>1172</v>
      </c>
      <c r="H767" s="77">
        <v>77</v>
      </c>
      <c r="I767" s="124">
        <v>122.27</v>
      </c>
      <c r="J767" s="124">
        <v>9414.58</v>
      </c>
      <c r="K767" s="77">
        <v>30</v>
      </c>
      <c r="L767" t="s">
        <v>351</v>
      </c>
      <c r="M767" s="126">
        <v>1882.9159999999999</v>
      </c>
      <c r="N767" s="124">
        <v>9414.58</v>
      </c>
      <c r="O767" t="s">
        <v>340</v>
      </c>
      <c r="P767" t="s">
        <v>294</v>
      </c>
    </row>
    <row r="768" spans="1:16" ht="15" customHeight="1" x14ac:dyDescent="0.25">
      <c r="A768" s="123">
        <v>46009</v>
      </c>
      <c r="B768" t="s">
        <v>383</v>
      </c>
      <c r="C768" t="s">
        <v>384</v>
      </c>
      <c r="D768" t="s">
        <v>225</v>
      </c>
      <c r="E768" t="s">
        <v>356</v>
      </c>
      <c r="F768" t="s">
        <v>181</v>
      </c>
      <c r="G768" t="s">
        <v>1173</v>
      </c>
      <c r="H768" s="77">
        <v>44</v>
      </c>
      <c r="I768" s="124">
        <v>215.81</v>
      </c>
      <c r="J768" s="124">
        <v>9495.5</v>
      </c>
      <c r="K768" s="77">
        <v>45</v>
      </c>
      <c r="L768" t="s">
        <v>351</v>
      </c>
      <c r="M768" s="126">
        <v>1899.1</v>
      </c>
      <c r="N768" s="124">
        <v>9495.5</v>
      </c>
      <c r="O768" t="s">
        <v>340</v>
      </c>
      <c r="P768" t="s">
        <v>294</v>
      </c>
    </row>
    <row r="769" spans="1:16" ht="15" customHeight="1" x14ac:dyDescent="0.25">
      <c r="A769" s="123">
        <v>45851</v>
      </c>
      <c r="B769" t="s">
        <v>406</v>
      </c>
      <c r="C769" t="s">
        <v>407</v>
      </c>
      <c r="D769" t="s">
        <v>225</v>
      </c>
      <c r="E769" t="s">
        <v>415</v>
      </c>
      <c r="F769" t="s">
        <v>178</v>
      </c>
      <c r="G769" t="s">
        <v>1174</v>
      </c>
      <c r="H769" s="77">
        <v>50</v>
      </c>
      <c r="I769" s="124">
        <v>172.14</v>
      </c>
      <c r="J769" s="124">
        <v>8607.17</v>
      </c>
      <c r="K769" s="77">
        <v>30</v>
      </c>
      <c r="L769" t="s">
        <v>339</v>
      </c>
      <c r="M769" s="126">
        <v>1721.434</v>
      </c>
      <c r="N769" s="124">
        <v>8607.17</v>
      </c>
      <c r="O769" t="s">
        <v>340</v>
      </c>
      <c r="P769" t="s">
        <v>294</v>
      </c>
    </row>
    <row r="770" spans="1:16" ht="15" customHeight="1" x14ac:dyDescent="0.25">
      <c r="A770" s="123">
        <v>45916</v>
      </c>
      <c r="B770" t="s">
        <v>393</v>
      </c>
      <c r="C770" t="s">
        <v>394</v>
      </c>
      <c r="D770" t="s">
        <v>227</v>
      </c>
      <c r="E770" t="s">
        <v>352</v>
      </c>
      <c r="F770" t="s">
        <v>180</v>
      </c>
      <c r="G770" t="s">
        <v>1175</v>
      </c>
      <c r="H770" s="77">
        <v>54</v>
      </c>
      <c r="I770" s="124">
        <v>177.08</v>
      </c>
      <c r="J770" s="124">
        <v>9562.58</v>
      </c>
      <c r="K770" s="77">
        <v>30</v>
      </c>
      <c r="L770" t="s">
        <v>351</v>
      </c>
      <c r="M770" s="126">
        <v>1912.5160000000001</v>
      </c>
      <c r="N770" s="124">
        <v>9562.58</v>
      </c>
      <c r="O770" t="s">
        <v>346</v>
      </c>
      <c r="P770" t="s">
        <v>294</v>
      </c>
    </row>
    <row r="771" spans="1:16" ht="15" customHeight="1" x14ac:dyDescent="0.25">
      <c r="A771" s="123">
        <v>45972</v>
      </c>
      <c r="B771" t="s">
        <v>406</v>
      </c>
      <c r="C771" t="s">
        <v>407</v>
      </c>
      <c r="D771" t="s">
        <v>225</v>
      </c>
      <c r="E771" t="s">
        <v>381</v>
      </c>
      <c r="F771" t="s">
        <v>179</v>
      </c>
      <c r="G771" t="s">
        <v>1176</v>
      </c>
      <c r="H771" s="77">
        <v>77</v>
      </c>
      <c r="I771" s="124">
        <v>487.75</v>
      </c>
      <c r="J771" s="124">
        <v>37556.769999999997</v>
      </c>
      <c r="K771" s="77">
        <v>30</v>
      </c>
      <c r="L771" t="s">
        <v>351</v>
      </c>
      <c r="M771" s="126">
        <v>7511.3540000000003</v>
      </c>
      <c r="N771" s="124">
        <v>37556.769999999997</v>
      </c>
      <c r="O771" t="s">
        <v>346</v>
      </c>
      <c r="P771" t="s">
        <v>294</v>
      </c>
    </row>
    <row r="772" spans="1:16" ht="15" customHeight="1" x14ac:dyDescent="0.25">
      <c r="A772" s="123">
        <v>45904</v>
      </c>
      <c r="B772" t="s">
        <v>431</v>
      </c>
      <c r="C772" t="s">
        <v>432</v>
      </c>
      <c r="D772" t="s">
        <v>221</v>
      </c>
      <c r="E772" t="s">
        <v>415</v>
      </c>
      <c r="F772" t="s">
        <v>178</v>
      </c>
      <c r="G772" t="s">
        <v>1177</v>
      </c>
      <c r="H772" s="77">
        <v>17</v>
      </c>
      <c r="I772" s="124">
        <v>95.93</v>
      </c>
      <c r="J772" s="124">
        <v>1630.86</v>
      </c>
      <c r="K772" s="77">
        <v>60</v>
      </c>
      <c r="L772" t="s">
        <v>351</v>
      </c>
      <c r="M772" s="126">
        <v>326.17200000000003</v>
      </c>
      <c r="N772" s="124">
        <v>1630.86</v>
      </c>
      <c r="O772" t="s">
        <v>340</v>
      </c>
      <c r="P772" t="s">
        <v>294</v>
      </c>
    </row>
    <row r="773" spans="1:16" ht="15" customHeight="1" x14ac:dyDescent="0.25">
      <c r="A773" s="123">
        <v>45873</v>
      </c>
      <c r="B773" t="s">
        <v>401</v>
      </c>
      <c r="C773" t="s">
        <v>402</v>
      </c>
      <c r="D773" t="s">
        <v>221</v>
      </c>
      <c r="E773" t="s">
        <v>236</v>
      </c>
      <c r="F773" t="s">
        <v>183</v>
      </c>
      <c r="G773" t="s">
        <v>1178</v>
      </c>
      <c r="H773" s="77">
        <v>48</v>
      </c>
      <c r="I773" s="124">
        <v>220.18</v>
      </c>
      <c r="J773" s="124">
        <v>10568.43</v>
      </c>
      <c r="K773" s="77">
        <v>30</v>
      </c>
      <c r="L773" t="s">
        <v>351</v>
      </c>
      <c r="M773" s="126">
        <v>2113.6860000000001</v>
      </c>
      <c r="N773" s="124">
        <v>10568.43</v>
      </c>
      <c r="O773" t="s">
        <v>346</v>
      </c>
      <c r="P773" t="s">
        <v>294</v>
      </c>
    </row>
    <row r="774" spans="1:16" ht="15" customHeight="1" x14ac:dyDescent="0.25">
      <c r="A774" s="123">
        <v>45904</v>
      </c>
      <c r="B774" t="s">
        <v>393</v>
      </c>
      <c r="C774" t="s">
        <v>394</v>
      </c>
      <c r="D774" t="s">
        <v>227</v>
      </c>
      <c r="E774" t="s">
        <v>235</v>
      </c>
      <c r="F774" t="s">
        <v>183</v>
      </c>
      <c r="G774" t="s">
        <v>1179</v>
      </c>
      <c r="H774" s="77">
        <v>49</v>
      </c>
      <c r="I774" s="124">
        <v>424.8</v>
      </c>
      <c r="J774" s="124">
        <v>20814.96</v>
      </c>
      <c r="K774" s="77">
        <v>45</v>
      </c>
      <c r="L774" t="s">
        <v>351</v>
      </c>
      <c r="M774" s="126">
        <v>4162.9920000000002</v>
      </c>
      <c r="N774" s="124">
        <v>20814.96</v>
      </c>
      <c r="O774" t="s">
        <v>346</v>
      </c>
      <c r="P774" t="s">
        <v>294</v>
      </c>
    </row>
    <row r="775" spans="1:16" ht="15" customHeight="1" x14ac:dyDescent="0.25">
      <c r="A775" s="123">
        <v>45726</v>
      </c>
      <c r="B775" t="s">
        <v>362</v>
      </c>
      <c r="C775" t="s">
        <v>363</v>
      </c>
      <c r="D775" t="s">
        <v>221</v>
      </c>
      <c r="E775" t="s">
        <v>368</v>
      </c>
      <c r="F775" t="s">
        <v>178</v>
      </c>
      <c r="G775" t="s">
        <v>1180</v>
      </c>
      <c r="H775" s="77">
        <v>33</v>
      </c>
      <c r="I775" s="124">
        <v>110.97</v>
      </c>
      <c r="J775" s="124">
        <v>3662.13</v>
      </c>
      <c r="K775" s="77">
        <v>45</v>
      </c>
      <c r="L775" t="s">
        <v>339</v>
      </c>
      <c r="M775" s="126">
        <v>732.42600000000004</v>
      </c>
      <c r="N775" s="124">
        <v>3662.13</v>
      </c>
      <c r="O775" t="s">
        <v>346</v>
      </c>
      <c r="P775" t="s">
        <v>294</v>
      </c>
    </row>
    <row r="776" spans="1:16" ht="15" customHeight="1" x14ac:dyDescent="0.25">
      <c r="A776" s="123">
        <v>45936</v>
      </c>
      <c r="B776" t="s">
        <v>390</v>
      </c>
      <c r="C776" t="s">
        <v>391</v>
      </c>
      <c r="D776" t="s">
        <v>221</v>
      </c>
      <c r="E776" t="s">
        <v>403</v>
      </c>
      <c r="F776" t="s">
        <v>181</v>
      </c>
      <c r="G776" t="s">
        <v>1181</v>
      </c>
      <c r="H776" s="77">
        <v>53</v>
      </c>
      <c r="I776" s="124">
        <v>309.70999999999998</v>
      </c>
      <c r="J776" s="124">
        <v>16414.41</v>
      </c>
      <c r="K776" s="77">
        <v>45</v>
      </c>
      <c r="L776" t="s">
        <v>339</v>
      </c>
      <c r="M776" s="126">
        <v>3282.8820000000001</v>
      </c>
      <c r="N776" s="124">
        <v>16414.41</v>
      </c>
      <c r="O776" t="s">
        <v>346</v>
      </c>
      <c r="P776" t="s">
        <v>294</v>
      </c>
    </row>
    <row r="777" spans="1:16" ht="15" customHeight="1" x14ac:dyDescent="0.25">
      <c r="A777" s="123">
        <v>45925</v>
      </c>
      <c r="B777" t="s">
        <v>390</v>
      </c>
      <c r="C777" t="s">
        <v>391</v>
      </c>
      <c r="D777" t="s">
        <v>221</v>
      </c>
      <c r="E777" t="s">
        <v>440</v>
      </c>
      <c r="F777" t="s">
        <v>177</v>
      </c>
      <c r="G777" t="s">
        <v>1182</v>
      </c>
      <c r="H777" s="77">
        <v>16</v>
      </c>
      <c r="I777" s="124">
        <v>50.6</v>
      </c>
      <c r="J777" s="124">
        <v>809.53</v>
      </c>
      <c r="K777" s="77">
        <v>60</v>
      </c>
      <c r="L777" t="s">
        <v>339</v>
      </c>
      <c r="M777" s="126">
        <v>161.90600000000001</v>
      </c>
      <c r="N777" s="124">
        <v>809.53</v>
      </c>
      <c r="O777" t="s">
        <v>346</v>
      </c>
      <c r="P777" t="s">
        <v>294</v>
      </c>
    </row>
    <row r="778" spans="1:16" ht="15" customHeight="1" x14ac:dyDescent="0.25">
      <c r="A778" s="123">
        <v>45819</v>
      </c>
      <c r="B778" t="s">
        <v>383</v>
      </c>
      <c r="C778" t="s">
        <v>384</v>
      </c>
      <c r="D778" t="s">
        <v>225</v>
      </c>
      <c r="E778" t="s">
        <v>352</v>
      </c>
      <c r="F778" t="s">
        <v>180</v>
      </c>
      <c r="G778" t="s">
        <v>1183</v>
      </c>
      <c r="H778" s="77">
        <v>53</v>
      </c>
      <c r="I778" s="124">
        <v>167.59</v>
      </c>
      <c r="J778" s="124">
        <v>8882.4</v>
      </c>
      <c r="K778" s="77">
        <v>45</v>
      </c>
      <c r="L778" t="s">
        <v>339</v>
      </c>
      <c r="M778" s="126">
        <v>1776.48</v>
      </c>
      <c r="N778" s="124">
        <v>8882.4</v>
      </c>
      <c r="O778" t="s">
        <v>346</v>
      </c>
      <c r="P778" t="s">
        <v>294</v>
      </c>
    </row>
    <row r="779" spans="1:16" ht="15" customHeight="1" x14ac:dyDescent="0.25">
      <c r="A779" s="123">
        <v>45957</v>
      </c>
      <c r="B779" t="s">
        <v>409</v>
      </c>
      <c r="C779" t="s">
        <v>410</v>
      </c>
      <c r="D779" t="s">
        <v>223</v>
      </c>
      <c r="E779" t="s">
        <v>236</v>
      </c>
      <c r="F779" t="s">
        <v>183</v>
      </c>
      <c r="G779" t="s">
        <v>1184</v>
      </c>
      <c r="H779" s="77">
        <v>33</v>
      </c>
      <c r="I779" s="124">
        <v>261.82</v>
      </c>
      <c r="J779" s="124">
        <v>8639.9699999999993</v>
      </c>
      <c r="K779" s="77">
        <v>45</v>
      </c>
      <c r="L779" t="s">
        <v>351</v>
      </c>
      <c r="M779" s="126">
        <v>1727.9939999999999</v>
      </c>
      <c r="N779" s="124">
        <v>8639.9699999999993</v>
      </c>
      <c r="O779" t="s">
        <v>346</v>
      </c>
      <c r="P779" t="s">
        <v>294</v>
      </c>
    </row>
    <row r="780" spans="1:16" ht="15" customHeight="1" x14ac:dyDescent="0.25">
      <c r="A780" s="123">
        <v>45799</v>
      </c>
      <c r="B780" t="s">
        <v>366</v>
      </c>
      <c r="C780" t="s">
        <v>367</v>
      </c>
      <c r="D780" t="s">
        <v>221</v>
      </c>
      <c r="E780" t="s">
        <v>364</v>
      </c>
      <c r="F780" t="s">
        <v>182</v>
      </c>
      <c r="G780" t="s">
        <v>1185</v>
      </c>
      <c r="H780" s="77">
        <v>51</v>
      </c>
      <c r="I780" s="124">
        <v>91.19</v>
      </c>
      <c r="J780" s="124">
        <v>4650.66</v>
      </c>
      <c r="K780" s="77">
        <v>30</v>
      </c>
      <c r="L780" t="s">
        <v>345</v>
      </c>
      <c r="M780" s="126">
        <v>930.13199999999995</v>
      </c>
      <c r="N780" s="124">
        <v>4650.66</v>
      </c>
      <c r="O780" t="s">
        <v>346</v>
      </c>
      <c r="P780" t="s">
        <v>294</v>
      </c>
    </row>
    <row r="781" spans="1:16" ht="15" customHeight="1" x14ac:dyDescent="0.25">
      <c r="A781" s="123">
        <v>45847</v>
      </c>
      <c r="B781" t="s">
        <v>406</v>
      </c>
      <c r="C781" t="s">
        <v>407</v>
      </c>
      <c r="D781" t="s">
        <v>225</v>
      </c>
      <c r="E781" t="s">
        <v>396</v>
      </c>
      <c r="F781" t="s">
        <v>184</v>
      </c>
      <c r="G781" t="s">
        <v>1186</v>
      </c>
      <c r="H781" s="77">
        <v>72</v>
      </c>
      <c r="I781" s="124">
        <v>105.52</v>
      </c>
      <c r="J781" s="124">
        <v>7597.12</v>
      </c>
      <c r="K781" s="77">
        <v>60</v>
      </c>
      <c r="L781" t="s">
        <v>345</v>
      </c>
      <c r="M781" s="126">
        <v>1519.424</v>
      </c>
      <c r="N781" s="124">
        <v>7597.12</v>
      </c>
      <c r="O781" t="s">
        <v>346</v>
      </c>
      <c r="P781" t="s">
        <v>294</v>
      </c>
    </row>
    <row r="782" spans="1:16" ht="15" customHeight="1" x14ac:dyDescent="0.25">
      <c r="A782" s="123">
        <v>45834</v>
      </c>
      <c r="B782" t="s">
        <v>383</v>
      </c>
      <c r="C782" t="s">
        <v>384</v>
      </c>
      <c r="D782" t="s">
        <v>225</v>
      </c>
      <c r="E782" t="s">
        <v>403</v>
      </c>
      <c r="F782" t="s">
        <v>181</v>
      </c>
      <c r="G782" t="s">
        <v>1187</v>
      </c>
      <c r="H782" s="77">
        <v>51</v>
      </c>
      <c r="I782" s="124">
        <v>242.59</v>
      </c>
      <c r="J782" s="124">
        <v>12371.97</v>
      </c>
      <c r="K782" s="77">
        <v>60</v>
      </c>
      <c r="L782" t="s">
        <v>339</v>
      </c>
      <c r="M782" s="126">
        <v>2474.3939999999998</v>
      </c>
      <c r="N782" s="124">
        <v>12371.97</v>
      </c>
      <c r="O782" t="s">
        <v>346</v>
      </c>
      <c r="P782" t="s">
        <v>294</v>
      </c>
    </row>
    <row r="783" spans="1:16" ht="15" customHeight="1" x14ac:dyDescent="0.25">
      <c r="A783" s="123">
        <v>45775</v>
      </c>
      <c r="B783" t="s">
        <v>335</v>
      </c>
      <c r="C783" t="s">
        <v>336</v>
      </c>
      <c r="D783" t="s">
        <v>223</v>
      </c>
      <c r="E783" t="s">
        <v>343</v>
      </c>
      <c r="F783" t="s">
        <v>178</v>
      </c>
      <c r="G783" t="s">
        <v>1188</v>
      </c>
      <c r="H783" s="77">
        <v>58</v>
      </c>
      <c r="I783" s="124">
        <v>31.19</v>
      </c>
      <c r="J783" s="124">
        <v>1808.75</v>
      </c>
      <c r="K783" s="77">
        <v>60</v>
      </c>
      <c r="L783" t="s">
        <v>339</v>
      </c>
      <c r="M783" s="126">
        <v>361.75</v>
      </c>
      <c r="N783" s="124">
        <v>1808.75</v>
      </c>
      <c r="O783" t="s">
        <v>346</v>
      </c>
      <c r="P783" t="s">
        <v>294</v>
      </c>
    </row>
    <row r="784" spans="1:16" ht="15" customHeight="1" x14ac:dyDescent="0.25">
      <c r="A784" s="123">
        <v>45863</v>
      </c>
      <c r="B784" t="s">
        <v>488</v>
      </c>
      <c r="C784" t="s">
        <v>489</v>
      </c>
      <c r="D784" t="s">
        <v>225</v>
      </c>
      <c r="E784" t="s">
        <v>352</v>
      </c>
      <c r="F784" t="s">
        <v>180</v>
      </c>
      <c r="G784" t="s">
        <v>1189</v>
      </c>
      <c r="H784" s="77">
        <v>44</v>
      </c>
      <c r="I784" s="124">
        <v>308.14</v>
      </c>
      <c r="J784" s="124">
        <v>13558.37</v>
      </c>
      <c r="K784" s="77">
        <v>60</v>
      </c>
      <c r="L784" t="s">
        <v>351</v>
      </c>
      <c r="M784" s="126">
        <v>2711.674</v>
      </c>
      <c r="N784" s="124">
        <v>13558.37</v>
      </c>
      <c r="O784" t="s">
        <v>346</v>
      </c>
      <c r="P784" t="s">
        <v>294</v>
      </c>
    </row>
    <row r="785" spans="1:16" ht="15" customHeight="1" x14ac:dyDescent="0.25">
      <c r="A785" s="123">
        <v>45857</v>
      </c>
      <c r="B785" t="s">
        <v>409</v>
      </c>
      <c r="C785" t="s">
        <v>410</v>
      </c>
      <c r="D785" t="s">
        <v>223</v>
      </c>
      <c r="E785" t="s">
        <v>349</v>
      </c>
      <c r="F785" t="s">
        <v>177</v>
      </c>
      <c r="G785" t="s">
        <v>1190</v>
      </c>
      <c r="H785" s="77">
        <v>1</v>
      </c>
      <c r="I785" s="124">
        <v>167.89</v>
      </c>
      <c r="J785" s="124">
        <v>167.89</v>
      </c>
      <c r="K785" s="77">
        <v>30</v>
      </c>
      <c r="L785" t="s">
        <v>339</v>
      </c>
      <c r="M785" s="126">
        <v>33.578000000000003</v>
      </c>
      <c r="N785" s="124">
        <v>167.89</v>
      </c>
      <c r="O785" t="s">
        <v>340</v>
      </c>
      <c r="P785" t="s">
        <v>294</v>
      </c>
    </row>
    <row r="786" spans="1:16" ht="15" customHeight="1" x14ac:dyDescent="0.25">
      <c r="A786" s="123">
        <v>45690</v>
      </c>
      <c r="B786" t="s">
        <v>354</v>
      </c>
      <c r="C786" t="s">
        <v>355</v>
      </c>
      <c r="D786" t="s">
        <v>227</v>
      </c>
      <c r="E786" t="s">
        <v>235</v>
      </c>
      <c r="F786" t="s">
        <v>183</v>
      </c>
      <c r="G786" t="s">
        <v>1191</v>
      </c>
      <c r="H786" s="77">
        <v>34</v>
      </c>
      <c r="I786" s="124">
        <v>408.16</v>
      </c>
      <c r="J786" s="124">
        <v>13877.55</v>
      </c>
      <c r="K786" s="77">
        <v>30</v>
      </c>
      <c r="L786" t="s">
        <v>345</v>
      </c>
      <c r="M786" s="126">
        <v>2775.51</v>
      </c>
      <c r="N786" s="124">
        <v>13877.55</v>
      </c>
      <c r="O786" t="s">
        <v>346</v>
      </c>
      <c r="P786" t="s">
        <v>294</v>
      </c>
    </row>
    <row r="787" spans="1:16" ht="15" customHeight="1" x14ac:dyDescent="0.25">
      <c r="A787" s="123">
        <v>45854</v>
      </c>
      <c r="B787" t="s">
        <v>409</v>
      </c>
      <c r="C787" t="s">
        <v>410</v>
      </c>
      <c r="D787" t="s">
        <v>223</v>
      </c>
      <c r="E787" t="s">
        <v>440</v>
      </c>
      <c r="F787" t="s">
        <v>177</v>
      </c>
      <c r="G787" t="s">
        <v>1192</v>
      </c>
      <c r="H787" s="77">
        <v>52</v>
      </c>
      <c r="I787" s="124">
        <v>217.44</v>
      </c>
      <c r="J787" s="124">
        <v>11306.86</v>
      </c>
      <c r="K787" s="77">
        <v>60</v>
      </c>
      <c r="L787" t="s">
        <v>351</v>
      </c>
      <c r="M787" s="126">
        <v>2261.3719999999998</v>
      </c>
      <c r="N787" s="124">
        <v>11306.86</v>
      </c>
      <c r="O787" t="s">
        <v>346</v>
      </c>
      <c r="P787" t="s">
        <v>294</v>
      </c>
    </row>
    <row r="788" spans="1:16" ht="15" customHeight="1" x14ac:dyDescent="0.25">
      <c r="A788" s="123">
        <v>45963</v>
      </c>
      <c r="B788" t="s">
        <v>393</v>
      </c>
      <c r="C788" t="s">
        <v>394</v>
      </c>
      <c r="D788" t="s">
        <v>227</v>
      </c>
      <c r="E788" t="s">
        <v>403</v>
      </c>
      <c r="F788" t="s">
        <v>181</v>
      </c>
      <c r="G788" t="s">
        <v>1193</v>
      </c>
      <c r="H788" s="77">
        <v>8</v>
      </c>
      <c r="I788" s="124">
        <v>348.03</v>
      </c>
      <c r="J788" s="124">
        <v>2784.23</v>
      </c>
      <c r="K788" s="77">
        <v>30</v>
      </c>
      <c r="L788" t="s">
        <v>351</v>
      </c>
      <c r="M788" s="126">
        <v>556.846</v>
      </c>
      <c r="N788" s="124">
        <v>2784.23</v>
      </c>
      <c r="O788" t="s">
        <v>346</v>
      </c>
      <c r="P788" t="s">
        <v>294</v>
      </c>
    </row>
    <row r="789" spans="1:16" ht="15" customHeight="1" x14ac:dyDescent="0.25">
      <c r="A789" s="123">
        <v>45761</v>
      </c>
      <c r="B789" t="s">
        <v>406</v>
      </c>
      <c r="C789" t="s">
        <v>407</v>
      </c>
      <c r="D789" t="s">
        <v>225</v>
      </c>
      <c r="E789" t="s">
        <v>396</v>
      </c>
      <c r="F789" t="s">
        <v>184</v>
      </c>
      <c r="G789" t="s">
        <v>1194</v>
      </c>
      <c r="H789" s="77">
        <v>67</v>
      </c>
      <c r="I789" s="124">
        <v>96.55</v>
      </c>
      <c r="J789" s="124">
        <v>6468.7</v>
      </c>
      <c r="K789" s="77">
        <v>45</v>
      </c>
      <c r="L789" t="s">
        <v>339</v>
      </c>
      <c r="M789" s="126">
        <v>1293.74</v>
      </c>
      <c r="N789" s="124">
        <v>6468.7</v>
      </c>
      <c r="O789" t="s">
        <v>346</v>
      </c>
      <c r="P789" t="s">
        <v>294</v>
      </c>
    </row>
    <row r="790" spans="1:16" ht="15" customHeight="1" x14ac:dyDescent="0.25">
      <c r="A790" s="123">
        <v>45744</v>
      </c>
      <c r="B790" t="s">
        <v>335</v>
      </c>
      <c r="C790" t="s">
        <v>336</v>
      </c>
      <c r="D790" t="s">
        <v>223</v>
      </c>
      <c r="E790" t="s">
        <v>352</v>
      </c>
      <c r="F790" t="s">
        <v>180</v>
      </c>
      <c r="G790" t="s">
        <v>1195</v>
      </c>
      <c r="H790" s="77">
        <v>5</v>
      </c>
      <c r="I790" s="124">
        <v>240.54</v>
      </c>
      <c r="J790" s="124">
        <v>1202.68</v>
      </c>
      <c r="K790" s="77">
        <v>45</v>
      </c>
      <c r="L790" t="s">
        <v>339</v>
      </c>
      <c r="M790" s="126">
        <v>240.536</v>
      </c>
      <c r="N790" s="124">
        <v>1202.68</v>
      </c>
      <c r="O790" t="s">
        <v>346</v>
      </c>
      <c r="P790" t="s">
        <v>294</v>
      </c>
    </row>
    <row r="791" spans="1:16" ht="15" customHeight="1" x14ac:dyDescent="0.25">
      <c r="A791" s="123">
        <v>45702</v>
      </c>
      <c r="B791" t="s">
        <v>398</v>
      </c>
      <c r="C791" t="s">
        <v>399</v>
      </c>
      <c r="D791" t="s">
        <v>227</v>
      </c>
      <c r="E791" t="s">
        <v>349</v>
      </c>
      <c r="F791" t="s">
        <v>177</v>
      </c>
      <c r="G791" t="s">
        <v>1196</v>
      </c>
      <c r="H791" s="77">
        <v>36</v>
      </c>
      <c r="I791" s="124">
        <v>48.13</v>
      </c>
      <c r="J791" s="124">
        <v>1732.78</v>
      </c>
      <c r="K791" s="77">
        <v>45</v>
      </c>
      <c r="L791" t="s">
        <v>345</v>
      </c>
      <c r="M791" s="126">
        <v>346.55599999999998</v>
      </c>
      <c r="N791" s="124">
        <v>1732.78</v>
      </c>
      <c r="O791" t="s">
        <v>340</v>
      </c>
      <c r="P791" t="s">
        <v>294</v>
      </c>
    </row>
    <row r="792" spans="1:16" ht="15" customHeight="1" x14ac:dyDescent="0.25">
      <c r="A792" s="123">
        <v>45958</v>
      </c>
      <c r="B792" t="s">
        <v>354</v>
      </c>
      <c r="C792" t="s">
        <v>355</v>
      </c>
      <c r="D792" t="s">
        <v>227</v>
      </c>
      <c r="E792" t="s">
        <v>234</v>
      </c>
      <c r="F792" t="s">
        <v>183</v>
      </c>
      <c r="G792" t="s">
        <v>1197</v>
      </c>
      <c r="H792" s="77">
        <v>26</v>
      </c>
      <c r="I792" s="124">
        <v>379.96</v>
      </c>
      <c r="J792" s="124">
        <v>9879.02</v>
      </c>
      <c r="K792" s="77">
        <v>60</v>
      </c>
      <c r="L792" t="s">
        <v>339</v>
      </c>
      <c r="M792" s="126">
        <v>1975.8040000000001</v>
      </c>
      <c r="N792" s="124">
        <v>9879.02</v>
      </c>
      <c r="O792" t="s">
        <v>346</v>
      </c>
      <c r="P792" t="s">
        <v>294</v>
      </c>
    </row>
    <row r="793" spans="1:16" ht="15" customHeight="1" x14ac:dyDescent="0.25">
      <c r="A793" s="123">
        <v>45939</v>
      </c>
      <c r="B793" t="s">
        <v>370</v>
      </c>
      <c r="C793" t="s">
        <v>371</v>
      </c>
      <c r="D793" t="s">
        <v>227</v>
      </c>
      <c r="E793" t="s">
        <v>415</v>
      </c>
      <c r="F793" t="s">
        <v>178</v>
      </c>
      <c r="G793" t="s">
        <v>1198</v>
      </c>
      <c r="H793" s="77">
        <v>37</v>
      </c>
      <c r="I793" s="124">
        <v>72.87</v>
      </c>
      <c r="J793" s="124">
        <v>2696.02</v>
      </c>
      <c r="K793" s="77">
        <v>60</v>
      </c>
      <c r="L793" t="s">
        <v>351</v>
      </c>
      <c r="M793" s="126">
        <v>539.20399999999995</v>
      </c>
      <c r="N793" s="124">
        <v>2696.02</v>
      </c>
      <c r="O793" t="s">
        <v>340</v>
      </c>
      <c r="P793" t="s">
        <v>294</v>
      </c>
    </row>
    <row r="794" spans="1:16" ht="15" customHeight="1" x14ac:dyDescent="0.25">
      <c r="A794" s="123">
        <v>45799</v>
      </c>
      <c r="B794" t="s">
        <v>341</v>
      </c>
      <c r="C794" t="s">
        <v>342</v>
      </c>
      <c r="D794" t="s">
        <v>223</v>
      </c>
      <c r="E794" t="s">
        <v>420</v>
      </c>
      <c r="F794" t="s">
        <v>182</v>
      </c>
      <c r="G794" t="s">
        <v>1199</v>
      </c>
      <c r="H794" s="77">
        <v>29</v>
      </c>
      <c r="I794" s="124">
        <v>110.3</v>
      </c>
      <c r="J794" s="124">
        <v>3198.83</v>
      </c>
      <c r="K794" s="77">
        <v>60</v>
      </c>
      <c r="L794" t="s">
        <v>339</v>
      </c>
      <c r="M794" s="126">
        <v>639.76599999999996</v>
      </c>
      <c r="N794" s="124">
        <v>3198.83</v>
      </c>
      <c r="O794" t="s">
        <v>346</v>
      </c>
      <c r="P794" t="s">
        <v>294</v>
      </c>
    </row>
    <row r="795" spans="1:16" ht="15" customHeight="1" x14ac:dyDescent="0.25">
      <c r="A795" s="123">
        <v>45660</v>
      </c>
      <c r="B795" t="s">
        <v>354</v>
      </c>
      <c r="C795" t="s">
        <v>355</v>
      </c>
      <c r="D795" t="s">
        <v>227</v>
      </c>
      <c r="E795" t="s">
        <v>236</v>
      </c>
      <c r="F795" t="s">
        <v>183</v>
      </c>
      <c r="G795" t="s">
        <v>1200</v>
      </c>
      <c r="H795" s="77">
        <v>34</v>
      </c>
      <c r="I795" s="124">
        <v>148.65</v>
      </c>
      <c r="J795" s="124">
        <v>5053.9799999999996</v>
      </c>
      <c r="K795" s="77">
        <v>30</v>
      </c>
      <c r="L795" t="s">
        <v>345</v>
      </c>
      <c r="M795" s="126">
        <v>1010.796</v>
      </c>
      <c r="N795" s="124">
        <v>5053.9799999999996</v>
      </c>
      <c r="O795" t="s">
        <v>346</v>
      </c>
      <c r="P795" t="s">
        <v>294</v>
      </c>
    </row>
    <row r="796" spans="1:16" ht="15" customHeight="1" x14ac:dyDescent="0.25">
      <c r="A796" s="123">
        <v>45695</v>
      </c>
      <c r="B796" t="s">
        <v>347</v>
      </c>
      <c r="C796" t="s">
        <v>348</v>
      </c>
      <c r="D796" t="s">
        <v>223</v>
      </c>
      <c r="E796" t="s">
        <v>343</v>
      </c>
      <c r="F796" t="s">
        <v>178</v>
      </c>
      <c r="G796" t="s">
        <v>1201</v>
      </c>
      <c r="H796" s="77">
        <v>65</v>
      </c>
      <c r="I796" s="124">
        <v>35.869999999999997</v>
      </c>
      <c r="J796" s="124">
        <v>2331.33</v>
      </c>
      <c r="K796" s="77">
        <v>45</v>
      </c>
      <c r="L796" t="s">
        <v>345</v>
      </c>
      <c r="M796" s="126">
        <v>466.26600000000002</v>
      </c>
      <c r="N796" s="124">
        <v>2331.33</v>
      </c>
      <c r="O796" t="s">
        <v>346</v>
      </c>
      <c r="P796" t="s">
        <v>294</v>
      </c>
    </row>
    <row r="797" spans="1:16" ht="15" customHeight="1" x14ac:dyDescent="0.25">
      <c r="A797" s="123">
        <v>45952</v>
      </c>
      <c r="B797" t="s">
        <v>373</v>
      </c>
      <c r="C797" t="s">
        <v>374</v>
      </c>
      <c r="D797" t="s">
        <v>225</v>
      </c>
      <c r="E797" t="s">
        <v>403</v>
      </c>
      <c r="F797" t="s">
        <v>181</v>
      </c>
      <c r="G797" t="s">
        <v>1202</v>
      </c>
      <c r="H797" s="77">
        <v>33</v>
      </c>
      <c r="I797" s="124">
        <v>392.63</v>
      </c>
      <c r="J797" s="124">
        <v>12956.71</v>
      </c>
      <c r="K797" s="77">
        <v>60</v>
      </c>
      <c r="L797" t="s">
        <v>345</v>
      </c>
      <c r="M797" s="126">
        <v>2591.3420000000001</v>
      </c>
      <c r="N797" s="124">
        <v>12956.71</v>
      </c>
      <c r="O797" t="s">
        <v>346</v>
      </c>
      <c r="P797" t="s">
        <v>294</v>
      </c>
    </row>
    <row r="798" spans="1:16" ht="15" customHeight="1" x14ac:dyDescent="0.25">
      <c r="A798" s="123">
        <v>45831</v>
      </c>
      <c r="B798" t="s">
        <v>366</v>
      </c>
      <c r="C798" t="s">
        <v>367</v>
      </c>
      <c r="D798" t="s">
        <v>221</v>
      </c>
      <c r="E798" t="s">
        <v>396</v>
      </c>
      <c r="F798" t="s">
        <v>184</v>
      </c>
      <c r="G798" t="s">
        <v>1203</v>
      </c>
      <c r="H798" s="77">
        <v>59</v>
      </c>
      <c r="I798" s="124">
        <v>73.39</v>
      </c>
      <c r="J798" s="124">
        <v>4329.7700000000004</v>
      </c>
      <c r="K798" s="77">
        <v>60</v>
      </c>
      <c r="L798" t="s">
        <v>345</v>
      </c>
      <c r="M798" s="126">
        <v>865.95399999999995</v>
      </c>
      <c r="N798" s="124">
        <v>4329.7700000000004</v>
      </c>
      <c r="O798" t="s">
        <v>346</v>
      </c>
      <c r="P798" t="s">
        <v>294</v>
      </c>
    </row>
    <row r="799" spans="1:16" ht="15" customHeight="1" x14ac:dyDescent="0.25">
      <c r="A799" s="123">
        <v>45717</v>
      </c>
      <c r="B799" t="s">
        <v>370</v>
      </c>
      <c r="C799" t="s">
        <v>371</v>
      </c>
      <c r="D799" t="s">
        <v>227</v>
      </c>
      <c r="E799" t="s">
        <v>496</v>
      </c>
      <c r="F799" t="s">
        <v>177</v>
      </c>
      <c r="G799" t="s">
        <v>1204</v>
      </c>
      <c r="H799" s="77">
        <v>34</v>
      </c>
      <c r="I799" s="124">
        <v>174.57</v>
      </c>
      <c r="J799" s="124">
        <v>5935.33</v>
      </c>
      <c r="K799" s="77">
        <v>30</v>
      </c>
      <c r="L799" t="s">
        <v>345</v>
      </c>
      <c r="M799" s="126">
        <v>1187.066</v>
      </c>
      <c r="N799" s="124">
        <v>5935.33</v>
      </c>
      <c r="O799" t="s">
        <v>346</v>
      </c>
      <c r="P799" t="s">
        <v>294</v>
      </c>
    </row>
    <row r="800" spans="1:16" ht="15" customHeight="1" x14ac:dyDescent="0.25">
      <c r="A800" s="123">
        <v>46017</v>
      </c>
      <c r="B800" t="s">
        <v>347</v>
      </c>
      <c r="C800" t="s">
        <v>348</v>
      </c>
      <c r="D800" t="s">
        <v>223</v>
      </c>
      <c r="E800" t="s">
        <v>352</v>
      </c>
      <c r="F800" t="s">
        <v>180</v>
      </c>
      <c r="G800" t="s">
        <v>1205</v>
      </c>
      <c r="H800" s="77">
        <v>30</v>
      </c>
      <c r="I800" s="124">
        <v>253.92</v>
      </c>
      <c r="J800" s="124">
        <v>7617.73</v>
      </c>
      <c r="K800" s="77">
        <v>45</v>
      </c>
      <c r="L800" t="s">
        <v>345</v>
      </c>
      <c r="M800" s="126">
        <v>1523.546</v>
      </c>
      <c r="N800" s="124">
        <v>7617.73</v>
      </c>
      <c r="O800" t="s">
        <v>346</v>
      </c>
      <c r="P800" t="s">
        <v>294</v>
      </c>
    </row>
    <row r="801" spans="1:16" ht="15" customHeight="1" x14ac:dyDescent="0.25">
      <c r="A801" s="123">
        <v>45792</v>
      </c>
      <c r="B801" t="s">
        <v>401</v>
      </c>
      <c r="C801" t="s">
        <v>402</v>
      </c>
      <c r="D801" t="s">
        <v>221</v>
      </c>
      <c r="E801" t="s">
        <v>440</v>
      </c>
      <c r="F801" t="s">
        <v>177</v>
      </c>
      <c r="G801" t="s">
        <v>1206</v>
      </c>
      <c r="H801" s="77">
        <v>32</v>
      </c>
      <c r="I801" s="124">
        <v>121.98</v>
      </c>
      <c r="J801" s="124">
        <v>3903.36</v>
      </c>
      <c r="K801" s="77">
        <v>45</v>
      </c>
      <c r="L801" t="s">
        <v>339</v>
      </c>
      <c r="M801" s="126">
        <v>780.67200000000003</v>
      </c>
      <c r="N801" s="124">
        <v>3903.36</v>
      </c>
      <c r="O801" t="s">
        <v>346</v>
      </c>
      <c r="P801" t="s">
        <v>294</v>
      </c>
    </row>
    <row r="802" spans="1:16" ht="15" customHeight="1" x14ac:dyDescent="0.25">
      <c r="A802" s="123">
        <v>45941</v>
      </c>
      <c r="B802" t="s">
        <v>406</v>
      </c>
      <c r="C802" t="s">
        <v>407</v>
      </c>
      <c r="D802" t="s">
        <v>225</v>
      </c>
      <c r="E802" t="s">
        <v>376</v>
      </c>
      <c r="F802" t="s">
        <v>182</v>
      </c>
      <c r="G802" t="s">
        <v>1207</v>
      </c>
      <c r="H802" s="77">
        <v>23</v>
      </c>
      <c r="I802" s="124">
        <v>159.16</v>
      </c>
      <c r="J802" s="124">
        <v>3660.76</v>
      </c>
      <c r="K802" s="77">
        <v>45</v>
      </c>
      <c r="L802" t="s">
        <v>345</v>
      </c>
      <c r="M802" s="126">
        <v>732.15200000000004</v>
      </c>
      <c r="N802" s="124">
        <v>3660.76</v>
      </c>
      <c r="O802" t="s">
        <v>340</v>
      </c>
      <c r="P802" t="s">
        <v>294</v>
      </c>
    </row>
    <row r="803" spans="1:16" ht="15" customHeight="1" x14ac:dyDescent="0.25">
      <c r="A803" s="123">
        <v>45795</v>
      </c>
      <c r="B803" t="s">
        <v>409</v>
      </c>
      <c r="C803" t="s">
        <v>410</v>
      </c>
      <c r="D803" t="s">
        <v>223</v>
      </c>
      <c r="E803" t="s">
        <v>352</v>
      </c>
      <c r="F803" t="s">
        <v>180</v>
      </c>
      <c r="G803" t="s">
        <v>1208</v>
      </c>
      <c r="H803" s="77">
        <v>24</v>
      </c>
      <c r="I803" s="124">
        <v>188.22</v>
      </c>
      <c r="J803" s="124">
        <v>4517.3900000000003</v>
      </c>
      <c r="K803" s="77">
        <v>60</v>
      </c>
      <c r="L803" t="s">
        <v>351</v>
      </c>
      <c r="M803" s="126">
        <v>903.47799999999995</v>
      </c>
      <c r="N803" s="124">
        <v>4517.3900000000003</v>
      </c>
      <c r="O803" t="s">
        <v>346</v>
      </c>
      <c r="P803" t="s">
        <v>294</v>
      </c>
    </row>
    <row r="804" spans="1:16" ht="15" customHeight="1" x14ac:dyDescent="0.25">
      <c r="A804" s="123">
        <v>45760</v>
      </c>
      <c r="B804" t="s">
        <v>390</v>
      </c>
      <c r="C804" t="s">
        <v>391</v>
      </c>
      <c r="D804" t="s">
        <v>221</v>
      </c>
      <c r="E804" t="s">
        <v>417</v>
      </c>
      <c r="F804" t="s">
        <v>184</v>
      </c>
      <c r="G804" t="s">
        <v>1209</v>
      </c>
      <c r="H804" s="77">
        <v>31</v>
      </c>
      <c r="I804" s="124">
        <v>79.069999999999993</v>
      </c>
      <c r="J804" s="124">
        <v>2451.2199999999998</v>
      </c>
      <c r="K804" s="77">
        <v>60</v>
      </c>
      <c r="L804" t="s">
        <v>339</v>
      </c>
      <c r="M804" s="126">
        <v>490.24400000000003</v>
      </c>
      <c r="N804" s="124">
        <v>2451.2199999999998</v>
      </c>
      <c r="O804" t="s">
        <v>346</v>
      </c>
      <c r="P804" t="s">
        <v>294</v>
      </c>
    </row>
    <row r="805" spans="1:16" ht="15" customHeight="1" x14ac:dyDescent="0.25">
      <c r="A805" s="123">
        <v>45761</v>
      </c>
      <c r="B805" t="s">
        <v>366</v>
      </c>
      <c r="C805" t="s">
        <v>367</v>
      </c>
      <c r="D805" t="s">
        <v>221</v>
      </c>
      <c r="E805" t="s">
        <v>423</v>
      </c>
      <c r="F805" t="s">
        <v>180</v>
      </c>
      <c r="G805" t="s">
        <v>1210</v>
      </c>
      <c r="H805" s="77">
        <v>32</v>
      </c>
      <c r="I805" s="124">
        <v>193.87</v>
      </c>
      <c r="J805" s="124">
        <v>6203.97</v>
      </c>
      <c r="K805" s="77">
        <v>60</v>
      </c>
      <c r="L805" t="s">
        <v>345</v>
      </c>
      <c r="M805" s="126">
        <v>1240.7940000000001</v>
      </c>
      <c r="N805" s="124">
        <v>6203.97</v>
      </c>
      <c r="O805" t="s">
        <v>346</v>
      </c>
      <c r="P805" t="s">
        <v>294</v>
      </c>
    </row>
    <row r="806" spans="1:16" ht="15" customHeight="1" x14ac:dyDescent="0.25">
      <c r="A806" s="123">
        <v>45698</v>
      </c>
      <c r="B806" t="s">
        <v>431</v>
      </c>
      <c r="C806" t="s">
        <v>432</v>
      </c>
      <c r="D806" t="s">
        <v>221</v>
      </c>
      <c r="E806" t="s">
        <v>415</v>
      </c>
      <c r="F806" t="s">
        <v>178</v>
      </c>
      <c r="G806" t="s">
        <v>1211</v>
      </c>
      <c r="H806" s="77">
        <v>64</v>
      </c>
      <c r="I806" s="124">
        <v>51.18</v>
      </c>
      <c r="J806" s="124">
        <v>3275.73</v>
      </c>
      <c r="K806" s="77">
        <v>60</v>
      </c>
      <c r="L806" t="s">
        <v>339</v>
      </c>
      <c r="M806" s="126">
        <v>655.14599999999996</v>
      </c>
      <c r="N806" s="124">
        <v>3275.73</v>
      </c>
      <c r="O806" t="s">
        <v>340</v>
      </c>
      <c r="P806" t="s">
        <v>294</v>
      </c>
    </row>
    <row r="807" spans="1:16" ht="15" customHeight="1" x14ac:dyDescent="0.25">
      <c r="A807" s="123">
        <v>45848</v>
      </c>
      <c r="B807" t="s">
        <v>406</v>
      </c>
      <c r="C807" t="s">
        <v>407</v>
      </c>
      <c r="D807" t="s">
        <v>225</v>
      </c>
      <c r="E807" t="s">
        <v>496</v>
      </c>
      <c r="F807" t="s">
        <v>177</v>
      </c>
      <c r="G807" t="s">
        <v>1212</v>
      </c>
      <c r="H807" s="77">
        <v>80</v>
      </c>
      <c r="I807" s="124">
        <v>101.24</v>
      </c>
      <c r="J807" s="124">
        <v>8098.82</v>
      </c>
      <c r="K807" s="77">
        <v>45</v>
      </c>
      <c r="L807" t="s">
        <v>345</v>
      </c>
      <c r="M807" s="126">
        <v>1619.7639999999999</v>
      </c>
      <c r="N807" s="124">
        <v>8098.82</v>
      </c>
      <c r="O807" t="s">
        <v>346</v>
      </c>
      <c r="P807" t="s">
        <v>294</v>
      </c>
    </row>
    <row r="808" spans="1:16" ht="15" customHeight="1" x14ac:dyDescent="0.25">
      <c r="A808" s="123">
        <v>45751</v>
      </c>
      <c r="B808" t="s">
        <v>354</v>
      </c>
      <c r="C808" t="s">
        <v>355</v>
      </c>
      <c r="D808" t="s">
        <v>227</v>
      </c>
      <c r="E808" t="s">
        <v>437</v>
      </c>
      <c r="F808" t="s">
        <v>181</v>
      </c>
      <c r="G808" t="s">
        <v>1213</v>
      </c>
      <c r="H808" s="77">
        <v>66</v>
      </c>
      <c r="I808" s="124">
        <v>248.59</v>
      </c>
      <c r="J808" s="124">
        <v>16406.88</v>
      </c>
      <c r="K808" s="77">
        <v>45</v>
      </c>
      <c r="L808" t="s">
        <v>345</v>
      </c>
      <c r="M808" s="126">
        <v>3281.3760000000002</v>
      </c>
      <c r="N808" s="124">
        <v>16406.88</v>
      </c>
      <c r="O808" t="s">
        <v>346</v>
      </c>
      <c r="P808" t="s">
        <v>294</v>
      </c>
    </row>
    <row r="809" spans="1:16" ht="15" customHeight="1" x14ac:dyDescent="0.25">
      <c r="A809" s="123">
        <v>45927</v>
      </c>
      <c r="B809" t="s">
        <v>393</v>
      </c>
      <c r="C809" t="s">
        <v>394</v>
      </c>
      <c r="D809" t="s">
        <v>227</v>
      </c>
      <c r="E809" t="s">
        <v>442</v>
      </c>
      <c r="F809" t="s">
        <v>179</v>
      </c>
      <c r="G809" t="s">
        <v>1214</v>
      </c>
      <c r="H809" s="77">
        <v>55</v>
      </c>
      <c r="I809" s="124">
        <v>138.33000000000001</v>
      </c>
      <c r="J809" s="124">
        <v>7608.17</v>
      </c>
      <c r="K809" s="77">
        <v>45</v>
      </c>
      <c r="L809" t="s">
        <v>351</v>
      </c>
      <c r="M809" s="126">
        <v>1521.634</v>
      </c>
      <c r="N809" s="124">
        <v>7608.17</v>
      </c>
      <c r="O809" t="s">
        <v>340</v>
      </c>
      <c r="P809" t="s">
        <v>294</v>
      </c>
    </row>
    <row r="810" spans="1:16" ht="15" customHeight="1" x14ac:dyDescent="0.25">
      <c r="A810" s="123">
        <v>46009</v>
      </c>
      <c r="B810" t="s">
        <v>393</v>
      </c>
      <c r="C810" t="s">
        <v>394</v>
      </c>
      <c r="D810" t="s">
        <v>227</v>
      </c>
      <c r="E810" t="s">
        <v>420</v>
      </c>
      <c r="F810" t="s">
        <v>182</v>
      </c>
      <c r="G810" t="s">
        <v>1215</v>
      </c>
      <c r="H810" s="77">
        <v>23</v>
      </c>
      <c r="I810" s="124">
        <v>189.53</v>
      </c>
      <c r="J810" s="124">
        <v>4359.17</v>
      </c>
      <c r="K810" s="77">
        <v>45</v>
      </c>
      <c r="L810" t="s">
        <v>339</v>
      </c>
      <c r="M810" s="126">
        <v>871.83399999999995</v>
      </c>
      <c r="N810" s="124">
        <v>4359.17</v>
      </c>
      <c r="O810" t="s">
        <v>346</v>
      </c>
      <c r="P810" t="s">
        <v>294</v>
      </c>
    </row>
    <row r="811" spans="1:16" ht="15" customHeight="1" x14ac:dyDescent="0.25">
      <c r="A811" s="123">
        <v>46010</v>
      </c>
      <c r="B811" t="s">
        <v>378</v>
      </c>
      <c r="C811" t="s">
        <v>379</v>
      </c>
      <c r="D811" t="s">
        <v>227</v>
      </c>
      <c r="E811" t="s">
        <v>427</v>
      </c>
      <c r="F811" t="s">
        <v>184</v>
      </c>
      <c r="G811" t="s">
        <v>1216</v>
      </c>
      <c r="H811" s="77">
        <v>2</v>
      </c>
      <c r="I811" s="124">
        <v>45.85</v>
      </c>
      <c r="J811" s="124">
        <v>91.71</v>
      </c>
      <c r="K811" s="77">
        <v>30</v>
      </c>
      <c r="L811" t="s">
        <v>351</v>
      </c>
      <c r="M811" s="126">
        <v>18.341999999999999</v>
      </c>
      <c r="N811" s="124">
        <v>91.71</v>
      </c>
      <c r="O811" t="s">
        <v>346</v>
      </c>
      <c r="P811" t="s">
        <v>294</v>
      </c>
    </row>
    <row r="812" spans="1:16" ht="15" customHeight="1" x14ac:dyDescent="0.25">
      <c r="A812" s="123">
        <v>45709</v>
      </c>
      <c r="B812" t="s">
        <v>335</v>
      </c>
      <c r="C812" t="s">
        <v>336</v>
      </c>
      <c r="D812" t="s">
        <v>223</v>
      </c>
      <c r="E812" t="s">
        <v>236</v>
      </c>
      <c r="F812" t="s">
        <v>183</v>
      </c>
      <c r="G812" t="s">
        <v>1217</v>
      </c>
      <c r="H812" s="77">
        <v>42</v>
      </c>
      <c r="I812" s="124">
        <v>270.7</v>
      </c>
      <c r="J812" s="124">
        <v>11369.31</v>
      </c>
      <c r="K812" s="77">
        <v>45</v>
      </c>
      <c r="L812" t="s">
        <v>351</v>
      </c>
      <c r="M812" s="126">
        <v>2273.8620000000001</v>
      </c>
      <c r="N812" s="124">
        <v>11369.31</v>
      </c>
      <c r="O812" t="s">
        <v>346</v>
      </c>
      <c r="P812" t="s">
        <v>294</v>
      </c>
    </row>
    <row r="813" spans="1:16" ht="15" customHeight="1" x14ac:dyDescent="0.25">
      <c r="A813" s="123">
        <v>45792</v>
      </c>
      <c r="B813" t="s">
        <v>373</v>
      </c>
      <c r="C813" t="s">
        <v>374</v>
      </c>
      <c r="D813" t="s">
        <v>225</v>
      </c>
      <c r="E813" t="s">
        <v>412</v>
      </c>
      <c r="F813" t="s">
        <v>179</v>
      </c>
      <c r="G813" t="s">
        <v>1218</v>
      </c>
      <c r="H813" s="77">
        <v>31</v>
      </c>
      <c r="I813" s="124">
        <v>141.33000000000001</v>
      </c>
      <c r="J813" s="124">
        <v>4381.26</v>
      </c>
      <c r="K813" s="77">
        <v>45</v>
      </c>
      <c r="L813" t="s">
        <v>345</v>
      </c>
      <c r="M813" s="126">
        <v>876.25199999999995</v>
      </c>
      <c r="N813" s="124">
        <v>4381.26</v>
      </c>
      <c r="O813" t="s">
        <v>346</v>
      </c>
      <c r="P813" t="s">
        <v>294</v>
      </c>
    </row>
    <row r="814" spans="1:16" ht="15" customHeight="1" x14ac:dyDescent="0.25">
      <c r="A814" s="123">
        <v>45752</v>
      </c>
      <c r="B814" t="s">
        <v>431</v>
      </c>
      <c r="C814" t="s">
        <v>432</v>
      </c>
      <c r="D814" t="s">
        <v>221</v>
      </c>
      <c r="E814" t="s">
        <v>420</v>
      </c>
      <c r="F814" t="s">
        <v>182</v>
      </c>
      <c r="G814" t="s">
        <v>1219</v>
      </c>
      <c r="H814" s="77">
        <v>64</v>
      </c>
      <c r="I814" s="124">
        <v>210.55</v>
      </c>
      <c r="J814" s="124">
        <v>13475.09</v>
      </c>
      <c r="K814" s="77">
        <v>45</v>
      </c>
      <c r="L814" t="s">
        <v>339</v>
      </c>
      <c r="M814" s="126">
        <v>2695.018</v>
      </c>
      <c r="N814" s="124">
        <v>13475.09</v>
      </c>
      <c r="O814" t="s">
        <v>346</v>
      </c>
      <c r="P814" t="s">
        <v>294</v>
      </c>
    </row>
    <row r="815" spans="1:16" ht="15" customHeight="1" x14ac:dyDescent="0.25">
      <c r="A815" s="123">
        <v>45863</v>
      </c>
      <c r="B815" t="s">
        <v>354</v>
      </c>
      <c r="C815" t="s">
        <v>355</v>
      </c>
      <c r="D815" t="s">
        <v>227</v>
      </c>
      <c r="E815" t="s">
        <v>420</v>
      </c>
      <c r="F815" t="s">
        <v>182</v>
      </c>
      <c r="G815" t="s">
        <v>1220</v>
      </c>
      <c r="H815" s="77">
        <v>36</v>
      </c>
      <c r="I815" s="124">
        <v>105.85</v>
      </c>
      <c r="J815" s="124">
        <v>3810.44</v>
      </c>
      <c r="K815" s="77">
        <v>45</v>
      </c>
      <c r="L815" t="s">
        <v>339</v>
      </c>
      <c r="M815" s="126">
        <v>762.08799999999997</v>
      </c>
      <c r="N815" s="124">
        <v>3810.44</v>
      </c>
      <c r="O815" t="s">
        <v>346</v>
      </c>
      <c r="P815" t="s">
        <v>294</v>
      </c>
    </row>
    <row r="816" spans="1:16" ht="15" customHeight="1" x14ac:dyDescent="0.25">
      <c r="A816" s="123">
        <v>46009</v>
      </c>
      <c r="B816" t="s">
        <v>362</v>
      </c>
      <c r="C816" t="s">
        <v>363</v>
      </c>
      <c r="D816" t="s">
        <v>221</v>
      </c>
      <c r="E816" t="s">
        <v>412</v>
      </c>
      <c r="F816" t="s">
        <v>179</v>
      </c>
      <c r="G816" t="s">
        <v>1221</v>
      </c>
      <c r="H816" s="77">
        <v>30</v>
      </c>
      <c r="I816" s="124">
        <v>317.5</v>
      </c>
      <c r="J816" s="124">
        <v>9524.94</v>
      </c>
      <c r="K816" s="77">
        <v>30</v>
      </c>
      <c r="L816" t="s">
        <v>351</v>
      </c>
      <c r="M816" s="126">
        <v>1904.9880000000001</v>
      </c>
      <c r="N816" s="124">
        <v>9524.94</v>
      </c>
      <c r="O816" t="s">
        <v>346</v>
      </c>
      <c r="P816" t="s">
        <v>294</v>
      </c>
    </row>
    <row r="817" spans="1:16" ht="15" customHeight="1" x14ac:dyDescent="0.25">
      <c r="A817" s="123">
        <v>45879</v>
      </c>
      <c r="B817" t="s">
        <v>358</v>
      </c>
      <c r="C817" t="s">
        <v>359</v>
      </c>
      <c r="D817" t="s">
        <v>225</v>
      </c>
      <c r="E817" t="s">
        <v>352</v>
      </c>
      <c r="F817" t="s">
        <v>180</v>
      </c>
      <c r="G817" t="s">
        <v>1222</v>
      </c>
      <c r="H817" s="77">
        <v>49</v>
      </c>
      <c r="I817" s="124">
        <v>110.43</v>
      </c>
      <c r="J817" s="124">
        <v>5411.18</v>
      </c>
      <c r="K817" s="77">
        <v>30</v>
      </c>
      <c r="L817" t="s">
        <v>339</v>
      </c>
      <c r="M817" s="126">
        <v>1082.2360000000001</v>
      </c>
      <c r="N817" s="124">
        <v>5411.18</v>
      </c>
      <c r="O817" t="s">
        <v>346</v>
      </c>
      <c r="P817" t="s">
        <v>294</v>
      </c>
    </row>
    <row r="818" spans="1:16" ht="15" customHeight="1" x14ac:dyDescent="0.25">
      <c r="A818" s="123">
        <v>45662</v>
      </c>
      <c r="B818" t="s">
        <v>398</v>
      </c>
      <c r="C818" t="s">
        <v>399</v>
      </c>
      <c r="D818" t="s">
        <v>227</v>
      </c>
      <c r="E818" t="s">
        <v>381</v>
      </c>
      <c r="F818" t="s">
        <v>179</v>
      </c>
      <c r="G818" t="s">
        <v>1223</v>
      </c>
      <c r="H818" s="77">
        <v>23</v>
      </c>
      <c r="I818" s="124">
        <v>208.48</v>
      </c>
      <c r="J818" s="124">
        <v>4795</v>
      </c>
      <c r="K818" s="77">
        <v>45</v>
      </c>
      <c r="L818" t="s">
        <v>345</v>
      </c>
      <c r="M818" s="126">
        <v>959</v>
      </c>
      <c r="N818" s="124">
        <v>4795</v>
      </c>
      <c r="O818" t="s">
        <v>346</v>
      </c>
      <c r="P818" t="s">
        <v>294</v>
      </c>
    </row>
    <row r="819" spans="1:16" ht="15" customHeight="1" x14ac:dyDescent="0.25">
      <c r="A819" s="123">
        <v>45811</v>
      </c>
      <c r="B819" t="s">
        <v>406</v>
      </c>
      <c r="C819" t="s">
        <v>407</v>
      </c>
      <c r="D819" t="s">
        <v>225</v>
      </c>
      <c r="E819" t="s">
        <v>420</v>
      </c>
      <c r="F819" t="s">
        <v>182</v>
      </c>
      <c r="G819" t="s">
        <v>1224</v>
      </c>
      <c r="H819" s="77">
        <v>33</v>
      </c>
      <c r="I819" s="124">
        <v>154.96</v>
      </c>
      <c r="J819" s="124">
        <v>5113.71</v>
      </c>
      <c r="K819" s="77">
        <v>60</v>
      </c>
      <c r="L819" t="s">
        <v>351</v>
      </c>
      <c r="M819" s="126">
        <v>1022.742</v>
      </c>
      <c r="N819" s="124">
        <v>5113.71</v>
      </c>
      <c r="O819" t="s">
        <v>346</v>
      </c>
      <c r="P819" t="s">
        <v>294</v>
      </c>
    </row>
    <row r="820" spans="1:16" ht="15" customHeight="1" x14ac:dyDescent="0.25">
      <c r="A820" s="123">
        <v>46011</v>
      </c>
      <c r="B820" t="s">
        <v>393</v>
      </c>
      <c r="C820" t="s">
        <v>394</v>
      </c>
      <c r="D820" t="s">
        <v>227</v>
      </c>
      <c r="E820" t="s">
        <v>235</v>
      </c>
      <c r="F820" t="s">
        <v>183</v>
      </c>
      <c r="G820" t="s">
        <v>1225</v>
      </c>
      <c r="H820" s="77">
        <v>21</v>
      </c>
      <c r="I820" s="124">
        <v>313.89</v>
      </c>
      <c r="J820" s="124">
        <v>6591.66</v>
      </c>
      <c r="K820" s="77">
        <v>30</v>
      </c>
      <c r="L820" t="s">
        <v>339</v>
      </c>
      <c r="M820" s="126">
        <v>1318.3320000000001</v>
      </c>
      <c r="N820" s="124">
        <v>6591.66</v>
      </c>
      <c r="O820" t="s">
        <v>346</v>
      </c>
      <c r="P820" t="s">
        <v>294</v>
      </c>
    </row>
    <row r="821" spans="1:16" ht="15" customHeight="1" x14ac:dyDescent="0.25">
      <c r="A821" s="123">
        <v>45707</v>
      </c>
      <c r="B821" t="s">
        <v>347</v>
      </c>
      <c r="C821" t="s">
        <v>348</v>
      </c>
      <c r="D821" t="s">
        <v>223</v>
      </c>
      <c r="E821" t="s">
        <v>417</v>
      </c>
      <c r="F821" t="s">
        <v>184</v>
      </c>
      <c r="G821" t="s">
        <v>1226</v>
      </c>
      <c r="H821" s="77">
        <v>58</v>
      </c>
      <c r="I821" s="124">
        <v>134.76</v>
      </c>
      <c r="J821" s="124">
        <v>7816.13</v>
      </c>
      <c r="K821" s="77">
        <v>60</v>
      </c>
      <c r="L821" t="s">
        <v>345</v>
      </c>
      <c r="M821" s="126">
        <v>1563.2260000000001</v>
      </c>
      <c r="N821" s="124">
        <v>7816.13</v>
      </c>
      <c r="O821" t="s">
        <v>346</v>
      </c>
      <c r="P821" t="s">
        <v>294</v>
      </c>
    </row>
    <row r="822" spans="1:16" ht="15" customHeight="1" x14ac:dyDescent="0.25">
      <c r="A822" s="123">
        <v>45944</v>
      </c>
      <c r="B822" t="s">
        <v>341</v>
      </c>
      <c r="C822" t="s">
        <v>342</v>
      </c>
      <c r="D822" t="s">
        <v>223</v>
      </c>
      <c r="E822" t="s">
        <v>420</v>
      </c>
      <c r="F822" t="s">
        <v>182</v>
      </c>
      <c r="G822" t="s">
        <v>1227</v>
      </c>
      <c r="H822" s="77">
        <v>72</v>
      </c>
      <c r="I822" s="124">
        <v>71.48</v>
      </c>
      <c r="J822" s="124">
        <v>5146.3100000000004</v>
      </c>
      <c r="K822" s="77">
        <v>45</v>
      </c>
      <c r="L822" t="s">
        <v>345</v>
      </c>
      <c r="M822" s="126">
        <v>1029.2619999999999</v>
      </c>
      <c r="N822" s="124">
        <v>5146.3100000000004</v>
      </c>
      <c r="O822" t="s">
        <v>346</v>
      </c>
      <c r="P822" t="s">
        <v>294</v>
      </c>
    </row>
    <row r="823" spans="1:16" ht="15" customHeight="1" x14ac:dyDescent="0.25">
      <c r="A823" s="123">
        <v>45837</v>
      </c>
      <c r="B823" t="s">
        <v>401</v>
      </c>
      <c r="C823" t="s">
        <v>402</v>
      </c>
      <c r="D823" t="s">
        <v>221</v>
      </c>
      <c r="E823" t="s">
        <v>235</v>
      </c>
      <c r="F823" t="s">
        <v>183</v>
      </c>
      <c r="G823" t="s">
        <v>1228</v>
      </c>
      <c r="H823" s="77">
        <v>78</v>
      </c>
      <c r="I823" s="124">
        <v>651.27</v>
      </c>
      <c r="J823" s="124">
        <v>50799.02</v>
      </c>
      <c r="K823" s="77">
        <v>30</v>
      </c>
      <c r="L823" t="s">
        <v>351</v>
      </c>
      <c r="M823" s="126">
        <v>10159.804</v>
      </c>
      <c r="N823" s="124">
        <v>50799.02</v>
      </c>
      <c r="O823" t="s">
        <v>346</v>
      </c>
      <c r="P823" t="s">
        <v>294</v>
      </c>
    </row>
    <row r="824" spans="1:16" ht="15" customHeight="1" x14ac:dyDescent="0.25">
      <c r="A824" s="123">
        <v>45839</v>
      </c>
      <c r="B824" t="s">
        <v>393</v>
      </c>
      <c r="C824" t="s">
        <v>394</v>
      </c>
      <c r="D824" t="s">
        <v>227</v>
      </c>
      <c r="E824" t="s">
        <v>1229</v>
      </c>
      <c r="F824" t="s">
        <v>179</v>
      </c>
      <c r="G824" t="s">
        <v>1230</v>
      </c>
      <c r="H824" s="77">
        <v>42</v>
      </c>
      <c r="I824" s="124">
        <v>637.37</v>
      </c>
      <c r="J824" s="124">
        <v>26769.55</v>
      </c>
      <c r="K824" s="77">
        <v>60</v>
      </c>
      <c r="L824" t="s">
        <v>351</v>
      </c>
      <c r="M824" s="126">
        <v>5353.91</v>
      </c>
      <c r="N824" s="124">
        <v>26769.55</v>
      </c>
      <c r="O824" t="s">
        <v>346</v>
      </c>
      <c r="P824" t="s">
        <v>294</v>
      </c>
    </row>
    <row r="825" spans="1:16" ht="15" customHeight="1" x14ac:dyDescent="0.25">
      <c r="A825" s="123">
        <v>45853</v>
      </c>
      <c r="B825" t="s">
        <v>362</v>
      </c>
      <c r="C825" t="s">
        <v>363</v>
      </c>
      <c r="D825" t="s">
        <v>221</v>
      </c>
      <c r="E825" t="s">
        <v>396</v>
      </c>
      <c r="F825" t="s">
        <v>184</v>
      </c>
      <c r="G825" t="s">
        <v>1231</v>
      </c>
      <c r="H825" s="77">
        <v>79</v>
      </c>
      <c r="I825" s="124">
        <v>61.43</v>
      </c>
      <c r="J825" s="124">
        <v>4853.1099999999997</v>
      </c>
      <c r="K825" s="77">
        <v>45</v>
      </c>
      <c r="L825" t="s">
        <v>345</v>
      </c>
      <c r="M825" s="126">
        <v>970.62199999999996</v>
      </c>
      <c r="N825" s="124">
        <v>4853.1099999999997</v>
      </c>
      <c r="O825" t="s">
        <v>346</v>
      </c>
      <c r="P825" t="s">
        <v>294</v>
      </c>
    </row>
    <row r="826" spans="1:16" ht="15" customHeight="1" x14ac:dyDescent="0.25">
      <c r="A826" s="123">
        <v>45985</v>
      </c>
      <c r="B826" t="s">
        <v>366</v>
      </c>
      <c r="C826" t="s">
        <v>367</v>
      </c>
      <c r="D826" t="s">
        <v>221</v>
      </c>
      <c r="E826" t="s">
        <v>442</v>
      </c>
      <c r="F826" t="s">
        <v>179</v>
      </c>
      <c r="G826" t="s">
        <v>1232</v>
      </c>
      <c r="H826" s="77">
        <v>44</v>
      </c>
      <c r="I826" s="124">
        <v>140.88</v>
      </c>
      <c r="J826" s="124">
        <v>6198.86</v>
      </c>
      <c r="K826" s="77">
        <v>45</v>
      </c>
      <c r="L826" t="s">
        <v>351</v>
      </c>
      <c r="M826" s="126">
        <v>1239.7719999999999</v>
      </c>
      <c r="N826" s="124">
        <v>6198.86</v>
      </c>
      <c r="O826" t="s">
        <v>340</v>
      </c>
      <c r="P826" t="s">
        <v>294</v>
      </c>
    </row>
    <row r="827" spans="1:16" ht="15" customHeight="1" x14ac:dyDescent="0.25">
      <c r="A827" s="123">
        <v>45698</v>
      </c>
      <c r="B827" t="s">
        <v>431</v>
      </c>
      <c r="C827" t="s">
        <v>432</v>
      </c>
      <c r="D827" t="s">
        <v>221</v>
      </c>
      <c r="E827" t="s">
        <v>235</v>
      </c>
      <c r="F827" t="s">
        <v>183</v>
      </c>
      <c r="G827" t="s">
        <v>1233</v>
      </c>
      <c r="H827" s="77">
        <v>21</v>
      </c>
      <c r="I827" s="124">
        <v>667.24</v>
      </c>
      <c r="J827" s="124">
        <v>14011.96</v>
      </c>
      <c r="K827" s="77">
        <v>45</v>
      </c>
      <c r="L827" t="s">
        <v>339</v>
      </c>
      <c r="M827" s="126">
        <v>2802.3919999999998</v>
      </c>
      <c r="N827" s="124">
        <v>14011.96</v>
      </c>
      <c r="O827" t="s">
        <v>346</v>
      </c>
      <c r="P827" t="s">
        <v>294</v>
      </c>
    </row>
    <row r="828" spans="1:16" ht="15" customHeight="1" x14ac:dyDescent="0.25">
      <c r="A828" s="123">
        <v>45807</v>
      </c>
      <c r="B828" t="s">
        <v>393</v>
      </c>
      <c r="C828" t="s">
        <v>394</v>
      </c>
      <c r="D828" t="s">
        <v>227</v>
      </c>
      <c r="E828" t="s">
        <v>364</v>
      </c>
      <c r="F828" t="s">
        <v>182</v>
      </c>
      <c r="G828" t="s">
        <v>1234</v>
      </c>
      <c r="H828" s="77">
        <v>35</v>
      </c>
      <c r="I828" s="124">
        <v>226.48</v>
      </c>
      <c r="J828" s="124">
        <v>7926.68</v>
      </c>
      <c r="K828" s="77">
        <v>60</v>
      </c>
      <c r="L828" t="s">
        <v>351</v>
      </c>
      <c r="M828" s="126">
        <v>1585.336</v>
      </c>
      <c r="N828" s="124">
        <v>7926.68</v>
      </c>
      <c r="O828" t="s">
        <v>346</v>
      </c>
      <c r="P828" t="s">
        <v>294</v>
      </c>
    </row>
    <row r="829" spans="1:16" ht="15" customHeight="1" x14ac:dyDescent="0.25">
      <c r="A829" s="123">
        <v>45843</v>
      </c>
      <c r="B829" t="s">
        <v>398</v>
      </c>
      <c r="C829" t="s">
        <v>399</v>
      </c>
      <c r="D829" t="s">
        <v>227</v>
      </c>
      <c r="E829" t="s">
        <v>437</v>
      </c>
      <c r="F829" t="s">
        <v>181</v>
      </c>
      <c r="G829" t="s">
        <v>1235</v>
      </c>
      <c r="H829" s="77">
        <v>76</v>
      </c>
      <c r="I829" s="124">
        <v>165.02</v>
      </c>
      <c r="J829" s="124">
        <v>12541.37</v>
      </c>
      <c r="K829" s="77">
        <v>60</v>
      </c>
      <c r="L829" t="s">
        <v>345</v>
      </c>
      <c r="M829" s="126">
        <v>2508.2739999999999</v>
      </c>
      <c r="N829" s="124">
        <v>12541.37</v>
      </c>
      <c r="O829" t="s">
        <v>346</v>
      </c>
      <c r="P829" t="s">
        <v>294</v>
      </c>
    </row>
    <row r="830" spans="1:16" ht="15" customHeight="1" x14ac:dyDescent="0.25">
      <c r="A830" s="123">
        <v>45669</v>
      </c>
      <c r="B830" t="s">
        <v>383</v>
      </c>
      <c r="C830" t="s">
        <v>384</v>
      </c>
      <c r="D830" t="s">
        <v>225</v>
      </c>
      <c r="E830" t="s">
        <v>442</v>
      </c>
      <c r="F830" t="s">
        <v>179</v>
      </c>
      <c r="G830" t="s">
        <v>1236</v>
      </c>
      <c r="H830" s="77">
        <v>17</v>
      </c>
      <c r="I830" s="124">
        <v>142.86000000000001</v>
      </c>
      <c r="J830" s="124">
        <v>2428.59</v>
      </c>
      <c r="K830" s="77">
        <v>60</v>
      </c>
      <c r="L830" t="s">
        <v>339</v>
      </c>
      <c r="M830" s="126">
        <v>485.71800000000002</v>
      </c>
      <c r="N830" s="124">
        <v>2428.59</v>
      </c>
      <c r="O830" t="s">
        <v>340</v>
      </c>
      <c r="P830" t="s">
        <v>294</v>
      </c>
    </row>
    <row r="831" spans="1:16" ht="15" customHeight="1" x14ac:dyDescent="0.25">
      <c r="A831" s="123">
        <v>46016</v>
      </c>
      <c r="B831" t="s">
        <v>386</v>
      </c>
      <c r="C831" t="s">
        <v>387</v>
      </c>
      <c r="D831" t="s">
        <v>223</v>
      </c>
      <c r="E831" t="s">
        <v>403</v>
      </c>
      <c r="F831" t="s">
        <v>181</v>
      </c>
      <c r="G831" t="s">
        <v>1237</v>
      </c>
      <c r="H831" s="77">
        <v>11</v>
      </c>
      <c r="I831" s="124">
        <v>188.41</v>
      </c>
      <c r="J831" s="124">
        <v>2072.56</v>
      </c>
      <c r="K831" s="77">
        <v>30</v>
      </c>
      <c r="L831" t="s">
        <v>339</v>
      </c>
      <c r="M831" s="126">
        <v>414.512</v>
      </c>
      <c r="N831" s="124">
        <v>2072.56</v>
      </c>
      <c r="O831" t="s">
        <v>346</v>
      </c>
      <c r="P831" t="s">
        <v>294</v>
      </c>
    </row>
    <row r="832" spans="1:16" ht="15" customHeight="1" x14ac:dyDescent="0.25">
      <c r="A832" s="123">
        <v>45690</v>
      </c>
      <c r="B832" t="s">
        <v>401</v>
      </c>
      <c r="C832" t="s">
        <v>402</v>
      </c>
      <c r="D832" t="s">
        <v>221</v>
      </c>
      <c r="E832" t="s">
        <v>415</v>
      </c>
      <c r="F832" t="s">
        <v>178</v>
      </c>
      <c r="G832" t="s">
        <v>1238</v>
      </c>
      <c r="H832" s="77">
        <v>61</v>
      </c>
      <c r="I832" s="124">
        <v>31.03</v>
      </c>
      <c r="J832" s="124">
        <v>1892.8</v>
      </c>
      <c r="K832" s="77">
        <v>60</v>
      </c>
      <c r="L832" t="s">
        <v>339</v>
      </c>
      <c r="M832" s="126">
        <v>378.56</v>
      </c>
      <c r="N832" s="124">
        <v>1892.8</v>
      </c>
      <c r="O832" t="s">
        <v>340</v>
      </c>
      <c r="P832" t="s">
        <v>294</v>
      </c>
    </row>
    <row r="833" spans="1:16" ht="15" customHeight="1" x14ac:dyDescent="0.25">
      <c r="A833" s="123">
        <v>45700</v>
      </c>
      <c r="B833" t="s">
        <v>335</v>
      </c>
      <c r="C833" t="s">
        <v>336</v>
      </c>
      <c r="D833" t="s">
        <v>223</v>
      </c>
      <c r="E833" t="s">
        <v>236</v>
      </c>
      <c r="F833" t="s">
        <v>183</v>
      </c>
      <c r="G833" t="s">
        <v>1239</v>
      </c>
      <c r="H833" s="77">
        <v>14</v>
      </c>
      <c r="I833" s="124">
        <v>181</v>
      </c>
      <c r="J833" s="124">
        <v>2534.0700000000002</v>
      </c>
      <c r="K833" s="77">
        <v>45</v>
      </c>
      <c r="L833" t="s">
        <v>351</v>
      </c>
      <c r="M833" s="126">
        <v>506.81400000000002</v>
      </c>
      <c r="N833" s="124">
        <v>2534.0700000000002</v>
      </c>
      <c r="O833" t="s">
        <v>346</v>
      </c>
      <c r="P833" t="s">
        <v>294</v>
      </c>
    </row>
    <row r="834" spans="1:16" ht="15" customHeight="1" x14ac:dyDescent="0.25">
      <c r="A834" s="123">
        <v>45857</v>
      </c>
      <c r="B834" t="s">
        <v>409</v>
      </c>
      <c r="C834" t="s">
        <v>410</v>
      </c>
      <c r="D834" t="s">
        <v>223</v>
      </c>
      <c r="E834" t="s">
        <v>343</v>
      </c>
      <c r="F834" t="s">
        <v>178</v>
      </c>
      <c r="G834" t="s">
        <v>1240</v>
      </c>
      <c r="H834" s="77">
        <v>40</v>
      </c>
      <c r="I834" s="124">
        <v>37.42</v>
      </c>
      <c r="J834" s="124">
        <v>1496.66</v>
      </c>
      <c r="K834" s="77">
        <v>30</v>
      </c>
      <c r="L834" t="s">
        <v>339</v>
      </c>
      <c r="M834" s="126">
        <v>299.33199999999999</v>
      </c>
      <c r="N834" s="124">
        <v>1496.66</v>
      </c>
      <c r="O834" t="s">
        <v>346</v>
      </c>
      <c r="P834" t="s">
        <v>294</v>
      </c>
    </row>
    <row r="835" spans="1:16" ht="15" customHeight="1" x14ac:dyDescent="0.25">
      <c r="A835" s="123">
        <v>45978</v>
      </c>
      <c r="B835" t="s">
        <v>409</v>
      </c>
      <c r="C835" t="s">
        <v>410</v>
      </c>
      <c r="D835" t="s">
        <v>223</v>
      </c>
      <c r="E835" t="s">
        <v>437</v>
      </c>
      <c r="F835" t="s">
        <v>181</v>
      </c>
      <c r="G835" t="s">
        <v>1241</v>
      </c>
      <c r="H835" s="77">
        <v>17</v>
      </c>
      <c r="I835" s="124">
        <v>144.22</v>
      </c>
      <c r="J835" s="124">
        <v>2451.7399999999998</v>
      </c>
      <c r="K835" s="77">
        <v>30</v>
      </c>
      <c r="L835" t="s">
        <v>351</v>
      </c>
      <c r="M835" s="126">
        <v>490.34800000000001</v>
      </c>
      <c r="N835" s="124">
        <v>2451.7399999999998</v>
      </c>
      <c r="O835" t="s">
        <v>346</v>
      </c>
      <c r="P835" t="s">
        <v>294</v>
      </c>
    </row>
    <row r="836" spans="1:16" ht="15" customHeight="1" x14ac:dyDescent="0.25">
      <c r="A836" s="123">
        <v>45997</v>
      </c>
      <c r="B836" t="s">
        <v>386</v>
      </c>
      <c r="C836" t="s">
        <v>387</v>
      </c>
      <c r="D836" t="s">
        <v>223</v>
      </c>
      <c r="E836" t="s">
        <v>349</v>
      </c>
      <c r="F836" t="s">
        <v>177</v>
      </c>
      <c r="G836" t="s">
        <v>1242</v>
      </c>
      <c r="H836" s="77">
        <v>46</v>
      </c>
      <c r="I836" s="124">
        <v>117.73</v>
      </c>
      <c r="J836" s="124">
        <v>5415.69</v>
      </c>
      <c r="K836" s="77">
        <v>45</v>
      </c>
      <c r="L836" t="s">
        <v>345</v>
      </c>
      <c r="M836" s="126">
        <v>1083.1379999999999</v>
      </c>
      <c r="N836" s="124">
        <v>5415.69</v>
      </c>
      <c r="O836" t="s">
        <v>340</v>
      </c>
      <c r="P836" t="s">
        <v>294</v>
      </c>
    </row>
    <row r="837" spans="1:16" ht="15" customHeight="1" x14ac:dyDescent="0.25">
      <c r="A837" s="123">
        <v>45885</v>
      </c>
      <c r="B837" t="s">
        <v>398</v>
      </c>
      <c r="C837" t="s">
        <v>399</v>
      </c>
      <c r="D837" t="s">
        <v>227</v>
      </c>
      <c r="E837" t="s">
        <v>403</v>
      </c>
      <c r="F837" t="s">
        <v>181</v>
      </c>
      <c r="G837" t="s">
        <v>1243</v>
      </c>
      <c r="H837" s="77">
        <v>18</v>
      </c>
      <c r="I837" s="124">
        <v>250.25</v>
      </c>
      <c r="J837" s="124">
        <v>4504.43</v>
      </c>
      <c r="K837" s="77">
        <v>60</v>
      </c>
      <c r="L837" t="s">
        <v>351</v>
      </c>
      <c r="M837" s="126">
        <v>900.88599999999997</v>
      </c>
      <c r="N837" s="124">
        <v>4504.43</v>
      </c>
      <c r="O837" t="s">
        <v>346</v>
      </c>
      <c r="P837" t="s">
        <v>294</v>
      </c>
    </row>
    <row r="838" spans="1:16" ht="15" customHeight="1" x14ac:dyDescent="0.25">
      <c r="A838" s="123">
        <v>45983</v>
      </c>
      <c r="B838" t="s">
        <v>358</v>
      </c>
      <c r="C838" t="s">
        <v>359</v>
      </c>
      <c r="D838" t="s">
        <v>225</v>
      </c>
      <c r="E838" t="s">
        <v>417</v>
      </c>
      <c r="F838" t="s">
        <v>184</v>
      </c>
      <c r="G838" t="s">
        <v>1244</v>
      </c>
      <c r="H838" s="77">
        <v>73</v>
      </c>
      <c r="I838" s="124">
        <v>175.96</v>
      </c>
      <c r="J838" s="124">
        <v>12845.17</v>
      </c>
      <c r="K838" s="77">
        <v>45</v>
      </c>
      <c r="L838" t="s">
        <v>351</v>
      </c>
      <c r="M838" s="126">
        <v>2569.0340000000001</v>
      </c>
      <c r="N838" s="124">
        <v>12845.17</v>
      </c>
      <c r="O838" t="s">
        <v>346</v>
      </c>
      <c r="P838" t="s">
        <v>294</v>
      </c>
    </row>
    <row r="839" spans="1:16" ht="15" customHeight="1" x14ac:dyDescent="0.25">
      <c r="A839" s="123">
        <v>45904</v>
      </c>
      <c r="B839" t="s">
        <v>398</v>
      </c>
      <c r="C839" t="s">
        <v>399</v>
      </c>
      <c r="D839" t="s">
        <v>227</v>
      </c>
      <c r="E839" t="s">
        <v>437</v>
      </c>
      <c r="F839" t="s">
        <v>181</v>
      </c>
      <c r="G839" t="s">
        <v>1245</v>
      </c>
      <c r="H839" s="77">
        <v>70</v>
      </c>
      <c r="I839" s="124">
        <v>127.04</v>
      </c>
      <c r="J839" s="124">
        <v>8893.07</v>
      </c>
      <c r="K839" s="77">
        <v>30</v>
      </c>
      <c r="L839" t="s">
        <v>339</v>
      </c>
      <c r="M839" s="126">
        <v>1778.614</v>
      </c>
      <c r="N839" s="124">
        <v>8893.07</v>
      </c>
      <c r="O839" t="s">
        <v>346</v>
      </c>
      <c r="P839" t="s">
        <v>294</v>
      </c>
    </row>
    <row r="840" spans="1:16" ht="15" customHeight="1" x14ac:dyDescent="0.25">
      <c r="A840" s="123">
        <v>45869</v>
      </c>
      <c r="B840" t="s">
        <v>393</v>
      </c>
      <c r="C840" t="s">
        <v>394</v>
      </c>
      <c r="D840" t="s">
        <v>227</v>
      </c>
      <c r="E840" t="s">
        <v>437</v>
      </c>
      <c r="F840" t="s">
        <v>181</v>
      </c>
      <c r="G840" t="s">
        <v>1246</v>
      </c>
      <c r="H840" s="77">
        <v>34</v>
      </c>
      <c r="I840" s="124">
        <v>378.04</v>
      </c>
      <c r="J840" s="124">
        <v>12853.42</v>
      </c>
      <c r="K840" s="77">
        <v>30</v>
      </c>
      <c r="L840" t="s">
        <v>345</v>
      </c>
      <c r="M840" s="126">
        <v>2570.6840000000002</v>
      </c>
      <c r="N840" s="124">
        <v>12853.42</v>
      </c>
      <c r="O840" t="s">
        <v>346</v>
      </c>
      <c r="P840" t="s">
        <v>294</v>
      </c>
    </row>
    <row r="841" spans="1:16" ht="15" customHeight="1" x14ac:dyDescent="0.25">
      <c r="A841" s="123">
        <v>45727</v>
      </c>
      <c r="B841" t="s">
        <v>358</v>
      </c>
      <c r="C841" t="s">
        <v>359</v>
      </c>
      <c r="D841" t="s">
        <v>225</v>
      </c>
      <c r="E841" t="s">
        <v>440</v>
      </c>
      <c r="F841" t="s">
        <v>177</v>
      </c>
      <c r="G841" t="s">
        <v>1247</v>
      </c>
      <c r="H841" s="77">
        <v>45</v>
      </c>
      <c r="I841" s="124">
        <v>106.68</v>
      </c>
      <c r="J841" s="124">
        <v>4800.43</v>
      </c>
      <c r="K841" s="77">
        <v>45</v>
      </c>
      <c r="L841" t="s">
        <v>345</v>
      </c>
      <c r="M841" s="126">
        <v>960.08600000000001</v>
      </c>
      <c r="N841" s="124">
        <v>4800.43</v>
      </c>
      <c r="O841" t="s">
        <v>346</v>
      </c>
      <c r="P841" t="s">
        <v>294</v>
      </c>
    </row>
    <row r="842" spans="1:16" ht="15" customHeight="1" x14ac:dyDescent="0.25">
      <c r="A842" s="123">
        <v>45909</v>
      </c>
      <c r="B842" t="s">
        <v>401</v>
      </c>
      <c r="C842" t="s">
        <v>402</v>
      </c>
      <c r="D842" t="s">
        <v>221</v>
      </c>
      <c r="E842" t="s">
        <v>440</v>
      </c>
      <c r="F842" t="s">
        <v>177</v>
      </c>
      <c r="G842" t="s">
        <v>1248</v>
      </c>
      <c r="H842" s="77">
        <v>62</v>
      </c>
      <c r="I842" s="124">
        <v>116.78</v>
      </c>
      <c r="J842" s="124">
        <v>7240.32</v>
      </c>
      <c r="K842" s="77">
        <v>45</v>
      </c>
      <c r="L842" t="s">
        <v>339</v>
      </c>
      <c r="M842" s="126">
        <v>1448.0640000000001</v>
      </c>
      <c r="N842" s="124">
        <v>7240.32</v>
      </c>
      <c r="O842" t="s">
        <v>346</v>
      </c>
      <c r="P842" t="s">
        <v>294</v>
      </c>
    </row>
    <row r="843" spans="1:16" ht="15" customHeight="1" x14ac:dyDescent="0.25">
      <c r="A843" s="123">
        <v>45776</v>
      </c>
      <c r="B843" t="s">
        <v>393</v>
      </c>
      <c r="C843" t="s">
        <v>394</v>
      </c>
      <c r="D843" t="s">
        <v>227</v>
      </c>
      <c r="E843" t="s">
        <v>403</v>
      </c>
      <c r="F843" t="s">
        <v>181</v>
      </c>
      <c r="G843" t="s">
        <v>1249</v>
      </c>
      <c r="H843" s="77">
        <v>1</v>
      </c>
      <c r="I843" s="124">
        <v>318.87</v>
      </c>
      <c r="J843" s="124">
        <v>318.87</v>
      </c>
      <c r="K843" s="77">
        <v>60</v>
      </c>
      <c r="L843" t="s">
        <v>345</v>
      </c>
      <c r="M843" s="126">
        <v>63.774000000000001</v>
      </c>
      <c r="N843" s="124">
        <v>318.87</v>
      </c>
      <c r="O843" t="s">
        <v>346</v>
      </c>
      <c r="P843" t="s">
        <v>294</v>
      </c>
    </row>
    <row r="844" spans="1:16" ht="15" customHeight="1" x14ac:dyDescent="0.25">
      <c r="A844" s="123">
        <v>45881</v>
      </c>
      <c r="B844" t="s">
        <v>488</v>
      </c>
      <c r="C844" t="s">
        <v>489</v>
      </c>
      <c r="D844" t="s">
        <v>225</v>
      </c>
      <c r="E844" t="s">
        <v>236</v>
      </c>
      <c r="F844" t="s">
        <v>183</v>
      </c>
      <c r="G844" t="s">
        <v>1250</v>
      </c>
      <c r="H844" s="77">
        <v>51</v>
      </c>
      <c r="I844" s="124">
        <v>161.79</v>
      </c>
      <c r="J844" s="124">
        <v>8251.18</v>
      </c>
      <c r="K844" s="77">
        <v>30</v>
      </c>
      <c r="L844" t="s">
        <v>339</v>
      </c>
      <c r="M844" s="126">
        <v>1650.2360000000001</v>
      </c>
      <c r="N844" s="124">
        <v>8251.18</v>
      </c>
      <c r="O844" t="s">
        <v>346</v>
      </c>
      <c r="P844" t="s">
        <v>294</v>
      </c>
    </row>
    <row r="845" spans="1:16" ht="15" customHeight="1" x14ac:dyDescent="0.25">
      <c r="A845" s="123">
        <v>45770</v>
      </c>
      <c r="B845" t="s">
        <v>341</v>
      </c>
      <c r="C845" t="s">
        <v>342</v>
      </c>
      <c r="D845" t="s">
        <v>223</v>
      </c>
      <c r="E845" t="s">
        <v>234</v>
      </c>
      <c r="F845" t="s">
        <v>183</v>
      </c>
      <c r="G845" t="s">
        <v>1251</v>
      </c>
      <c r="H845" s="77">
        <v>34</v>
      </c>
      <c r="I845" s="124">
        <v>370.22</v>
      </c>
      <c r="J845" s="124">
        <v>12587.61</v>
      </c>
      <c r="K845" s="77">
        <v>30</v>
      </c>
      <c r="L845" t="s">
        <v>345</v>
      </c>
      <c r="M845" s="126">
        <v>2517.5219999999999</v>
      </c>
      <c r="N845" s="124">
        <v>12587.61</v>
      </c>
      <c r="O845" t="s">
        <v>346</v>
      </c>
      <c r="P845" t="s">
        <v>294</v>
      </c>
    </row>
    <row r="846" spans="1:16" ht="15" customHeight="1" x14ac:dyDescent="0.25">
      <c r="A846" s="123">
        <v>45971</v>
      </c>
      <c r="B846" t="s">
        <v>341</v>
      </c>
      <c r="C846" t="s">
        <v>342</v>
      </c>
      <c r="D846" t="s">
        <v>223</v>
      </c>
      <c r="E846" t="s">
        <v>352</v>
      </c>
      <c r="F846" t="s">
        <v>180</v>
      </c>
      <c r="G846" t="s">
        <v>1252</v>
      </c>
      <c r="H846" s="77">
        <v>35</v>
      </c>
      <c r="I846" s="124">
        <v>273.97000000000003</v>
      </c>
      <c r="J846" s="124">
        <v>9588.86</v>
      </c>
      <c r="K846" s="77">
        <v>45</v>
      </c>
      <c r="L846" t="s">
        <v>351</v>
      </c>
      <c r="M846" s="126">
        <v>1917.7719999999999</v>
      </c>
      <c r="N846" s="124">
        <v>9588.86</v>
      </c>
      <c r="O846" t="s">
        <v>346</v>
      </c>
      <c r="P846" t="s">
        <v>294</v>
      </c>
    </row>
    <row r="847" spans="1:16" ht="15" customHeight="1" x14ac:dyDescent="0.25">
      <c r="A847" s="123">
        <v>45754</v>
      </c>
      <c r="B847" t="s">
        <v>401</v>
      </c>
      <c r="C847" t="s">
        <v>402</v>
      </c>
      <c r="D847" t="s">
        <v>221</v>
      </c>
      <c r="E847" t="s">
        <v>437</v>
      </c>
      <c r="F847" t="s">
        <v>181</v>
      </c>
      <c r="G847" t="s">
        <v>1253</v>
      </c>
      <c r="H847" s="77">
        <v>9</v>
      </c>
      <c r="I847" s="124">
        <v>288.44</v>
      </c>
      <c r="J847" s="124">
        <v>2595.9299999999998</v>
      </c>
      <c r="K847" s="77">
        <v>30</v>
      </c>
      <c r="L847" t="s">
        <v>339</v>
      </c>
      <c r="M847" s="126">
        <v>519.18600000000004</v>
      </c>
      <c r="N847" s="124">
        <v>2595.9299999999998</v>
      </c>
      <c r="O847" t="s">
        <v>346</v>
      </c>
      <c r="P847" t="s">
        <v>294</v>
      </c>
    </row>
    <row r="848" spans="1:16" ht="15" customHeight="1" x14ac:dyDescent="0.25">
      <c r="A848" s="123">
        <v>45891</v>
      </c>
      <c r="B848" t="s">
        <v>390</v>
      </c>
      <c r="C848" t="s">
        <v>391</v>
      </c>
      <c r="D848" t="s">
        <v>221</v>
      </c>
      <c r="E848" t="s">
        <v>343</v>
      </c>
      <c r="F848" t="s">
        <v>178</v>
      </c>
      <c r="G848" t="s">
        <v>1254</v>
      </c>
      <c r="H848" s="77">
        <v>80</v>
      </c>
      <c r="I848" s="124">
        <v>76.209999999999994</v>
      </c>
      <c r="J848" s="124">
        <v>6096.42</v>
      </c>
      <c r="K848" s="77">
        <v>45</v>
      </c>
      <c r="L848" t="s">
        <v>345</v>
      </c>
      <c r="M848" s="126">
        <v>1219.2840000000001</v>
      </c>
      <c r="N848" s="124">
        <v>6096.42</v>
      </c>
      <c r="O848" t="s">
        <v>346</v>
      </c>
      <c r="P848" t="s">
        <v>294</v>
      </c>
    </row>
    <row r="849" spans="1:16" ht="15" customHeight="1" x14ac:dyDescent="0.25">
      <c r="A849" s="123">
        <v>45822</v>
      </c>
      <c r="B849" t="s">
        <v>347</v>
      </c>
      <c r="C849" t="s">
        <v>348</v>
      </c>
      <c r="D849" t="s">
        <v>223</v>
      </c>
      <c r="E849" t="s">
        <v>396</v>
      </c>
      <c r="F849" t="s">
        <v>184</v>
      </c>
      <c r="G849" t="s">
        <v>1255</v>
      </c>
      <c r="H849" s="77">
        <v>3</v>
      </c>
      <c r="I849" s="124">
        <v>289.43</v>
      </c>
      <c r="J849" s="124">
        <v>868.28</v>
      </c>
      <c r="K849" s="77">
        <v>30</v>
      </c>
      <c r="L849" t="s">
        <v>339</v>
      </c>
      <c r="M849" s="126">
        <v>173.65600000000001</v>
      </c>
      <c r="N849" s="124">
        <v>868.28</v>
      </c>
      <c r="O849" t="s">
        <v>346</v>
      </c>
      <c r="P849" t="s">
        <v>294</v>
      </c>
    </row>
    <row r="850" spans="1:16" ht="15" customHeight="1" x14ac:dyDescent="0.25">
      <c r="A850" s="123">
        <v>45710</v>
      </c>
      <c r="B850" t="s">
        <v>373</v>
      </c>
      <c r="C850" t="s">
        <v>374</v>
      </c>
      <c r="D850" t="s">
        <v>225</v>
      </c>
      <c r="E850" t="s">
        <v>349</v>
      </c>
      <c r="F850" t="s">
        <v>177</v>
      </c>
      <c r="G850" t="s">
        <v>1256</v>
      </c>
      <c r="H850" s="77">
        <v>37</v>
      </c>
      <c r="I850" s="124">
        <v>84.5</v>
      </c>
      <c r="J850" s="124">
        <v>3126.45</v>
      </c>
      <c r="K850" s="77">
        <v>45</v>
      </c>
      <c r="L850" t="s">
        <v>339</v>
      </c>
      <c r="M850" s="126">
        <v>625.29</v>
      </c>
      <c r="N850" s="124">
        <v>3126.45</v>
      </c>
      <c r="O850" t="s">
        <v>340</v>
      </c>
      <c r="P850" t="s">
        <v>294</v>
      </c>
    </row>
    <row r="851" spans="1:16" ht="15" customHeight="1" x14ac:dyDescent="0.25">
      <c r="A851" s="123">
        <v>45662</v>
      </c>
      <c r="B851" t="s">
        <v>378</v>
      </c>
      <c r="C851" t="s">
        <v>379</v>
      </c>
      <c r="D851" t="s">
        <v>227</v>
      </c>
      <c r="E851" t="s">
        <v>417</v>
      </c>
      <c r="F851" t="s">
        <v>184</v>
      </c>
      <c r="G851" t="s">
        <v>1257</v>
      </c>
      <c r="H851" s="77">
        <v>30</v>
      </c>
      <c r="I851" s="124">
        <v>56</v>
      </c>
      <c r="J851" s="124">
        <v>1680.15</v>
      </c>
      <c r="K851" s="77">
        <v>30</v>
      </c>
      <c r="L851" t="s">
        <v>339</v>
      </c>
      <c r="M851" s="126">
        <v>336.03</v>
      </c>
      <c r="N851" s="124">
        <v>1680.15</v>
      </c>
      <c r="O851" t="s">
        <v>346</v>
      </c>
      <c r="P851" t="s">
        <v>294</v>
      </c>
    </row>
    <row r="852" spans="1:16" ht="15" customHeight="1" x14ac:dyDescent="0.25">
      <c r="A852" s="123">
        <v>45833</v>
      </c>
      <c r="B852" t="s">
        <v>347</v>
      </c>
      <c r="C852" t="s">
        <v>348</v>
      </c>
      <c r="D852" t="s">
        <v>223</v>
      </c>
      <c r="E852" t="s">
        <v>396</v>
      </c>
      <c r="F852" t="s">
        <v>184</v>
      </c>
      <c r="G852" t="s">
        <v>1258</v>
      </c>
      <c r="H852" s="77">
        <v>54</v>
      </c>
      <c r="I852" s="124">
        <v>53.24</v>
      </c>
      <c r="J852" s="124">
        <v>2874.82</v>
      </c>
      <c r="K852" s="77">
        <v>45</v>
      </c>
      <c r="L852" t="s">
        <v>345</v>
      </c>
      <c r="M852" s="126">
        <v>574.96400000000006</v>
      </c>
      <c r="N852" s="124">
        <v>2874.82</v>
      </c>
      <c r="O852" t="s">
        <v>346</v>
      </c>
      <c r="P852" t="s">
        <v>294</v>
      </c>
    </row>
    <row r="853" spans="1:16" ht="15" customHeight="1" x14ac:dyDescent="0.25">
      <c r="A853" s="123">
        <v>45674</v>
      </c>
      <c r="B853" t="s">
        <v>409</v>
      </c>
      <c r="C853" t="s">
        <v>410</v>
      </c>
      <c r="D853" t="s">
        <v>223</v>
      </c>
      <c r="E853" t="s">
        <v>417</v>
      </c>
      <c r="F853" t="s">
        <v>184</v>
      </c>
      <c r="G853" t="s">
        <v>1259</v>
      </c>
      <c r="H853" s="77">
        <v>43</v>
      </c>
      <c r="I853" s="124">
        <v>55.26</v>
      </c>
      <c r="J853" s="124">
        <v>2376.0100000000002</v>
      </c>
      <c r="K853" s="77">
        <v>30</v>
      </c>
      <c r="L853" t="s">
        <v>339</v>
      </c>
      <c r="M853" s="126">
        <v>475.202</v>
      </c>
      <c r="N853" s="124">
        <v>2376.0100000000002</v>
      </c>
      <c r="O853" t="s">
        <v>346</v>
      </c>
      <c r="P853" t="s">
        <v>294</v>
      </c>
    </row>
    <row r="854" spans="1:16" ht="15" customHeight="1" x14ac:dyDescent="0.25">
      <c r="A854" s="123">
        <v>45694</v>
      </c>
      <c r="B854" t="s">
        <v>335</v>
      </c>
      <c r="C854" t="s">
        <v>336</v>
      </c>
      <c r="D854" t="s">
        <v>223</v>
      </c>
      <c r="E854" t="s">
        <v>437</v>
      </c>
      <c r="F854" t="s">
        <v>181</v>
      </c>
      <c r="G854" t="s">
        <v>1260</v>
      </c>
      <c r="H854" s="77">
        <v>70</v>
      </c>
      <c r="I854" s="124">
        <v>154.94</v>
      </c>
      <c r="J854" s="124">
        <v>10846.09</v>
      </c>
      <c r="K854" s="77">
        <v>45</v>
      </c>
      <c r="L854" t="s">
        <v>339</v>
      </c>
      <c r="M854" s="126">
        <v>2169.2179999999998</v>
      </c>
      <c r="N854" s="124">
        <v>10846.09</v>
      </c>
      <c r="O854" t="s">
        <v>346</v>
      </c>
      <c r="P854" t="s">
        <v>294</v>
      </c>
    </row>
    <row r="855" spans="1:16" ht="15" customHeight="1" x14ac:dyDescent="0.25">
      <c r="A855" s="123">
        <v>45664</v>
      </c>
      <c r="B855" t="s">
        <v>373</v>
      </c>
      <c r="C855" t="s">
        <v>374</v>
      </c>
      <c r="D855" t="s">
        <v>225</v>
      </c>
      <c r="E855" t="s">
        <v>437</v>
      </c>
      <c r="F855" t="s">
        <v>181</v>
      </c>
      <c r="G855" t="s">
        <v>1261</v>
      </c>
      <c r="H855" s="77">
        <v>16</v>
      </c>
      <c r="I855" s="124">
        <v>423.09</v>
      </c>
      <c r="J855" s="124">
        <v>6769.45</v>
      </c>
      <c r="K855" s="77">
        <v>60</v>
      </c>
      <c r="L855" t="s">
        <v>339</v>
      </c>
      <c r="M855" s="126">
        <v>1353.89</v>
      </c>
      <c r="N855" s="124">
        <v>6769.45</v>
      </c>
      <c r="O855" t="s">
        <v>346</v>
      </c>
      <c r="P855" t="s">
        <v>294</v>
      </c>
    </row>
    <row r="856" spans="1:16" ht="15" customHeight="1" x14ac:dyDescent="0.25">
      <c r="A856" s="123">
        <v>45675</v>
      </c>
      <c r="B856" t="s">
        <v>409</v>
      </c>
      <c r="C856" t="s">
        <v>410</v>
      </c>
      <c r="D856" t="s">
        <v>223</v>
      </c>
      <c r="E856" t="s">
        <v>396</v>
      </c>
      <c r="F856" t="s">
        <v>184</v>
      </c>
      <c r="G856" t="s">
        <v>1262</v>
      </c>
      <c r="H856" s="77">
        <v>26</v>
      </c>
      <c r="I856" s="124">
        <v>163.82</v>
      </c>
      <c r="J856" s="124">
        <v>4259.3100000000004</v>
      </c>
      <c r="K856" s="77">
        <v>45</v>
      </c>
      <c r="L856" t="s">
        <v>351</v>
      </c>
      <c r="M856" s="126">
        <v>851.86199999999997</v>
      </c>
      <c r="N856" s="124">
        <v>4259.3100000000004</v>
      </c>
      <c r="O856" t="s">
        <v>346</v>
      </c>
      <c r="P856" t="s">
        <v>294</v>
      </c>
    </row>
    <row r="857" spans="1:16" ht="15" customHeight="1" x14ac:dyDescent="0.25">
      <c r="A857" s="123">
        <v>45857</v>
      </c>
      <c r="B857" t="s">
        <v>354</v>
      </c>
      <c r="C857" t="s">
        <v>355</v>
      </c>
      <c r="D857" t="s">
        <v>227</v>
      </c>
      <c r="E857" t="s">
        <v>360</v>
      </c>
      <c r="F857" t="s">
        <v>180</v>
      </c>
      <c r="G857" t="s">
        <v>1263</v>
      </c>
      <c r="H857" s="77">
        <v>40</v>
      </c>
      <c r="I857" s="124">
        <v>182.65</v>
      </c>
      <c r="J857" s="124">
        <v>7305.84</v>
      </c>
      <c r="K857" s="77">
        <v>45</v>
      </c>
      <c r="L857" t="s">
        <v>339</v>
      </c>
      <c r="M857" s="126">
        <v>1461.1679999999999</v>
      </c>
      <c r="N857" s="124">
        <v>7305.84</v>
      </c>
      <c r="O857" t="s">
        <v>346</v>
      </c>
      <c r="P857" t="s">
        <v>294</v>
      </c>
    </row>
    <row r="858" spans="1:16" ht="15" customHeight="1" x14ac:dyDescent="0.25">
      <c r="A858" s="123">
        <v>45939</v>
      </c>
      <c r="B858" t="s">
        <v>354</v>
      </c>
      <c r="C858" t="s">
        <v>355</v>
      </c>
      <c r="D858" t="s">
        <v>227</v>
      </c>
      <c r="E858" t="s">
        <v>440</v>
      </c>
      <c r="F858" t="s">
        <v>177</v>
      </c>
      <c r="G858" t="s">
        <v>1264</v>
      </c>
      <c r="H858" s="77">
        <v>67</v>
      </c>
      <c r="I858" s="124">
        <v>75.92</v>
      </c>
      <c r="J858" s="124">
        <v>5086.72</v>
      </c>
      <c r="K858" s="77">
        <v>30</v>
      </c>
      <c r="L858" t="s">
        <v>345</v>
      </c>
      <c r="M858" s="126">
        <v>1017.3440000000001</v>
      </c>
      <c r="N858" s="124">
        <v>5086.72</v>
      </c>
      <c r="O858" t="s">
        <v>346</v>
      </c>
      <c r="P858" t="s">
        <v>294</v>
      </c>
    </row>
    <row r="859" spans="1:16" ht="15" customHeight="1" x14ac:dyDescent="0.25">
      <c r="A859" s="123">
        <v>45842</v>
      </c>
      <c r="B859" t="s">
        <v>431</v>
      </c>
      <c r="C859" t="s">
        <v>432</v>
      </c>
      <c r="D859" t="s">
        <v>221</v>
      </c>
      <c r="E859" t="s">
        <v>356</v>
      </c>
      <c r="F859" t="s">
        <v>181</v>
      </c>
      <c r="G859" t="s">
        <v>1265</v>
      </c>
      <c r="H859" s="77">
        <v>7</v>
      </c>
      <c r="I859" s="124">
        <v>285.12</v>
      </c>
      <c r="J859" s="124">
        <v>1995.83</v>
      </c>
      <c r="K859" s="77">
        <v>60</v>
      </c>
      <c r="L859" t="s">
        <v>339</v>
      </c>
      <c r="M859" s="126">
        <v>399.166</v>
      </c>
      <c r="N859" s="124">
        <v>1995.83</v>
      </c>
      <c r="O859" t="s">
        <v>340</v>
      </c>
      <c r="P859" t="s">
        <v>294</v>
      </c>
    </row>
    <row r="860" spans="1:16" ht="15" customHeight="1" x14ac:dyDescent="0.25">
      <c r="A860" s="123">
        <v>45880</v>
      </c>
      <c r="B860" t="s">
        <v>398</v>
      </c>
      <c r="C860" t="s">
        <v>399</v>
      </c>
      <c r="D860" t="s">
        <v>227</v>
      </c>
      <c r="E860" t="s">
        <v>352</v>
      </c>
      <c r="F860" t="s">
        <v>180</v>
      </c>
      <c r="G860" t="s">
        <v>1266</v>
      </c>
      <c r="H860" s="77">
        <v>42</v>
      </c>
      <c r="I860" s="124">
        <v>184.52</v>
      </c>
      <c r="J860" s="124">
        <v>7749.69</v>
      </c>
      <c r="K860" s="77">
        <v>30</v>
      </c>
      <c r="L860" t="s">
        <v>339</v>
      </c>
      <c r="M860" s="126">
        <v>1549.9380000000001</v>
      </c>
      <c r="N860" s="124">
        <v>7749.69</v>
      </c>
      <c r="O860" t="s">
        <v>346</v>
      </c>
      <c r="P860" t="s">
        <v>294</v>
      </c>
    </row>
    <row r="861" spans="1:16" ht="15" customHeight="1" x14ac:dyDescent="0.25">
      <c r="A861" s="123">
        <v>45782</v>
      </c>
      <c r="B861" t="s">
        <v>393</v>
      </c>
      <c r="C861" t="s">
        <v>394</v>
      </c>
      <c r="D861" t="s">
        <v>227</v>
      </c>
      <c r="E861" t="s">
        <v>368</v>
      </c>
      <c r="F861" t="s">
        <v>178</v>
      </c>
      <c r="G861" t="s">
        <v>1267</v>
      </c>
      <c r="H861" s="77">
        <v>2</v>
      </c>
      <c r="I861" s="124">
        <v>92.07</v>
      </c>
      <c r="J861" s="124">
        <v>184.13</v>
      </c>
      <c r="K861" s="77">
        <v>30</v>
      </c>
      <c r="L861" t="s">
        <v>351</v>
      </c>
      <c r="M861" s="126">
        <v>36.826000000000001</v>
      </c>
      <c r="N861" s="124">
        <v>184.13</v>
      </c>
      <c r="O861" t="s">
        <v>346</v>
      </c>
      <c r="P861" t="s">
        <v>294</v>
      </c>
    </row>
    <row r="862" spans="1:16" ht="15" customHeight="1" x14ac:dyDescent="0.25">
      <c r="A862" s="123">
        <v>45963</v>
      </c>
      <c r="B862" t="s">
        <v>366</v>
      </c>
      <c r="C862" t="s">
        <v>367</v>
      </c>
      <c r="D862" t="s">
        <v>221</v>
      </c>
      <c r="E862" t="s">
        <v>417</v>
      </c>
      <c r="F862" t="s">
        <v>184</v>
      </c>
      <c r="G862" t="s">
        <v>1268</v>
      </c>
      <c r="H862" s="77">
        <v>20</v>
      </c>
      <c r="I862" s="124">
        <v>83.86</v>
      </c>
      <c r="J862" s="124">
        <v>1677.11</v>
      </c>
      <c r="K862" s="77">
        <v>45</v>
      </c>
      <c r="L862" t="s">
        <v>339</v>
      </c>
      <c r="M862" s="126">
        <v>335.42200000000003</v>
      </c>
      <c r="N862" s="124">
        <v>1677.11</v>
      </c>
      <c r="O862" t="s">
        <v>346</v>
      </c>
      <c r="P862" t="s">
        <v>294</v>
      </c>
    </row>
    <row r="863" spans="1:16" ht="15" customHeight="1" x14ac:dyDescent="0.25">
      <c r="A863" s="123">
        <v>45704</v>
      </c>
      <c r="B863" t="s">
        <v>383</v>
      </c>
      <c r="C863" t="s">
        <v>384</v>
      </c>
      <c r="D863" t="s">
        <v>225</v>
      </c>
      <c r="E863" t="s">
        <v>381</v>
      </c>
      <c r="F863" t="s">
        <v>179</v>
      </c>
      <c r="G863" t="s">
        <v>1269</v>
      </c>
      <c r="H863" s="77">
        <v>80</v>
      </c>
      <c r="I863" s="124">
        <v>78.2</v>
      </c>
      <c r="J863" s="124">
        <v>6256.17</v>
      </c>
      <c r="K863" s="77">
        <v>45</v>
      </c>
      <c r="L863" t="s">
        <v>351</v>
      </c>
      <c r="M863" s="126">
        <v>1251.2339999999999</v>
      </c>
      <c r="N863" s="124">
        <v>6256.17</v>
      </c>
      <c r="O863" t="s">
        <v>346</v>
      </c>
      <c r="P863" t="s">
        <v>294</v>
      </c>
    </row>
    <row r="864" spans="1:16" ht="15" customHeight="1" x14ac:dyDescent="0.25">
      <c r="A864" s="123">
        <v>45988</v>
      </c>
      <c r="B864" t="s">
        <v>373</v>
      </c>
      <c r="C864" t="s">
        <v>374</v>
      </c>
      <c r="D864" t="s">
        <v>225</v>
      </c>
      <c r="E864" t="s">
        <v>496</v>
      </c>
      <c r="F864" t="s">
        <v>177</v>
      </c>
      <c r="G864" t="s">
        <v>1270</v>
      </c>
      <c r="H864" s="77">
        <v>20</v>
      </c>
      <c r="I864" s="124">
        <v>281.07</v>
      </c>
      <c r="J864" s="124">
        <v>5621.49</v>
      </c>
      <c r="K864" s="77">
        <v>60</v>
      </c>
      <c r="L864" t="s">
        <v>351</v>
      </c>
      <c r="M864" s="126">
        <v>1124.298</v>
      </c>
      <c r="N864" s="124">
        <v>5621.49</v>
      </c>
      <c r="O864" t="s">
        <v>346</v>
      </c>
      <c r="P864" t="s">
        <v>294</v>
      </c>
    </row>
    <row r="865" spans="1:16" ht="15" customHeight="1" x14ac:dyDescent="0.25">
      <c r="A865" s="123">
        <v>45777</v>
      </c>
      <c r="B865" t="s">
        <v>335</v>
      </c>
      <c r="C865" t="s">
        <v>336</v>
      </c>
      <c r="D865" t="s">
        <v>223</v>
      </c>
      <c r="E865" t="s">
        <v>381</v>
      </c>
      <c r="F865" t="s">
        <v>179</v>
      </c>
      <c r="G865" t="s">
        <v>1271</v>
      </c>
      <c r="H865" s="77">
        <v>41</v>
      </c>
      <c r="I865" s="124">
        <v>483.33</v>
      </c>
      <c r="J865" s="124">
        <v>19816.330000000002</v>
      </c>
      <c r="K865" s="77">
        <v>60</v>
      </c>
      <c r="L865" t="s">
        <v>351</v>
      </c>
      <c r="M865" s="126">
        <v>3963.2660000000001</v>
      </c>
      <c r="N865" s="124">
        <v>19816.330000000002</v>
      </c>
      <c r="O865" t="s">
        <v>346</v>
      </c>
      <c r="P865" t="s">
        <v>294</v>
      </c>
    </row>
    <row r="866" spans="1:16" ht="15" customHeight="1" x14ac:dyDescent="0.25">
      <c r="A866" s="123">
        <v>45756</v>
      </c>
      <c r="B866" t="s">
        <v>373</v>
      </c>
      <c r="C866" t="s">
        <v>374</v>
      </c>
      <c r="D866" t="s">
        <v>225</v>
      </c>
      <c r="E866" t="s">
        <v>420</v>
      </c>
      <c r="F866" t="s">
        <v>182</v>
      </c>
      <c r="G866" t="s">
        <v>1272</v>
      </c>
      <c r="H866" s="77">
        <v>3</v>
      </c>
      <c r="I866" s="124">
        <v>67.819999999999993</v>
      </c>
      <c r="J866" s="124">
        <v>203.46</v>
      </c>
      <c r="K866" s="77">
        <v>60</v>
      </c>
      <c r="L866" t="s">
        <v>345</v>
      </c>
      <c r="M866" s="126">
        <v>40.692</v>
      </c>
      <c r="N866" s="124">
        <v>203.46</v>
      </c>
      <c r="O866" t="s">
        <v>346</v>
      </c>
      <c r="P866" t="s">
        <v>294</v>
      </c>
    </row>
    <row r="867" spans="1:16" ht="15" customHeight="1" x14ac:dyDescent="0.25">
      <c r="A867" s="123">
        <v>45678</v>
      </c>
      <c r="B867" t="s">
        <v>383</v>
      </c>
      <c r="C867" t="s">
        <v>384</v>
      </c>
      <c r="D867" t="s">
        <v>225</v>
      </c>
      <c r="E867" t="s">
        <v>381</v>
      </c>
      <c r="F867" t="s">
        <v>179</v>
      </c>
      <c r="G867" t="s">
        <v>1273</v>
      </c>
      <c r="H867" s="77">
        <v>63</v>
      </c>
      <c r="I867" s="124">
        <v>145.43</v>
      </c>
      <c r="J867" s="124">
        <v>9162.33</v>
      </c>
      <c r="K867" s="77">
        <v>60</v>
      </c>
      <c r="L867" t="s">
        <v>345</v>
      </c>
      <c r="M867" s="126">
        <v>1832.4659999999999</v>
      </c>
      <c r="N867" s="124">
        <v>9162.33</v>
      </c>
      <c r="O867" t="s">
        <v>346</v>
      </c>
      <c r="P867" t="s">
        <v>294</v>
      </c>
    </row>
    <row r="868" spans="1:16" ht="15" customHeight="1" x14ac:dyDescent="0.25">
      <c r="A868" s="123">
        <v>46014</v>
      </c>
      <c r="B868" t="s">
        <v>398</v>
      </c>
      <c r="C868" t="s">
        <v>399</v>
      </c>
      <c r="D868" t="s">
        <v>227</v>
      </c>
      <c r="E868" t="s">
        <v>403</v>
      </c>
      <c r="F868" t="s">
        <v>181</v>
      </c>
      <c r="G868" t="s">
        <v>1274</v>
      </c>
      <c r="H868" s="77">
        <v>63</v>
      </c>
      <c r="I868" s="124">
        <v>257.45999999999998</v>
      </c>
      <c r="J868" s="124">
        <v>16219.8</v>
      </c>
      <c r="K868" s="77">
        <v>30</v>
      </c>
      <c r="L868" t="s">
        <v>351</v>
      </c>
      <c r="M868" s="126">
        <v>3243.96</v>
      </c>
      <c r="N868" s="124">
        <v>16219.8</v>
      </c>
      <c r="O868" t="s">
        <v>346</v>
      </c>
      <c r="P868" t="s">
        <v>294</v>
      </c>
    </row>
    <row r="869" spans="1:16" ht="15" customHeight="1" x14ac:dyDescent="0.25">
      <c r="A869" s="123">
        <v>45897</v>
      </c>
      <c r="B869" t="s">
        <v>378</v>
      </c>
      <c r="C869" t="s">
        <v>379</v>
      </c>
      <c r="D869" t="s">
        <v>227</v>
      </c>
      <c r="E869" t="s">
        <v>420</v>
      </c>
      <c r="F869" t="s">
        <v>182</v>
      </c>
      <c r="G869" t="s">
        <v>1275</v>
      </c>
      <c r="H869" s="77">
        <v>36</v>
      </c>
      <c r="I869" s="124">
        <v>114.19</v>
      </c>
      <c r="J869" s="124">
        <v>4110.6899999999996</v>
      </c>
      <c r="K869" s="77">
        <v>60</v>
      </c>
      <c r="L869" t="s">
        <v>351</v>
      </c>
      <c r="M869" s="126">
        <v>822.13800000000003</v>
      </c>
      <c r="N869" s="124">
        <v>4110.6899999999996</v>
      </c>
      <c r="O869" t="s">
        <v>346</v>
      </c>
      <c r="P869" t="s">
        <v>294</v>
      </c>
    </row>
    <row r="870" spans="1:16" ht="15" customHeight="1" x14ac:dyDescent="0.25">
      <c r="A870" s="123">
        <v>45737</v>
      </c>
      <c r="B870" t="s">
        <v>393</v>
      </c>
      <c r="C870" t="s">
        <v>394</v>
      </c>
      <c r="D870" t="s">
        <v>227</v>
      </c>
      <c r="E870" t="s">
        <v>343</v>
      </c>
      <c r="F870" t="s">
        <v>178</v>
      </c>
      <c r="G870" t="s">
        <v>1276</v>
      </c>
      <c r="H870" s="77">
        <v>58</v>
      </c>
      <c r="I870" s="124">
        <v>93.37</v>
      </c>
      <c r="J870" s="124">
        <v>5415.55</v>
      </c>
      <c r="K870" s="77">
        <v>45</v>
      </c>
      <c r="L870" t="s">
        <v>345</v>
      </c>
      <c r="M870" s="126">
        <v>1083.1099999999999</v>
      </c>
      <c r="N870" s="124">
        <v>5415.55</v>
      </c>
      <c r="O870" t="s">
        <v>346</v>
      </c>
      <c r="P870" t="s">
        <v>294</v>
      </c>
    </row>
    <row r="871" spans="1:16" ht="15" customHeight="1" x14ac:dyDescent="0.25">
      <c r="A871" s="123">
        <v>45658</v>
      </c>
      <c r="B871" t="s">
        <v>347</v>
      </c>
      <c r="C871" t="s">
        <v>348</v>
      </c>
      <c r="D871" t="s">
        <v>223</v>
      </c>
      <c r="E871" t="s">
        <v>420</v>
      </c>
      <c r="F871" t="s">
        <v>182</v>
      </c>
      <c r="G871" t="s">
        <v>1277</v>
      </c>
      <c r="H871" s="77">
        <v>65</v>
      </c>
      <c r="I871" s="124">
        <v>287</v>
      </c>
      <c r="J871" s="124">
        <v>18655.13</v>
      </c>
      <c r="K871" s="77">
        <v>45</v>
      </c>
      <c r="L871" t="s">
        <v>351</v>
      </c>
      <c r="M871" s="126">
        <v>3731.0259999999998</v>
      </c>
      <c r="N871" s="124">
        <v>18655.13</v>
      </c>
      <c r="O871" t="s">
        <v>346</v>
      </c>
      <c r="P871" t="s">
        <v>294</v>
      </c>
    </row>
    <row r="872" spans="1:16" ht="15" customHeight="1" x14ac:dyDescent="0.25">
      <c r="A872" s="123">
        <v>45844</v>
      </c>
      <c r="B872" t="s">
        <v>406</v>
      </c>
      <c r="C872" t="s">
        <v>407</v>
      </c>
      <c r="D872" t="s">
        <v>225</v>
      </c>
      <c r="E872" t="s">
        <v>440</v>
      </c>
      <c r="F872" t="s">
        <v>177</v>
      </c>
      <c r="G872" t="s">
        <v>1278</v>
      </c>
      <c r="H872" s="77">
        <v>80</v>
      </c>
      <c r="I872" s="124">
        <v>108.87</v>
      </c>
      <c r="J872" s="124">
        <v>8709.74</v>
      </c>
      <c r="K872" s="77">
        <v>30</v>
      </c>
      <c r="L872" t="s">
        <v>345</v>
      </c>
      <c r="M872" s="126">
        <v>1741.9480000000001</v>
      </c>
      <c r="N872" s="124">
        <v>8709.74</v>
      </c>
      <c r="O872" t="s">
        <v>346</v>
      </c>
      <c r="P872" t="s">
        <v>294</v>
      </c>
    </row>
    <row r="873" spans="1:16" ht="15" customHeight="1" x14ac:dyDescent="0.25">
      <c r="A873" s="123">
        <v>45933</v>
      </c>
      <c r="B873" t="s">
        <v>373</v>
      </c>
      <c r="C873" t="s">
        <v>374</v>
      </c>
      <c r="D873" t="s">
        <v>225</v>
      </c>
      <c r="E873" t="s">
        <v>343</v>
      </c>
      <c r="F873" t="s">
        <v>178</v>
      </c>
      <c r="G873" t="s">
        <v>1279</v>
      </c>
      <c r="H873" s="77">
        <v>50</v>
      </c>
      <c r="I873" s="124">
        <v>41.9</v>
      </c>
      <c r="J873" s="124">
        <v>2095.08</v>
      </c>
      <c r="K873" s="77">
        <v>30</v>
      </c>
      <c r="L873" t="s">
        <v>351</v>
      </c>
      <c r="M873" s="126">
        <v>419.01600000000002</v>
      </c>
      <c r="N873" s="124">
        <v>2095.08</v>
      </c>
      <c r="O873" t="s">
        <v>346</v>
      </c>
      <c r="P873" t="s">
        <v>294</v>
      </c>
    </row>
    <row r="874" spans="1:16" ht="15" customHeight="1" x14ac:dyDescent="0.25">
      <c r="A874" s="123">
        <v>45736</v>
      </c>
      <c r="B874" t="s">
        <v>362</v>
      </c>
      <c r="C874" t="s">
        <v>363</v>
      </c>
      <c r="D874" t="s">
        <v>221</v>
      </c>
      <c r="E874" t="s">
        <v>417</v>
      </c>
      <c r="F874" t="s">
        <v>184</v>
      </c>
      <c r="G874" t="s">
        <v>1280</v>
      </c>
      <c r="H874" s="77">
        <v>79</v>
      </c>
      <c r="I874" s="124">
        <v>35.119999999999997</v>
      </c>
      <c r="J874" s="124">
        <v>2774.73</v>
      </c>
      <c r="K874" s="77">
        <v>45</v>
      </c>
      <c r="L874" t="s">
        <v>345</v>
      </c>
      <c r="M874" s="126">
        <v>554.94600000000003</v>
      </c>
      <c r="N874" s="124">
        <v>2774.73</v>
      </c>
      <c r="O874" t="s">
        <v>346</v>
      </c>
      <c r="P874" t="s">
        <v>294</v>
      </c>
    </row>
    <row r="875" spans="1:16" ht="15" customHeight="1" x14ac:dyDescent="0.25">
      <c r="A875" s="123">
        <v>45707</v>
      </c>
      <c r="B875" t="s">
        <v>362</v>
      </c>
      <c r="C875" t="s">
        <v>363</v>
      </c>
      <c r="D875" t="s">
        <v>221</v>
      </c>
      <c r="E875" t="s">
        <v>376</v>
      </c>
      <c r="F875" t="s">
        <v>182</v>
      </c>
      <c r="G875" t="s">
        <v>1281</v>
      </c>
      <c r="H875" s="77">
        <v>67</v>
      </c>
      <c r="I875" s="124">
        <v>63.55</v>
      </c>
      <c r="J875" s="124">
        <v>4258.01</v>
      </c>
      <c r="K875" s="77">
        <v>60</v>
      </c>
      <c r="L875" t="s">
        <v>339</v>
      </c>
      <c r="M875" s="126">
        <v>851.60199999999998</v>
      </c>
      <c r="N875" s="124">
        <v>4258.01</v>
      </c>
      <c r="O875" t="s">
        <v>340</v>
      </c>
      <c r="P875" t="s">
        <v>294</v>
      </c>
    </row>
    <row r="876" spans="1:16" ht="15" customHeight="1" x14ac:dyDescent="0.25">
      <c r="A876" s="123">
        <v>45674</v>
      </c>
      <c r="B876" t="s">
        <v>335</v>
      </c>
      <c r="C876" t="s">
        <v>336</v>
      </c>
      <c r="D876" t="s">
        <v>223</v>
      </c>
      <c r="E876" t="s">
        <v>442</v>
      </c>
      <c r="F876" t="s">
        <v>179</v>
      </c>
      <c r="G876" t="s">
        <v>1282</v>
      </c>
      <c r="H876" s="77">
        <v>26</v>
      </c>
      <c r="I876" s="124">
        <v>176.75</v>
      </c>
      <c r="J876" s="124">
        <v>4595.5</v>
      </c>
      <c r="K876" s="77">
        <v>30</v>
      </c>
      <c r="L876" t="s">
        <v>345</v>
      </c>
      <c r="M876" s="126">
        <v>919.1</v>
      </c>
      <c r="N876" s="124">
        <v>4595.5</v>
      </c>
      <c r="O876" t="s">
        <v>340</v>
      </c>
      <c r="P876" t="s">
        <v>294</v>
      </c>
    </row>
    <row r="877" spans="1:16" ht="15" customHeight="1" x14ac:dyDescent="0.25">
      <c r="A877" s="123">
        <v>45950</v>
      </c>
      <c r="B877" t="s">
        <v>366</v>
      </c>
      <c r="C877" t="s">
        <v>367</v>
      </c>
      <c r="D877" t="s">
        <v>221</v>
      </c>
      <c r="E877" t="s">
        <v>415</v>
      </c>
      <c r="F877" t="s">
        <v>178</v>
      </c>
      <c r="G877" t="s">
        <v>1283</v>
      </c>
      <c r="H877" s="77">
        <v>50</v>
      </c>
      <c r="I877" s="124">
        <v>174.41</v>
      </c>
      <c r="J877" s="124">
        <v>8720.3700000000008</v>
      </c>
      <c r="K877" s="77">
        <v>60</v>
      </c>
      <c r="L877" t="s">
        <v>345</v>
      </c>
      <c r="M877" s="126">
        <v>1744.0740000000001</v>
      </c>
      <c r="N877" s="124">
        <v>8720.3700000000008</v>
      </c>
      <c r="O877" t="s">
        <v>340</v>
      </c>
      <c r="P877" t="s">
        <v>294</v>
      </c>
    </row>
    <row r="878" spans="1:16" ht="15" customHeight="1" x14ac:dyDescent="0.25">
      <c r="A878" s="123">
        <v>45845</v>
      </c>
      <c r="B878" t="s">
        <v>488</v>
      </c>
      <c r="C878" t="s">
        <v>489</v>
      </c>
      <c r="D878" t="s">
        <v>225</v>
      </c>
      <c r="E878" t="s">
        <v>356</v>
      </c>
      <c r="F878" t="s">
        <v>181</v>
      </c>
      <c r="G878" t="s">
        <v>1284</v>
      </c>
      <c r="H878" s="77">
        <v>29</v>
      </c>
      <c r="I878" s="124">
        <v>165.5</v>
      </c>
      <c r="J878" s="124">
        <v>4799.3599999999997</v>
      </c>
      <c r="K878" s="77">
        <v>60</v>
      </c>
      <c r="L878" t="s">
        <v>351</v>
      </c>
      <c r="M878" s="126">
        <v>959.87199999999996</v>
      </c>
      <c r="N878" s="124">
        <v>4799.3599999999997</v>
      </c>
      <c r="O878" t="s">
        <v>340</v>
      </c>
      <c r="P878" t="s">
        <v>294</v>
      </c>
    </row>
    <row r="879" spans="1:16" ht="15" customHeight="1" x14ac:dyDescent="0.25">
      <c r="A879" s="123">
        <v>45993</v>
      </c>
      <c r="B879" t="s">
        <v>378</v>
      </c>
      <c r="C879" t="s">
        <v>379</v>
      </c>
      <c r="D879" t="s">
        <v>227</v>
      </c>
      <c r="E879" t="s">
        <v>349</v>
      </c>
      <c r="F879" t="s">
        <v>177</v>
      </c>
      <c r="G879" t="s">
        <v>1285</v>
      </c>
      <c r="H879" s="77">
        <v>63</v>
      </c>
      <c r="I879" s="124">
        <v>135.72</v>
      </c>
      <c r="J879" s="124">
        <v>8550.2000000000007</v>
      </c>
      <c r="K879" s="77">
        <v>30</v>
      </c>
      <c r="L879" t="s">
        <v>345</v>
      </c>
      <c r="M879" s="126">
        <v>1710.04</v>
      </c>
      <c r="N879" s="124">
        <v>8550.2000000000007</v>
      </c>
      <c r="O879" t="s">
        <v>340</v>
      </c>
      <c r="P879" t="s">
        <v>294</v>
      </c>
    </row>
    <row r="880" spans="1:16" ht="15" customHeight="1" x14ac:dyDescent="0.25">
      <c r="A880" s="123">
        <v>45943</v>
      </c>
      <c r="B880" t="s">
        <v>341</v>
      </c>
      <c r="C880" t="s">
        <v>342</v>
      </c>
      <c r="D880" t="s">
        <v>223</v>
      </c>
      <c r="E880" t="s">
        <v>496</v>
      </c>
      <c r="F880" t="s">
        <v>177</v>
      </c>
      <c r="G880" t="s">
        <v>1286</v>
      </c>
      <c r="H880" s="77">
        <v>54</v>
      </c>
      <c r="I880" s="124">
        <v>118.92</v>
      </c>
      <c r="J880" s="124">
        <v>6421.73</v>
      </c>
      <c r="K880" s="77">
        <v>45</v>
      </c>
      <c r="L880" t="s">
        <v>351</v>
      </c>
      <c r="M880" s="126">
        <v>1284.346</v>
      </c>
      <c r="N880" s="124">
        <v>6421.73</v>
      </c>
      <c r="O880" t="s">
        <v>346</v>
      </c>
      <c r="P880" t="s">
        <v>294</v>
      </c>
    </row>
    <row r="881" spans="1:16" ht="15" customHeight="1" x14ac:dyDescent="0.25">
      <c r="A881" s="123">
        <v>45678</v>
      </c>
      <c r="B881" t="s">
        <v>406</v>
      </c>
      <c r="C881" t="s">
        <v>407</v>
      </c>
      <c r="D881" t="s">
        <v>225</v>
      </c>
      <c r="E881" t="s">
        <v>403</v>
      </c>
      <c r="F881" t="s">
        <v>181</v>
      </c>
      <c r="G881" t="s">
        <v>1287</v>
      </c>
      <c r="H881" s="77">
        <v>10</v>
      </c>
      <c r="I881" s="124">
        <v>422.95</v>
      </c>
      <c r="J881" s="124">
        <v>4229.46</v>
      </c>
      <c r="K881" s="77">
        <v>45</v>
      </c>
      <c r="L881" t="s">
        <v>339</v>
      </c>
      <c r="M881" s="126">
        <v>845.89200000000005</v>
      </c>
      <c r="N881" s="124">
        <v>4229.46</v>
      </c>
      <c r="O881" t="s">
        <v>346</v>
      </c>
      <c r="P881" t="s">
        <v>294</v>
      </c>
    </row>
    <row r="882" spans="1:16" ht="15" customHeight="1" x14ac:dyDescent="0.25">
      <c r="A882" s="123">
        <v>45776</v>
      </c>
      <c r="B882" t="s">
        <v>431</v>
      </c>
      <c r="C882" t="s">
        <v>432</v>
      </c>
      <c r="D882" t="s">
        <v>221</v>
      </c>
      <c r="E882" t="s">
        <v>415</v>
      </c>
      <c r="F882" t="s">
        <v>178</v>
      </c>
      <c r="G882" t="s">
        <v>1288</v>
      </c>
      <c r="H882" s="77">
        <v>69</v>
      </c>
      <c r="I882" s="124">
        <v>260.92</v>
      </c>
      <c r="J882" s="124">
        <v>18003.23</v>
      </c>
      <c r="K882" s="77">
        <v>45</v>
      </c>
      <c r="L882" t="s">
        <v>339</v>
      </c>
      <c r="M882" s="126">
        <v>3600.6460000000002</v>
      </c>
      <c r="N882" s="124">
        <v>18003.23</v>
      </c>
      <c r="O882" t="s">
        <v>340</v>
      </c>
      <c r="P882" t="s">
        <v>294</v>
      </c>
    </row>
    <row r="883" spans="1:16" ht="15" customHeight="1" x14ac:dyDescent="0.25">
      <c r="A883" s="123">
        <v>45978</v>
      </c>
      <c r="B883" t="s">
        <v>347</v>
      </c>
      <c r="C883" t="s">
        <v>348</v>
      </c>
      <c r="D883" t="s">
        <v>223</v>
      </c>
      <c r="E883" t="s">
        <v>352</v>
      </c>
      <c r="F883" t="s">
        <v>180</v>
      </c>
      <c r="G883" t="s">
        <v>1289</v>
      </c>
      <c r="H883" s="77">
        <v>23</v>
      </c>
      <c r="I883" s="124">
        <v>186.7</v>
      </c>
      <c r="J883" s="124">
        <v>4294.01</v>
      </c>
      <c r="K883" s="77">
        <v>60</v>
      </c>
      <c r="L883" t="s">
        <v>351</v>
      </c>
      <c r="M883" s="126">
        <v>858.80200000000002</v>
      </c>
      <c r="N883" s="124">
        <v>4294.01</v>
      </c>
      <c r="O883" t="s">
        <v>346</v>
      </c>
      <c r="P883" t="s">
        <v>294</v>
      </c>
    </row>
    <row r="884" spans="1:16" ht="15" customHeight="1" x14ac:dyDescent="0.25">
      <c r="A884" s="123">
        <v>45712</v>
      </c>
      <c r="B884" t="s">
        <v>358</v>
      </c>
      <c r="C884" t="s">
        <v>359</v>
      </c>
      <c r="D884" t="s">
        <v>225</v>
      </c>
      <c r="E884" t="s">
        <v>236</v>
      </c>
      <c r="F884" t="s">
        <v>183</v>
      </c>
      <c r="G884" t="s">
        <v>1290</v>
      </c>
      <c r="H884" s="77">
        <v>74</v>
      </c>
      <c r="I884" s="124">
        <v>229.2</v>
      </c>
      <c r="J884" s="124">
        <v>16960.73</v>
      </c>
      <c r="K884" s="77">
        <v>45</v>
      </c>
      <c r="L884" t="s">
        <v>351</v>
      </c>
      <c r="M884" s="126">
        <v>3392.1460000000002</v>
      </c>
      <c r="N884" s="124">
        <v>16960.73</v>
      </c>
      <c r="O884" t="s">
        <v>346</v>
      </c>
      <c r="P884" t="s">
        <v>294</v>
      </c>
    </row>
    <row r="885" spans="1:16" ht="15" customHeight="1" x14ac:dyDescent="0.25">
      <c r="A885" s="123">
        <v>45743</v>
      </c>
      <c r="B885" t="s">
        <v>390</v>
      </c>
      <c r="C885" t="s">
        <v>391</v>
      </c>
      <c r="D885" t="s">
        <v>221</v>
      </c>
      <c r="E885" t="s">
        <v>235</v>
      </c>
      <c r="F885" t="s">
        <v>183</v>
      </c>
      <c r="G885" t="s">
        <v>1291</v>
      </c>
      <c r="H885" s="77">
        <v>24</v>
      </c>
      <c r="I885" s="124">
        <v>532.76</v>
      </c>
      <c r="J885" s="124">
        <v>12786.24</v>
      </c>
      <c r="K885" s="77">
        <v>60</v>
      </c>
      <c r="L885" t="s">
        <v>345</v>
      </c>
      <c r="M885" s="126">
        <v>2557.248</v>
      </c>
      <c r="N885" s="124">
        <v>12786.24</v>
      </c>
      <c r="O885" t="s">
        <v>346</v>
      </c>
      <c r="P885" t="s">
        <v>294</v>
      </c>
    </row>
    <row r="886" spans="1:16" ht="15" customHeight="1" x14ac:dyDescent="0.25">
      <c r="A886" s="123">
        <v>45738</v>
      </c>
      <c r="B886" t="s">
        <v>383</v>
      </c>
      <c r="C886" t="s">
        <v>384</v>
      </c>
      <c r="D886" t="s">
        <v>225</v>
      </c>
      <c r="E886" t="s">
        <v>364</v>
      </c>
      <c r="F886" t="s">
        <v>182</v>
      </c>
      <c r="G886" t="s">
        <v>1292</v>
      </c>
      <c r="H886" s="77">
        <v>69</v>
      </c>
      <c r="I886" s="124">
        <v>138.22999999999999</v>
      </c>
      <c r="J886" s="124">
        <v>9537.85</v>
      </c>
      <c r="K886" s="77">
        <v>60</v>
      </c>
      <c r="L886" t="s">
        <v>345</v>
      </c>
      <c r="M886" s="126">
        <v>1907.57</v>
      </c>
      <c r="N886" s="124">
        <v>9537.85</v>
      </c>
      <c r="O886" t="s">
        <v>346</v>
      </c>
      <c r="P886" t="s">
        <v>294</v>
      </c>
    </row>
    <row r="887" spans="1:16" ht="15" customHeight="1" x14ac:dyDescent="0.25">
      <c r="A887" s="123">
        <v>45824</v>
      </c>
      <c r="B887" t="s">
        <v>347</v>
      </c>
      <c r="C887" t="s">
        <v>348</v>
      </c>
      <c r="D887" t="s">
        <v>223</v>
      </c>
      <c r="E887" t="s">
        <v>364</v>
      </c>
      <c r="F887" t="s">
        <v>182</v>
      </c>
      <c r="G887" t="s">
        <v>1293</v>
      </c>
      <c r="H887" s="77">
        <v>48</v>
      </c>
      <c r="I887" s="124">
        <v>262.32</v>
      </c>
      <c r="J887" s="124">
        <v>12591.37</v>
      </c>
      <c r="K887" s="77">
        <v>45</v>
      </c>
      <c r="L887" t="s">
        <v>351</v>
      </c>
      <c r="M887" s="126">
        <v>2518.2739999999999</v>
      </c>
      <c r="N887" s="124">
        <v>12591.37</v>
      </c>
      <c r="O887" t="s">
        <v>346</v>
      </c>
      <c r="P887" t="s">
        <v>294</v>
      </c>
    </row>
    <row r="888" spans="1:16" ht="15" customHeight="1" x14ac:dyDescent="0.25">
      <c r="A888" s="123">
        <v>45781</v>
      </c>
      <c r="B888" t="s">
        <v>386</v>
      </c>
      <c r="C888" t="s">
        <v>387</v>
      </c>
      <c r="D888" t="s">
        <v>223</v>
      </c>
      <c r="E888" t="s">
        <v>364</v>
      </c>
      <c r="F888" t="s">
        <v>182</v>
      </c>
      <c r="G888" t="s">
        <v>1294</v>
      </c>
      <c r="H888" s="77">
        <v>73</v>
      </c>
      <c r="I888" s="124">
        <v>130.97999999999999</v>
      </c>
      <c r="J888" s="124">
        <v>9561.4699999999993</v>
      </c>
      <c r="K888" s="77">
        <v>60</v>
      </c>
      <c r="L888" t="s">
        <v>339</v>
      </c>
      <c r="M888" s="126">
        <v>1912.2940000000001</v>
      </c>
      <c r="N888" s="124">
        <v>9561.4699999999993</v>
      </c>
      <c r="O888" t="s">
        <v>346</v>
      </c>
      <c r="P888" t="s">
        <v>294</v>
      </c>
    </row>
    <row r="889" spans="1:16" ht="15" customHeight="1" x14ac:dyDescent="0.25">
      <c r="A889" s="123">
        <v>45889</v>
      </c>
      <c r="B889" t="s">
        <v>383</v>
      </c>
      <c r="C889" t="s">
        <v>384</v>
      </c>
      <c r="D889" t="s">
        <v>225</v>
      </c>
      <c r="E889" t="s">
        <v>437</v>
      </c>
      <c r="F889" t="s">
        <v>181</v>
      </c>
      <c r="G889" t="s">
        <v>1295</v>
      </c>
      <c r="H889" s="77">
        <v>58</v>
      </c>
      <c r="I889" s="124">
        <v>180.55</v>
      </c>
      <c r="J889" s="124">
        <v>10472</v>
      </c>
      <c r="K889" s="77">
        <v>45</v>
      </c>
      <c r="L889" t="s">
        <v>339</v>
      </c>
      <c r="M889" s="126">
        <v>2094.4</v>
      </c>
      <c r="N889" s="124">
        <v>10472</v>
      </c>
      <c r="O889" t="s">
        <v>346</v>
      </c>
      <c r="P889" t="s">
        <v>294</v>
      </c>
    </row>
    <row r="890" spans="1:16" ht="15" customHeight="1" x14ac:dyDescent="0.25">
      <c r="A890" s="123">
        <v>45963</v>
      </c>
      <c r="B890" t="s">
        <v>488</v>
      </c>
      <c r="C890" t="s">
        <v>489</v>
      </c>
      <c r="D890" t="s">
        <v>225</v>
      </c>
      <c r="E890" t="s">
        <v>496</v>
      </c>
      <c r="F890" t="s">
        <v>177</v>
      </c>
      <c r="G890" t="s">
        <v>1296</v>
      </c>
      <c r="H890" s="77">
        <v>3</v>
      </c>
      <c r="I890" s="124">
        <v>166.06</v>
      </c>
      <c r="J890" s="124">
        <v>498.18</v>
      </c>
      <c r="K890" s="77">
        <v>60</v>
      </c>
      <c r="L890" t="s">
        <v>339</v>
      </c>
      <c r="M890" s="126">
        <v>99.635999999999996</v>
      </c>
      <c r="N890" s="124">
        <v>498.18</v>
      </c>
      <c r="O890" t="s">
        <v>346</v>
      </c>
      <c r="P890" t="s">
        <v>294</v>
      </c>
    </row>
    <row r="891" spans="1:16" ht="15" customHeight="1" x14ac:dyDescent="0.25">
      <c r="A891" s="123">
        <v>45771</v>
      </c>
      <c r="B891" t="s">
        <v>358</v>
      </c>
      <c r="C891" t="s">
        <v>359</v>
      </c>
      <c r="D891" t="s">
        <v>225</v>
      </c>
      <c r="E891" t="s">
        <v>496</v>
      </c>
      <c r="F891" t="s">
        <v>177</v>
      </c>
      <c r="G891" t="s">
        <v>1297</v>
      </c>
      <c r="H891" s="77">
        <v>28</v>
      </c>
      <c r="I891" s="124">
        <v>220.8</v>
      </c>
      <c r="J891" s="124">
        <v>6182.53</v>
      </c>
      <c r="K891" s="77">
        <v>45</v>
      </c>
      <c r="L891" t="s">
        <v>339</v>
      </c>
      <c r="M891" s="126">
        <v>1236.5060000000001</v>
      </c>
      <c r="N891" s="124">
        <v>6182.53</v>
      </c>
      <c r="O891" t="s">
        <v>346</v>
      </c>
      <c r="P891" t="s">
        <v>294</v>
      </c>
    </row>
    <row r="892" spans="1:16" ht="15" customHeight="1" x14ac:dyDescent="0.25">
      <c r="A892" s="123">
        <v>45919</v>
      </c>
      <c r="B892" t="s">
        <v>398</v>
      </c>
      <c r="C892" t="s">
        <v>399</v>
      </c>
      <c r="D892" t="s">
        <v>227</v>
      </c>
      <c r="E892" t="s">
        <v>403</v>
      </c>
      <c r="F892" t="s">
        <v>181</v>
      </c>
      <c r="G892" t="s">
        <v>1298</v>
      </c>
      <c r="H892" s="77">
        <v>72</v>
      </c>
      <c r="I892" s="124">
        <v>345.47</v>
      </c>
      <c r="J892" s="124">
        <v>24873.52</v>
      </c>
      <c r="K892" s="77">
        <v>60</v>
      </c>
      <c r="L892" t="s">
        <v>351</v>
      </c>
      <c r="M892" s="126">
        <v>4974.7039999999997</v>
      </c>
      <c r="N892" s="124">
        <v>24873.52</v>
      </c>
      <c r="O892" t="s">
        <v>346</v>
      </c>
      <c r="P892" t="s">
        <v>294</v>
      </c>
    </row>
    <row r="893" spans="1:16" ht="15" customHeight="1" x14ac:dyDescent="0.25">
      <c r="A893" s="123">
        <v>45893</v>
      </c>
      <c r="B893" t="s">
        <v>341</v>
      </c>
      <c r="C893" t="s">
        <v>342</v>
      </c>
      <c r="D893" t="s">
        <v>223</v>
      </c>
      <c r="E893" t="s">
        <v>415</v>
      </c>
      <c r="F893" t="s">
        <v>178</v>
      </c>
      <c r="G893" t="s">
        <v>1299</v>
      </c>
      <c r="H893" s="77">
        <v>46</v>
      </c>
      <c r="I893" s="124">
        <v>85.92</v>
      </c>
      <c r="J893" s="124">
        <v>3952.21</v>
      </c>
      <c r="K893" s="77">
        <v>30</v>
      </c>
      <c r="L893" t="s">
        <v>339</v>
      </c>
      <c r="M893" s="126">
        <v>790.44200000000001</v>
      </c>
      <c r="N893" s="124">
        <v>3952.21</v>
      </c>
      <c r="O893" t="s">
        <v>340</v>
      </c>
      <c r="P893" t="s">
        <v>294</v>
      </c>
    </row>
    <row r="894" spans="1:16" ht="15" customHeight="1" x14ac:dyDescent="0.25">
      <c r="A894" s="123">
        <v>45785</v>
      </c>
      <c r="B894" t="s">
        <v>358</v>
      </c>
      <c r="C894" t="s">
        <v>359</v>
      </c>
      <c r="D894" t="s">
        <v>225</v>
      </c>
      <c r="E894" t="s">
        <v>364</v>
      </c>
      <c r="F894" t="s">
        <v>182</v>
      </c>
      <c r="G894" t="s">
        <v>1300</v>
      </c>
      <c r="H894" s="77">
        <v>30</v>
      </c>
      <c r="I894" s="124">
        <v>170.81</v>
      </c>
      <c r="J894" s="124">
        <v>5124.28</v>
      </c>
      <c r="K894" s="77">
        <v>45</v>
      </c>
      <c r="L894" t="s">
        <v>345</v>
      </c>
      <c r="M894" s="126">
        <v>1024.856</v>
      </c>
      <c r="N894" s="124">
        <v>5124.28</v>
      </c>
      <c r="O894" t="s">
        <v>346</v>
      </c>
      <c r="P894" t="s">
        <v>294</v>
      </c>
    </row>
    <row r="895" spans="1:16" ht="15" customHeight="1" x14ac:dyDescent="0.25">
      <c r="A895" s="123">
        <v>45769</v>
      </c>
      <c r="B895" t="s">
        <v>347</v>
      </c>
      <c r="C895" t="s">
        <v>348</v>
      </c>
      <c r="D895" t="s">
        <v>223</v>
      </c>
      <c r="E895" t="s">
        <v>236</v>
      </c>
      <c r="F895" t="s">
        <v>183</v>
      </c>
      <c r="G895" t="s">
        <v>1301</v>
      </c>
      <c r="H895" s="77">
        <v>10</v>
      </c>
      <c r="I895" s="124">
        <v>570.72</v>
      </c>
      <c r="J895" s="124">
        <v>5707.18</v>
      </c>
      <c r="K895" s="77">
        <v>60</v>
      </c>
      <c r="L895" t="s">
        <v>345</v>
      </c>
      <c r="M895" s="126">
        <v>1141.4359999999999</v>
      </c>
      <c r="N895" s="124">
        <v>5707.18</v>
      </c>
      <c r="O895" t="s">
        <v>346</v>
      </c>
      <c r="P895" t="s">
        <v>294</v>
      </c>
    </row>
    <row r="896" spans="1:16" ht="15" customHeight="1" x14ac:dyDescent="0.25">
      <c r="A896" s="123">
        <v>46011</v>
      </c>
      <c r="B896" t="s">
        <v>358</v>
      </c>
      <c r="C896" t="s">
        <v>359</v>
      </c>
      <c r="D896" t="s">
        <v>225</v>
      </c>
      <c r="E896" t="s">
        <v>381</v>
      </c>
      <c r="F896" t="s">
        <v>179</v>
      </c>
      <c r="G896" t="s">
        <v>1302</v>
      </c>
      <c r="H896" s="77">
        <v>74</v>
      </c>
      <c r="I896" s="124">
        <v>384.96</v>
      </c>
      <c r="J896" s="124">
        <v>28487.18</v>
      </c>
      <c r="K896" s="77">
        <v>30</v>
      </c>
      <c r="L896" t="s">
        <v>351</v>
      </c>
      <c r="M896" s="126">
        <v>5697.4359999999997</v>
      </c>
      <c r="N896" s="124">
        <v>28487.18</v>
      </c>
      <c r="O896" t="s">
        <v>346</v>
      </c>
      <c r="P896" t="s">
        <v>294</v>
      </c>
    </row>
    <row r="897" spans="1:16" ht="15" customHeight="1" x14ac:dyDescent="0.25">
      <c r="A897" s="123">
        <v>45953</v>
      </c>
      <c r="B897" t="s">
        <v>390</v>
      </c>
      <c r="C897" t="s">
        <v>391</v>
      </c>
      <c r="D897" t="s">
        <v>221</v>
      </c>
      <c r="E897" t="s">
        <v>356</v>
      </c>
      <c r="F897" t="s">
        <v>181</v>
      </c>
      <c r="G897" t="s">
        <v>1303</v>
      </c>
      <c r="H897" s="77">
        <v>49</v>
      </c>
      <c r="I897" s="124">
        <v>314.32</v>
      </c>
      <c r="J897" s="124">
        <v>15401.78</v>
      </c>
      <c r="K897" s="77">
        <v>30</v>
      </c>
      <c r="L897" t="s">
        <v>339</v>
      </c>
      <c r="M897" s="126">
        <v>3080.3560000000002</v>
      </c>
      <c r="N897" s="124">
        <v>15401.78</v>
      </c>
      <c r="O897" t="s">
        <v>340</v>
      </c>
      <c r="P897" t="s">
        <v>294</v>
      </c>
    </row>
    <row r="898" spans="1:16" ht="15" customHeight="1" x14ac:dyDescent="0.25">
      <c r="A898" s="123">
        <v>45871</v>
      </c>
      <c r="B898" t="s">
        <v>401</v>
      </c>
      <c r="C898" t="s">
        <v>402</v>
      </c>
      <c r="D898" t="s">
        <v>221</v>
      </c>
      <c r="E898" t="s">
        <v>420</v>
      </c>
      <c r="F898" t="s">
        <v>182</v>
      </c>
      <c r="G898" t="s">
        <v>1304</v>
      </c>
      <c r="H898" s="77">
        <v>16</v>
      </c>
      <c r="I898" s="124">
        <v>86.66</v>
      </c>
      <c r="J898" s="124">
        <v>1386.52</v>
      </c>
      <c r="K898" s="77">
        <v>30</v>
      </c>
      <c r="L898" t="s">
        <v>351</v>
      </c>
      <c r="M898" s="126">
        <v>277.30399999999997</v>
      </c>
      <c r="N898" s="124">
        <v>1386.52</v>
      </c>
      <c r="O898" t="s">
        <v>346</v>
      </c>
      <c r="P898" t="s">
        <v>294</v>
      </c>
    </row>
    <row r="899" spans="1:16" ht="15" customHeight="1" x14ac:dyDescent="0.25">
      <c r="A899" s="123">
        <v>45981</v>
      </c>
      <c r="B899" t="s">
        <v>373</v>
      </c>
      <c r="C899" t="s">
        <v>374</v>
      </c>
      <c r="D899" t="s">
        <v>225</v>
      </c>
      <c r="E899" t="s">
        <v>440</v>
      </c>
      <c r="F899" t="s">
        <v>177</v>
      </c>
      <c r="G899" t="s">
        <v>1305</v>
      </c>
      <c r="H899" s="77">
        <v>49</v>
      </c>
      <c r="I899" s="124">
        <v>130.08000000000001</v>
      </c>
      <c r="J899" s="124">
        <v>6374.14</v>
      </c>
      <c r="K899" s="77">
        <v>30</v>
      </c>
      <c r="L899" t="s">
        <v>345</v>
      </c>
      <c r="M899" s="126">
        <v>1274.828</v>
      </c>
      <c r="N899" s="124">
        <v>6374.14</v>
      </c>
      <c r="O899" t="s">
        <v>346</v>
      </c>
      <c r="P899" t="s">
        <v>294</v>
      </c>
    </row>
    <row r="900" spans="1:16" ht="15" customHeight="1" x14ac:dyDescent="0.25">
      <c r="A900" s="123">
        <v>45934</v>
      </c>
      <c r="B900" t="s">
        <v>335</v>
      </c>
      <c r="C900" t="s">
        <v>336</v>
      </c>
      <c r="D900" t="s">
        <v>223</v>
      </c>
      <c r="E900" t="s">
        <v>496</v>
      </c>
      <c r="F900" t="s">
        <v>177</v>
      </c>
      <c r="G900" t="s">
        <v>1306</v>
      </c>
      <c r="H900" s="77">
        <v>73</v>
      </c>
      <c r="I900" s="124">
        <v>233.01</v>
      </c>
      <c r="J900" s="124">
        <v>17009.57</v>
      </c>
      <c r="K900" s="77">
        <v>30</v>
      </c>
      <c r="L900" t="s">
        <v>345</v>
      </c>
      <c r="M900" s="126">
        <v>3401.9140000000002</v>
      </c>
      <c r="N900" s="124">
        <v>17009.57</v>
      </c>
      <c r="O900" t="s">
        <v>346</v>
      </c>
      <c r="P900" t="s">
        <v>294</v>
      </c>
    </row>
    <row r="901" spans="1:16" ht="15" customHeight="1" x14ac:dyDescent="0.25">
      <c r="A901" s="123">
        <v>45683</v>
      </c>
      <c r="B901" t="s">
        <v>335</v>
      </c>
      <c r="C901" t="s">
        <v>336</v>
      </c>
      <c r="D901" t="s">
        <v>223</v>
      </c>
      <c r="E901" t="s">
        <v>423</v>
      </c>
      <c r="F901" t="s">
        <v>180</v>
      </c>
      <c r="G901" t="s">
        <v>1307</v>
      </c>
      <c r="H901" s="77">
        <v>51</v>
      </c>
      <c r="I901" s="124">
        <v>159.52000000000001</v>
      </c>
      <c r="J901" s="124">
        <v>8135.33</v>
      </c>
      <c r="K901" s="77">
        <v>45</v>
      </c>
      <c r="L901" t="s">
        <v>351</v>
      </c>
      <c r="M901" s="126">
        <v>1627.066</v>
      </c>
      <c r="N901" s="124">
        <v>8135.33</v>
      </c>
      <c r="O901" t="s">
        <v>346</v>
      </c>
      <c r="P901" t="s">
        <v>294</v>
      </c>
    </row>
    <row r="902" spans="1:16" ht="15" customHeight="1" x14ac:dyDescent="0.25">
      <c r="A902" s="123">
        <v>45879</v>
      </c>
      <c r="B902" t="s">
        <v>347</v>
      </c>
      <c r="C902" t="s">
        <v>348</v>
      </c>
      <c r="D902" t="s">
        <v>223</v>
      </c>
      <c r="E902" t="s">
        <v>415</v>
      </c>
      <c r="F902" t="s">
        <v>178</v>
      </c>
      <c r="G902" t="s">
        <v>1308</v>
      </c>
      <c r="H902" s="77">
        <v>38</v>
      </c>
      <c r="I902" s="124">
        <v>79.61</v>
      </c>
      <c r="J902" s="124">
        <v>3025.23</v>
      </c>
      <c r="K902" s="77">
        <v>45</v>
      </c>
      <c r="L902" t="s">
        <v>339</v>
      </c>
      <c r="M902" s="126">
        <v>605.04600000000005</v>
      </c>
      <c r="N902" s="124">
        <v>3025.23</v>
      </c>
      <c r="O902" t="s">
        <v>340</v>
      </c>
      <c r="P902" t="s">
        <v>294</v>
      </c>
    </row>
    <row r="903" spans="1:16" ht="15" customHeight="1" x14ac:dyDescent="0.25">
      <c r="A903" s="123">
        <v>45901</v>
      </c>
      <c r="C903" t="s">
        <v>391</v>
      </c>
      <c r="D903" t="s">
        <v>221</v>
      </c>
      <c r="E903" t="s">
        <v>376</v>
      </c>
      <c r="F903" t="s">
        <v>182</v>
      </c>
      <c r="G903" t="s">
        <v>1309</v>
      </c>
      <c r="H903" s="77">
        <v>74</v>
      </c>
      <c r="I903" s="124">
        <v>76.52</v>
      </c>
      <c r="J903" s="124">
        <v>5662.41</v>
      </c>
      <c r="K903" s="77">
        <v>60</v>
      </c>
      <c r="L903" t="s">
        <v>339</v>
      </c>
      <c r="M903" s="126">
        <v>1132.482</v>
      </c>
      <c r="N903" s="124">
        <v>5662.41</v>
      </c>
      <c r="O903" t="s">
        <v>340</v>
      </c>
      <c r="P903" t="s">
        <v>284</v>
      </c>
    </row>
    <row r="904" spans="1:16" ht="15" customHeight="1" x14ac:dyDescent="0.25">
      <c r="A904" s="123">
        <v>45701</v>
      </c>
      <c r="B904" t="s">
        <v>362</v>
      </c>
      <c r="C904" t="s">
        <v>363</v>
      </c>
      <c r="D904" t="s">
        <v>221</v>
      </c>
      <c r="E904" t="s">
        <v>234</v>
      </c>
      <c r="F904" t="s">
        <v>183</v>
      </c>
      <c r="G904" t="s">
        <v>1310</v>
      </c>
      <c r="H904" s="77">
        <v>52</v>
      </c>
      <c r="I904" s="124">
        <v>304.77999999999997</v>
      </c>
      <c r="J904" s="124">
        <v>15848.59</v>
      </c>
      <c r="K904" s="77">
        <v>60</v>
      </c>
      <c r="L904" t="s">
        <v>345</v>
      </c>
      <c r="M904" s="126">
        <v>3169.7179999999998</v>
      </c>
      <c r="N904" s="124">
        <v>15848.59</v>
      </c>
      <c r="O904" t="s">
        <v>346</v>
      </c>
      <c r="P904" t="s">
        <v>294</v>
      </c>
    </row>
    <row r="905" spans="1:16" ht="15" customHeight="1" x14ac:dyDescent="0.25">
      <c r="A905" s="123">
        <v>45904</v>
      </c>
      <c r="B905" t="s">
        <v>354</v>
      </c>
      <c r="C905" t="s">
        <v>355</v>
      </c>
      <c r="D905" t="s">
        <v>227</v>
      </c>
      <c r="E905" t="s">
        <v>442</v>
      </c>
      <c r="F905" t="s">
        <v>179</v>
      </c>
      <c r="G905" t="s">
        <v>1311</v>
      </c>
      <c r="H905" s="77">
        <v>72</v>
      </c>
      <c r="I905" s="124">
        <v>363.62</v>
      </c>
      <c r="J905" s="124">
        <v>26180.54</v>
      </c>
      <c r="K905" s="77">
        <v>30</v>
      </c>
      <c r="L905" t="s">
        <v>345</v>
      </c>
      <c r="M905" s="126">
        <v>5236.1080000000002</v>
      </c>
      <c r="N905" s="124">
        <v>26180.54</v>
      </c>
      <c r="O905" t="s">
        <v>340</v>
      </c>
      <c r="P905" t="s">
        <v>294</v>
      </c>
    </row>
    <row r="906" spans="1:16" ht="15" customHeight="1" x14ac:dyDescent="0.25">
      <c r="A906" s="123">
        <v>45973</v>
      </c>
      <c r="B906" t="s">
        <v>347</v>
      </c>
      <c r="C906" t="s">
        <v>348</v>
      </c>
      <c r="D906" t="s">
        <v>223</v>
      </c>
      <c r="E906" t="s">
        <v>352</v>
      </c>
      <c r="F906" t="s">
        <v>180</v>
      </c>
      <c r="G906" t="s">
        <v>1312</v>
      </c>
      <c r="H906" s="77">
        <v>68</v>
      </c>
      <c r="I906" s="124">
        <v>277.70999999999998</v>
      </c>
      <c r="J906" s="124">
        <v>18884.05</v>
      </c>
      <c r="K906" s="77">
        <v>30</v>
      </c>
      <c r="L906" t="s">
        <v>339</v>
      </c>
      <c r="M906" s="126">
        <v>3776.81</v>
      </c>
      <c r="N906" s="124">
        <v>18884.05</v>
      </c>
      <c r="O906" t="s">
        <v>346</v>
      </c>
      <c r="P906" t="s">
        <v>294</v>
      </c>
    </row>
    <row r="907" spans="1:16" ht="15" customHeight="1" x14ac:dyDescent="0.25">
      <c r="A907" s="123">
        <v>45823</v>
      </c>
      <c r="B907" t="s">
        <v>488</v>
      </c>
      <c r="C907" t="s">
        <v>489</v>
      </c>
      <c r="D907" t="s">
        <v>225</v>
      </c>
      <c r="E907" t="s">
        <v>437</v>
      </c>
      <c r="F907" t="s">
        <v>181</v>
      </c>
      <c r="G907" t="s">
        <v>1313</v>
      </c>
      <c r="H907" s="77">
        <v>74</v>
      </c>
      <c r="I907" s="124">
        <v>225.69</v>
      </c>
      <c r="J907" s="124">
        <v>16701.150000000001</v>
      </c>
      <c r="K907" s="77">
        <v>30</v>
      </c>
      <c r="L907" t="s">
        <v>339</v>
      </c>
      <c r="M907" s="126">
        <v>3340.23</v>
      </c>
      <c r="N907" s="124">
        <v>16701.150000000001</v>
      </c>
      <c r="O907" t="s">
        <v>346</v>
      </c>
      <c r="P907" t="s">
        <v>294</v>
      </c>
    </row>
    <row r="908" spans="1:16" ht="15" customHeight="1" x14ac:dyDescent="0.25">
      <c r="A908" s="123">
        <v>45845</v>
      </c>
      <c r="B908" t="s">
        <v>409</v>
      </c>
      <c r="C908" t="s">
        <v>410</v>
      </c>
      <c r="D908" t="s">
        <v>223</v>
      </c>
      <c r="E908" t="s">
        <v>234</v>
      </c>
      <c r="F908" t="s">
        <v>183</v>
      </c>
      <c r="G908" t="s">
        <v>1314</v>
      </c>
      <c r="H908" s="77">
        <v>45</v>
      </c>
      <c r="I908" s="124">
        <v>142</v>
      </c>
      <c r="J908" s="124">
        <v>6390.22</v>
      </c>
      <c r="K908" s="77">
        <v>30</v>
      </c>
      <c r="L908" t="s">
        <v>345</v>
      </c>
      <c r="M908" s="126">
        <v>1278.0440000000001</v>
      </c>
      <c r="N908" s="124">
        <v>6390.22</v>
      </c>
      <c r="O908" t="s">
        <v>346</v>
      </c>
      <c r="P908" t="s">
        <v>294</v>
      </c>
    </row>
    <row r="909" spans="1:16" ht="15" customHeight="1" x14ac:dyDescent="0.25">
      <c r="A909" s="123">
        <v>45744</v>
      </c>
      <c r="B909" t="s">
        <v>341</v>
      </c>
      <c r="C909" t="s">
        <v>342</v>
      </c>
      <c r="D909" t="s">
        <v>223</v>
      </c>
      <c r="E909" t="s">
        <v>496</v>
      </c>
      <c r="F909" t="s">
        <v>177</v>
      </c>
      <c r="G909" t="s">
        <v>1315</v>
      </c>
      <c r="H909" s="77">
        <v>45</v>
      </c>
      <c r="I909" s="124">
        <v>180.9</v>
      </c>
      <c r="J909" s="124">
        <v>8140.39</v>
      </c>
      <c r="K909" s="77">
        <v>60</v>
      </c>
      <c r="L909" t="s">
        <v>345</v>
      </c>
      <c r="M909" s="126">
        <v>1628.078</v>
      </c>
      <c r="N909" s="124">
        <v>8140.39</v>
      </c>
      <c r="O909" t="s">
        <v>346</v>
      </c>
      <c r="P909" t="s">
        <v>294</v>
      </c>
    </row>
    <row r="910" spans="1:16" ht="15" customHeight="1" x14ac:dyDescent="0.25">
      <c r="A910" s="123">
        <v>45680</v>
      </c>
      <c r="B910" t="s">
        <v>354</v>
      </c>
      <c r="C910" t="s">
        <v>355</v>
      </c>
      <c r="D910" t="s">
        <v>227</v>
      </c>
      <c r="E910" t="s">
        <v>381</v>
      </c>
      <c r="F910" t="s">
        <v>179</v>
      </c>
      <c r="G910" t="s">
        <v>1316</v>
      </c>
      <c r="H910" s="77">
        <v>30</v>
      </c>
      <c r="I910" s="124">
        <v>256.72000000000003</v>
      </c>
      <c r="J910" s="124">
        <v>7701.5</v>
      </c>
      <c r="K910" s="77">
        <v>30</v>
      </c>
      <c r="L910" t="s">
        <v>351</v>
      </c>
      <c r="M910" s="126">
        <v>1540.3</v>
      </c>
      <c r="N910" s="124">
        <v>7701.5</v>
      </c>
      <c r="O910" t="s">
        <v>346</v>
      </c>
      <c r="P910" t="s">
        <v>294</v>
      </c>
    </row>
    <row r="911" spans="1:16" ht="15" customHeight="1" x14ac:dyDescent="0.25">
      <c r="A911" s="123">
        <v>45701</v>
      </c>
      <c r="B911" t="s">
        <v>390</v>
      </c>
      <c r="C911" t="s">
        <v>391</v>
      </c>
      <c r="D911" t="s">
        <v>221</v>
      </c>
      <c r="E911" t="s">
        <v>412</v>
      </c>
      <c r="F911" t="s">
        <v>179</v>
      </c>
      <c r="G911" t="s">
        <v>1317</v>
      </c>
      <c r="H911" s="77">
        <v>15</v>
      </c>
      <c r="I911" s="124">
        <v>591.54999999999995</v>
      </c>
      <c r="J911" s="124">
        <v>8873.26</v>
      </c>
      <c r="K911" s="77">
        <v>60</v>
      </c>
      <c r="L911" t="s">
        <v>339</v>
      </c>
      <c r="M911" s="126">
        <v>1774.652</v>
      </c>
      <c r="N911" s="124">
        <v>8873.26</v>
      </c>
      <c r="O911" t="s">
        <v>346</v>
      </c>
      <c r="P911" t="s">
        <v>294</v>
      </c>
    </row>
    <row r="912" spans="1:16" ht="15" customHeight="1" x14ac:dyDescent="0.25">
      <c r="A912" s="123">
        <v>45665</v>
      </c>
      <c r="B912" t="s">
        <v>373</v>
      </c>
      <c r="C912" t="s">
        <v>374</v>
      </c>
      <c r="D912" t="s">
        <v>225</v>
      </c>
      <c r="E912" t="s">
        <v>381</v>
      </c>
      <c r="F912" t="s">
        <v>179</v>
      </c>
      <c r="G912" t="s">
        <v>1318</v>
      </c>
      <c r="H912" s="77">
        <v>44</v>
      </c>
      <c r="I912" s="124">
        <v>151.97</v>
      </c>
      <c r="J912" s="124">
        <v>6686.65</v>
      </c>
      <c r="K912" s="77">
        <v>60</v>
      </c>
      <c r="L912" t="s">
        <v>339</v>
      </c>
      <c r="M912" s="126">
        <v>1337.33</v>
      </c>
      <c r="N912" s="124">
        <v>6686.65</v>
      </c>
      <c r="O912" t="s">
        <v>346</v>
      </c>
      <c r="P912" t="s">
        <v>294</v>
      </c>
    </row>
    <row r="913" spans="1:16" ht="15" customHeight="1" x14ac:dyDescent="0.25">
      <c r="A913" s="123">
        <v>45669</v>
      </c>
      <c r="B913" t="s">
        <v>378</v>
      </c>
      <c r="C913" t="s">
        <v>379</v>
      </c>
      <c r="D913" t="s">
        <v>227</v>
      </c>
      <c r="E913" t="s">
        <v>427</v>
      </c>
      <c r="F913" t="s">
        <v>184</v>
      </c>
      <c r="G913" t="s">
        <v>1319</v>
      </c>
      <c r="H913" s="77">
        <v>43</v>
      </c>
      <c r="I913" s="124">
        <v>84.61</v>
      </c>
      <c r="J913" s="124">
        <v>3638.11</v>
      </c>
      <c r="K913" s="77">
        <v>30</v>
      </c>
      <c r="L913" t="s">
        <v>351</v>
      </c>
      <c r="M913" s="126">
        <v>727.62199999999996</v>
      </c>
      <c r="N913" s="124">
        <v>3638.11</v>
      </c>
      <c r="O913" t="s">
        <v>346</v>
      </c>
      <c r="P913" t="s">
        <v>294</v>
      </c>
    </row>
    <row r="914" spans="1:16" ht="15" customHeight="1" x14ac:dyDescent="0.25">
      <c r="A914" s="123">
        <v>45937</v>
      </c>
      <c r="B914" t="s">
        <v>373</v>
      </c>
      <c r="C914" t="s">
        <v>374</v>
      </c>
      <c r="D914" t="s">
        <v>225</v>
      </c>
      <c r="E914" t="s">
        <v>423</v>
      </c>
      <c r="F914" t="s">
        <v>180</v>
      </c>
      <c r="G914" t="s">
        <v>1320</v>
      </c>
      <c r="H914" s="77">
        <v>67</v>
      </c>
      <c r="I914" s="124">
        <v>286.75</v>
      </c>
      <c r="J914" s="124">
        <v>19212.46</v>
      </c>
      <c r="K914" s="77">
        <v>45</v>
      </c>
      <c r="L914" t="s">
        <v>351</v>
      </c>
      <c r="M914" s="126">
        <v>3842.4920000000002</v>
      </c>
      <c r="N914" s="124">
        <v>19212.46</v>
      </c>
      <c r="O914" t="s">
        <v>346</v>
      </c>
      <c r="P914" t="s">
        <v>294</v>
      </c>
    </row>
    <row r="915" spans="1:16" ht="15" customHeight="1" x14ac:dyDescent="0.25">
      <c r="A915" s="123">
        <v>46015</v>
      </c>
      <c r="B915" t="s">
        <v>358</v>
      </c>
      <c r="C915" t="s">
        <v>359</v>
      </c>
      <c r="D915" t="s">
        <v>225</v>
      </c>
      <c r="E915" t="s">
        <v>412</v>
      </c>
      <c r="F915" t="s">
        <v>179</v>
      </c>
      <c r="G915" t="s">
        <v>1321</v>
      </c>
      <c r="H915" s="77">
        <v>3</v>
      </c>
      <c r="I915" s="124">
        <v>428.61</v>
      </c>
      <c r="J915" s="124">
        <v>1285.8399999999999</v>
      </c>
      <c r="K915" s="77">
        <v>45</v>
      </c>
      <c r="L915" t="s">
        <v>351</v>
      </c>
      <c r="M915" s="126">
        <v>257.16800000000001</v>
      </c>
      <c r="N915" s="124">
        <v>1285.8399999999999</v>
      </c>
      <c r="O915" t="s">
        <v>346</v>
      </c>
      <c r="P915" t="s">
        <v>294</v>
      </c>
    </row>
    <row r="916" spans="1:16" ht="15" customHeight="1" x14ac:dyDescent="0.25">
      <c r="A916" s="123">
        <v>45745</v>
      </c>
      <c r="B916" t="s">
        <v>393</v>
      </c>
      <c r="C916" t="s">
        <v>394</v>
      </c>
      <c r="D916" t="s">
        <v>227</v>
      </c>
      <c r="E916" t="s">
        <v>496</v>
      </c>
      <c r="F916" t="s">
        <v>177</v>
      </c>
      <c r="G916" t="s">
        <v>1322</v>
      </c>
      <c r="H916" s="77">
        <v>8</v>
      </c>
      <c r="I916" s="124">
        <v>113.87</v>
      </c>
      <c r="J916" s="124">
        <v>910.98</v>
      </c>
      <c r="K916" s="77">
        <v>45</v>
      </c>
      <c r="L916" t="s">
        <v>339</v>
      </c>
      <c r="M916" s="126">
        <v>182.196</v>
      </c>
      <c r="N916" s="124">
        <v>910.98</v>
      </c>
      <c r="O916" t="s">
        <v>346</v>
      </c>
      <c r="P916" t="s">
        <v>294</v>
      </c>
    </row>
    <row r="917" spans="1:16" ht="15" customHeight="1" x14ac:dyDescent="0.25">
      <c r="A917" s="123">
        <v>45896</v>
      </c>
      <c r="B917" t="s">
        <v>378</v>
      </c>
      <c r="C917" t="s">
        <v>379</v>
      </c>
      <c r="D917" t="s">
        <v>227</v>
      </c>
      <c r="E917" t="s">
        <v>356</v>
      </c>
      <c r="F917" t="s">
        <v>181</v>
      </c>
      <c r="G917" t="s">
        <v>1323</v>
      </c>
      <c r="H917" s="77">
        <v>2</v>
      </c>
      <c r="I917" s="124">
        <v>256.49</v>
      </c>
      <c r="J917" s="124">
        <v>512.98</v>
      </c>
      <c r="K917" s="77">
        <v>30</v>
      </c>
      <c r="L917" t="s">
        <v>345</v>
      </c>
      <c r="M917" s="126">
        <v>102.596</v>
      </c>
      <c r="N917" s="124">
        <v>512.98</v>
      </c>
      <c r="O917" t="s">
        <v>340</v>
      </c>
      <c r="P917" t="s">
        <v>294</v>
      </c>
    </row>
    <row r="918" spans="1:16" ht="15" customHeight="1" x14ac:dyDescent="0.25">
      <c r="A918" s="123">
        <v>45995</v>
      </c>
      <c r="B918" t="s">
        <v>370</v>
      </c>
      <c r="C918" t="s">
        <v>371</v>
      </c>
      <c r="D918" t="s">
        <v>227</v>
      </c>
      <c r="E918" t="s">
        <v>403</v>
      </c>
      <c r="F918" t="s">
        <v>181</v>
      </c>
      <c r="G918" t="s">
        <v>1324</v>
      </c>
      <c r="H918" s="77">
        <v>47</v>
      </c>
      <c r="I918" s="124">
        <v>307.33999999999997</v>
      </c>
      <c r="J918" s="124">
        <v>14445.21</v>
      </c>
      <c r="K918" s="77">
        <v>30</v>
      </c>
      <c r="L918" t="s">
        <v>339</v>
      </c>
      <c r="M918" s="126">
        <v>2889.0419999999999</v>
      </c>
      <c r="N918" s="124">
        <v>14445.21</v>
      </c>
      <c r="O918" t="s">
        <v>346</v>
      </c>
      <c r="P918" t="s">
        <v>294</v>
      </c>
    </row>
    <row r="919" spans="1:16" ht="15" customHeight="1" x14ac:dyDescent="0.25">
      <c r="A919" s="123">
        <v>45852</v>
      </c>
      <c r="B919" t="s">
        <v>366</v>
      </c>
      <c r="C919" t="s">
        <v>367</v>
      </c>
      <c r="D919" t="s">
        <v>221</v>
      </c>
      <c r="E919" t="s">
        <v>235</v>
      </c>
      <c r="F919" t="s">
        <v>183</v>
      </c>
      <c r="G919" t="s">
        <v>1325</v>
      </c>
      <c r="H919" s="77">
        <v>66</v>
      </c>
      <c r="I919" s="124">
        <v>332.43</v>
      </c>
      <c r="J919" s="124">
        <v>21940.12</v>
      </c>
      <c r="K919" s="77">
        <v>60</v>
      </c>
      <c r="L919" t="s">
        <v>339</v>
      </c>
      <c r="M919" s="126">
        <v>4388.0240000000003</v>
      </c>
      <c r="N919" s="124">
        <v>21940.12</v>
      </c>
      <c r="O919" t="s">
        <v>346</v>
      </c>
      <c r="P919" t="s">
        <v>294</v>
      </c>
    </row>
    <row r="920" spans="1:16" ht="15" customHeight="1" x14ac:dyDescent="0.25">
      <c r="A920" s="123">
        <v>45930</v>
      </c>
      <c r="B920" t="s">
        <v>386</v>
      </c>
      <c r="C920" t="s">
        <v>387</v>
      </c>
      <c r="D920" t="s">
        <v>223</v>
      </c>
      <c r="E920" t="s">
        <v>417</v>
      </c>
      <c r="F920" t="s">
        <v>184</v>
      </c>
      <c r="G920" t="s">
        <v>1326</v>
      </c>
      <c r="H920" s="77">
        <v>12</v>
      </c>
      <c r="I920" s="124">
        <v>58.67</v>
      </c>
      <c r="J920" s="124">
        <v>704.05</v>
      </c>
      <c r="K920" s="77">
        <v>30</v>
      </c>
      <c r="L920" t="s">
        <v>339</v>
      </c>
      <c r="M920" s="126">
        <v>140.81</v>
      </c>
      <c r="N920" s="124">
        <v>704.05</v>
      </c>
      <c r="O920" t="s">
        <v>346</v>
      </c>
      <c r="P920" t="s">
        <v>294</v>
      </c>
    </row>
    <row r="921" spans="1:16" ht="15" customHeight="1" x14ac:dyDescent="0.25">
      <c r="A921" s="123">
        <v>46022</v>
      </c>
      <c r="B921" t="s">
        <v>341</v>
      </c>
      <c r="C921" t="s">
        <v>342</v>
      </c>
      <c r="D921" t="s">
        <v>223</v>
      </c>
      <c r="E921" t="s">
        <v>417</v>
      </c>
      <c r="F921" t="s">
        <v>184</v>
      </c>
      <c r="G921" t="s">
        <v>1327</v>
      </c>
      <c r="H921" s="77">
        <v>3</v>
      </c>
      <c r="I921" s="124">
        <v>83.45</v>
      </c>
      <c r="J921" s="124">
        <v>250.35</v>
      </c>
      <c r="K921" s="77">
        <v>30</v>
      </c>
      <c r="L921" t="s">
        <v>339</v>
      </c>
      <c r="M921" s="126">
        <v>50.07</v>
      </c>
      <c r="N921" s="124">
        <v>250.35</v>
      </c>
      <c r="O921" t="s">
        <v>346</v>
      </c>
      <c r="P921" t="s">
        <v>294</v>
      </c>
    </row>
    <row r="922" spans="1:16" ht="15" customHeight="1" x14ac:dyDescent="0.25">
      <c r="A922" s="123">
        <v>45908</v>
      </c>
      <c r="B922" t="s">
        <v>335</v>
      </c>
      <c r="C922" t="s">
        <v>336</v>
      </c>
      <c r="D922" t="s">
        <v>223</v>
      </c>
      <c r="E922" t="s">
        <v>437</v>
      </c>
      <c r="F922" t="s">
        <v>181</v>
      </c>
      <c r="G922" t="s">
        <v>1328</v>
      </c>
      <c r="H922" s="77">
        <v>51</v>
      </c>
      <c r="I922" s="124">
        <v>397.07</v>
      </c>
      <c r="J922" s="124">
        <v>20250.82</v>
      </c>
      <c r="K922" s="77">
        <v>60</v>
      </c>
      <c r="L922" t="s">
        <v>339</v>
      </c>
      <c r="M922" s="126">
        <v>4050.1640000000002</v>
      </c>
      <c r="N922" s="124">
        <v>20250.82</v>
      </c>
      <c r="O922" t="s">
        <v>346</v>
      </c>
      <c r="P922" t="s">
        <v>294</v>
      </c>
    </row>
    <row r="923" spans="1:16" ht="15" customHeight="1" x14ac:dyDescent="0.25">
      <c r="A923" s="123">
        <v>45838</v>
      </c>
      <c r="B923" t="s">
        <v>390</v>
      </c>
      <c r="C923" t="s">
        <v>391</v>
      </c>
      <c r="D923" t="s">
        <v>221</v>
      </c>
      <c r="E923" t="s">
        <v>364</v>
      </c>
      <c r="F923" t="s">
        <v>182</v>
      </c>
      <c r="G923" t="s">
        <v>1329</v>
      </c>
      <c r="H923" s="77">
        <v>46</v>
      </c>
      <c r="I923" s="124">
        <v>54.02</v>
      </c>
      <c r="J923" s="124">
        <v>2484.77</v>
      </c>
      <c r="K923" s="77">
        <v>60</v>
      </c>
      <c r="L923" t="s">
        <v>345</v>
      </c>
      <c r="M923" s="126">
        <v>496.95400000000001</v>
      </c>
      <c r="N923" s="124">
        <v>2484.77</v>
      </c>
      <c r="O923" t="s">
        <v>346</v>
      </c>
      <c r="P923" t="s">
        <v>294</v>
      </c>
    </row>
    <row r="924" spans="1:16" ht="15" customHeight="1" x14ac:dyDescent="0.25">
      <c r="A924" s="123">
        <v>45978</v>
      </c>
      <c r="B924" t="s">
        <v>488</v>
      </c>
      <c r="C924" t="s">
        <v>489</v>
      </c>
      <c r="D924" t="s">
        <v>225</v>
      </c>
      <c r="E924" t="s">
        <v>356</v>
      </c>
      <c r="F924" t="s">
        <v>181</v>
      </c>
      <c r="G924" t="s">
        <v>1330</v>
      </c>
      <c r="H924" s="77">
        <v>33</v>
      </c>
      <c r="I924" s="124">
        <v>236.69</v>
      </c>
      <c r="J924" s="124">
        <v>7810.84</v>
      </c>
      <c r="K924" s="77">
        <v>45</v>
      </c>
      <c r="L924" t="s">
        <v>339</v>
      </c>
      <c r="M924" s="126">
        <v>1562.1679999999999</v>
      </c>
      <c r="N924" s="124">
        <v>7810.84</v>
      </c>
      <c r="O924" t="s">
        <v>340</v>
      </c>
      <c r="P924" t="s">
        <v>294</v>
      </c>
    </row>
    <row r="925" spans="1:16" ht="15" customHeight="1" x14ac:dyDescent="0.25">
      <c r="A925" s="123">
        <v>45735</v>
      </c>
      <c r="B925" t="s">
        <v>406</v>
      </c>
      <c r="C925" t="s">
        <v>407</v>
      </c>
      <c r="D925" t="s">
        <v>225</v>
      </c>
      <c r="E925" t="s">
        <v>356</v>
      </c>
      <c r="F925" t="s">
        <v>181</v>
      </c>
      <c r="G925" t="s">
        <v>1331</v>
      </c>
      <c r="H925" s="77">
        <v>44</v>
      </c>
      <c r="I925" s="124">
        <v>149.69</v>
      </c>
      <c r="J925" s="124">
        <v>6586.32</v>
      </c>
      <c r="K925" s="77">
        <v>45</v>
      </c>
      <c r="L925" t="s">
        <v>351</v>
      </c>
      <c r="M925" s="126">
        <v>1317.2639999999999</v>
      </c>
      <c r="N925" s="124">
        <v>6586.32</v>
      </c>
      <c r="O925" t="s">
        <v>340</v>
      </c>
      <c r="P925" t="s">
        <v>294</v>
      </c>
    </row>
    <row r="926" spans="1:16" ht="15" customHeight="1" x14ac:dyDescent="0.25">
      <c r="A926" s="123">
        <v>45853</v>
      </c>
      <c r="B926" t="s">
        <v>347</v>
      </c>
      <c r="C926" t="s">
        <v>348</v>
      </c>
      <c r="D926" t="s">
        <v>223</v>
      </c>
      <c r="E926" t="s">
        <v>343</v>
      </c>
      <c r="F926" t="s">
        <v>178</v>
      </c>
      <c r="G926" t="s">
        <v>1332</v>
      </c>
      <c r="H926" s="77">
        <v>67</v>
      </c>
      <c r="I926" s="124">
        <v>125.42</v>
      </c>
      <c r="J926" s="124">
        <v>8403.1</v>
      </c>
      <c r="K926" s="77">
        <v>60</v>
      </c>
      <c r="L926" t="s">
        <v>351</v>
      </c>
      <c r="M926" s="126">
        <v>1680.62</v>
      </c>
      <c r="N926" s="124">
        <v>8403.1</v>
      </c>
      <c r="O926" t="s">
        <v>346</v>
      </c>
      <c r="P926" t="s">
        <v>294</v>
      </c>
    </row>
    <row r="927" spans="1:16" ht="15" customHeight="1" x14ac:dyDescent="0.25">
      <c r="A927" s="123">
        <v>45781</v>
      </c>
      <c r="B927" t="s">
        <v>362</v>
      </c>
      <c r="C927" t="s">
        <v>363</v>
      </c>
      <c r="D927" t="s">
        <v>221</v>
      </c>
      <c r="E927" t="s">
        <v>360</v>
      </c>
      <c r="F927" t="s">
        <v>180</v>
      </c>
      <c r="G927" t="s">
        <v>1333</v>
      </c>
      <c r="H927" s="77">
        <v>74</v>
      </c>
      <c r="I927" s="124">
        <v>108.17</v>
      </c>
      <c r="J927" s="124">
        <v>8004.61</v>
      </c>
      <c r="K927" s="77">
        <v>30</v>
      </c>
      <c r="L927" t="s">
        <v>345</v>
      </c>
      <c r="M927" s="126">
        <v>1600.922</v>
      </c>
      <c r="N927" s="124">
        <v>8004.61</v>
      </c>
      <c r="O927" t="s">
        <v>346</v>
      </c>
      <c r="P927" t="s">
        <v>294</v>
      </c>
    </row>
    <row r="928" spans="1:16" ht="15" customHeight="1" x14ac:dyDescent="0.25">
      <c r="A928" s="123">
        <v>45935</v>
      </c>
      <c r="B928" t="s">
        <v>390</v>
      </c>
      <c r="C928" t="s">
        <v>391</v>
      </c>
      <c r="D928" t="s">
        <v>221</v>
      </c>
      <c r="E928" t="s">
        <v>420</v>
      </c>
      <c r="F928" t="s">
        <v>182</v>
      </c>
      <c r="G928" t="s">
        <v>1334</v>
      </c>
      <c r="H928" s="77">
        <v>17</v>
      </c>
      <c r="I928" s="124">
        <v>69.86</v>
      </c>
      <c r="J928" s="124">
        <v>1187.5899999999999</v>
      </c>
      <c r="K928" s="77">
        <v>30</v>
      </c>
      <c r="L928" t="s">
        <v>351</v>
      </c>
      <c r="M928" s="126">
        <v>237.518</v>
      </c>
      <c r="N928" s="124">
        <v>1187.5899999999999</v>
      </c>
      <c r="O928" t="s">
        <v>346</v>
      </c>
      <c r="P928" t="s">
        <v>294</v>
      </c>
    </row>
    <row r="929" spans="1:16" ht="15" customHeight="1" x14ac:dyDescent="0.25">
      <c r="A929" s="123">
        <v>45816</v>
      </c>
      <c r="B929" t="s">
        <v>370</v>
      </c>
      <c r="C929" t="s">
        <v>371</v>
      </c>
      <c r="D929" t="s">
        <v>227</v>
      </c>
      <c r="E929" t="s">
        <v>423</v>
      </c>
      <c r="F929" t="s">
        <v>180</v>
      </c>
      <c r="G929" t="s">
        <v>1335</v>
      </c>
      <c r="H929" s="77">
        <v>68</v>
      </c>
      <c r="I929" s="124">
        <v>307.64</v>
      </c>
      <c r="J929" s="124">
        <v>20919.46</v>
      </c>
      <c r="K929" s="77">
        <v>30</v>
      </c>
      <c r="L929" t="s">
        <v>345</v>
      </c>
      <c r="M929" s="126">
        <v>4183.8919999999998</v>
      </c>
      <c r="N929" s="124">
        <v>20919.46</v>
      </c>
      <c r="O929" t="s">
        <v>346</v>
      </c>
      <c r="P929" t="s">
        <v>294</v>
      </c>
    </row>
    <row r="930" spans="1:16" ht="15" customHeight="1" x14ac:dyDescent="0.25">
      <c r="A930" s="123">
        <v>45692</v>
      </c>
      <c r="B930" t="s">
        <v>431</v>
      </c>
      <c r="C930" t="s">
        <v>432</v>
      </c>
      <c r="D930" t="s">
        <v>221</v>
      </c>
      <c r="E930" t="s">
        <v>381</v>
      </c>
      <c r="F930" t="s">
        <v>179</v>
      </c>
      <c r="G930" t="s">
        <v>1336</v>
      </c>
      <c r="H930" s="77">
        <v>72</v>
      </c>
      <c r="I930" s="124">
        <v>425.81</v>
      </c>
      <c r="J930" s="124">
        <v>30658.38</v>
      </c>
      <c r="K930" s="77">
        <v>60</v>
      </c>
      <c r="L930" t="s">
        <v>351</v>
      </c>
      <c r="M930" s="126">
        <v>6131.6760000000004</v>
      </c>
      <c r="N930" s="124">
        <v>30658.38</v>
      </c>
      <c r="O930" t="s">
        <v>346</v>
      </c>
      <c r="P930" t="s">
        <v>294</v>
      </c>
    </row>
    <row r="931" spans="1:16" ht="15" customHeight="1" x14ac:dyDescent="0.25">
      <c r="A931" s="123">
        <v>45732</v>
      </c>
      <c r="B931" t="s">
        <v>401</v>
      </c>
      <c r="C931" t="s">
        <v>402</v>
      </c>
      <c r="D931" t="s">
        <v>221</v>
      </c>
      <c r="E931" t="s">
        <v>381</v>
      </c>
      <c r="F931" t="s">
        <v>179</v>
      </c>
      <c r="G931" t="s">
        <v>1337</v>
      </c>
      <c r="H931" s="77">
        <v>4</v>
      </c>
      <c r="I931" s="124">
        <v>173.61</v>
      </c>
      <c r="J931" s="124">
        <v>694.43</v>
      </c>
      <c r="K931" s="77">
        <v>45</v>
      </c>
      <c r="L931" t="s">
        <v>345</v>
      </c>
      <c r="M931" s="126">
        <v>138.886</v>
      </c>
      <c r="N931" s="124">
        <v>694.43</v>
      </c>
      <c r="O931" t="s">
        <v>346</v>
      </c>
      <c r="P931" t="s">
        <v>294</v>
      </c>
    </row>
    <row r="932" spans="1:16" ht="15" customHeight="1" x14ac:dyDescent="0.25">
      <c r="A932" s="123">
        <v>45984</v>
      </c>
      <c r="B932" t="s">
        <v>431</v>
      </c>
      <c r="C932" t="s">
        <v>432</v>
      </c>
      <c r="D932" t="s">
        <v>221</v>
      </c>
      <c r="E932" t="s">
        <v>437</v>
      </c>
      <c r="F932" t="s">
        <v>181</v>
      </c>
      <c r="G932" t="s">
        <v>1338</v>
      </c>
      <c r="H932" s="77">
        <v>36</v>
      </c>
      <c r="I932" s="124">
        <v>162.11000000000001</v>
      </c>
      <c r="J932" s="124">
        <v>5835.92</v>
      </c>
      <c r="K932" s="77">
        <v>30</v>
      </c>
      <c r="L932" t="s">
        <v>339</v>
      </c>
      <c r="M932" s="126">
        <v>1167.184</v>
      </c>
      <c r="N932" s="124">
        <v>5835.92</v>
      </c>
      <c r="O932" t="s">
        <v>346</v>
      </c>
      <c r="P932" t="s">
        <v>294</v>
      </c>
    </row>
    <row r="933" spans="1:16" ht="15" customHeight="1" x14ac:dyDescent="0.25">
      <c r="A933" s="123">
        <v>45671</v>
      </c>
      <c r="B933" t="s">
        <v>431</v>
      </c>
      <c r="C933" t="s">
        <v>432</v>
      </c>
      <c r="D933" t="s">
        <v>221</v>
      </c>
      <c r="E933" t="s">
        <v>442</v>
      </c>
      <c r="F933" t="s">
        <v>179</v>
      </c>
      <c r="G933" t="s">
        <v>1339</v>
      </c>
      <c r="H933" s="77">
        <v>79</v>
      </c>
      <c r="I933" s="124">
        <v>506.53</v>
      </c>
      <c r="J933" s="124">
        <v>40016.26</v>
      </c>
      <c r="K933" s="77">
        <v>60</v>
      </c>
      <c r="L933" t="s">
        <v>345</v>
      </c>
      <c r="M933" s="126">
        <v>8003.2520000000004</v>
      </c>
      <c r="N933" s="124">
        <v>40016.26</v>
      </c>
      <c r="O933" t="s">
        <v>340</v>
      </c>
      <c r="P933" t="s">
        <v>294</v>
      </c>
    </row>
    <row r="934" spans="1:16" ht="15" customHeight="1" x14ac:dyDescent="0.25">
      <c r="A934" s="123">
        <v>45776</v>
      </c>
      <c r="B934" t="s">
        <v>488</v>
      </c>
      <c r="C934" t="s">
        <v>489</v>
      </c>
      <c r="D934" t="s">
        <v>225</v>
      </c>
      <c r="E934" t="s">
        <v>352</v>
      </c>
      <c r="F934" t="s">
        <v>180</v>
      </c>
      <c r="G934" t="s">
        <v>1340</v>
      </c>
      <c r="H934" s="77">
        <v>30</v>
      </c>
      <c r="I934" s="124">
        <v>112.74</v>
      </c>
      <c r="J934" s="124">
        <v>3382.1</v>
      </c>
      <c r="K934" s="77">
        <v>60</v>
      </c>
      <c r="L934" t="s">
        <v>339</v>
      </c>
      <c r="M934" s="126">
        <v>676.42</v>
      </c>
      <c r="N934" s="124">
        <v>3382.1</v>
      </c>
      <c r="O934" t="s">
        <v>346</v>
      </c>
      <c r="P934" t="s">
        <v>294</v>
      </c>
    </row>
    <row r="935" spans="1:16" ht="15" customHeight="1" x14ac:dyDescent="0.25">
      <c r="A935" s="123">
        <v>45902</v>
      </c>
      <c r="B935" t="s">
        <v>378</v>
      </c>
      <c r="C935" t="s">
        <v>379</v>
      </c>
      <c r="D935" t="s">
        <v>227</v>
      </c>
      <c r="E935" t="s">
        <v>343</v>
      </c>
      <c r="F935" t="s">
        <v>178</v>
      </c>
      <c r="G935" t="s">
        <v>1341</v>
      </c>
      <c r="H935" s="77">
        <v>18</v>
      </c>
      <c r="I935" s="124">
        <v>19.399999999999999</v>
      </c>
      <c r="J935" s="124">
        <v>349.12</v>
      </c>
      <c r="K935" s="77">
        <v>60</v>
      </c>
      <c r="L935" t="s">
        <v>351</v>
      </c>
      <c r="M935" s="126">
        <v>69.823999999999998</v>
      </c>
      <c r="N935" s="124">
        <v>349.12</v>
      </c>
      <c r="O935" t="s">
        <v>346</v>
      </c>
      <c r="P935" t="s">
        <v>294</v>
      </c>
    </row>
    <row r="936" spans="1:16" ht="15" customHeight="1" x14ac:dyDescent="0.25">
      <c r="A936" s="123">
        <v>45856</v>
      </c>
      <c r="B936" t="s">
        <v>373</v>
      </c>
      <c r="C936" t="s">
        <v>374</v>
      </c>
      <c r="D936" t="s">
        <v>225</v>
      </c>
      <c r="E936" t="s">
        <v>376</v>
      </c>
      <c r="F936" t="s">
        <v>182</v>
      </c>
      <c r="G936" t="s">
        <v>1342</v>
      </c>
      <c r="H936" s="77">
        <v>63</v>
      </c>
      <c r="I936" s="124">
        <v>121.01</v>
      </c>
      <c r="J936" s="124">
        <v>7623.72</v>
      </c>
      <c r="K936" s="77">
        <v>45</v>
      </c>
      <c r="L936" t="s">
        <v>339</v>
      </c>
      <c r="M936" s="126">
        <v>1524.7439999999999</v>
      </c>
      <c r="N936" s="124">
        <v>7623.72</v>
      </c>
      <c r="O936" t="s">
        <v>340</v>
      </c>
      <c r="P936" t="s">
        <v>294</v>
      </c>
    </row>
    <row r="937" spans="1:16" ht="15" customHeight="1" x14ac:dyDescent="0.25">
      <c r="A937" s="123">
        <v>45674</v>
      </c>
      <c r="B937" t="s">
        <v>488</v>
      </c>
      <c r="C937" t="s">
        <v>489</v>
      </c>
      <c r="D937" t="s">
        <v>225</v>
      </c>
      <c r="E937" t="s">
        <v>423</v>
      </c>
      <c r="F937" t="s">
        <v>180</v>
      </c>
      <c r="G937" t="s">
        <v>1343</v>
      </c>
      <c r="H937" s="77">
        <v>53</v>
      </c>
      <c r="I937" s="124">
        <v>189.68</v>
      </c>
      <c r="J937" s="124">
        <v>10052.969999999999</v>
      </c>
      <c r="K937" s="77">
        <v>30</v>
      </c>
      <c r="L937" t="s">
        <v>345</v>
      </c>
      <c r="M937" s="126">
        <v>2010.5940000000001</v>
      </c>
      <c r="N937" s="124">
        <v>10052.969999999999</v>
      </c>
      <c r="O937" t="s">
        <v>346</v>
      </c>
      <c r="P937" t="s">
        <v>294</v>
      </c>
    </row>
    <row r="938" spans="1:16" ht="15" customHeight="1" x14ac:dyDescent="0.25">
      <c r="A938" s="123">
        <v>46001</v>
      </c>
      <c r="B938" t="s">
        <v>401</v>
      </c>
      <c r="C938" t="s">
        <v>402</v>
      </c>
      <c r="D938" t="s">
        <v>221</v>
      </c>
      <c r="E938" t="s">
        <v>352</v>
      </c>
      <c r="F938" t="s">
        <v>180</v>
      </c>
      <c r="G938" t="s">
        <v>1344</v>
      </c>
      <c r="H938" s="77">
        <v>26</v>
      </c>
      <c r="I938" s="124">
        <v>142.56</v>
      </c>
      <c r="J938" s="124">
        <v>3706.63</v>
      </c>
      <c r="K938" s="77">
        <v>30</v>
      </c>
      <c r="L938" t="s">
        <v>339</v>
      </c>
      <c r="M938" s="126">
        <v>741.32600000000002</v>
      </c>
      <c r="N938" s="124">
        <v>3706.63</v>
      </c>
      <c r="O938" t="s">
        <v>346</v>
      </c>
      <c r="P938" t="s">
        <v>294</v>
      </c>
    </row>
    <row r="939" spans="1:16" ht="15" customHeight="1" x14ac:dyDescent="0.25">
      <c r="A939" s="123">
        <v>45908</v>
      </c>
      <c r="B939" t="s">
        <v>378</v>
      </c>
      <c r="C939" t="s">
        <v>379</v>
      </c>
      <c r="D939" t="s">
        <v>227</v>
      </c>
      <c r="E939" t="s">
        <v>417</v>
      </c>
      <c r="F939" t="s">
        <v>184</v>
      </c>
      <c r="G939" t="s">
        <v>1345</v>
      </c>
      <c r="H939" s="77">
        <v>42</v>
      </c>
      <c r="I939" s="124">
        <v>110.73</v>
      </c>
      <c r="J939" s="124">
        <v>4650.6099999999997</v>
      </c>
      <c r="K939" s="77">
        <v>45</v>
      </c>
      <c r="L939" t="s">
        <v>339</v>
      </c>
      <c r="M939" s="126">
        <v>930.12199999999996</v>
      </c>
      <c r="N939" s="124">
        <v>4650.6099999999997</v>
      </c>
      <c r="O939" t="s">
        <v>346</v>
      </c>
      <c r="P939" t="s">
        <v>294</v>
      </c>
    </row>
    <row r="940" spans="1:16" ht="15" customHeight="1" x14ac:dyDescent="0.25">
      <c r="A940" s="123">
        <v>45969</v>
      </c>
      <c r="B940" t="s">
        <v>341</v>
      </c>
      <c r="C940" t="s">
        <v>342</v>
      </c>
      <c r="D940" t="s">
        <v>223</v>
      </c>
      <c r="E940" t="s">
        <v>235</v>
      </c>
      <c r="F940" t="s">
        <v>183</v>
      </c>
      <c r="G940" t="s">
        <v>1346</v>
      </c>
      <c r="H940" s="77">
        <v>49</v>
      </c>
      <c r="I940" s="124">
        <v>343.05</v>
      </c>
      <c r="J940" s="124">
        <v>16809.39</v>
      </c>
      <c r="K940" s="77">
        <v>60</v>
      </c>
      <c r="L940" t="s">
        <v>345</v>
      </c>
      <c r="M940" s="126">
        <v>3361.8780000000002</v>
      </c>
      <c r="N940" s="124">
        <v>16809.39</v>
      </c>
      <c r="O940" t="s">
        <v>346</v>
      </c>
      <c r="P940" t="s">
        <v>294</v>
      </c>
    </row>
    <row r="941" spans="1:16" ht="15" customHeight="1" x14ac:dyDescent="0.25">
      <c r="A941" s="123">
        <v>45713</v>
      </c>
      <c r="B941" t="s">
        <v>378</v>
      </c>
      <c r="C941" t="s">
        <v>379</v>
      </c>
      <c r="D941" t="s">
        <v>227</v>
      </c>
      <c r="E941" t="s">
        <v>440</v>
      </c>
      <c r="F941" t="s">
        <v>177</v>
      </c>
      <c r="G941" t="s">
        <v>1347</v>
      </c>
      <c r="H941" s="77">
        <v>58</v>
      </c>
      <c r="I941" s="124">
        <v>87.99</v>
      </c>
      <c r="J941" s="124">
        <v>5103.55</v>
      </c>
      <c r="K941" s="77">
        <v>45</v>
      </c>
      <c r="L941" t="s">
        <v>339</v>
      </c>
      <c r="M941" s="126">
        <v>1020.71</v>
      </c>
      <c r="N941" s="124">
        <v>5103.55</v>
      </c>
      <c r="O941" t="s">
        <v>346</v>
      </c>
      <c r="P941" t="s">
        <v>294</v>
      </c>
    </row>
    <row r="942" spans="1:16" ht="15" customHeight="1" x14ac:dyDescent="0.25">
      <c r="A942" s="123">
        <v>45678</v>
      </c>
      <c r="B942" t="s">
        <v>390</v>
      </c>
      <c r="C942" t="s">
        <v>391</v>
      </c>
      <c r="D942" t="s">
        <v>221</v>
      </c>
      <c r="E942" t="s">
        <v>236</v>
      </c>
      <c r="F942" t="s">
        <v>183</v>
      </c>
      <c r="G942" t="s">
        <v>1348</v>
      </c>
      <c r="H942" s="77">
        <v>72</v>
      </c>
      <c r="I942" s="124">
        <v>148.36000000000001</v>
      </c>
      <c r="J942" s="124">
        <v>10681.63</v>
      </c>
      <c r="K942" s="77">
        <v>45</v>
      </c>
      <c r="L942" t="s">
        <v>351</v>
      </c>
      <c r="M942" s="126">
        <v>2136.326</v>
      </c>
      <c r="N942" s="124">
        <v>10681.63</v>
      </c>
      <c r="O942" t="s">
        <v>346</v>
      </c>
      <c r="P942" t="s">
        <v>294</v>
      </c>
    </row>
    <row r="943" spans="1:16" ht="15" customHeight="1" x14ac:dyDescent="0.25">
      <c r="A943" s="123">
        <v>45807</v>
      </c>
      <c r="B943" t="s">
        <v>362</v>
      </c>
      <c r="C943" t="s">
        <v>363</v>
      </c>
      <c r="D943" t="s">
        <v>221</v>
      </c>
      <c r="E943" t="s">
        <v>349</v>
      </c>
      <c r="F943" t="s">
        <v>177</v>
      </c>
      <c r="G943" t="s">
        <v>1349</v>
      </c>
      <c r="H943" s="77">
        <v>57</v>
      </c>
      <c r="I943" s="124">
        <v>193.9</v>
      </c>
      <c r="J943" s="124">
        <v>11052.31</v>
      </c>
      <c r="K943" s="77">
        <v>45</v>
      </c>
      <c r="L943" t="s">
        <v>345</v>
      </c>
      <c r="M943" s="126">
        <v>2210.462</v>
      </c>
      <c r="N943" s="124">
        <v>11052.31</v>
      </c>
      <c r="O943" t="s">
        <v>340</v>
      </c>
      <c r="P943" t="s">
        <v>294</v>
      </c>
    </row>
    <row r="944" spans="1:16" ht="15" customHeight="1" x14ac:dyDescent="0.25">
      <c r="A944" s="123">
        <v>45874</v>
      </c>
      <c r="B944" t="s">
        <v>401</v>
      </c>
      <c r="C944" t="s">
        <v>402</v>
      </c>
      <c r="D944" t="s">
        <v>221</v>
      </c>
      <c r="E944" t="s">
        <v>396</v>
      </c>
      <c r="F944" t="s">
        <v>184</v>
      </c>
      <c r="G944" t="s">
        <v>1350</v>
      </c>
      <c r="H944" s="77">
        <v>38</v>
      </c>
      <c r="I944" s="124">
        <v>107.24</v>
      </c>
      <c r="J944" s="124">
        <v>4075.24</v>
      </c>
      <c r="K944" s="77">
        <v>60</v>
      </c>
      <c r="L944" t="s">
        <v>339</v>
      </c>
      <c r="M944" s="126">
        <v>815.048</v>
      </c>
      <c r="N944" s="124">
        <v>4075.24</v>
      </c>
      <c r="O944" t="s">
        <v>346</v>
      </c>
      <c r="P944" t="s">
        <v>294</v>
      </c>
    </row>
    <row r="945" spans="1:16" ht="15" customHeight="1" x14ac:dyDescent="0.25">
      <c r="A945" s="123">
        <v>45988</v>
      </c>
      <c r="B945" t="s">
        <v>393</v>
      </c>
      <c r="C945" t="s">
        <v>394</v>
      </c>
      <c r="D945" t="s">
        <v>227</v>
      </c>
      <c r="E945" t="s">
        <v>381</v>
      </c>
      <c r="F945" t="s">
        <v>179</v>
      </c>
      <c r="G945" t="s">
        <v>1351</v>
      </c>
      <c r="H945" s="77">
        <v>58</v>
      </c>
      <c r="I945" s="124">
        <v>170.44</v>
      </c>
      <c r="J945" s="124">
        <v>9885.7800000000007</v>
      </c>
      <c r="K945" s="77">
        <v>30</v>
      </c>
      <c r="L945" t="s">
        <v>351</v>
      </c>
      <c r="M945" s="126">
        <v>1977.1559999999999</v>
      </c>
      <c r="N945" s="124">
        <v>9885.7800000000007</v>
      </c>
      <c r="O945" t="s">
        <v>346</v>
      </c>
      <c r="P945" t="s">
        <v>294</v>
      </c>
    </row>
    <row r="946" spans="1:16" ht="15" customHeight="1" x14ac:dyDescent="0.25">
      <c r="A946" s="123">
        <v>45957</v>
      </c>
      <c r="B946" t="s">
        <v>347</v>
      </c>
      <c r="C946" t="s">
        <v>348</v>
      </c>
      <c r="D946" t="s">
        <v>223</v>
      </c>
      <c r="E946" t="s">
        <v>415</v>
      </c>
      <c r="F946" t="s">
        <v>178</v>
      </c>
      <c r="G946" t="s">
        <v>1352</v>
      </c>
      <c r="H946" s="77">
        <v>70</v>
      </c>
      <c r="I946" s="124">
        <v>179.48</v>
      </c>
      <c r="J946" s="124">
        <v>12563.27</v>
      </c>
      <c r="K946" s="77">
        <v>30</v>
      </c>
      <c r="L946" t="s">
        <v>345</v>
      </c>
      <c r="M946" s="126">
        <v>2512.654</v>
      </c>
      <c r="N946" s="124">
        <v>12563.27</v>
      </c>
      <c r="O946" t="s">
        <v>340</v>
      </c>
      <c r="P946" t="s">
        <v>294</v>
      </c>
    </row>
    <row r="947" spans="1:16" ht="15" customHeight="1" x14ac:dyDescent="0.25">
      <c r="A947" s="123">
        <v>45670</v>
      </c>
      <c r="B947" t="s">
        <v>354</v>
      </c>
      <c r="C947" t="s">
        <v>355</v>
      </c>
      <c r="D947" t="s">
        <v>227</v>
      </c>
      <c r="E947" t="s">
        <v>420</v>
      </c>
      <c r="F947" t="s">
        <v>182</v>
      </c>
      <c r="G947" t="s">
        <v>1353</v>
      </c>
      <c r="H947" s="77">
        <v>23</v>
      </c>
      <c r="I947" s="124">
        <v>52.74</v>
      </c>
      <c r="J947" s="124">
        <v>1212.97</v>
      </c>
      <c r="K947" s="77">
        <v>45</v>
      </c>
      <c r="L947" t="s">
        <v>351</v>
      </c>
      <c r="M947" s="126">
        <v>242.59399999999999</v>
      </c>
      <c r="N947" s="124">
        <v>1212.97</v>
      </c>
      <c r="O947" t="s">
        <v>346</v>
      </c>
      <c r="P947" t="s">
        <v>294</v>
      </c>
    </row>
    <row r="948" spans="1:16" ht="15" customHeight="1" x14ac:dyDescent="0.25">
      <c r="A948" s="123">
        <v>45704</v>
      </c>
      <c r="B948" t="s">
        <v>393</v>
      </c>
      <c r="C948" t="s">
        <v>394</v>
      </c>
      <c r="D948" t="s">
        <v>227</v>
      </c>
      <c r="E948" t="s">
        <v>360</v>
      </c>
      <c r="F948" t="s">
        <v>180</v>
      </c>
      <c r="G948" t="s">
        <v>1354</v>
      </c>
      <c r="H948" s="77">
        <v>33</v>
      </c>
      <c r="I948" s="124">
        <v>108.03</v>
      </c>
      <c r="J948" s="124">
        <v>3565.04</v>
      </c>
      <c r="K948" s="77">
        <v>45</v>
      </c>
      <c r="L948" t="s">
        <v>351</v>
      </c>
      <c r="M948" s="126">
        <v>713.00800000000004</v>
      </c>
      <c r="N948" s="124">
        <v>3565.04</v>
      </c>
      <c r="O948" t="s">
        <v>346</v>
      </c>
      <c r="P948" t="s">
        <v>294</v>
      </c>
    </row>
    <row r="949" spans="1:16" ht="15" customHeight="1" x14ac:dyDescent="0.25">
      <c r="A949" s="123">
        <v>45721</v>
      </c>
      <c r="B949" t="s">
        <v>431</v>
      </c>
      <c r="C949" t="s">
        <v>432</v>
      </c>
      <c r="D949" t="s">
        <v>221</v>
      </c>
      <c r="E949" t="s">
        <v>412</v>
      </c>
      <c r="F949" t="s">
        <v>179</v>
      </c>
      <c r="G949" t="s">
        <v>1355</v>
      </c>
      <c r="H949" s="77">
        <v>12</v>
      </c>
      <c r="I949" s="124">
        <v>123.03</v>
      </c>
      <c r="J949" s="124">
        <v>1476.33</v>
      </c>
      <c r="K949" s="77">
        <v>30</v>
      </c>
      <c r="L949" t="s">
        <v>351</v>
      </c>
      <c r="M949" s="126">
        <v>295.26600000000002</v>
      </c>
      <c r="N949" s="124">
        <v>1476.33</v>
      </c>
      <c r="O949" t="s">
        <v>346</v>
      </c>
      <c r="P949" t="s">
        <v>294</v>
      </c>
    </row>
    <row r="950" spans="1:16" ht="15" customHeight="1" x14ac:dyDescent="0.25">
      <c r="A950" s="123">
        <v>45926</v>
      </c>
      <c r="B950" t="s">
        <v>362</v>
      </c>
      <c r="C950" t="s">
        <v>363</v>
      </c>
      <c r="D950" t="s">
        <v>221</v>
      </c>
      <c r="E950" t="s">
        <v>376</v>
      </c>
      <c r="F950" t="s">
        <v>182</v>
      </c>
      <c r="G950" t="s">
        <v>1356</v>
      </c>
      <c r="H950" s="77">
        <v>50</v>
      </c>
      <c r="I950" s="124">
        <v>92.65</v>
      </c>
      <c r="J950" s="124">
        <v>4632.3900000000003</v>
      </c>
      <c r="K950" s="77">
        <v>60</v>
      </c>
      <c r="L950" t="s">
        <v>351</v>
      </c>
      <c r="M950" s="126">
        <v>926.47799999999995</v>
      </c>
      <c r="N950" s="124">
        <v>4632.3900000000003</v>
      </c>
      <c r="O950" t="s">
        <v>340</v>
      </c>
      <c r="P950" t="s">
        <v>294</v>
      </c>
    </row>
    <row r="951" spans="1:16" ht="15" customHeight="1" x14ac:dyDescent="0.25">
      <c r="A951" s="123">
        <v>45939</v>
      </c>
      <c r="B951" t="s">
        <v>431</v>
      </c>
      <c r="C951" t="s">
        <v>432</v>
      </c>
      <c r="D951" t="s">
        <v>221</v>
      </c>
      <c r="E951" t="s">
        <v>381</v>
      </c>
      <c r="F951" t="s">
        <v>179</v>
      </c>
      <c r="G951" t="s">
        <v>1357</v>
      </c>
      <c r="H951" s="77">
        <v>49</v>
      </c>
      <c r="I951" s="124">
        <v>205.78</v>
      </c>
      <c r="J951" s="124">
        <v>10083.08</v>
      </c>
      <c r="K951" s="77">
        <v>30</v>
      </c>
      <c r="L951" t="s">
        <v>339</v>
      </c>
      <c r="M951" s="126">
        <v>2016.616</v>
      </c>
      <c r="N951" s="124">
        <v>10083.08</v>
      </c>
      <c r="O951" t="s">
        <v>346</v>
      </c>
      <c r="P951" t="s">
        <v>294</v>
      </c>
    </row>
    <row r="952" spans="1:16" ht="15" customHeight="1" x14ac:dyDescent="0.25">
      <c r="A952" s="123">
        <v>45732</v>
      </c>
      <c r="B952" t="s">
        <v>358</v>
      </c>
      <c r="C952" t="s">
        <v>359</v>
      </c>
      <c r="D952" t="s">
        <v>225</v>
      </c>
      <c r="E952" t="s">
        <v>442</v>
      </c>
      <c r="F952" t="s">
        <v>179</v>
      </c>
      <c r="G952" t="s">
        <v>1358</v>
      </c>
      <c r="H952" s="77">
        <v>23</v>
      </c>
      <c r="I952" s="124">
        <v>157.63</v>
      </c>
      <c r="J952" s="124">
        <v>3625.59</v>
      </c>
      <c r="K952" s="77">
        <v>60</v>
      </c>
      <c r="L952" t="s">
        <v>339</v>
      </c>
      <c r="M952" s="126">
        <v>725.11800000000005</v>
      </c>
      <c r="N952" s="124">
        <v>3625.59</v>
      </c>
      <c r="O952" t="s">
        <v>340</v>
      </c>
      <c r="P952" t="s">
        <v>294</v>
      </c>
    </row>
    <row r="953" spans="1:16" ht="15" customHeight="1" x14ac:dyDescent="0.25">
      <c r="A953" s="123">
        <v>45886</v>
      </c>
      <c r="B953" t="s">
        <v>386</v>
      </c>
      <c r="C953" t="s">
        <v>387</v>
      </c>
      <c r="D953" t="s">
        <v>223</v>
      </c>
      <c r="E953" t="s">
        <v>437</v>
      </c>
      <c r="F953" t="s">
        <v>181</v>
      </c>
      <c r="G953" t="s">
        <v>1359</v>
      </c>
      <c r="H953" s="77">
        <v>37</v>
      </c>
      <c r="I953" s="124">
        <v>267</v>
      </c>
      <c r="J953" s="124">
        <v>9879.09</v>
      </c>
      <c r="K953" s="77">
        <v>60</v>
      </c>
      <c r="L953" t="s">
        <v>339</v>
      </c>
      <c r="M953" s="126">
        <v>1975.818</v>
      </c>
      <c r="N953" s="124">
        <v>9879.09</v>
      </c>
      <c r="O953" t="s">
        <v>346</v>
      </c>
      <c r="P953" t="s">
        <v>294</v>
      </c>
    </row>
    <row r="954" spans="1:16" ht="15" customHeight="1" x14ac:dyDescent="0.25">
      <c r="A954" s="123">
        <v>45659</v>
      </c>
      <c r="B954" t="s">
        <v>401</v>
      </c>
      <c r="C954" t="s">
        <v>402</v>
      </c>
      <c r="D954" t="s">
        <v>221</v>
      </c>
      <c r="E954" t="s">
        <v>442</v>
      </c>
      <c r="F954" t="s">
        <v>179</v>
      </c>
      <c r="G954" t="s">
        <v>1360</v>
      </c>
      <c r="H954" s="77">
        <v>80</v>
      </c>
      <c r="I954" s="124">
        <v>90.43</v>
      </c>
      <c r="J954" s="124">
        <v>7234.65</v>
      </c>
      <c r="K954" s="77">
        <v>45</v>
      </c>
      <c r="L954" t="s">
        <v>339</v>
      </c>
      <c r="M954" s="126">
        <v>1446.93</v>
      </c>
      <c r="N954" s="124">
        <v>7234.65</v>
      </c>
      <c r="O954" t="s">
        <v>340</v>
      </c>
      <c r="P954" t="s">
        <v>294</v>
      </c>
    </row>
    <row r="955" spans="1:16" ht="15" customHeight="1" x14ac:dyDescent="0.25">
      <c r="A955" s="123">
        <v>45936</v>
      </c>
      <c r="B955" t="s">
        <v>373</v>
      </c>
      <c r="C955" t="s">
        <v>374</v>
      </c>
      <c r="D955" t="s">
        <v>225</v>
      </c>
      <c r="E955" t="s">
        <v>427</v>
      </c>
      <c r="F955" t="s">
        <v>184</v>
      </c>
      <c r="G955" t="s">
        <v>1361</v>
      </c>
      <c r="H955" s="77">
        <v>1</v>
      </c>
      <c r="I955" s="124">
        <v>165.93</v>
      </c>
      <c r="J955" s="124">
        <v>165.93</v>
      </c>
      <c r="K955" s="77">
        <v>60</v>
      </c>
      <c r="L955" t="s">
        <v>345</v>
      </c>
      <c r="M955" s="126">
        <v>33.186</v>
      </c>
      <c r="N955" s="124">
        <v>165.93</v>
      </c>
      <c r="O955" t="s">
        <v>346</v>
      </c>
      <c r="P955" t="s">
        <v>294</v>
      </c>
    </row>
    <row r="956" spans="1:16" ht="15" customHeight="1" x14ac:dyDescent="0.25">
      <c r="A956" s="123">
        <v>45995</v>
      </c>
      <c r="B956" t="s">
        <v>378</v>
      </c>
      <c r="C956" t="s">
        <v>379</v>
      </c>
      <c r="D956" t="s">
        <v>227</v>
      </c>
      <c r="E956" t="s">
        <v>352</v>
      </c>
      <c r="F956" t="s">
        <v>180</v>
      </c>
      <c r="G956" t="s">
        <v>1362</v>
      </c>
      <c r="H956" s="77">
        <v>61</v>
      </c>
      <c r="I956" s="124">
        <v>238.96</v>
      </c>
      <c r="J956" s="124">
        <v>14576.29</v>
      </c>
      <c r="K956" s="77">
        <v>45</v>
      </c>
      <c r="L956" t="s">
        <v>345</v>
      </c>
      <c r="M956" s="126">
        <v>2915.2579999999998</v>
      </c>
      <c r="N956" s="124">
        <v>14576.29</v>
      </c>
      <c r="O956" t="s">
        <v>346</v>
      </c>
      <c r="P956" t="s">
        <v>294</v>
      </c>
    </row>
    <row r="957" spans="1:16" ht="15" customHeight="1" x14ac:dyDescent="0.25">
      <c r="A957" s="123">
        <v>45965</v>
      </c>
      <c r="B957" t="s">
        <v>398</v>
      </c>
      <c r="C957" t="s">
        <v>399</v>
      </c>
      <c r="D957" t="s">
        <v>227</v>
      </c>
      <c r="E957" t="s">
        <v>343</v>
      </c>
      <c r="F957" t="s">
        <v>178</v>
      </c>
      <c r="G957" t="s">
        <v>1363</v>
      </c>
      <c r="H957" s="77">
        <v>1</v>
      </c>
      <c r="I957" s="124">
        <v>120.17</v>
      </c>
      <c r="J957" s="124">
        <v>120.17</v>
      </c>
      <c r="K957" s="77">
        <v>30</v>
      </c>
      <c r="L957" t="s">
        <v>351</v>
      </c>
      <c r="M957" s="126">
        <v>24.033999999999999</v>
      </c>
      <c r="N957" s="124">
        <v>120.17</v>
      </c>
      <c r="O957" t="s">
        <v>346</v>
      </c>
      <c r="P957" t="s">
        <v>294</v>
      </c>
    </row>
    <row r="958" spans="1:16" ht="15" customHeight="1" x14ac:dyDescent="0.25">
      <c r="A958" s="123">
        <v>45752</v>
      </c>
      <c r="B958" t="s">
        <v>378</v>
      </c>
      <c r="C958" t="s">
        <v>379</v>
      </c>
      <c r="D958" t="s">
        <v>227</v>
      </c>
      <c r="E958" t="s">
        <v>423</v>
      </c>
      <c r="F958" t="s">
        <v>180</v>
      </c>
      <c r="G958" t="s">
        <v>1364</v>
      </c>
      <c r="H958" s="77">
        <v>19</v>
      </c>
      <c r="I958" s="124">
        <v>301.86</v>
      </c>
      <c r="J958" s="124">
        <v>5735.32</v>
      </c>
      <c r="K958" s="77">
        <v>30</v>
      </c>
      <c r="L958" t="s">
        <v>351</v>
      </c>
      <c r="M958" s="126">
        <v>1147.0640000000001</v>
      </c>
      <c r="N958" s="124">
        <v>5735.32</v>
      </c>
      <c r="O958" t="s">
        <v>346</v>
      </c>
      <c r="P958" t="s">
        <v>294</v>
      </c>
    </row>
    <row r="959" spans="1:16" ht="15" customHeight="1" x14ac:dyDescent="0.25">
      <c r="A959" s="123">
        <v>45674</v>
      </c>
      <c r="B959" t="s">
        <v>398</v>
      </c>
      <c r="C959" t="s">
        <v>399</v>
      </c>
      <c r="D959" t="s">
        <v>227</v>
      </c>
      <c r="E959" t="s">
        <v>349</v>
      </c>
      <c r="F959" t="s">
        <v>177</v>
      </c>
      <c r="G959" t="s">
        <v>1365</v>
      </c>
      <c r="H959" s="77">
        <v>74</v>
      </c>
      <c r="I959" s="124">
        <v>154.27000000000001</v>
      </c>
      <c r="J959" s="124">
        <v>11416</v>
      </c>
      <c r="K959" s="77">
        <v>60</v>
      </c>
      <c r="L959" t="s">
        <v>345</v>
      </c>
      <c r="M959" s="126">
        <v>2283.1999999999998</v>
      </c>
      <c r="N959" s="124">
        <v>11416</v>
      </c>
      <c r="O959" t="s">
        <v>340</v>
      </c>
      <c r="P959" t="s">
        <v>294</v>
      </c>
    </row>
    <row r="960" spans="1:16" ht="15" customHeight="1" x14ac:dyDescent="0.25">
      <c r="A960" s="123">
        <v>45713</v>
      </c>
      <c r="B960" t="s">
        <v>488</v>
      </c>
      <c r="C960" t="s">
        <v>489</v>
      </c>
      <c r="D960" t="s">
        <v>225</v>
      </c>
      <c r="E960" t="s">
        <v>415</v>
      </c>
      <c r="F960" t="s">
        <v>178</v>
      </c>
      <c r="G960" t="s">
        <v>1366</v>
      </c>
      <c r="H960" s="77">
        <v>54</v>
      </c>
      <c r="I960" s="124">
        <v>88.92</v>
      </c>
      <c r="J960" s="124">
        <v>4801.79</v>
      </c>
      <c r="K960" s="77">
        <v>30</v>
      </c>
      <c r="L960" t="s">
        <v>339</v>
      </c>
      <c r="M960" s="126">
        <v>960.35799999999995</v>
      </c>
      <c r="N960" s="124">
        <v>4801.79</v>
      </c>
      <c r="O960" t="s">
        <v>340</v>
      </c>
      <c r="P960" t="s">
        <v>294</v>
      </c>
    </row>
    <row r="961" spans="1:16" ht="15" customHeight="1" x14ac:dyDescent="0.25">
      <c r="A961" s="123">
        <v>45996</v>
      </c>
      <c r="B961" t="s">
        <v>378</v>
      </c>
      <c r="C961" t="s">
        <v>379</v>
      </c>
      <c r="D961" t="s">
        <v>227</v>
      </c>
      <c r="E961" t="s">
        <v>676</v>
      </c>
      <c r="F961" t="s">
        <v>181</v>
      </c>
      <c r="G961" t="s">
        <v>1367</v>
      </c>
      <c r="H961" s="77">
        <v>77</v>
      </c>
      <c r="I961" s="124">
        <v>281.43</v>
      </c>
      <c r="J961" s="124">
        <v>21669.75</v>
      </c>
      <c r="K961" s="77">
        <v>60</v>
      </c>
      <c r="L961" t="s">
        <v>351</v>
      </c>
      <c r="M961" s="126">
        <v>4333.95</v>
      </c>
      <c r="N961" s="124">
        <v>21669.75</v>
      </c>
      <c r="O961" t="s">
        <v>346</v>
      </c>
      <c r="P961" t="s">
        <v>294</v>
      </c>
    </row>
    <row r="962" spans="1:16" ht="15" customHeight="1" x14ac:dyDescent="0.25">
      <c r="A962" s="123">
        <v>45954</v>
      </c>
      <c r="B962" t="s">
        <v>341</v>
      </c>
      <c r="C962" t="s">
        <v>342</v>
      </c>
      <c r="D962" t="s">
        <v>223</v>
      </c>
      <c r="E962" t="s">
        <v>417</v>
      </c>
      <c r="F962" t="s">
        <v>184</v>
      </c>
      <c r="G962" t="s">
        <v>1368</v>
      </c>
      <c r="H962" s="77">
        <v>47</v>
      </c>
      <c r="I962" s="124">
        <v>106.8</v>
      </c>
      <c r="J962" s="124">
        <v>5019.74</v>
      </c>
      <c r="K962" s="77">
        <v>30</v>
      </c>
      <c r="L962" t="s">
        <v>339</v>
      </c>
      <c r="M962" s="126">
        <v>1003.948</v>
      </c>
      <c r="N962" s="124">
        <v>5019.74</v>
      </c>
      <c r="O962" t="s">
        <v>346</v>
      </c>
      <c r="P962" t="s">
        <v>294</v>
      </c>
    </row>
    <row r="963" spans="1:16" ht="15" customHeight="1" x14ac:dyDescent="0.25">
      <c r="A963" s="123">
        <v>45852</v>
      </c>
      <c r="B963" t="s">
        <v>393</v>
      </c>
      <c r="C963" t="s">
        <v>394</v>
      </c>
      <c r="D963" t="s">
        <v>227</v>
      </c>
      <c r="E963" t="s">
        <v>420</v>
      </c>
      <c r="F963" t="s">
        <v>182</v>
      </c>
      <c r="G963" t="s">
        <v>1369</v>
      </c>
      <c r="H963" s="77">
        <v>9</v>
      </c>
      <c r="I963" s="124">
        <v>197.34</v>
      </c>
      <c r="J963" s="124">
        <v>1776.03</v>
      </c>
      <c r="K963" s="77">
        <v>45</v>
      </c>
      <c r="L963" t="s">
        <v>351</v>
      </c>
      <c r="M963" s="126">
        <v>355.20600000000002</v>
      </c>
      <c r="N963" s="124">
        <v>1776.03</v>
      </c>
      <c r="O963" t="s">
        <v>346</v>
      </c>
      <c r="P963" t="s">
        <v>294</v>
      </c>
    </row>
    <row r="964" spans="1:16" ht="15" customHeight="1" x14ac:dyDescent="0.25">
      <c r="A964" s="123">
        <v>45726</v>
      </c>
      <c r="B964" t="s">
        <v>383</v>
      </c>
      <c r="C964" t="s">
        <v>384</v>
      </c>
      <c r="D964" t="s">
        <v>225</v>
      </c>
      <c r="E964" t="s">
        <v>437</v>
      </c>
      <c r="F964" t="s">
        <v>181</v>
      </c>
      <c r="G964" t="s">
        <v>1370</v>
      </c>
      <c r="H964" s="77">
        <v>16</v>
      </c>
      <c r="I964" s="124">
        <v>245.11</v>
      </c>
      <c r="J964" s="124">
        <v>3921.79</v>
      </c>
      <c r="K964" s="77">
        <v>60</v>
      </c>
      <c r="L964" t="s">
        <v>345</v>
      </c>
      <c r="M964" s="126">
        <v>784.35799999999995</v>
      </c>
      <c r="N964" s="124">
        <v>3921.79</v>
      </c>
      <c r="O964" t="s">
        <v>346</v>
      </c>
      <c r="P964" t="s">
        <v>294</v>
      </c>
    </row>
    <row r="965" spans="1:16" ht="15" customHeight="1" x14ac:dyDescent="0.25">
      <c r="A965" s="123">
        <v>45765</v>
      </c>
      <c r="B965" t="s">
        <v>401</v>
      </c>
      <c r="C965" t="s">
        <v>402</v>
      </c>
      <c r="D965" t="s">
        <v>221</v>
      </c>
      <c r="E965" t="s">
        <v>236</v>
      </c>
      <c r="F965" t="s">
        <v>183</v>
      </c>
      <c r="G965" t="s">
        <v>1371</v>
      </c>
      <c r="H965" s="77">
        <v>27</v>
      </c>
      <c r="I965" s="124">
        <v>443.07</v>
      </c>
      <c r="J965" s="124">
        <v>11962.97</v>
      </c>
      <c r="K965" s="77">
        <v>60</v>
      </c>
      <c r="L965" t="s">
        <v>339</v>
      </c>
      <c r="M965" s="126">
        <v>2392.5940000000001</v>
      </c>
      <c r="N965" s="124">
        <v>11962.97</v>
      </c>
      <c r="O965" t="s">
        <v>346</v>
      </c>
      <c r="P965" t="s">
        <v>294</v>
      </c>
    </row>
    <row r="966" spans="1:16" ht="15" customHeight="1" x14ac:dyDescent="0.25">
      <c r="A966" s="123">
        <v>46010</v>
      </c>
      <c r="B966" t="s">
        <v>366</v>
      </c>
      <c r="C966" t="s">
        <v>367</v>
      </c>
      <c r="D966" t="s">
        <v>221</v>
      </c>
      <c r="E966" t="s">
        <v>368</v>
      </c>
      <c r="F966" t="s">
        <v>178</v>
      </c>
      <c r="G966" t="s">
        <v>1372</v>
      </c>
      <c r="H966" s="77">
        <v>78</v>
      </c>
      <c r="I966" s="124">
        <v>61.87</v>
      </c>
      <c r="J966" s="124">
        <v>4825.8500000000004</v>
      </c>
      <c r="K966" s="77">
        <v>60</v>
      </c>
      <c r="L966" t="s">
        <v>345</v>
      </c>
      <c r="M966" s="126">
        <v>965.17</v>
      </c>
      <c r="N966" s="124">
        <v>4825.8500000000004</v>
      </c>
      <c r="O966" t="s">
        <v>346</v>
      </c>
      <c r="P966" t="s">
        <v>294</v>
      </c>
    </row>
    <row r="967" spans="1:16" ht="15" customHeight="1" x14ac:dyDescent="0.25">
      <c r="A967" s="123">
        <v>45927</v>
      </c>
      <c r="B967" t="s">
        <v>362</v>
      </c>
      <c r="C967" t="s">
        <v>363</v>
      </c>
      <c r="D967" t="s">
        <v>221</v>
      </c>
      <c r="E967" t="s">
        <v>420</v>
      </c>
      <c r="F967" t="s">
        <v>182</v>
      </c>
      <c r="G967" t="s">
        <v>1373</v>
      </c>
      <c r="H967" s="77">
        <v>74</v>
      </c>
      <c r="I967" s="124">
        <v>209.76</v>
      </c>
      <c r="J967" s="124">
        <v>15521.89</v>
      </c>
      <c r="K967" s="77">
        <v>60</v>
      </c>
      <c r="L967" t="s">
        <v>345</v>
      </c>
      <c r="M967" s="126">
        <v>3104.3780000000002</v>
      </c>
      <c r="N967" s="124">
        <v>15521.89</v>
      </c>
      <c r="O967" t="s">
        <v>346</v>
      </c>
      <c r="P967" t="s">
        <v>294</v>
      </c>
    </row>
    <row r="968" spans="1:16" ht="15" customHeight="1" x14ac:dyDescent="0.25">
      <c r="A968" s="123">
        <v>45981</v>
      </c>
      <c r="B968" t="s">
        <v>406</v>
      </c>
      <c r="C968" t="s">
        <v>407</v>
      </c>
      <c r="D968" t="s">
        <v>225</v>
      </c>
      <c r="E968" t="s">
        <v>417</v>
      </c>
      <c r="F968" t="s">
        <v>184</v>
      </c>
      <c r="G968" t="s">
        <v>1374</v>
      </c>
      <c r="H968" s="77">
        <v>64</v>
      </c>
      <c r="I968" s="124">
        <v>51.7</v>
      </c>
      <c r="J968" s="124">
        <v>3308.85</v>
      </c>
      <c r="K968" s="77">
        <v>45</v>
      </c>
      <c r="L968" t="s">
        <v>339</v>
      </c>
      <c r="M968" s="126">
        <v>661.77</v>
      </c>
      <c r="N968" s="124">
        <v>3308.85</v>
      </c>
      <c r="O968" t="s">
        <v>346</v>
      </c>
      <c r="P968" t="s">
        <v>294</v>
      </c>
    </row>
    <row r="969" spans="1:16" ht="15" customHeight="1" x14ac:dyDescent="0.25">
      <c r="A969" s="123">
        <v>45806</v>
      </c>
      <c r="B969" t="s">
        <v>398</v>
      </c>
      <c r="C969" t="s">
        <v>399</v>
      </c>
      <c r="D969" t="s">
        <v>227</v>
      </c>
      <c r="E969" t="s">
        <v>352</v>
      </c>
      <c r="F969" t="s">
        <v>180</v>
      </c>
      <c r="G969" t="s">
        <v>1375</v>
      </c>
      <c r="H969" s="77">
        <v>25</v>
      </c>
      <c r="I969" s="124">
        <v>673.16</v>
      </c>
      <c r="J969" s="124">
        <v>16828.919999999998</v>
      </c>
      <c r="K969" s="77">
        <v>30</v>
      </c>
      <c r="L969" t="s">
        <v>339</v>
      </c>
      <c r="M969" s="126">
        <v>3365.7840000000001</v>
      </c>
      <c r="N969" s="124">
        <v>16828.919999999998</v>
      </c>
      <c r="O969" t="s">
        <v>346</v>
      </c>
      <c r="P969" t="s">
        <v>294</v>
      </c>
    </row>
    <row r="970" spans="1:16" ht="15" customHeight="1" x14ac:dyDescent="0.25">
      <c r="A970" s="123">
        <v>45718</v>
      </c>
      <c r="B970" t="s">
        <v>341</v>
      </c>
      <c r="C970" t="s">
        <v>342</v>
      </c>
      <c r="D970" t="s">
        <v>223</v>
      </c>
      <c r="E970" t="s">
        <v>417</v>
      </c>
      <c r="F970" t="s">
        <v>184</v>
      </c>
      <c r="G970" t="s">
        <v>1376</v>
      </c>
      <c r="H970" s="77">
        <v>27</v>
      </c>
      <c r="I970" s="124">
        <v>73.36</v>
      </c>
      <c r="J970" s="124">
        <v>1980.76</v>
      </c>
      <c r="K970" s="77">
        <v>60</v>
      </c>
      <c r="L970" t="s">
        <v>345</v>
      </c>
      <c r="M970" s="126">
        <v>396.15199999999999</v>
      </c>
      <c r="N970" s="124">
        <v>1980.76</v>
      </c>
      <c r="O970" t="s">
        <v>346</v>
      </c>
      <c r="P970" t="s">
        <v>294</v>
      </c>
    </row>
    <row r="971" spans="1:16" ht="15" customHeight="1" x14ac:dyDescent="0.25">
      <c r="A971" s="123">
        <v>45837</v>
      </c>
      <c r="B971" t="s">
        <v>393</v>
      </c>
      <c r="C971" t="s">
        <v>394</v>
      </c>
      <c r="D971" t="s">
        <v>227</v>
      </c>
      <c r="E971" t="s">
        <v>496</v>
      </c>
      <c r="F971" t="s">
        <v>177</v>
      </c>
      <c r="G971" t="s">
        <v>1377</v>
      </c>
      <c r="H971" s="77">
        <v>72</v>
      </c>
      <c r="I971" s="124">
        <v>54.63</v>
      </c>
      <c r="J971" s="124">
        <v>3933.29</v>
      </c>
      <c r="K971" s="77">
        <v>60</v>
      </c>
      <c r="L971" t="s">
        <v>339</v>
      </c>
      <c r="M971" s="126">
        <v>786.65800000000002</v>
      </c>
      <c r="N971" s="124">
        <v>3933.29</v>
      </c>
      <c r="O971" t="s">
        <v>346</v>
      </c>
      <c r="P971" t="s">
        <v>294</v>
      </c>
    </row>
    <row r="972" spans="1:16" ht="15" customHeight="1" x14ac:dyDescent="0.25">
      <c r="A972" s="123">
        <v>45802</v>
      </c>
      <c r="B972" t="s">
        <v>383</v>
      </c>
      <c r="C972" t="s">
        <v>384</v>
      </c>
      <c r="D972" t="s">
        <v>225</v>
      </c>
      <c r="E972" t="s">
        <v>352</v>
      </c>
      <c r="F972" t="s">
        <v>180</v>
      </c>
      <c r="G972" t="s">
        <v>1378</v>
      </c>
      <c r="H972" s="77">
        <v>33</v>
      </c>
      <c r="I972" s="124">
        <v>268.25</v>
      </c>
      <c r="J972" s="124">
        <v>8852.24</v>
      </c>
      <c r="K972" s="77">
        <v>30</v>
      </c>
      <c r="L972" t="s">
        <v>345</v>
      </c>
      <c r="M972" s="126">
        <v>1770.4480000000001</v>
      </c>
      <c r="N972" s="124">
        <v>8852.24</v>
      </c>
      <c r="O972" t="s">
        <v>346</v>
      </c>
      <c r="P972" t="s">
        <v>294</v>
      </c>
    </row>
    <row r="973" spans="1:16" ht="15" customHeight="1" x14ac:dyDescent="0.25">
      <c r="A973" s="123">
        <v>45716</v>
      </c>
      <c r="B973" t="s">
        <v>366</v>
      </c>
      <c r="C973" t="s">
        <v>367</v>
      </c>
      <c r="D973" t="s">
        <v>221</v>
      </c>
      <c r="E973" t="s">
        <v>376</v>
      </c>
      <c r="F973" t="s">
        <v>182</v>
      </c>
      <c r="G973" t="s">
        <v>1379</v>
      </c>
      <c r="H973" s="77">
        <v>43</v>
      </c>
      <c r="I973" s="124">
        <v>65.319999999999993</v>
      </c>
      <c r="J973" s="124">
        <v>2808.76</v>
      </c>
      <c r="K973" s="77">
        <v>45</v>
      </c>
      <c r="L973" t="s">
        <v>345</v>
      </c>
      <c r="M973" s="126">
        <v>561.75199999999995</v>
      </c>
      <c r="N973" s="124">
        <v>2808.76</v>
      </c>
      <c r="O973" t="s">
        <v>340</v>
      </c>
      <c r="P973" t="s">
        <v>294</v>
      </c>
    </row>
    <row r="974" spans="1:16" ht="15" customHeight="1" x14ac:dyDescent="0.25">
      <c r="A974" s="123">
        <v>45757</v>
      </c>
      <c r="B974" t="s">
        <v>386</v>
      </c>
      <c r="C974" t="s">
        <v>387</v>
      </c>
      <c r="D974" t="s">
        <v>223</v>
      </c>
      <c r="E974" t="s">
        <v>349</v>
      </c>
      <c r="F974" t="s">
        <v>177</v>
      </c>
      <c r="G974" t="s">
        <v>1380</v>
      </c>
      <c r="H974" s="77">
        <v>43</v>
      </c>
      <c r="I974" s="124">
        <v>190.54</v>
      </c>
      <c r="J974" s="124">
        <v>8193.09</v>
      </c>
      <c r="K974" s="77">
        <v>45</v>
      </c>
      <c r="L974" t="s">
        <v>351</v>
      </c>
      <c r="M974" s="126">
        <v>1638.6179999999999</v>
      </c>
      <c r="N974" s="124">
        <v>8193.09</v>
      </c>
      <c r="O974" t="s">
        <v>340</v>
      </c>
      <c r="P974" t="s">
        <v>294</v>
      </c>
    </row>
    <row r="975" spans="1:16" ht="15" customHeight="1" x14ac:dyDescent="0.25">
      <c r="A975" s="123">
        <v>45988</v>
      </c>
      <c r="B975" t="s">
        <v>386</v>
      </c>
      <c r="C975" t="s">
        <v>387</v>
      </c>
      <c r="D975" t="s">
        <v>223</v>
      </c>
      <c r="E975" t="s">
        <v>396</v>
      </c>
      <c r="F975" t="s">
        <v>184</v>
      </c>
      <c r="G975" t="s">
        <v>1381</v>
      </c>
      <c r="H975" s="77">
        <v>18</v>
      </c>
      <c r="I975" s="124">
        <v>52.38</v>
      </c>
      <c r="J975" s="124">
        <v>942.86</v>
      </c>
      <c r="K975" s="77">
        <v>45</v>
      </c>
      <c r="L975" t="s">
        <v>339</v>
      </c>
      <c r="M975" s="126">
        <v>188.572</v>
      </c>
      <c r="N975" s="124">
        <v>942.86</v>
      </c>
      <c r="O975" t="s">
        <v>346</v>
      </c>
      <c r="P975" t="s">
        <v>294</v>
      </c>
    </row>
    <row r="976" spans="1:16" ht="15" customHeight="1" x14ac:dyDescent="0.25">
      <c r="A976" s="123">
        <v>45829</v>
      </c>
      <c r="B976" t="s">
        <v>378</v>
      </c>
      <c r="C976" t="s">
        <v>379</v>
      </c>
      <c r="D976" t="s">
        <v>227</v>
      </c>
      <c r="E976" t="s">
        <v>417</v>
      </c>
      <c r="F976" t="s">
        <v>184</v>
      </c>
      <c r="G976" t="s">
        <v>1382</v>
      </c>
      <c r="H976" s="77">
        <v>60</v>
      </c>
      <c r="I976" s="124">
        <v>58.68</v>
      </c>
      <c r="J976" s="124">
        <v>3520.76</v>
      </c>
      <c r="K976" s="77">
        <v>45</v>
      </c>
      <c r="L976" t="s">
        <v>351</v>
      </c>
      <c r="M976" s="126">
        <v>704.15200000000004</v>
      </c>
      <c r="N976" s="124">
        <v>3520.76</v>
      </c>
      <c r="O976" t="s">
        <v>346</v>
      </c>
      <c r="P976" t="s">
        <v>294</v>
      </c>
    </row>
    <row r="977" spans="1:16" ht="15" customHeight="1" x14ac:dyDescent="0.25">
      <c r="A977" s="123">
        <v>46005</v>
      </c>
      <c r="B977" t="s">
        <v>386</v>
      </c>
      <c r="C977" t="s">
        <v>387</v>
      </c>
      <c r="D977" t="s">
        <v>223</v>
      </c>
      <c r="E977" t="s">
        <v>403</v>
      </c>
      <c r="F977" t="s">
        <v>181</v>
      </c>
      <c r="G977" t="s">
        <v>1383</v>
      </c>
      <c r="H977" s="77">
        <v>41</v>
      </c>
      <c r="I977" s="124">
        <v>77.819999999999993</v>
      </c>
      <c r="J977" s="124">
        <v>3190.56</v>
      </c>
      <c r="K977" s="77">
        <v>60</v>
      </c>
      <c r="L977" t="s">
        <v>351</v>
      </c>
      <c r="M977" s="126">
        <v>638.11199999999997</v>
      </c>
      <c r="N977" s="124">
        <v>3190.56</v>
      </c>
      <c r="O977" t="s">
        <v>346</v>
      </c>
      <c r="P977" t="s">
        <v>294</v>
      </c>
    </row>
    <row r="978" spans="1:16" ht="15" customHeight="1" x14ac:dyDescent="0.25">
      <c r="A978" s="123">
        <v>46008</v>
      </c>
      <c r="B978" t="s">
        <v>409</v>
      </c>
      <c r="C978" t="s">
        <v>410</v>
      </c>
      <c r="D978" t="s">
        <v>223</v>
      </c>
      <c r="E978" t="s">
        <v>352</v>
      </c>
      <c r="F978" t="s">
        <v>180</v>
      </c>
      <c r="G978" t="s">
        <v>1384</v>
      </c>
      <c r="H978" s="77">
        <v>43</v>
      </c>
      <c r="I978" s="124">
        <v>194.94</v>
      </c>
      <c r="J978" s="124">
        <v>8382.43</v>
      </c>
      <c r="K978" s="77">
        <v>45</v>
      </c>
      <c r="L978" t="s">
        <v>339</v>
      </c>
      <c r="M978" s="126">
        <v>1676.4860000000001</v>
      </c>
      <c r="N978" s="124">
        <v>8382.43</v>
      </c>
      <c r="O978" t="s">
        <v>346</v>
      </c>
      <c r="P978" t="s">
        <v>294</v>
      </c>
    </row>
    <row r="979" spans="1:16" ht="15" customHeight="1" x14ac:dyDescent="0.25">
      <c r="A979" s="123">
        <v>45831</v>
      </c>
      <c r="B979" t="s">
        <v>383</v>
      </c>
      <c r="C979" t="s">
        <v>384</v>
      </c>
      <c r="D979" t="s">
        <v>225</v>
      </c>
      <c r="E979" t="s">
        <v>356</v>
      </c>
      <c r="F979" t="s">
        <v>181</v>
      </c>
      <c r="G979" t="s">
        <v>1385</v>
      </c>
      <c r="H979" s="77">
        <v>49</v>
      </c>
      <c r="I979" s="124">
        <v>58</v>
      </c>
      <c r="J979" s="124">
        <v>2842.14</v>
      </c>
      <c r="K979" s="77">
        <v>60</v>
      </c>
      <c r="L979" t="s">
        <v>351</v>
      </c>
      <c r="M979" s="126">
        <v>568.428</v>
      </c>
      <c r="N979" s="124">
        <v>2842.14</v>
      </c>
      <c r="O979" t="s">
        <v>340</v>
      </c>
      <c r="P979" t="s">
        <v>294</v>
      </c>
    </row>
    <row r="980" spans="1:16" ht="15" customHeight="1" x14ac:dyDescent="0.25">
      <c r="A980" s="123">
        <v>45962</v>
      </c>
      <c r="B980" t="s">
        <v>341</v>
      </c>
      <c r="C980" t="s">
        <v>342</v>
      </c>
      <c r="D980" t="s">
        <v>223</v>
      </c>
      <c r="E980" t="s">
        <v>235</v>
      </c>
      <c r="F980" t="s">
        <v>183</v>
      </c>
      <c r="G980" t="s">
        <v>1386</v>
      </c>
      <c r="H980" s="77">
        <v>15</v>
      </c>
      <c r="I980" s="124">
        <v>125.54</v>
      </c>
      <c r="J980" s="124">
        <v>1883.12</v>
      </c>
      <c r="K980" s="77">
        <v>45</v>
      </c>
      <c r="L980" t="s">
        <v>351</v>
      </c>
      <c r="M980" s="126">
        <v>376.62400000000002</v>
      </c>
      <c r="N980" s="124">
        <v>1883.12</v>
      </c>
      <c r="O980" t="s">
        <v>346</v>
      </c>
      <c r="P980" t="s">
        <v>294</v>
      </c>
    </row>
    <row r="981" spans="1:16" ht="15" customHeight="1" x14ac:dyDescent="0.25">
      <c r="A981" s="123">
        <v>45869</v>
      </c>
      <c r="B981" t="s">
        <v>341</v>
      </c>
      <c r="C981" t="s">
        <v>342</v>
      </c>
      <c r="D981" t="s">
        <v>223</v>
      </c>
      <c r="E981" t="s">
        <v>496</v>
      </c>
      <c r="F981" t="s">
        <v>177</v>
      </c>
      <c r="G981" t="s">
        <v>1387</v>
      </c>
      <c r="H981" s="77">
        <v>12</v>
      </c>
      <c r="I981" s="124">
        <v>182.31</v>
      </c>
      <c r="J981" s="124">
        <v>2187.7399999999998</v>
      </c>
      <c r="K981" s="77">
        <v>45</v>
      </c>
      <c r="L981" t="s">
        <v>339</v>
      </c>
      <c r="M981" s="126">
        <v>437.548</v>
      </c>
      <c r="N981" s="124">
        <v>2187.7399999999998</v>
      </c>
      <c r="O981" t="s">
        <v>346</v>
      </c>
      <c r="P981" t="s">
        <v>294</v>
      </c>
    </row>
    <row r="982" spans="1:16" ht="15" customHeight="1" x14ac:dyDescent="0.25">
      <c r="A982" s="123">
        <v>45768</v>
      </c>
      <c r="B982" t="s">
        <v>347</v>
      </c>
      <c r="C982" t="s">
        <v>348</v>
      </c>
      <c r="D982" t="s">
        <v>223</v>
      </c>
      <c r="E982" t="s">
        <v>427</v>
      </c>
      <c r="F982" t="s">
        <v>184</v>
      </c>
      <c r="G982" t="s">
        <v>1388</v>
      </c>
      <c r="H982" s="77">
        <v>68</v>
      </c>
      <c r="I982" s="124">
        <v>115.55</v>
      </c>
      <c r="J982" s="124">
        <v>7857.2</v>
      </c>
      <c r="K982" s="77">
        <v>45</v>
      </c>
      <c r="L982" t="s">
        <v>339</v>
      </c>
      <c r="M982" s="126">
        <v>1571.44</v>
      </c>
      <c r="N982" s="124">
        <v>7857.2</v>
      </c>
      <c r="O982" t="s">
        <v>346</v>
      </c>
      <c r="P982" t="s">
        <v>294</v>
      </c>
    </row>
    <row r="983" spans="1:16" ht="15" customHeight="1" x14ac:dyDescent="0.25">
      <c r="A983" s="123">
        <v>45761</v>
      </c>
      <c r="B983" t="s">
        <v>362</v>
      </c>
      <c r="C983" t="s">
        <v>363</v>
      </c>
      <c r="D983" t="s">
        <v>221</v>
      </c>
      <c r="E983" t="s">
        <v>376</v>
      </c>
      <c r="F983" t="s">
        <v>182</v>
      </c>
      <c r="G983" t="s">
        <v>1389</v>
      </c>
      <c r="H983" s="77">
        <v>12</v>
      </c>
      <c r="I983" s="124">
        <v>120.05</v>
      </c>
      <c r="J983" s="124">
        <v>1440.56</v>
      </c>
      <c r="K983" s="77">
        <v>45</v>
      </c>
      <c r="L983" t="s">
        <v>351</v>
      </c>
      <c r="M983" s="126">
        <v>288.11200000000002</v>
      </c>
      <c r="N983" s="124">
        <v>1440.56</v>
      </c>
      <c r="O983" t="s">
        <v>340</v>
      </c>
      <c r="P983" t="s">
        <v>294</v>
      </c>
    </row>
    <row r="984" spans="1:16" ht="15" customHeight="1" x14ac:dyDescent="0.25">
      <c r="A984" s="123">
        <v>45736</v>
      </c>
      <c r="B984" t="s">
        <v>398</v>
      </c>
      <c r="C984" t="s">
        <v>399</v>
      </c>
      <c r="D984" t="s">
        <v>227</v>
      </c>
      <c r="E984" t="s">
        <v>417</v>
      </c>
      <c r="F984" t="s">
        <v>184</v>
      </c>
      <c r="G984" t="s">
        <v>1390</v>
      </c>
      <c r="H984" s="77">
        <v>25</v>
      </c>
      <c r="I984" s="124">
        <v>44.06</v>
      </c>
      <c r="J984" s="124">
        <v>1101.6099999999999</v>
      </c>
      <c r="K984" s="77">
        <v>45</v>
      </c>
      <c r="L984" t="s">
        <v>345</v>
      </c>
      <c r="M984" s="126">
        <v>220.322</v>
      </c>
      <c r="N984" s="124">
        <v>1101.6099999999999</v>
      </c>
      <c r="O984" t="s">
        <v>346</v>
      </c>
      <c r="P984" t="s">
        <v>294</v>
      </c>
    </row>
    <row r="985" spans="1:16" ht="15" customHeight="1" x14ac:dyDescent="0.25">
      <c r="A985" s="123">
        <v>45731</v>
      </c>
      <c r="B985" t="s">
        <v>488</v>
      </c>
      <c r="C985" t="s">
        <v>489</v>
      </c>
      <c r="D985" t="s">
        <v>225</v>
      </c>
      <c r="E985" t="s">
        <v>437</v>
      </c>
      <c r="F985" t="s">
        <v>181</v>
      </c>
      <c r="G985" t="s">
        <v>1391</v>
      </c>
      <c r="H985" s="77">
        <v>13</v>
      </c>
      <c r="I985" s="124">
        <v>214.3</v>
      </c>
      <c r="J985" s="124">
        <v>2785.93</v>
      </c>
      <c r="K985" s="77">
        <v>60</v>
      </c>
      <c r="L985" t="s">
        <v>351</v>
      </c>
      <c r="M985" s="126">
        <v>557.18600000000004</v>
      </c>
      <c r="N985" s="124">
        <v>2785.93</v>
      </c>
      <c r="O985" t="s">
        <v>346</v>
      </c>
      <c r="P985" t="s">
        <v>294</v>
      </c>
    </row>
    <row r="986" spans="1:16" ht="15" customHeight="1" x14ac:dyDescent="0.25">
      <c r="A986" s="123">
        <v>45676</v>
      </c>
      <c r="B986" t="s">
        <v>431</v>
      </c>
      <c r="C986" t="s">
        <v>432</v>
      </c>
      <c r="D986" t="s">
        <v>221</v>
      </c>
      <c r="E986" t="s">
        <v>352</v>
      </c>
      <c r="F986" t="s">
        <v>180</v>
      </c>
      <c r="G986" t="s">
        <v>1392</v>
      </c>
      <c r="H986" s="77">
        <v>59</v>
      </c>
      <c r="I986" s="124">
        <v>249.51</v>
      </c>
      <c r="J986" s="124">
        <v>14720.8</v>
      </c>
      <c r="K986" s="77">
        <v>45</v>
      </c>
      <c r="L986" t="s">
        <v>351</v>
      </c>
      <c r="M986" s="126">
        <v>2944.16</v>
      </c>
      <c r="N986" s="124">
        <v>14720.8</v>
      </c>
      <c r="O986" t="s">
        <v>346</v>
      </c>
      <c r="P986" t="s">
        <v>294</v>
      </c>
    </row>
    <row r="987" spans="1:16" ht="15" customHeight="1" x14ac:dyDescent="0.25">
      <c r="A987" s="123">
        <v>45817</v>
      </c>
      <c r="B987" t="s">
        <v>409</v>
      </c>
      <c r="C987" t="s">
        <v>410</v>
      </c>
      <c r="D987" t="s">
        <v>223</v>
      </c>
      <c r="E987" t="s">
        <v>415</v>
      </c>
      <c r="F987" t="s">
        <v>178</v>
      </c>
      <c r="G987" t="s">
        <v>1393</v>
      </c>
      <c r="H987" s="77">
        <v>6</v>
      </c>
      <c r="I987" s="124">
        <v>34.369999999999997</v>
      </c>
      <c r="J987" s="124">
        <v>206.24</v>
      </c>
      <c r="K987" s="77">
        <v>60</v>
      </c>
      <c r="L987" t="s">
        <v>351</v>
      </c>
      <c r="M987" s="126">
        <v>41.247999999999998</v>
      </c>
      <c r="N987" s="124">
        <v>206.24</v>
      </c>
      <c r="O987" t="s">
        <v>340</v>
      </c>
      <c r="P987" t="s">
        <v>294</v>
      </c>
    </row>
    <row r="988" spans="1:16" ht="15" customHeight="1" x14ac:dyDescent="0.25">
      <c r="A988" s="123">
        <v>45681</v>
      </c>
      <c r="B988" t="s">
        <v>335</v>
      </c>
      <c r="C988" t="s">
        <v>336</v>
      </c>
      <c r="D988" t="s">
        <v>223</v>
      </c>
      <c r="E988" t="s">
        <v>420</v>
      </c>
      <c r="F988" t="s">
        <v>182</v>
      </c>
      <c r="G988" t="s">
        <v>1394</v>
      </c>
      <c r="H988" s="77">
        <v>14</v>
      </c>
      <c r="I988" s="124">
        <v>217.18</v>
      </c>
      <c r="J988" s="124">
        <v>3040.58</v>
      </c>
      <c r="K988" s="77">
        <v>60</v>
      </c>
      <c r="L988" t="s">
        <v>351</v>
      </c>
      <c r="M988" s="126">
        <v>608.11599999999999</v>
      </c>
      <c r="N988" s="124">
        <v>3040.58</v>
      </c>
      <c r="O988" t="s">
        <v>346</v>
      </c>
      <c r="P988" t="s">
        <v>294</v>
      </c>
    </row>
    <row r="989" spans="1:16" ht="15" customHeight="1" x14ac:dyDescent="0.25">
      <c r="A989" s="123">
        <v>45953</v>
      </c>
      <c r="B989" t="s">
        <v>358</v>
      </c>
      <c r="C989" t="s">
        <v>359</v>
      </c>
      <c r="D989" t="s">
        <v>225</v>
      </c>
      <c r="E989" t="s">
        <v>356</v>
      </c>
      <c r="F989" t="s">
        <v>181</v>
      </c>
      <c r="G989" t="s">
        <v>1395</v>
      </c>
      <c r="H989" s="77">
        <v>40</v>
      </c>
      <c r="I989" s="124">
        <v>356.44</v>
      </c>
      <c r="J989" s="124">
        <v>14257.76</v>
      </c>
      <c r="K989" s="77">
        <v>60</v>
      </c>
      <c r="L989" t="s">
        <v>339</v>
      </c>
      <c r="M989" s="126">
        <v>2851.5520000000001</v>
      </c>
      <c r="N989" s="124">
        <v>14257.76</v>
      </c>
      <c r="O989" t="s">
        <v>340</v>
      </c>
      <c r="P989" t="s">
        <v>294</v>
      </c>
    </row>
    <row r="990" spans="1:16" ht="15" customHeight="1" x14ac:dyDescent="0.25">
      <c r="A990" s="123">
        <v>45804</v>
      </c>
      <c r="B990" t="s">
        <v>362</v>
      </c>
      <c r="C990" t="s">
        <v>363</v>
      </c>
      <c r="D990" t="s">
        <v>221</v>
      </c>
      <c r="E990" t="s">
        <v>423</v>
      </c>
      <c r="F990" t="s">
        <v>180</v>
      </c>
      <c r="G990" t="s">
        <v>1396</v>
      </c>
      <c r="H990" s="77">
        <v>36</v>
      </c>
      <c r="I990" s="124">
        <v>221.39</v>
      </c>
      <c r="J990" s="124">
        <v>7970.08</v>
      </c>
      <c r="K990" s="77">
        <v>60</v>
      </c>
      <c r="L990" t="s">
        <v>345</v>
      </c>
      <c r="M990" s="126">
        <v>1594.0160000000001</v>
      </c>
      <c r="N990" s="124">
        <v>7970.08</v>
      </c>
      <c r="O990" t="s">
        <v>346</v>
      </c>
      <c r="P990" t="s">
        <v>294</v>
      </c>
    </row>
    <row r="991" spans="1:16" ht="15" customHeight="1" x14ac:dyDescent="0.25">
      <c r="A991" s="123">
        <v>45734</v>
      </c>
      <c r="B991" t="s">
        <v>378</v>
      </c>
      <c r="C991" t="s">
        <v>379</v>
      </c>
      <c r="D991" t="s">
        <v>227</v>
      </c>
      <c r="E991" t="s">
        <v>368</v>
      </c>
      <c r="F991" t="s">
        <v>178</v>
      </c>
      <c r="G991" t="s">
        <v>1397</v>
      </c>
      <c r="H991" s="77">
        <v>21</v>
      </c>
      <c r="I991" s="124">
        <v>65.97</v>
      </c>
      <c r="J991" s="124">
        <v>1385.33</v>
      </c>
      <c r="K991" s="77">
        <v>45</v>
      </c>
      <c r="L991" t="s">
        <v>339</v>
      </c>
      <c r="M991" s="126">
        <v>277.06599999999997</v>
      </c>
      <c r="N991" s="124">
        <v>1385.33</v>
      </c>
      <c r="O991" t="s">
        <v>346</v>
      </c>
      <c r="P991" t="s">
        <v>294</v>
      </c>
    </row>
    <row r="992" spans="1:16" ht="15" customHeight="1" x14ac:dyDescent="0.25">
      <c r="A992" s="123">
        <v>45935</v>
      </c>
      <c r="B992" t="s">
        <v>386</v>
      </c>
      <c r="C992" t="s">
        <v>387</v>
      </c>
      <c r="D992" t="s">
        <v>223</v>
      </c>
      <c r="E992" t="s">
        <v>415</v>
      </c>
      <c r="F992" t="s">
        <v>178</v>
      </c>
      <c r="G992" t="s">
        <v>1398</v>
      </c>
      <c r="H992" s="77">
        <v>45</v>
      </c>
      <c r="I992" s="124">
        <v>72.89</v>
      </c>
      <c r="J992" s="124">
        <v>3280.2</v>
      </c>
      <c r="K992" s="77">
        <v>60</v>
      </c>
      <c r="L992" t="s">
        <v>345</v>
      </c>
      <c r="M992" s="126">
        <v>656.04</v>
      </c>
      <c r="N992" s="124">
        <v>3280.2</v>
      </c>
      <c r="O992" t="s">
        <v>340</v>
      </c>
      <c r="P992" t="s">
        <v>294</v>
      </c>
    </row>
    <row r="993" spans="1:16" ht="15" customHeight="1" x14ac:dyDescent="0.25">
      <c r="A993" s="123">
        <v>45803</v>
      </c>
      <c r="B993" t="s">
        <v>409</v>
      </c>
      <c r="C993" t="s">
        <v>410</v>
      </c>
      <c r="D993" t="s">
        <v>223</v>
      </c>
      <c r="E993" t="s">
        <v>412</v>
      </c>
      <c r="F993" t="s">
        <v>179</v>
      </c>
      <c r="G993" t="s">
        <v>1399</v>
      </c>
      <c r="H993" s="77">
        <v>74</v>
      </c>
      <c r="I993" s="124">
        <v>58.56</v>
      </c>
      <c r="J993" s="124">
        <v>4333.2299999999996</v>
      </c>
      <c r="K993" s="77">
        <v>30</v>
      </c>
      <c r="L993" t="s">
        <v>339</v>
      </c>
      <c r="M993" s="126">
        <v>866.64599999999996</v>
      </c>
      <c r="N993" s="124">
        <v>4333.2299999999996</v>
      </c>
      <c r="O993" t="s">
        <v>346</v>
      </c>
      <c r="P993" t="s">
        <v>294</v>
      </c>
    </row>
    <row r="994" spans="1:16" ht="15" customHeight="1" x14ac:dyDescent="0.25">
      <c r="A994" s="123">
        <v>45831</v>
      </c>
      <c r="B994" t="s">
        <v>347</v>
      </c>
      <c r="C994" t="s">
        <v>348</v>
      </c>
      <c r="D994" t="s">
        <v>223</v>
      </c>
      <c r="E994" t="s">
        <v>403</v>
      </c>
      <c r="F994" t="s">
        <v>181</v>
      </c>
      <c r="G994" t="s">
        <v>1400</v>
      </c>
      <c r="H994" s="77">
        <v>70</v>
      </c>
      <c r="I994" s="124">
        <v>192.04</v>
      </c>
      <c r="J994" s="124">
        <v>13442.48</v>
      </c>
      <c r="K994" s="77">
        <v>45</v>
      </c>
      <c r="L994" t="s">
        <v>339</v>
      </c>
      <c r="M994" s="126">
        <v>2688.4960000000001</v>
      </c>
      <c r="N994" s="124">
        <v>13442.48</v>
      </c>
      <c r="O994" t="s">
        <v>346</v>
      </c>
      <c r="P994" t="s">
        <v>294</v>
      </c>
    </row>
    <row r="995" spans="1:16" ht="15" customHeight="1" x14ac:dyDescent="0.25">
      <c r="A995" s="123">
        <v>46003</v>
      </c>
      <c r="B995" t="s">
        <v>406</v>
      </c>
      <c r="C995" t="s">
        <v>407</v>
      </c>
      <c r="D995" t="s">
        <v>225</v>
      </c>
      <c r="E995" t="s">
        <v>496</v>
      </c>
      <c r="F995" t="s">
        <v>177</v>
      </c>
      <c r="G995" t="s">
        <v>1401</v>
      </c>
      <c r="H995" s="77">
        <v>7</v>
      </c>
      <c r="I995" s="124">
        <v>82.47</v>
      </c>
      <c r="J995" s="124">
        <v>577.27</v>
      </c>
      <c r="K995" s="77">
        <v>30</v>
      </c>
      <c r="L995" t="s">
        <v>345</v>
      </c>
      <c r="M995" s="126">
        <v>115.45399999999999</v>
      </c>
      <c r="N995" s="124">
        <v>577.27</v>
      </c>
      <c r="O995" t="s">
        <v>346</v>
      </c>
      <c r="P995" t="s">
        <v>294</v>
      </c>
    </row>
    <row r="996" spans="1:16" ht="15" customHeight="1" x14ac:dyDescent="0.25">
      <c r="A996" s="123">
        <v>45858</v>
      </c>
      <c r="B996" t="s">
        <v>386</v>
      </c>
      <c r="C996" t="s">
        <v>387</v>
      </c>
      <c r="D996" t="s">
        <v>223</v>
      </c>
      <c r="E996" t="s">
        <v>368</v>
      </c>
      <c r="F996" t="s">
        <v>178</v>
      </c>
      <c r="G996" t="s">
        <v>1402</v>
      </c>
      <c r="H996" s="77">
        <v>23</v>
      </c>
      <c r="I996" s="124">
        <v>37.47</v>
      </c>
      <c r="J996" s="124">
        <v>861.77</v>
      </c>
      <c r="K996" s="77">
        <v>60</v>
      </c>
      <c r="L996" t="s">
        <v>351</v>
      </c>
      <c r="M996" s="126">
        <v>172.35400000000001</v>
      </c>
      <c r="N996" s="124">
        <v>861.77</v>
      </c>
      <c r="O996" t="s">
        <v>346</v>
      </c>
      <c r="P996" t="s">
        <v>294</v>
      </c>
    </row>
    <row r="997" spans="1:16" ht="15" customHeight="1" x14ac:dyDescent="0.25">
      <c r="A997" s="123">
        <v>45840</v>
      </c>
      <c r="B997" t="s">
        <v>409</v>
      </c>
      <c r="C997" t="s">
        <v>410</v>
      </c>
      <c r="D997" t="s">
        <v>223</v>
      </c>
      <c r="E997" t="s">
        <v>417</v>
      </c>
      <c r="F997" t="s">
        <v>184</v>
      </c>
      <c r="G997" t="s">
        <v>1403</v>
      </c>
      <c r="H997" s="77">
        <v>40</v>
      </c>
      <c r="I997" s="124">
        <v>64.260000000000005</v>
      </c>
      <c r="J997" s="124">
        <v>2570.2600000000002</v>
      </c>
      <c r="K997" s="77">
        <v>45</v>
      </c>
      <c r="L997" t="s">
        <v>339</v>
      </c>
      <c r="M997" s="126">
        <v>514.05200000000002</v>
      </c>
      <c r="N997" s="124">
        <v>2570.2600000000002</v>
      </c>
      <c r="O997" t="s">
        <v>346</v>
      </c>
      <c r="P997" t="s">
        <v>294</v>
      </c>
    </row>
    <row r="998" spans="1:16" ht="15" customHeight="1" x14ac:dyDescent="0.25">
      <c r="A998" s="123">
        <v>45948</v>
      </c>
      <c r="B998" t="s">
        <v>354</v>
      </c>
      <c r="C998" t="s">
        <v>355</v>
      </c>
      <c r="D998" t="s">
        <v>227</v>
      </c>
      <c r="E998" t="s">
        <v>368</v>
      </c>
      <c r="F998" t="s">
        <v>178</v>
      </c>
      <c r="G998" t="s">
        <v>1404</v>
      </c>
      <c r="H998" s="77">
        <v>17</v>
      </c>
      <c r="I998" s="124">
        <v>174.71</v>
      </c>
      <c r="J998" s="124">
        <v>2970.03</v>
      </c>
      <c r="K998" s="77">
        <v>30</v>
      </c>
      <c r="L998" t="s">
        <v>351</v>
      </c>
      <c r="M998" s="126">
        <v>594.00599999999997</v>
      </c>
      <c r="N998" s="124">
        <v>2970.03</v>
      </c>
      <c r="O998" t="s">
        <v>346</v>
      </c>
      <c r="P998" t="s">
        <v>294</v>
      </c>
    </row>
    <row r="999" spans="1:16" ht="15" customHeight="1" x14ac:dyDescent="0.25">
      <c r="A999" s="123">
        <v>45816</v>
      </c>
      <c r="B999" t="s">
        <v>373</v>
      </c>
      <c r="C999" t="s">
        <v>374</v>
      </c>
      <c r="D999" t="s">
        <v>225</v>
      </c>
      <c r="E999" t="s">
        <v>368</v>
      </c>
      <c r="F999" t="s">
        <v>178</v>
      </c>
      <c r="G999" t="s">
        <v>1405</v>
      </c>
      <c r="H999" s="77">
        <v>60</v>
      </c>
      <c r="I999" s="124">
        <v>92.47</v>
      </c>
      <c r="J999" s="124">
        <v>5548.01</v>
      </c>
      <c r="K999" s="77">
        <v>45</v>
      </c>
      <c r="L999" t="s">
        <v>339</v>
      </c>
      <c r="M999" s="126">
        <v>1109.6020000000001</v>
      </c>
      <c r="N999" s="124">
        <v>5548.01</v>
      </c>
      <c r="O999" t="s">
        <v>346</v>
      </c>
      <c r="P999" t="s">
        <v>294</v>
      </c>
    </row>
    <row r="1000" spans="1:16" ht="15" customHeight="1" x14ac:dyDescent="0.25">
      <c r="A1000" s="123">
        <v>45790</v>
      </c>
      <c r="B1000" t="s">
        <v>406</v>
      </c>
      <c r="C1000" t="s">
        <v>407</v>
      </c>
      <c r="D1000" t="s">
        <v>225</v>
      </c>
      <c r="E1000" t="s">
        <v>412</v>
      </c>
      <c r="F1000" t="s">
        <v>179</v>
      </c>
      <c r="G1000" t="s">
        <v>1406</v>
      </c>
      <c r="H1000" s="77">
        <v>47</v>
      </c>
      <c r="I1000" s="124">
        <v>131.47</v>
      </c>
      <c r="J1000" s="124">
        <v>6179.27</v>
      </c>
      <c r="K1000" s="77">
        <v>45</v>
      </c>
      <c r="L1000" t="s">
        <v>339</v>
      </c>
      <c r="M1000" s="126">
        <v>1235.854</v>
      </c>
      <c r="N1000" s="124">
        <v>6179.27</v>
      </c>
      <c r="O1000" t="s">
        <v>346</v>
      </c>
      <c r="P1000" t="s">
        <v>294</v>
      </c>
    </row>
    <row r="1001" spans="1:16" ht="15" customHeight="1" x14ac:dyDescent="0.25">
      <c r="A1001" s="123">
        <v>45890</v>
      </c>
      <c r="B1001" t="s">
        <v>398</v>
      </c>
      <c r="C1001" t="s">
        <v>399</v>
      </c>
      <c r="D1001" t="s">
        <v>227</v>
      </c>
      <c r="E1001" t="s">
        <v>420</v>
      </c>
      <c r="F1001" t="s">
        <v>182</v>
      </c>
      <c r="G1001" t="s">
        <v>1407</v>
      </c>
      <c r="H1001" s="77">
        <v>63</v>
      </c>
      <c r="I1001" s="124">
        <v>130.16</v>
      </c>
      <c r="J1001" s="124">
        <v>8200.35</v>
      </c>
      <c r="K1001" s="77">
        <v>30</v>
      </c>
      <c r="L1001" t="s">
        <v>339</v>
      </c>
      <c r="M1001" s="126">
        <v>1640.07</v>
      </c>
      <c r="N1001" s="124">
        <v>8200.35</v>
      </c>
      <c r="O1001" t="s">
        <v>346</v>
      </c>
      <c r="P1001" t="s">
        <v>294</v>
      </c>
    </row>
    <row r="1002" spans="1:16" ht="15" customHeight="1" x14ac:dyDescent="0.25">
      <c r="A1002" s="123">
        <v>45903</v>
      </c>
      <c r="B1002" t="s">
        <v>406</v>
      </c>
      <c r="C1002" t="s">
        <v>407</v>
      </c>
      <c r="D1002" t="s">
        <v>225</v>
      </c>
      <c r="E1002" t="s">
        <v>368</v>
      </c>
      <c r="F1002" t="s">
        <v>178</v>
      </c>
      <c r="G1002" t="s">
        <v>1408</v>
      </c>
      <c r="H1002" s="77">
        <v>60</v>
      </c>
      <c r="I1002" s="124">
        <v>140.34</v>
      </c>
      <c r="J1002" s="124">
        <v>8420.1</v>
      </c>
      <c r="K1002" s="77">
        <v>30</v>
      </c>
      <c r="L1002" t="s">
        <v>345</v>
      </c>
      <c r="M1002" s="126">
        <v>1684.02</v>
      </c>
      <c r="N1002" s="124">
        <v>8420.1</v>
      </c>
      <c r="O1002" t="s">
        <v>346</v>
      </c>
      <c r="P1002" t="s">
        <v>294</v>
      </c>
    </row>
    <row r="1003" spans="1:16" ht="15" customHeight="1" x14ac:dyDescent="0.25">
      <c r="A1003" s="123">
        <v>45710</v>
      </c>
      <c r="B1003" t="s">
        <v>378</v>
      </c>
      <c r="C1003" t="s">
        <v>379</v>
      </c>
      <c r="D1003" t="s">
        <v>227</v>
      </c>
      <c r="E1003" t="s">
        <v>412</v>
      </c>
      <c r="F1003" t="s">
        <v>179</v>
      </c>
      <c r="G1003" t="s">
        <v>1409</v>
      </c>
      <c r="H1003" s="77">
        <v>52</v>
      </c>
      <c r="I1003" s="124">
        <v>299.32</v>
      </c>
      <c r="J1003" s="124">
        <v>15564.52</v>
      </c>
      <c r="K1003" s="77">
        <v>60</v>
      </c>
      <c r="L1003" t="s">
        <v>339</v>
      </c>
      <c r="M1003" s="126">
        <v>3112.904</v>
      </c>
      <c r="N1003" s="124">
        <v>15564.52</v>
      </c>
      <c r="O1003" t="s">
        <v>346</v>
      </c>
      <c r="P1003" t="s">
        <v>294</v>
      </c>
    </row>
    <row r="1004" spans="1:16" ht="15" customHeight="1" x14ac:dyDescent="0.25">
      <c r="A1004" s="123">
        <v>45930</v>
      </c>
      <c r="B1004" t="s">
        <v>347</v>
      </c>
      <c r="C1004" t="s">
        <v>348</v>
      </c>
      <c r="D1004" t="s">
        <v>223</v>
      </c>
      <c r="E1004" t="s">
        <v>368</v>
      </c>
      <c r="F1004" t="s">
        <v>178</v>
      </c>
      <c r="G1004" t="s">
        <v>1410</v>
      </c>
      <c r="H1004" s="77">
        <v>60</v>
      </c>
      <c r="I1004" s="124">
        <v>67.17</v>
      </c>
      <c r="J1004" s="124">
        <v>4030.03</v>
      </c>
      <c r="K1004" s="77">
        <v>45</v>
      </c>
      <c r="L1004" t="s">
        <v>351</v>
      </c>
      <c r="M1004" s="126">
        <v>806.00599999999997</v>
      </c>
      <c r="N1004" s="124">
        <v>4030.03</v>
      </c>
      <c r="O1004" t="s">
        <v>346</v>
      </c>
      <c r="P1004" t="s">
        <v>294</v>
      </c>
    </row>
    <row r="1005" spans="1:16" ht="15" customHeight="1" x14ac:dyDescent="0.25">
      <c r="A1005" s="123">
        <v>45782</v>
      </c>
      <c r="B1005" t="s">
        <v>488</v>
      </c>
      <c r="C1005" t="s">
        <v>489</v>
      </c>
      <c r="D1005" t="s">
        <v>225</v>
      </c>
      <c r="E1005" t="s">
        <v>352</v>
      </c>
      <c r="F1005" t="s">
        <v>180</v>
      </c>
      <c r="G1005" t="s">
        <v>1411</v>
      </c>
      <c r="H1005" s="77">
        <v>71</v>
      </c>
      <c r="I1005" s="124">
        <v>175.15</v>
      </c>
      <c r="J1005" s="124">
        <v>12435.69</v>
      </c>
      <c r="K1005" s="77">
        <v>30</v>
      </c>
      <c r="L1005" t="s">
        <v>345</v>
      </c>
      <c r="M1005" s="126">
        <v>2487.1379999999999</v>
      </c>
      <c r="N1005" s="124">
        <v>12435.69</v>
      </c>
      <c r="O1005" t="s">
        <v>346</v>
      </c>
      <c r="P1005" t="s">
        <v>294</v>
      </c>
    </row>
    <row r="1006" spans="1:16" ht="15" customHeight="1" x14ac:dyDescent="0.25">
      <c r="A1006" s="123">
        <v>45764</v>
      </c>
      <c r="B1006" t="s">
        <v>406</v>
      </c>
      <c r="C1006" t="s">
        <v>407</v>
      </c>
      <c r="D1006" t="s">
        <v>225</v>
      </c>
      <c r="E1006" t="s">
        <v>368</v>
      </c>
      <c r="F1006" t="s">
        <v>178</v>
      </c>
      <c r="G1006" t="s">
        <v>1412</v>
      </c>
      <c r="H1006" s="77">
        <v>76</v>
      </c>
      <c r="I1006" s="124">
        <v>95.43</v>
      </c>
      <c r="J1006" s="124">
        <v>7252.8</v>
      </c>
      <c r="K1006" s="77">
        <v>45</v>
      </c>
      <c r="L1006" t="s">
        <v>345</v>
      </c>
      <c r="M1006" s="126">
        <v>1450.56</v>
      </c>
      <c r="N1006" s="124">
        <v>7252.8</v>
      </c>
      <c r="O1006" t="s">
        <v>346</v>
      </c>
      <c r="P1006" t="s">
        <v>294</v>
      </c>
    </row>
    <row r="1007" spans="1:16" ht="15" customHeight="1" x14ac:dyDescent="0.25">
      <c r="A1007" s="123">
        <v>46013</v>
      </c>
      <c r="B1007" t="s">
        <v>373</v>
      </c>
      <c r="C1007" t="s">
        <v>374</v>
      </c>
      <c r="D1007" t="s">
        <v>225</v>
      </c>
      <c r="E1007" t="s">
        <v>364</v>
      </c>
      <c r="F1007" t="s">
        <v>182</v>
      </c>
      <c r="G1007" t="s">
        <v>1413</v>
      </c>
      <c r="H1007" s="77">
        <v>31</v>
      </c>
      <c r="I1007" s="124">
        <v>117.95</v>
      </c>
      <c r="J1007" s="124">
        <v>3656.57</v>
      </c>
      <c r="K1007" s="77">
        <v>30</v>
      </c>
      <c r="L1007" t="s">
        <v>351</v>
      </c>
      <c r="M1007" s="126">
        <v>731.31399999999996</v>
      </c>
      <c r="N1007" s="124">
        <v>3656.57</v>
      </c>
      <c r="O1007" t="s">
        <v>346</v>
      </c>
      <c r="P1007" t="s">
        <v>294</v>
      </c>
    </row>
    <row r="1008" spans="1:16" ht="15" customHeight="1" x14ac:dyDescent="0.25">
      <c r="A1008" s="123">
        <v>46022</v>
      </c>
      <c r="B1008" t="s">
        <v>390</v>
      </c>
      <c r="C1008" t="s">
        <v>391</v>
      </c>
      <c r="D1008" t="s">
        <v>221</v>
      </c>
      <c r="E1008" t="s">
        <v>343</v>
      </c>
      <c r="F1008" t="s">
        <v>178</v>
      </c>
      <c r="G1008" t="s">
        <v>1414</v>
      </c>
      <c r="H1008" s="77">
        <v>74</v>
      </c>
      <c r="I1008" s="124">
        <v>106.35</v>
      </c>
      <c r="J1008" s="124">
        <v>7869.96</v>
      </c>
      <c r="K1008" s="77">
        <v>45</v>
      </c>
      <c r="L1008" t="s">
        <v>339</v>
      </c>
      <c r="M1008" s="126">
        <v>1573.992</v>
      </c>
      <c r="N1008" s="124">
        <v>7869.96</v>
      </c>
      <c r="O1008" t="s">
        <v>346</v>
      </c>
      <c r="P1008" t="s">
        <v>294</v>
      </c>
    </row>
    <row r="1009" spans="1:16" ht="15" customHeight="1" x14ac:dyDescent="0.25">
      <c r="A1009" s="123">
        <v>45942</v>
      </c>
      <c r="B1009" t="s">
        <v>366</v>
      </c>
      <c r="C1009" t="s">
        <v>367</v>
      </c>
      <c r="D1009" t="s">
        <v>221</v>
      </c>
      <c r="E1009" t="s">
        <v>427</v>
      </c>
      <c r="F1009" t="s">
        <v>184</v>
      </c>
      <c r="G1009" t="s">
        <v>1415</v>
      </c>
      <c r="H1009" s="77">
        <v>13</v>
      </c>
      <c r="I1009" s="124">
        <v>106.36</v>
      </c>
      <c r="J1009" s="124">
        <v>1382.68</v>
      </c>
      <c r="K1009" s="77">
        <v>45</v>
      </c>
      <c r="L1009" t="s">
        <v>339</v>
      </c>
      <c r="M1009" s="126">
        <v>276.536</v>
      </c>
      <c r="N1009" s="124">
        <v>1382.68</v>
      </c>
      <c r="O1009" t="s">
        <v>346</v>
      </c>
      <c r="P1009" t="s">
        <v>294</v>
      </c>
    </row>
    <row r="1010" spans="1:16" ht="15" customHeight="1" x14ac:dyDescent="0.25">
      <c r="A1010" s="123">
        <v>45964</v>
      </c>
      <c r="B1010" t="s">
        <v>409</v>
      </c>
      <c r="C1010" t="s">
        <v>410</v>
      </c>
      <c r="D1010" t="s">
        <v>223</v>
      </c>
      <c r="E1010" t="s">
        <v>235</v>
      </c>
      <c r="F1010" t="s">
        <v>183</v>
      </c>
      <c r="G1010" t="s">
        <v>1416</v>
      </c>
      <c r="H1010" s="77">
        <v>14</v>
      </c>
      <c r="I1010" s="124">
        <v>534.34</v>
      </c>
      <c r="J1010" s="124">
        <v>7480.79</v>
      </c>
      <c r="K1010" s="77">
        <v>60</v>
      </c>
      <c r="L1010" t="s">
        <v>351</v>
      </c>
      <c r="M1010" s="126">
        <v>1496.1579999999999</v>
      </c>
      <c r="N1010" s="124">
        <v>7480.79</v>
      </c>
      <c r="O1010" t="s">
        <v>346</v>
      </c>
      <c r="P1010" t="s">
        <v>294</v>
      </c>
    </row>
    <row r="1011" spans="1:16" ht="15" customHeight="1" x14ac:dyDescent="0.25">
      <c r="A1011" s="123">
        <v>45988</v>
      </c>
      <c r="B1011" t="s">
        <v>341</v>
      </c>
      <c r="C1011" t="s">
        <v>342</v>
      </c>
      <c r="D1011" t="s">
        <v>223</v>
      </c>
      <c r="E1011" t="s">
        <v>420</v>
      </c>
      <c r="F1011" t="s">
        <v>182</v>
      </c>
      <c r="G1011" t="s">
        <v>1417</v>
      </c>
      <c r="H1011" s="77">
        <v>8</v>
      </c>
      <c r="I1011" s="124">
        <v>70.77</v>
      </c>
      <c r="J1011" s="124">
        <v>566.20000000000005</v>
      </c>
      <c r="K1011" s="77">
        <v>30</v>
      </c>
      <c r="L1011" t="s">
        <v>339</v>
      </c>
      <c r="M1011" s="126">
        <v>113.24</v>
      </c>
      <c r="N1011" s="124">
        <v>566.20000000000005</v>
      </c>
      <c r="O1011" t="s">
        <v>346</v>
      </c>
      <c r="P1011" t="s">
        <v>294</v>
      </c>
    </row>
    <row r="1012" spans="1:16" ht="15" customHeight="1" x14ac:dyDescent="0.25">
      <c r="A1012" s="123">
        <v>45996</v>
      </c>
      <c r="B1012" t="s">
        <v>358</v>
      </c>
      <c r="C1012" t="s">
        <v>359</v>
      </c>
      <c r="D1012" t="s">
        <v>225</v>
      </c>
      <c r="E1012" t="s">
        <v>349</v>
      </c>
      <c r="F1012" t="s">
        <v>177</v>
      </c>
      <c r="G1012" t="s">
        <v>1418</v>
      </c>
      <c r="H1012" s="77">
        <v>20</v>
      </c>
      <c r="I1012" s="124">
        <v>247.66</v>
      </c>
      <c r="J1012" s="124">
        <v>4953.21</v>
      </c>
      <c r="K1012" s="77">
        <v>45</v>
      </c>
      <c r="L1012" t="s">
        <v>351</v>
      </c>
      <c r="M1012" s="126">
        <v>990.64200000000005</v>
      </c>
      <c r="N1012" s="124">
        <v>4953.21</v>
      </c>
      <c r="O1012" t="s">
        <v>340</v>
      </c>
      <c r="P1012" t="s">
        <v>294</v>
      </c>
    </row>
    <row r="1013" spans="1:16" ht="15" customHeight="1" x14ac:dyDescent="0.25">
      <c r="A1013" s="123">
        <v>45953</v>
      </c>
      <c r="B1013" t="s">
        <v>393</v>
      </c>
      <c r="C1013" t="s">
        <v>394</v>
      </c>
      <c r="D1013" t="s">
        <v>227</v>
      </c>
      <c r="E1013" t="s">
        <v>236</v>
      </c>
      <c r="F1013" t="s">
        <v>183</v>
      </c>
      <c r="G1013" t="s">
        <v>1419</v>
      </c>
      <c r="H1013" s="77">
        <v>58</v>
      </c>
      <c r="I1013" s="124">
        <v>334.44</v>
      </c>
      <c r="J1013" s="124">
        <v>19397.61</v>
      </c>
      <c r="K1013" s="77">
        <v>30</v>
      </c>
      <c r="L1013" t="s">
        <v>339</v>
      </c>
      <c r="M1013" s="126">
        <v>3879.5219999999999</v>
      </c>
      <c r="N1013" s="124">
        <v>19397.61</v>
      </c>
      <c r="O1013" t="s">
        <v>346</v>
      </c>
      <c r="P1013" t="s">
        <v>294</v>
      </c>
    </row>
    <row r="1014" spans="1:16" ht="15" customHeight="1" x14ac:dyDescent="0.25">
      <c r="A1014" s="123">
        <v>45949</v>
      </c>
      <c r="B1014" t="s">
        <v>406</v>
      </c>
      <c r="C1014" t="s">
        <v>407</v>
      </c>
      <c r="D1014" t="s">
        <v>225</v>
      </c>
      <c r="E1014" t="s">
        <v>420</v>
      </c>
      <c r="F1014" t="s">
        <v>182</v>
      </c>
      <c r="G1014" t="s">
        <v>1420</v>
      </c>
      <c r="H1014" s="77">
        <v>39</v>
      </c>
      <c r="I1014" s="124">
        <v>297.45999999999998</v>
      </c>
      <c r="J1014" s="124">
        <v>11600.83</v>
      </c>
      <c r="K1014" s="77">
        <v>45</v>
      </c>
      <c r="L1014" t="s">
        <v>351</v>
      </c>
      <c r="M1014" s="126">
        <v>2320.1660000000002</v>
      </c>
      <c r="N1014" s="124">
        <v>11600.83</v>
      </c>
      <c r="O1014" t="s">
        <v>346</v>
      </c>
      <c r="P1014" t="s">
        <v>294</v>
      </c>
    </row>
    <row r="1015" spans="1:16" ht="15" customHeight="1" x14ac:dyDescent="0.25">
      <c r="A1015" s="123">
        <v>45662</v>
      </c>
      <c r="B1015" t="s">
        <v>409</v>
      </c>
      <c r="C1015" t="s">
        <v>410</v>
      </c>
      <c r="D1015" t="s">
        <v>223</v>
      </c>
      <c r="E1015" t="s">
        <v>343</v>
      </c>
      <c r="F1015" t="s">
        <v>178</v>
      </c>
      <c r="G1015" t="s">
        <v>1421</v>
      </c>
      <c r="H1015" s="77">
        <v>79</v>
      </c>
      <c r="I1015" s="124">
        <v>44.49</v>
      </c>
      <c r="J1015" s="124">
        <v>3514.95</v>
      </c>
      <c r="K1015" s="77">
        <v>60</v>
      </c>
      <c r="L1015" t="s">
        <v>345</v>
      </c>
      <c r="M1015" s="126">
        <v>702.99</v>
      </c>
      <c r="N1015" s="124">
        <v>3514.95</v>
      </c>
      <c r="O1015" t="s">
        <v>346</v>
      </c>
      <c r="P1015" t="s">
        <v>294</v>
      </c>
    </row>
    <row r="1016" spans="1:16" ht="15" customHeight="1" x14ac:dyDescent="0.25">
      <c r="A1016" s="123">
        <v>45847</v>
      </c>
      <c r="B1016" t="s">
        <v>398</v>
      </c>
      <c r="C1016" t="s">
        <v>399</v>
      </c>
      <c r="D1016" t="s">
        <v>227</v>
      </c>
      <c r="E1016" t="s">
        <v>356</v>
      </c>
      <c r="F1016" t="s">
        <v>181</v>
      </c>
      <c r="G1016" t="s">
        <v>1422</v>
      </c>
      <c r="H1016" s="77">
        <v>71</v>
      </c>
      <c r="I1016" s="124">
        <v>571.58000000000004</v>
      </c>
      <c r="J1016" s="124">
        <v>40582.31</v>
      </c>
      <c r="K1016" s="77">
        <v>30</v>
      </c>
      <c r="L1016" t="s">
        <v>339</v>
      </c>
      <c r="M1016" s="126">
        <v>8116.4620000000004</v>
      </c>
      <c r="N1016" s="124">
        <v>40582.31</v>
      </c>
      <c r="O1016" t="s">
        <v>340</v>
      </c>
      <c r="P1016" t="s">
        <v>294</v>
      </c>
    </row>
    <row r="1017" spans="1:16" ht="15" customHeight="1" x14ac:dyDescent="0.25">
      <c r="A1017" s="123">
        <v>45802</v>
      </c>
      <c r="B1017" t="s">
        <v>370</v>
      </c>
      <c r="C1017" t="s">
        <v>371</v>
      </c>
      <c r="D1017" t="s">
        <v>227</v>
      </c>
      <c r="E1017" t="s">
        <v>376</v>
      </c>
      <c r="F1017" t="s">
        <v>182</v>
      </c>
      <c r="G1017" t="s">
        <v>1423</v>
      </c>
      <c r="H1017" s="77">
        <v>4</v>
      </c>
      <c r="I1017" s="124">
        <v>105.92</v>
      </c>
      <c r="J1017" s="124">
        <v>423.7</v>
      </c>
      <c r="K1017" s="77">
        <v>30</v>
      </c>
      <c r="L1017" t="s">
        <v>345</v>
      </c>
      <c r="M1017" s="126">
        <v>84.74</v>
      </c>
      <c r="N1017" s="124">
        <v>423.7</v>
      </c>
      <c r="O1017" t="s">
        <v>340</v>
      </c>
      <c r="P1017" t="s">
        <v>294</v>
      </c>
    </row>
    <row r="1018" spans="1:16" ht="15" customHeight="1" x14ac:dyDescent="0.25">
      <c r="A1018" s="123">
        <v>45820</v>
      </c>
      <c r="B1018" t="s">
        <v>362</v>
      </c>
      <c r="C1018" t="s">
        <v>363</v>
      </c>
      <c r="D1018" t="s">
        <v>221</v>
      </c>
      <c r="E1018" t="s">
        <v>236</v>
      </c>
      <c r="F1018" t="s">
        <v>183</v>
      </c>
      <c r="G1018" t="s">
        <v>1424</v>
      </c>
      <c r="H1018" s="77">
        <v>49</v>
      </c>
      <c r="I1018" s="124">
        <v>209.66</v>
      </c>
      <c r="J1018" s="124">
        <v>10273.5</v>
      </c>
      <c r="K1018" s="77">
        <v>45</v>
      </c>
      <c r="L1018" t="s">
        <v>345</v>
      </c>
      <c r="M1018" s="126">
        <v>2054.6999999999998</v>
      </c>
      <c r="N1018" s="124">
        <v>10273.5</v>
      </c>
      <c r="O1018" t="s">
        <v>346</v>
      </c>
      <c r="P1018" t="s">
        <v>294</v>
      </c>
    </row>
    <row r="1019" spans="1:16" ht="15" customHeight="1" x14ac:dyDescent="0.25">
      <c r="A1019" s="123">
        <v>45746</v>
      </c>
      <c r="B1019" t="s">
        <v>358</v>
      </c>
      <c r="C1019" t="s">
        <v>359</v>
      </c>
      <c r="D1019" t="s">
        <v>225</v>
      </c>
      <c r="E1019" t="s">
        <v>352</v>
      </c>
      <c r="F1019" t="s">
        <v>180</v>
      </c>
      <c r="G1019" t="s">
        <v>1425</v>
      </c>
      <c r="H1019" s="77">
        <v>61</v>
      </c>
      <c r="I1019" s="124">
        <v>191.58</v>
      </c>
      <c r="J1019" s="124">
        <v>11686.59</v>
      </c>
      <c r="K1019" s="77">
        <v>30</v>
      </c>
      <c r="L1019" t="s">
        <v>339</v>
      </c>
      <c r="M1019" s="126">
        <v>2337.3180000000002</v>
      </c>
      <c r="N1019" s="124">
        <v>11686.59</v>
      </c>
      <c r="O1019" t="s">
        <v>346</v>
      </c>
      <c r="P1019" t="s">
        <v>294</v>
      </c>
    </row>
    <row r="1020" spans="1:16" ht="15" customHeight="1" x14ac:dyDescent="0.25">
      <c r="A1020" s="123">
        <v>45871</v>
      </c>
      <c r="B1020" t="s">
        <v>398</v>
      </c>
      <c r="C1020" t="s">
        <v>399</v>
      </c>
      <c r="D1020" t="s">
        <v>227</v>
      </c>
      <c r="E1020" t="s">
        <v>234</v>
      </c>
      <c r="F1020" t="s">
        <v>183</v>
      </c>
      <c r="G1020" t="s">
        <v>1426</v>
      </c>
      <c r="H1020" s="77">
        <v>20</v>
      </c>
      <c r="I1020" s="124">
        <v>251.54</v>
      </c>
      <c r="J1020" s="124">
        <v>5030.75</v>
      </c>
      <c r="K1020" s="77">
        <v>45</v>
      </c>
      <c r="L1020" t="s">
        <v>351</v>
      </c>
      <c r="M1020" s="126">
        <v>1006.15</v>
      </c>
      <c r="N1020" s="124">
        <v>5030.75</v>
      </c>
      <c r="O1020" t="s">
        <v>346</v>
      </c>
      <c r="P1020" t="s">
        <v>294</v>
      </c>
    </row>
    <row r="1021" spans="1:16" ht="15" customHeight="1" x14ac:dyDescent="0.25">
      <c r="A1021" s="123">
        <v>45694</v>
      </c>
      <c r="B1021" t="s">
        <v>431</v>
      </c>
      <c r="C1021" t="s">
        <v>432</v>
      </c>
      <c r="D1021" t="s">
        <v>221</v>
      </c>
      <c r="E1021" t="s">
        <v>442</v>
      </c>
      <c r="F1021" t="s">
        <v>179</v>
      </c>
      <c r="G1021" t="s">
        <v>1427</v>
      </c>
      <c r="H1021" s="77">
        <v>3</v>
      </c>
      <c r="I1021" s="124">
        <v>227.29</v>
      </c>
      <c r="J1021" s="124">
        <v>681.88</v>
      </c>
      <c r="K1021" s="77">
        <v>30</v>
      </c>
      <c r="L1021" t="s">
        <v>351</v>
      </c>
      <c r="M1021" s="126">
        <v>136.376</v>
      </c>
      <c r="N1021" s="124">
        <v>681.88</v>
      </c>
      <c r="O1021" t="s">
        <v>340</v>
      </c>
      <c r="P1021" t="s">
        <v>294</v>
      </c>
    </row>
    <row r="1022" spans="1:16" ht="15" customHeight="1" x14ac:dyDescent="0.25">
      <c r="A1022" s="123">
        <v>45701</v>
      </c>
      <c r="B1022" t="s">
        <v>362</v>
      </c>
      <c r="C1022" t="s">
        <v>363</v>
      </c>
      <c r="D1022" t="s">
        <v>221</v>
      </c>
      <c r="E1022" t="s">
        <v>235</v>
      </c>
      <c r="F1022" t="s">
        <v>183</v>
      </c>
      <c r="G1022" t="s">
        <v>1428</v>
      </c>
      <c r="H1022" s="77">
        <v>18</v>
      </c>
      <c r="I1022" s="124">
        <v>399.95</v>
      </c>
      <c r="J1022" s="124">
        <v>7199.12</v>
      </c>
      <c r="K1022" s="77">
        <v>60</v>
      </c>
      <c r="L1022" t="s">
        <v>345</v>
      </c>
      <c r="M1022" s="126">
        <v>1439.8240000000001</v>
      </c>
      <c r="N1022" s="124">
        <v>7199.12</v>
      </c>
      <c r="O1022" t="s">
        <v>346</v>
      </c>
      <c r="P1022" t="s">
        <v>294</v>
      </c>
    </row>
    <row r="1023" spans="1:16" ht="15" customHeight="1" x14ac:dyDescent="0.25">
      <c r="A1023" s="123">
        <v>45750</v>
      </c>
      <c r="B1023" t="s">
        <v>354</v>
      </c>
      <c r="C1023" t="s">
        <v>355</v>
      </c>
      <c r="D1023" t="s">
        <v>227</v>
      </c>
      <c r="E1023" t="s">
        <v>236</v>
      </c>
      <c r="F1023" t="s">
        <v>183</v>
      </c>
      <c r="G1023" t="s">
        <v>1429</v>
      </c>
      <c r="H1023" s="77">
        <v>59</v>
      </c>
      <c r="I1023" s="124">
        <v>218.82</v>
      </c>
      <c r="J1023" s="124">
        <v>12910.35</v>
      </c>
      <c r="K1023" s="77">
        <v>60</v>
      </c>
      <c r="L1023" t="s">
        <v>345</v>
      </c>
      <c r="M1023" s="126">
        <v>2582.0700000000002</v>
      </c>
      <c r="N1023" s="124">
        <v>12910.35</v>
      </c>
      <c r="O1023" t="s">
        <v>346</v>
      </c>
      <c r="P1023" t="s">
        <v>294</v>
      </c>
    </row>
    <row r="1024" spans="1:16" ht="15" customHeight="1" x14ac:dyDescent="0.25">
      <c r="A1024" s="123">
        <v>45839</v>
      </c>
      <c r="B1024" t="s">
        <v>393</v>
      </c>
      <c r="C1024" t="s">
        <v>394</v>
      </c>
      <c r="D1024" t="s">
        <v>227</v>
      </c>
      <c r="E1024" t="s">
        <v>427</v>
      </c>
      <c r="F1024" t="s">
        <v>184</v>
      </c>
      <c r="G1024" t="s">
        <v>1430</v>
      </c>
      <c r="H1024" s="77">
        <v>29</v>
      </c>
      <c r="I1024" s="124">
        <v>74</v>
      </c>
      <c r="J1024" s="124">
        <v>2146.06</v>
      </c>
      <c r="K1024" s="77">
        <v>30</v>
      </c>
      <c r="L1024" t="s">
        <v>345</v>
      </c>
      <c r="M1024" s="126">
        <v>429.21199999999999</v>
      </c>
      <c r="N1024" s="124">
        <v>2146.06</v>
      </c>
      <c r="O1024" t="s">
        <v>346</v>
      </c>
      <c r="P1024" t="s">
        <v>294</v>
      </c>
    </row>
    <row r="1025" spans="1:16" ht="15" customHeight="1" x14ac:dyDescent="0.25">
      <c r="A1025" s="123">
        <v>45913</v>
      </c>
      <c r="B1025" t="s">
        <v>431</v>
      </c>
      <c r="C1025" t="s">
        <v>432</v>
      </c>
      <c r="D1025" t="s">
        <v>221</v>
      </c>
      <c r="E1025" t="s">
        <v>440</v>
      </c>
      <c r="F1025" t="s">
        <v>177</v>
      </c>
      <c r="G1025" t="s">
        <v>1431</v>
      </c>
      <c r="H1025" s="77">
        <v>31</v>
      </c>
      <c r="I1025" s="124">
        <v>389.84</v>
      </c>
      <c r="J1025" s="124">
        <v>12085.09</v>
      </c>
      <c r="K1025" s="77">
        <v>60</v>
      </c>
      <c r="L1025" t="s">
        <v>351</v>
      </c>
      <c r="M1025" s="126">
        <v>2417.018</v>
      </c>
      <c r="N1025" s="124">
        <v>12085.09</v>
      </c>
      <c r="O1025" t="s">
        <v>346</v>
      </c>
      <c r="P1025" t="s">
        <v>294</v>
      </c>
    </row>
    <row r="1026" spans="1:16" ht="15" customHeight="1" x14ac:dyDescent="0.25">
      <c r="A1026" s="123">
        <v>45953</v>
      </c>
      <c r="B1026" t="s">
        <v>386</v>
      </c>
      <c r="C1026" t="s">
        <v>387</v>
      </c>
      <c r="D1026" t="s">
        <v>223</v>
      </c>
      <c r="E1026" t="s">
        <v>236</v>
      </c>
      <c r="F1026" t="s">
        <v>183</v>
      </c>
      <c r="G1026" t="s">
        <v>1432</v>
      </c>
      <c r="H1026" s="77">
        <v>47</v>
      </c>
      <c r="I1026" s="124">
        <v>775.83</v>
      </c>
      <c r="J1026" s="124">
        <v>36463.93</v>
      </c>
      <c r="K1026" s="77">
        <v>30</v>
      </c>
      <c r="L1026" t="s">
        <v>339</v>
      </c>
      <c r="M1026" s="126">
        <v>7292.7860000000001</v>
      </c>
      <c r="N1026" s="124">
        <v>36463.93</v>
      </c>
      <c r="O1026" t="s">
        <v>346</v>
      </c>
      <c r="P1026" t="s">
        <v>294</v>
      </c>
    </row>
    <row r="1027" spans="1:16" ht="15" customHeight="1" x14ac:dyDescent="0.25">
      <c r="A1027" s="123">
        <v>45846</v>
      </c>
      <c r="B1027" t="s">
        <v>431</v>
      </c>
      <c r="C1027" t="s">
        <v>432</v>
      </c>
      <c r="D1027" t="s">
        <v>221</v>
      </c>
      <c r="E1027" t="s">
        <v>417</v>
      </c>
      <c r="F1027" t="s">
        <v>184</v>
      </c>
      <c r="G1027" t="s">
        <v>1433</v>
      </c>
      <c r="H1027" s="77">
        <v>15</v>
      </c>
      <c r="I1027" s="124">
        <v>95.34</v>
      </c>
      <c r="J1027" s="124">
        <v>1430.12</v>
      </c>
      <c r="K1027" s="77">
        <v>60</v>
      </c>
      <c r="L1027" t="s">
        <v>345</v>
      </c>
      <c r="M1027" s="126">
        <v>286.024</v>
      </c>
      <c r="N1027" s="124">
        <v>1430.12</v>
      </c>
      <c r="O1027" t="s">
        <v>346</v>
      </c>
      <c r="P1027" t="s">
        <v>294</v>
      </c>
    </row>
    <row r="1028" spans="1:16" ht="15" customHeight="1" x14ac:dyDescent="0.25">
      <c r="A1028" s="123">
        <v>45927</v>
      </c>
      <c r="B1028" t="s">
        <v>406</v>
      </c>
      <c r="C1028" t="s">
        <v>407</v>
      </c>
      <c r="D1028" t="s">
        <v>225</v>
      </c>
      <c r="E1028" t="s">
        <v>415</v>
      </c>
      <c r="F1028" t="s">
        <v>178</v>
      </c>
      <c r="G1028" t="s">
        <v>1434</v>
      </c>
      <c r="H1028" s="77">
        <v>36</v>
      </c>
      <c r="I1028" s="124">
        <v>66.37</v>
      </c>
      <c r="J1028" s="124">
        <v>2389.4299999999998</v>
      </c>
      <c r="K1028" s="77">
        <v>45</v>
      </c>
      <c r="L1028" t="s">
        <v>351</v>
      </c>
      <c r="M1028" s="126">
        <v>477.88600000000002</v>
      </c>
      <c r="N1028" s="124">
        <v>2389.4299999999998</v>
      </c>
      <c r="O1028" t="s">
        <v>340</v>
      </c>
      <c r="P1028" t="s">
        <v>294</v>
      </c>
    </row>
    <row r="1029" spans="1:16" ht="15" customHeight="1" x14ac:dyDescent="0.25">
      <c r="A1029" s="123">
        <v>45899</v>
      </c>
      <c r="B1029" t="s">
        <v>488</v>
      </c>
      <c r="C1029" t="s">
        <v>489</v>
      </c>
      <c r="D1029" t="s">
        <v>225</v>
      </c>
      <c r="E1029" t="s">
        <v>415</v>
      </c>
      <c r="F1029" t="s">
        <v>178</v>
      </c>
      <c r="G1029" t="s">
        <v>1435</v>
      </c>
      <c r="H1029" s="77">
        <v>10</v>
      </c>
      <c r="I1029" s="124">
        <v>69.44</v>
      </c>
      <c r="J1029" s="124">
        <v>694.36</v>
      </c>
      <c r="K1029" s="77">
        <v>60</v>
      </c>
      <c r="L1029" t="s">
        <v>351</v>
      </c>
      <c r="M1029" s="126">
        <v>138.87200000000001</v>
      </c>
      <c r="N1029" s="124">
        <v>694.36</v>
      </c>
      <c r="O1029" t="s">
        <v>340</v>
      </c>
      <c r="P1029" t="s">
        <v>294</v>
      </c>
    </row>
    <row r="1030" spans="1:16" ht="15" customHeight="1" x14ac:dyDescent="0.25">
      <c r="A1030" s="123">
        <v>45685</v>
      </c>
      <c r="B1030" t="s">
        <v>373</v>
      </c>
      <c r="C1030" t="s">
        <v>374</v>
      </c>
      <c r="D1030" t="s">
        <v>225</v>
      </c>
      <c r="E1030" t="s">
        <v>403</v>
      </c>
      <c r="F1030" t="s">
        <v>181</v>
      </c>
      <c r="G1030" t="s">
        <v>1436</v>
      </c>
      <c r="H1030" s="77">
        <v>44</v>
      </c>
      <c r="I1030" s="124">
        <v>308.3</v>
      </c>
      <c r="J1030" s="124">
        <v>13565.05</v>
      </c>
      <c r="K1030" s="77">
        <v>60</v>
      </c>
      <c r="L1030" t="s">
        <v>339</v>
      </c>
      <c r="M1030" s="126">
        <v>2713.01</v>
      </c>
      <c r="N1030" s="124">
        <v>13565.05</v>
      </c>
      <c r="O1030" t="s">
        <v>346</v>
      </c>
      <c r="P1030" t="s">
        <v>294</v>
      </c>
    </row>
    <row r="1031" spans="1:16" ht="15" customHeight="1" x14ac:dyDescent="0.25">
      <c r="A1031" s="123">
        <v>45898</v>
      </c>
      <c r="B1031" t="s">
        <v>398</v>
      </c>
      <c r="C1031" t="s">
        <v>399</v>
      </c>
      <c r="D1031" t="s">
        <v>227</v>
      </c>
      <c r="E1031" t="s">
        <v>417</v>
      </c>
      <c r="F1031" t="s">
        <v>184</v>
      </c>
      <c r="G1031" t="s">
        <v>1437</v>
      </c>
      <c r="H1031" s="77">
        <v>74</v>
      </c>
      <c r="I1031" s="124">
        <v>42.73</v>
      </c>
      <c r="J1031" s="124">
        <v>3162.18</v>
      </c>
      <c r="K1031" s="77">
        <v>60</v>
      </c>
      <c r="L1031" t="s">
        <v>345</v>
      </c>
      <c r="M1031" s="126">
        <v>632.43600000000004</v>
      </c>
      <c r="N1031" s="124">
        <v>3162.18</v>
      </c>
      <c r="O1031" t="s">
        <v>346</v>
      </c>
      <c r="P1031" t="s">
        <v>294</v>
      </c>
    </row>
    <row r="1032" spans="1:16" ht="15" customHeight="1" x14ac:dyDescent="0.25">
      <c r="A1032" s="123">
        <v>45806</v>
      </c>
      <c r="B1032" t="s">
        <v>373</v>
      </c>
      <c r="C1032" t="s">
        <v>374</v>
      </c>
      <c r="D1032" t="s">
        <v>225</v>
      </c>
      <c r="E1032" t="s">
        <v>420</v>
      </c>
      <c r="F1032" t="s">
        <v>182</v>
      </c>
      <c r="G1032" t="s">
        <v>1438</v>
      </c>
      <c r="H1032" s="77">
        <v>22</v>
      </c>
      <c r="I1032" s="124">
        <v>82.46</v>
      </c>
      <c r="J1032" s="124">
        <v>1814.13</v>
      </c>
      <c r="K1032" s="77">
        <v>30</v>
      </c>
      <c r="L1032" t="s">
        <v>351</v>
      </c>
      <c r="M1032" s="126">
        <v>362.82600000000002</v>
      </c>
      <c r="N1032" s="124">
        <v>1814.13</v>
      </c>
      <c r="O1032" t="s">
        <v>346</v>
      </c>
      <c r="P1032" t="s">
        <v>294</v>
      </c>
    </row>
    <row r="1033" spans="1:16" ht="15" customHeight="1" x14ac:dyDescent="0.25">
      <c r="A1033" s="123">
        <v>45946</v>
      </c>
      <c r="B1033" t="s">
        <v>347</v>
      </c>
      <c r="C1033" t="s">
        <v>348</v>
      </c>
      <c r="D1033" t="s">
        <v>223</v>
      </c>
      <c r="E1033" t="s">
        <v>403</v>
      </c>
      <c r="F1033" t="s">
        <v>181</v>
      </c>
      <c r="G1033" t="s">
        <v>1439</v>
      </c>
      <c r="H1033" s="77">
        <v>34</v>
      </c>
      <c r="I1033" s="124">
        <v>87.87</v>
      </c>
      <c r="J1033" s="124">
        <v>2987.72</v>
      </c>
      <c r="K1033" s="77">
        <v>30</v>
      </c>
      <c r="L1033" t="s">
        <v>351</v>
      </c>
      <c r="M1033" s="126">
        <v>597.54399999999998</v>
      </c>
      <c r="N1033" s="124">
        <v>2987.72</v>
      </c>
      <c r="O1033" t="s">
        <v>346</v>
      </c>
      <c r="P1033" t="s">
        <v>294</v>
      </c>
    </row>
    <row r="1034" spans="1:16" ht="15" customHeight="1" x14ac:dyDescent="0.25">
      <c r="A1034" s="123">
        <v>45684</v>
      </c>
      <c r="B1034" t="s">
        <v>378</v>
      </c>
      <c r="C1034" t="s">
        <v>379</v>
      </c>
      <c r="D1034" t="s">
        <v>227</v>
      </c>
      <c r="E1034" t="s">
        <v>412</v>
      </c>
      <c r="F1034" t="s">
        <v>179</v>
      </c>
      <c r="G1034" t="s">
        <v>1440</v>
      </c>
      <c r="H1034" s="77">
        <v>38</v>
      </c>
      <c r="I1034" s="124">
        <v>224.2</v>
      </c>
      <c r="J1034" s="124">
        <v>8519.52</v>
      </c>
      <c r="K1034" s="77">
        <v>60</v>
      </c>
      <c r="L1034" t="s">
        <v>351</v>
      </c>
      <c r="M1034" s="126">
        <v>1703.904</v>
      </c>
      <c r="N1034" s="124">
        <v>8519.52</v>
      </c>
      <c r="O1034" t="s">
        <v>346</v>
      </c>
      <c r="P1034" t="s">
        <v>294</v>
      </c>
    </row>
    <row r="1035" spans="1:16" ht="15" customHeight="1" x14ac:dyDescent="0.25">
      <c r="A1035" s="123">
        <v>45700</v>
      </c>
      <c r="B1035" t="s">
        <v>390</v>
      </c>
      <c r="C1035" t="s">
        <v>391</v>
      </c>
      <c r="D1035" t="s">
        <v>221</v>
      </c>
      <c r="E1035" t="s">
        <v>437</v>
      </c>
      <c r="F1035" t="s">
        <v>181</v>
      </c>
      <c r="G1035" t="s">
        <v>1441</v>
      </c>
      <c r="H1035" s="77">
        <v>17</v>
      </c>
      <c r="I1035" s="124">
        <v>314.06</v>
      </c>
      <c r="J1035" s="124">
        <v>5339.03</v>
      </c>
      <c r="K1035" s="77">
        <v>60</v>
      </c>
      <c r="L1035" t="s">
        <v>339</v>
      </c>
      <c r="M1035" s="126">
        <v>1067.806</v>
      </c>
      <c r="N1035" s="124">
        <v>5339.03</v>
      </c>
      <c r="O1035" t="s">
        <v>346</v>
      </c>
      <c r="P1035" t="s">
        <v>294</v>
      </c>
    </row>
    <row r="1036" spans="1:16" ht="15" customHeight="1" x14ac:dyDescent="0.25">
      <c r="A1036" s="123">
        <v>45973</v>
      </c>
      <c r="B1036" t="s">
        <v>370</v>
      </c>
      <c r="C1036" t="s">
        <v>371</v>
      </c>
      <c r="D1036" t="s">
        <v>227</v>
      </c>
      <c r="E1036" t="s">
        <v>356</v>
      </c>
      <c r="F1036" t="s">
        <v>181</v>
      </c>
      <c r="G1036" t="s">
        <v>1442</v>
      </c>
      <c r="H1036" s="77">
        <v>36</v>
      </c>
      <c r="I1036" s="124">
        <v>168.66</v>
      </c>
      <c r="J1036" s="124">
        <v>6071.7</v>
      </c>
      <c r="K1036" s="77">
        <v>45</v>
      </c>
      <c r="L1036" t="s">
        <v>345</v>
      </c>
      <c r="M1036" s="126">
        <v>1214.3399999999999</v>
      </c>
      <c r="N1036" s="124">
        <v>6071.7</v>
      </c>
      <c r="O1036" t="s">
        <v>340</v>
      </c>
      <c r="P1036" t="s">
        <v>294</v>
      </c>
    </row>
    <row r="1037" spans="1:16" ht="15" customHeight="1" x14ac:dyDescent="0.25">
      <c r="A1037" s="123">
        <v>45747</v>
      </c>
      <c r="B1037" t="s">
        <v>370</v>
      </c>
      <c r="C1037" t="s">
        <v>371</v>
      </c>
      <c r="D1037" t="s">
        <v>227</v>
      </c>
      <c r="E1037" t="s">
        <v>343</v>
      </c>
      <c r="F1037" t="s">
        <v>178</v>
      </c>
      <c r="G1037" t="s">
        <v>1443</v>
      </c>
      <c r="H1037" s="77">
        <v>76</v>
      </c>
      <c r="I1037" s="124">
        <v>154.47999999999999</v>
      </c>
      <c r="J1037" s="124">
        <v>11740.66</v>
      </c>
      <c r="K1037" s="77">
        <v>60</v>
      </c>
      <c r="L1037" t="s">
        <v>339</v>
      </c>
      <c r="M1037" s="126">
        <v>2348.1320000000001</v>
      </c>
      <c r="N1037" s="124">
        <v>11740.66</v>
      </c>
      <c r="O1037" t="s">
        <v>346</v>
      </c>
      <c r="P1037" t="s">
        <v>294</v>
      </c>
    </row>
    <row r="1038" spans="1:16" ht="15" customHeight="1" x14ac:dyDescent="0.25">
      <c r="A1038" s="123">
        <v>45747</v>
      </c>
      <c r="B1038" t="s">
        <v>390</v>
      </c>
      <c r="C1038" t="s">
        <v>391</v>
      </c>
      <c r="D1038" t="s">
        <v>221</v>
      </c>
      <c r="E1038" t="s">
        <v>427</v>
      </c>
      <c r="F1038" t="s">
        <v>184</v>
      </c>
      <c r="G1038" t="s">
        <v>1444</v>
      </c>
      <c r="H1038" s="77">
        <v>34</v>
      </c>
      <c r="I1038" s="124">
        <v>38.22</v>
      </c>
      <c r="J1038" s="124">
        <v>1299.43</v>
      </c>
      <c r="K1038" s="77">
        <v>60</v>
      </c>
      <c r="L1038" t="s">
        <v>339</v>
      </c>
      <c r="M1038" s="126">
        <v>259.88600000000002</v>
      </c>
      <c r="N1038" s="124">
        <v>1299.43</v>
      </c>
      <c r="O1038" t="s">
        <v>346</v>
      </c>
      <c r="P1038" t="s">
        <v>294</v>
      </c>
    </row>
    <row r="1039" spans="1:16" ht="15" customHeight="1" x14ac:dyDescent="0.25">
      <c r="A1039" s="123">
        <v>45674</v>
      </c>
      <c r="B1039" t="s">
        <v>362</v>
      </c>
      <c r="C1039" t="s">
        <v>363</v>
      </c>
      <c r="D1039" t="s">
        <v>221</v>
      </c>
      <c r="E1039" t="s">
        <v>412</v>
      </c>
      <c r="F1039" t="s">
        <v>179</v>
      </c>
      <c r="G1039" t="s">
        <v>1445</v>
      </c>
      <c r="H1039" s="77">
        <v>44</v>
      </c>
      <c r="I1039" s="124">
        <v>80.44</v>
      </c>
      <c r="J1039" s="124">
        <v>3539.5</v>
      </c>
      <c r="K1039" s="77">
        <v>30</v>
      </c>
      <c r="L1039" t="s">
        <v>339</v>
      </c>
      <c r="M1039" s="126">
        <v>707.9</v>
      </c>
      <c r="N1039" s="124">
        <v>3539.5</v>
      </c>
      <c r="O1039" t="s">
        <v>346</v>
      </c>
      <c r="P1039" t="s">
        <v>294</v>
      </c>
    </row>
    <row r="1040" spans="1:16" ht="15" customHeight="1" x14ac:dyDescent="0.25">
      <c r="A1040" s="123">
        <v>45869</v>
      </c>
      <c r="B1040" t="s">
        <v>373</v>
      </c>
      <c r="C1040" t="s">
        <v>374</v>
      </c>
      <c r="D1040" t="s">
        <v>225</v>
      </c>
      <c r="E1040" t="s">
        <v>381</v>
      </c>
      <c r="F1040" t="s">
        <v>179</v>
      </c>
      <c r="G1040" t="s">
        <v>1446</v>
      </c>
      <c r="H1040" s="77">
        <v>50</v>
      </c>
      <c r="I1040" s="124">
        <v>203.65</v>
      </c>
      <c r="J1040" s="124">
        <v>10182.530000000001</v>
      </c>
      <c r="K1040" s="77">
        <v>30</v>
      </c>
      <c r="L1040" t="s">
        <v>351</v>
      </c>
      <c r="M1040" s="126">
        <v>2036.5060000000001</v>
      </c>
      <c r="N1040" s="124">
        <v>10182.530000000001</v>
      </c>
      <c r="O1040" t="s">
        <v>346</v>
      </c>
      <c r="P1040" t="s">
        <v>294</v>
      </c>
    </row>
    <row r="1041" spans="1:16" ht="15" customHeight="1" x14ac:dyDescent="0.25">
      <c r="A1041" s="123">
        <v>45953</v>
      </c>
      <c r="B1041" t="s">
        <v>370</v>
      </c>
      <c r="C1041" t="s">
        <v>371</v>
      </c>
      <c r="D1041" t="s">
        <v>227</v>
      </c>
      <c r="E1041" t="s">
        <v>442</v>
      </c>
      <c r="F1041" t="s">
        <v>179</v>
      </c>
      <c r="G1041" t="s">
        <v>1447</v>
      </c>
      <c r="H1041" s="77">
        <v>45</v>
      </c>
      <c r="I1041" s="124">
        <v>320.17</v>
      </c>
      <c r="J1041" s="124">
        <v>14407.78</v>
      </c>
      <c r="K1041" s="77">
        <v>30</v>
      </c>
      <c r="L1041" t="s">
        <v>351</v>
      </c>
      <c r="M1041" s="126">
        <v>2881.556</v>
      </c>
      <c r="N1041" s="124">
        <v>14407.78</v>
      </c>
      <c r="O1041" t="s">
        <v>340</v>
      </c>
      <c r="P1041" t="s">
        <v>294</v>
      </c>
    </row>
    <row r="1042" spans="1:16" ht="15" customHeight="1" x14ac:dyDescent="0.25">
      <c r="A1042" s="123">
        <v>45743</v>
      </c>
      <c r="B1042" t="s">
        <v>390</v>
      </c>
      <c r="C1042" t="s">
        <v>391</v>
      </c>
      <c r="D1042" t="s">
        <v>221</v>
      </c>
      <c r="E1042" t="s">
        <v>415</v>
      </c>
      <c r="F1042" t="s">
        <v>178</v>
      </c>
      <c r="G1042" t="s">
        <v>1448</v>
      </c>
      <c r="H1042" s="77">
        <v>60</v>
      </c>
      <c r="I1042" s="124">
        <v>164.11</v>
      </c>
      <c r="J1042" s="124">
        <v>9846.7000000000007</v>
      </c>
      <c r="K1042" s="77">
        <v>45</v>
      </c>
      <c r="L1042" t="s">
        <v>345</v>
      </c>
      <c r="M1042" s="126">
        <v>1969.34</v>
      </c>
      <c r="N1042" s="124">
        <v>9846.7000000000007</v>
      </c>
      <c r="O1042" t="s">
        <v>340</v>
      </c>
      <c r="P1042" t="s">
        <v>294</v>
      </c>
    </row>
    <row r="1043" spans="1:16" ht="15" customHeight="1" x14ac:dyDescent="0.25">
      <c r="A1043" s="123">
        <v>45930</v>
      </c>
      <c r="B1043" t="s">
        <v>373</v>
      </c>
      <c r="C1043" t="s">
        <v>374</v>
      </c>
      <c r="D1043" t="s">
        <v>225</v>
      </c>
      <c r="E1043" t="s">
        <v>417</v>
      </c>
      <c r="F1043" t="s">
        <v>184</v>
      </c>
      <c r="G1043" t="s">
        <v>1449</v>
      </c>
      <c r="H1043" s="77">
        <v>30</v>
      </c>
      <c r="I1043" s="124">
        <v>58.27</v>
      </c>
      <c r="J1043" s="124">
        <v>1748.13</v>
      </c>
      <c r="K1043" s="77">
        <v>45</v>
      </c>
      <c r="L1043" t="s">
        <v>351</v>
      </c>
      <c r="M1043" s="126">
        <v>349.62599999999998</v>
      </c>
      <c r="N1043" s="124">
        <v>1748.13</v>
      </c>
      <c r="O1043" t="s">
        <v>346</v>
      </c>
      <c r="P1043" t="s">
        <v>294</v>
      </c>
    </row>
    <row r="1044" spans="1:16" ht="15" customHeight="1" x14ac:dyDescent="0.25">
      <c r="A1044" s="123">
        <v>45792</v>
      </c>
      <c r="B1044" t="s">
        <v>393</v>
      </c>
      <c r="C1044" t="s">
        <v>394</v>
      </c>
      <c r="D1044" t="s">
        <v>227</v>
      </c>
      <c r="E1044" t="s">
        <v>234</v>
      </c>
      <c r="F1044" t="s">
        <v>183</v>
      </c>
      <c r="G1044" t="s">
        <v>1450</v>
      </c>
      <c r="H1044" s="77">
        <v>19</v>
      </c>
      <c r="I1044" s="124">
        <v>542.97</v>
      </c>
      <c r="J1044" s="124">
        <v>10316.459999999999</v>
      </c>
      <c r="K1044" s="77">
        <v>60</v>
      </c>
      <c r="L1044" t="s">
        <v>345</v>
      </c>
      <c r="M1044" s="126">
        <v>2063.2919999999999</v>
      </c>
      <c r="N1044" s="124">
        <v>10316.459999999999</v>
      </c>
      <c r="O1044" t="s">
        <v>346</v>
      </c>
      <c r="P1044" t="s">
        <v>294</v>
      </c>
    </row>
    <row r="1045" spans="1:16" ht="15" customHeight="1" x14ac:dyDescent="0.25">
      <c r="A1045" s="123">
        <v>45853</v>
      </c>
      <c r="B1045" t="s">
        <v>406</v>
      </c>
      <c r="C1045" t="s">
        <v>407</v>
      </c>
      <c r="D1045" t="s">
        <v>225</v>
      </c>
      <c r="E1045" t="s">
        <v>437</v>
      </c>
      <c r="F1045" t="s">
        <v>181</v>
      </c>
      <c r="G1045" t="s">
        <v>1451</v>
      </c>
      <c r="H1045" s="77">
        <v>41</v>
      </c>
      <c r="I1045" s="124">
        <v>215.39</v>
      </c>
      <c r="J1045" s="124">
        <v>8830.9699999999993</v>
      </c>
      <c r="K1045" s="77">
        <v>60</v>
      </c>
      <c r="L1045" t="s">
        <v>351</v>
      </c>
      <c r="M1045" s="126">
        <v>1766.194</v>
      </c>
      <c r="N1045" s="124">
        <v>8830.9699999999993</v>
      </c>
      <c r="O1045" t="s">
        <v>346</v>
      </c>
      <c r="P1045" t="s">
        <v>294</v>
      </c>
    </row>
    <row r="1046" spans="1:16" ht="15" customHeight="1" x14ac:dyDescent="0.25">
      <c r="A1046" s="123">
        <v>45984</v>
      </c>
      <c r="B1046" t="s">
        <v>431</v>
      </c>
      <c r="C1046" t="s">
        <v>432</v>
      </c>
      <c r="D1046" t="s">
        <v>221</v>
      </c>
      <c r="E1046" t="s">
        <v>343</v>
      </c>
      <c r="F1046" t="s">
        <v>178</v>
      </c>
      <c r="G1046" t="s">
        <v>1452</v>
      </c>
      <c r="H1046" s="77">
        <v>46</v>
      </c>
      <c r="I1046" s="124">
        <v>59.11</v>
      </c>
      <c r="J1046" s="124">
        <v>2719.17</v>
      </c>
      <c r="K1046" s="77">
        <v>45</v>
      </c>
      <c r="L1046" t="s">
        <v>351</v>
      </c>
      <c r="M1046" s="126">
        <v>543.83399999999995</v>
      </c>
      <c r="N1046" s="124">
        <v>2719.17</v>
      </c>
      <c r="O1046" t="s">
        <v>346</v>
      </c>
      <c r="P1046" t="s">
        <v>294</v>
      </c>
    </row>
    <row r="1047" spans="1:16" ht="15" customHeight="1" x14ac:dyDescent="0.25">
      <c r="A1047" s="123">
        <v>45796</v>
      </c>
      <c r="B1047" t="s">
        <v>370</v>
      </c>
      <c r="C1047" t="s">
        <v>371</v>
      </c>
      <c r="D1047" t="s">
        <v>227</v>
      </c>
      <c r="E1047" t="s">
        <v>437</v>
      </c>
      <c r="F1047" t="s">
        <v>181</v>
      </c>
      <c r="G1047" t="s">
        <v>1453</v>
      </c>
      <c r="H1047" s="77">
        <v>35</v>
      </c>
      <c r="I1047" s="124">
        <v>357.68</v>
      </c>
      <c r="J1047" s="124">
        <v>12518.82</v>
      </c>
      <c r="K1047" s="77">
        <v>30</v>
      </c>
      <c r="L1047" t="s">
        <v>345</v>
      </c>
      <c r="M1047" s="126">
        <v>2503.7640000000001</v>
      </c>
      <c r="N1047" s="124">
        <v>12518.82</v>
      </c>
      <c r="O1047" t="s">
        <v>346</v>
      </c>
      <c r="P1047" t="s">
        <v>294</v>
      </c>
    </row>
    <row r="1048" spans="1:16" ht="15" customHeight="1" x14ac:dyDescent="0.25">
      <c r="A1048" s="123">
        <v>46003</v>
      </c>
      <c r="B1048" t="s">
        <v>358</v>
      </c>
      <c r="C1048" t="s">
        <v>359</v>
      </c>
      <c r="D1048" t="s">
        <v>225</v>
      </c>
      <c r="E1048" t="s">
        <v>234</v>
      </c>
      <c r="F1048" t="s">
        <v>183</v>
      </c>
      <c r="G1048" t="s">
        <v>1454</v>
      </c>
      <c r="H1048" s="77">
        <v>31</v>
      </c>
      <c r="I1048" s="124">
        <v>429.47</v>
      </c>
      <c r="J1048" s="124">
        <v>13313.68</v>
      </c>
      <c r="K1048" s="77">
        <v>60</v>
      </c>
      <c r="L1048" t="s">
        <v>351</v>
      </c>
      <c r="M1048" s="126">
        <v>2662.7359999999999</v>
      </c>
      <c r="N1048" s="124">
        <v>13313.68</v>
      </c>
      <c r="O1048" t="s">
        <v>346</v>
      </c>
      <c r="P1048" t="s">
        <v>294</v>
      </c>
    </row>
    <row r="1049" spans="1:16" ht="15" customHeight="1" x14ac:dyDescent="0.25">
      <c r="A1049" s="123">
        <v>45830</v>
      </c>
      <c r="B1049" t="s">
        <v>383</v>
      </c>
      <c r="C1049" t="s">
        <v>384</v>
      </c>
      <c r="D1049" t="s">
        <v>225</v>
      </c>
      <c r="E1049" t="s">
        <v>352</v>
      </c>
      <c r="F1049" t="s">
        <v>180</v>
      </c>
      <c r="G1049" t="s">
        <v>1455</v>
      </c>
      <c r="H1049" s="77">
        <v>24</v>
      </c>
      <c r="I1049" s="124">
        <v>105.05</v>
      </c>
      <c r="J1049" s="124">
        <v>2521.2199999999998</v>
      </c>
      <c r="K1049" s="77">
        <v>45</v>
      </c>
      <c r="L1049" t="s">
        <v>351</v>
      </c>
      <c r="M1049" s="126">
        <v>504.24400000000003</v>
      </c>
      <c r="N1049" s="124">
        <v>2521.2199999999998</v>
      </c>
      <c r="O1049" t="s">
        <v>346</v>
      </c>
      <c r="P1049" t="s">
        <v>294</v>
      </c>
    </row>
    <row r="1050" spans="1:16" ht="15" customHeight="1" x14ac:dyDescent="0.25">
      <c r="A1050" s="123">
        <v>45664</v>
      </c>
      <c r="B1050" t="s">
        <v>373</v>
      </c>
      <c r="C1050" t="s">
        <v>374</v>
      </c>
      <c r="D1050" t="s">
        <v>225</v>
      </c>
      <c r="E1050" t="s">
        <v>349</v>
      </c>
      <c r="F1050" t="s">
        <v>177</v>
      </c>
      <c r="G1050" t="s">
        <v>1456</v>
      </c>
      <c r="H1050" s="77">
        <v>53</v>
      </c>
      <c r="I1050" s="124">
        <v>270.32</v>
      </c>
      <c r="J1050" s="124">
        <v>14326.71</v>
      </c>
      <c r="K1050" s="77">
        <v>30</v>
      </c>
      <c r="L1050" t="s">
        <v>351</v>
      </c>
      <c r="M1050" s="126">
        <v>2865.3420000000001</v>
      </c>
      <c r="N1050" s="124">
        <v>14326.71</v>
      </c>
      <c r="O1050" t="s">
        <v>340</v>
      </c>
      <c r="P1050" t="s">
        <v>294</v>
      </c>
    </row>
    <row r="1051" spans="1:16" ht="15" customHeight="1" x14ac:dyDescent="0.25">
      <c r="A1051" s="123">
        <v>45770</v>
      </c>
      <c r="B1051" t="s">
        <v>386</v>
      </c>
      <c r="C1051" t="s">
        <v>387</v>
      </c>
      <c r="D1051" t="s">
        <v>223</v>
      </c>
      <c r="E1051" t="s">
        <v>427</v>
      </c>
      <c r="F1051" t="s">
        <v>184</v>
      </c>
      <c r="G1051" t="s">
        <v>1457</v>
      </c>
      <c r="H1051" s="77">
        <v>37</v>
      </c>
      <c r="I1051" s="124">
        <v>160.22</v>
      </c>
      <c r="J1051" s="124">
        <v>5928.08</v>
      </c>
      <c r="K1051" s="77">
        <v>45</v>
      </c>
      <c r="L1051" t="s">
        <v>339</v>
      </c>
      <c r="M1051" s="126">
        <v>1185.616</v>
      </c>
      <c r="N1051" s="124">
        <v>5928.08</v>
      </c>
      <c r="O1051" t="s">
        <v>346</v>
      </c>
      <c r="P1051" t="s">
        <v>294</v>
      </c>
    </row>
    <row r="1052" spans="1:16" ht="15" customHeight="1" x14ac:dyDescent="0.25">
      <c r="A1052" s="123">
        <v>45705</v>
      </c>
      <c r="B1052" t="s">
        <v>383</v>
      </c>
      <c r="C1052" t="s">
        <v>384</v>
      </c>
      <c r="D1052" t="s">
        <v>225</v>
      </c>
      <c r="E1052" t="s">
        <v>440</v>
      </c>
      <c r="F1052" t="s">
        <v>177</v>
      </c>
      <c r="G1052" t="s">
        <v>1458</v>
      </c>
      <c r="H1052" s="77">
        <v>8</v>
      </c>
      <c r="I1052" s="124">
        <v>85.07</v>
      </c>
      <c r="J1052" s="124">
        <v>680.53</v>
      </c>
      <c r="K1052" s="77">
        <v>60</v>
      </c>
      <c r="L1052" t="s">
        <v>351</v>
      </c>
      <c r="M1052" s="126">
        <v>136.10599999999999</v>
      </c>
      <c r="N1052" s="124">
        <v>680.53</v>
      </c>
      <c r="O1052" t="s">
        <v>346</v>
      </c>
      <c r="P1052" t="s">
        <v>294</v>
      </c>
    </row>
    <row r="1053" spans="1:16" ht="15" customHeight="1" x14ac:dyDescent="0.25">
      <c r="A1053" s="123">
        <v>45719</v>
      </c>
      <c r="B1053" t="s">
        <v>488</v>
      </c>
      <c r="C1053" t="s">
        <v>489</v>
      </c>
      <c r="D1053" t="s">
        <v>225</v>
      </c>
      <c r="E1053" t="s">
        <v>343</v>
      </c>
      <c r="F1053" t="s">
        <v>178</v>
      </c>
      <c r="G1053" t="s">
        <v>1459</v>
      </c>
      <c r="H1053" s="77">
        <v>12</v>
      </c>
      <c r="I1053" s="124">
        <v>80.81</v>
      </c>
      <c r="J1053" s="124">
        <v>969.7</v>
      </c>
      <c r="K1053" s="77">
        <v>60</v>
      </c>
      <c r="L1053" t="s">
        <v>339</v>
      </c>
      <c r="M1053" s="126">
        <v>193.94</v>
      </c>
      <c r="N1053" s="124">
        <v>969.7</v>
      </c>
      <c r="O1053" t="s">
        <v>346</v>
      </c>
      <c r="P1053" t="s">
        <v>294</v>
      </c>
    </row>
    <row r="1054" spans="1:16" ht="15" customHeight="1" x14ac:dyDescent="0.25">
      <c r="A1054" s="123">
        <v>46014</v>
      </c>
      <c r="B1054" t="s">
        <v>362</v>
      </c>
      <c r="C1054" t="s">
        <v>363</v>
      </c>
      <c r="D1054" t="s">
        <v>221</v>
      </c>
      <c r="E1054" t="s">
        <v>442</v>
      </c>
      <c r="F1054" t="s">
        <v>179</v>
      </c>
      <c r="G1054" t="s">
        <v>1460</v>
      </c>
      <c r="H1054" s="77">
        <v>24</v>
      </c>
      <c r="I1054" s="124">
        <v>236.2</v>
      </c>
      <c r="J1054" s="124">
        <v>5668.77</v>
      </c>
      <c r="K1054" s="77">
        <v>45</v>
      </c>
      <c r="L1054" t="s">
        <v>345</v>
      </c>
      <c r="M1054" s="126">
        <v>1133.7539999999999</v>
      </c>
      <c r="N1054" s="124">
        <v>5668.77</v>
      </c>
      <c r="O1054" t="s">
        <v>340</v>
      </c>
      <c r="P1054" t="s">
        <v>294</v>
      </c>
    </row>
    <row r="1055" spans="1:16" ht="15" customHeight="1" x14ac:dyDescent="0.25">
      <c r="A1055" s="123">
        <v>45890</v>
      </c>
      <c r="B1055" t="s">
        <v>401</v>
      </c>
      <c r="C1055" t="s">
        <v>402</v>
      </c>
      <c r="D1055" t="s">
        <v>221</v>
      </c>
      <c r="E1055" t="s">
        <v>343</v>
      </c>
      <c r="F1055" t="s">
        <v>178</v>
      </c>
      <c r="G1055" t="s">
        <v>1461</v>
      </c>
      <c r="H1055" s="77">
        <v>36</v>
      </c>
      <c r="I1055" s="124">
        <v>75.02</v>
      </c>
      <c r="J1055" s="124">
        <v>2700.73</v>
      </c>
      <c r="K1055" s="77">
        <v>45</v>
      </c>
      <c r="L1055" t="s">
        <v>351</v>
      </c>
      <c r="M1055" s="126">
        <v>540.14599999999996</v>
      </c>
      <c r="N1055" s="124">
        <v>2700.73</v>
      </c>
      <c r="O1055" t="s">
        <v>346</v>
      </c>
      <c r="P1055" t="s">
        <v>294</v>
      </c>
    </row>
    <row r="1056" spans="1:16" ht="15" customHeight="1" x14ac:dyDescent="0.25">
      <c r="A1056" s="123">
        <v>45740</v>
      </c>
      <c r="B1056" t="s">
        <v>390</v>
      </c>
      <c r="C1056" t="s">
        <v>391</v>
      </c>
      <c r="D1056" t="s">
        <v>221</v>
      </c>
      <c r="E1056" t="s">
        <v>420</v>
      </c>
      <c r="F1056" t="s">
        <v>182</v>
      </c>
      <c r="G1056" t="s">
        <v>1462</v>
      </c>
      <c r="H1056" s="77">
        <v>10</v>
      </c>
      <c r="I1056" s="124">
        <v>70.19</v>
      </c>
      <c r="J1056" s="124">
        <v>701.9</v>
      </c>
      <c r="K1056" s="77">
        <v>45</v>
      </c>
      <c r="L1056" t="s">
        <v>339</v>
      </c>
      <c r="M1056" s="126">
        <v>140.38</v>
      </c>
      <c r="N1056" s="124">
        <v>701.9</v>
      </c>
      <c r="O1056" t="s">
        <v>346</v>
      </c>
      <c r="P1056" t="s">
        <v>294</v>
      </c>
    </row>
    <row r="1057" spans="1:16" ht="15" customHeight="1" x14ac:dyDescent="0.25">
      <c r="A1057" s="123">
        <v>45688</v>
      </c>
      <c r="B1057" t="s">
        <v>398</v>
      </c>
      <c r="C1057" t="s">
        <v>399</v>
      </c>
      <c r="D1057" t="s">
        <v>227</v>
      </c>
      <c r="E1057" t="s">
        <v>234</v>
      </c>
      <c r="F1057" t="s">
        <v>183</v>
      </c>
      <c r="G1057" t="s">
        <v>1463</v>
      </c>
      <c r="H1057" s="77">
        <v>34</v>
      </c>
      <c r="I1057" s="124">
        <v>207.35</v>
      </c>
      <c r="J1057" s="124">
        <v>7049.77</v>
      </c>
      <c r="K1057" s="77">
        <v>45</v>
      </c>
      <c r="L1057" t="s">
        <v>339</v>
      </c>
      <c r="M1057" s="126">
        <v>1409.954</v>
      </c>
      <c r="N1057" s="124">
        <v>7049.77</v>
      </c>
      <c r="O1057" t="s">
        <v>346</v>
      </c>
      <c r="P1057" t="s">
        <v>294</v>
      </c>
    </row>
    <row r="1058" spans="1:16" ht="15" customHeight="1" x14ac:dyDescent="0.25">
      <c r="A1058" s="123">
        <v>45760</v>
      </c>
      <c r="B1058" t="s">
        <v>386</v>
      </c>
      <c r="C1058" t="s">
        <v>387</v>
      </c>
      <c r="D1058" t="s">
        <v>223</v>
      </c>
      <c r="E1058" t="s">
        <v>368</v>
      </c>
      <c r="F1058" t="s">
        <v>178</v>
      </c>
      <c r="G1058" t="s">
        <v>1464</v>
      </c>
      <c r="H1058" s="77">
        <v>79</v>
      </c>
      <c r="I1058" s="124">
        <v>64.09</v>
      </c>
      <c r="J1058" s="124">
        <v>5063.33</v>
      </c>
      <c r="K1058" s="77">
        <v>45</v>
      </c>
      <c r="L1058" t="s">
        <v>339</v>
      </c>
      <c r="M1058" s="126">
        <v>1012.6660000000001</v>
      </c>
      <c r="N1058" s="124">
        <v>5063.33</v>
      </c>
      <c r="O1058" t="s">
        <v>346</v>
      </c>
      <c r="P1058" t="s">
        <v>294</v>
      </c>
    </row>
    <row r="1059" spans="1:16" ht="15" customHeight="1" x14ac:dyDescent="0.25">
      <c r="A1059" s="123">
        <v>45731</v>
      </c>
      <c r="B1059" t="s">
        <v>383</v>
      </c>
      <c r="C1059" t="s">
        <v>384</v>
      </c>
      <c r="D1059" t="s">
        <v>225</v>
      </c>
      <c r="E1059" t="s">
        <v>396</v>
      </c>
      <c r="F1059" t="s">
        <v>184</v>
      </c>
      <c r="G1059" t="s">
        <v>1465</v>
      </c>
      <c r="H1059" s="77">
        <v>70</v>
      </c>
      <c r="I1059" s="124">
        <v>142.94999999999999</v>
      </c>
      <c r="J1059" s="124">
        <v>10006.44</v>
      </c>
      <c r="K1059" s="77">
        <v>45</v>
      </c>
      <c r="L1059" t="s">
        <v>339</v>
      </c>
      <c r="M1059" s="126">
        <v>2001.288</v>
      </c>
      <c r="N1059" s="124">
        <v>10006.44</v>
      </c>
      <c r="O1059" t="s">
        <v>346</v>
      </c>
      <c r="P1059" t="s">
        <v>294</v>
      </c>
    </row>
    <row r="1060" spans="1:16" ht="15" customHeight="1" x14ac:dyDescent="0.25">
      <c r="A1060" s="123">
        <v>45790</v>
      </c>
      <c r="B1060" t="s">
        <v>370</v>
      </c>
      <c r="C1060" t="s">
        <v>371</v>
      </c>
      <c r="D1060" t="s">
        <v>227</v>
      </c>
      <c r="E1060" t="s">
        <v>368</v>
      </c>
      <c r="F1060" t="s">
        <v>178</v>
      </c>
      <c r="G1060" t="s">
        <v>1466</v>
      </c>
      <c r="H1060" s="77">
        <v>14</v>
      </c>
      <c r="I1060" s="124">
        <v>87.65</v>
      </c>
      <c r="J1060" s="124">
        <v>1227.1199999999999</v>
      </c>
      <c r="K1060" s="77">
        <v>30</v>
      </c>
      <c r="L1060" t="s">
        <v>339</v>
      </c>
      <c r="M1060" s="126">
        <v>245.42400000000001</v>
      </c>
      <c r="N1060" s="124">
        <v>1227.1199999999999</v>
      </c>
      <c r="O1060" t="s">
        <v>346</v>
      </c>
      <c r="P1060" t="s">
        <v>294</v>
      </c>
    </row>
    <row r="1061" spans="1:16" ht="15" customHeight="1" x14ac:dyDescent="0.25">
      <c r="A1061" s="123">
        <v>45667</v>
      </c>
      <c r="B1061" t="s">
        <v>378</v>
      </c>
      <c r="C1061" t="s">
        <v>379</v>
      </c>
      <c r="D1061" t="s">
        <v>227</v>
      </c>
      <c r="E1061" t="s">
        <v>437</v>
      </c>
      <c r="F1061" t="s">
        <v>181</v>
      </c>
      <c r="G1061" t="s">
        <v>1467</v>
      </c>
      <c r="H1061" s="77">
        <v>64</v>
      </c>
      <c r="I1061" s="124">
        <v>179.43</v>
      </c>
      <c r="J1061" s="124">
        <v>11483.57</v>
      </c>
      <c r="K1061" s="77">
        <v>30</v>
      </c>
      <c r="L1061" t="s">
        <v>351</v>
      </c>
      <c r="M1061" s="126">
        <v>2296.7139999999999</v>
      </c>
      <c r="N1061" s="124">
        <v>11483.57</v>
      </c>
      <c r="O1061" t="s">
        <v>346</v>
      </c>
      <c r="P1061" t="s">
        <v>294</v>
      </c>
    </row>
    <row r="1062" spans="1:16" ht="15" customHeight="1" x14ac:dyDescent="0.25">
      <c r="A1062" s="123">
        <v>45998</v>
      </c>
      <c r="B1062" t="s">
        <v>354</v>
      </c>
      <c r="C1062" t="s">
        <v>355</v>
      </c>
      <c r="D1062" t="s">
        <v>227</v>
      </c>
      <c r="E1062" t="s">
        <v>349</v>
      </c>
      <c r="F1062" t="s">
        <v>177</v>
      </c>
      <c r="G1062" t="s">
        <v>1468</v>
      </c>
      <c r="H1062" s="77">
        <v>50</v>
      </c>
      <c r="I1062" s="124">
        <v>183.45</v>
      </c>
      <c r="J1062" s="124">
        <v>9172.35</v>
      </c>
      <c r="K1062" s="77">
        <v>45</v>
      </c>
      <c r="L1062" t="s">
        <v>339</v>
      </c>
      <c r="M1062" s="126">
        <v>1834.47</v>
      </c>
      <c r="N1062" s="124">
        <v>9172.35</v>
      </c>
      <c r="O1062" t="s">
        <v>340</v>
      </c>
      <c r="P1062" t="s">
        <v>294</v>
      </c>
    </row>
    <row r="1063" spans="1:16" ht="15" customHeight="1" x14ac:dyDescent="0.25">
      <c r="A1063" s="123">
        <v>45952</v>
      </c>
      <c r="B1063" t="s">
        <v>366</v>
      </c>
      <c r="C1063" t="s">
        <v>367</v>
      </c>
      <c r="D1063" t="s">
        <v>221</v>
      </c>
      <c r="E1063" t="s">
        <v>420</v>
      </c>
      <c r="F1063" t="s">
        <v>182</v>
      </c>
      <c r="G1063" t="s">
        <v>1469</v>
      </c>
      <c r="H1063" s="77">
        <v>1</v>
      </c>
      <c r="I1063" s="124">
        <v>19.829999999999998</v>
      </c>
      <c r="J1063" s="124">
        <v>19.829999999999998</v>
      </c>
      <c r="K1063" s="77">
        <v>60</v>
      </c>
      <c r="L1063" t="s">
        <v>351</v>
      </c>
      <c r="M1063" s="126">
        <v>3.9660000000000002</v>
      </c>
      <c r="N1063" s="124">
        <v>19.829999999999998</v>
      </c>
      <c r="O1063" t="s">
        <v>346</v>
      </c>
      <c r="P1063" t="s">
        <v>294</v>
      </c>
    </row>
    <row r="1064" spans="1:16" ht="15" customHeight="1" x14ac:dyDescent="0.25">
      <c r="A1064" s="123">
        <v>45864</v>
      </c>
      <c r="B1064" t="s">
        <v>401</v>
      </c>
      <c r="C1064" t="s">
        <v>402</v>
      </c>
      <c r="D1064" t="s">
        <v>221</v>
      </c>
      <c r="E1064" t="s">
        <v>427</v>
      </c>
      <c r="F1064" t="s">
        <v>184</v>
      </c>
      <c r="G1064" t="s">
        <v>1470</v>
      </c>
      <c r="H1064" s="77">
        <v>9</v>
      </c>
      <c r="I1064" s="124">
        <v>141.08000000000001</v>
      </c>
      <c r="J1064" s="124">
        <v>1269.7</v>
      </c>
      <c r="K1064" s="77">
        <v>60</v>
      </c>
      <c r="L1064" t="s">
        <v>339</v>
      </c>
      <c r="M1064" s="126">
        <v>253.94</v>
      </c>
      <c r="N1064" s="124">
        <v>1269.7</v>
      </c>
      <c r="O1064" t="s">
        <v>346</v>
      </c>
      <c r="P1064" t="s">
        <v>294</v>
      </c>
    </row>
    <row r="1065" spans="1:16" ht="15" customHeight="1" x14ac:dyDescent="0.25">
      <c r="A1065" s="123">
        <v>45904</v>
      </c>
      <c r="B1065" t="s">
        <v>354</v>
      </c>
      <c r="C1065" t="s">
        <v>355</v>
      </c>
      <c r="D1065" t="s">
        <v>227</v>
      </c>
      <c r="E1065" t="s">
        <v>236</v>
      </c>
      <c r="F1065" t="s">
        <v>183</v>
      </c>
      <c r="G1065" t="s">
        <v>1471</v>
      </c>
      <c r="H1065" s="77">
        <v>16</v>
      </c>
      <c r="I1065" s="124">
        <v>115.23</v>
      </c>
      <c r="J1065" s="124">
        <v>1843.7</v>
      </c>
      <c r="K1065" s="77">
        <v>60</v>
      </c>
      <c r="L1065" t="s">
        <v>351</v>
      </c>
      <c r="M1065" s="126">
        <v>368.74</v>
      </c>
      <c r="N1065" s="124">
        <v>1843.7</v>
      </c>
      <c r="O1065" t="s">
        <v>346</v>
      </c>
      <c r="P1065" t="s">
        <v>294</v>
      </c>
    </row>
    <row r="1066" spans="1:16" ht="15" customHeight="1" x14ac:dyDescent="0.25">
      <c r="A1066" s="123">
        <v>45813</v>
      </c>
      <c r="B1066" t="s">
        <v>354</v>
      </c>
      <c r="C1066" t="s">
        <v>355</v>
      </c>
      <c r="D1066" t="s">
        <v>227</v>
      </c>
      <c r="E1066" t="s">
        <v>364</v>
      </c>
      <c r="F1066" t="s">
        <v>182</v>
      </c>
      <c r="G1066" t="s">
        <v>1472</v>
      </c>
      <c r="H1066" s="77">
        <v>52</v>
      </c>
      <c r="I1066" s="124">
        <v>77.83</v>
      </c>
      <c r="J1066" s="124">
        <v>4047.19</v>
      </c>
      <c r="K1066" s="77">
        <v>30</v>
      </c>
      <c r="L1066" t="s">
        <v>351</v>
      </c>
      <c r="M1066" s="126">
        <v>809.43799999999999</v>
      </c>
      <c r="N1066" s="124">
        <v>4047.19</v>
      </c>
      <c r="O1066" t="s">
        <v>346</v>
      </c>
      <c r="P1066" t="s">
        <v>294</v>
      </c>
    </row>
    <row r="1067" spans="1:16" ht="15" customHeight="1" x14ac:dyDescent="0.25">
      <c r="A1067" s="123">
        <v>45931</v>
      </c>
      <c r="B1067" t="s">
        <v>341</v>
      </c>
      <c r="C1067" t="s">
        <v>342</v>
      </c>
      <c r="D1067" t="s">
        <v>223</v>
      </c>
      <c r="E1067" t="s">
        <v>368</v>
      </c>
      <c r="F1067" t="s">
        <v>178</v>
      </c>
      <c r="G1067" t="s">
        <v>1473</v>
      </c>
      <c r="H1067" s="77">
        <v>44</v>
      </c>
      <c r="I1067" s="124">
        <v>35.11</v>
      </c>
      <c r="J1067" s="124">
        <v>1544.97</v>
      </c>
      <c r="K1067" s="77">
        <v>30</v>
      </c>
      <c r="L1067" t="s">
        <v>345</v>
      </c>
      <c r="M1067" s="126">
        <v>308.99400000000003</v>
      </c>
      <c r="N1067" s="124">
        <v>1544.97</v>
      </c>
      <c r="O1067" t="s">
        <v>346</v>
      </c>
      <c r="P1067" t="s">
        <v>294</v>
      </c>
    </row>
    <row r="1068" spans="1:16" ht="15" customHeight="1" x14ac:dyDescent="0.25">
      <c r="A1068" s="123">
        <v>45761</v>
      </c>
      <c r="B1068" t="s">
        <v>401</v>
      </c>
      <c r="C1068" t="s">
        <v>402</v>
      </c>
      <c r="D1068" t="s">
        <v>221</v>
      </c>
      <c r="E1068" t="s">
        <v>403</v>
      </c>
      <c r="F1068" t="s">
        <v>181</v>
      </c>
      <c r="G1068" t="s">
        <v>1474</v>
      </c>
      <c r="H1068" s="77">
        <v>23</v>
      </c>
      <c r="I1068" s="124">
        <v>107.94</v>
      </c>
      <c r="J1068" s="124">
        <v>2482.56</v>
      </c>
      <c r="K1068" s="77">
        <v>60</v>
      </c>
      <c r="L1068" t="s">
        <v>339</v>
      </c>
      <c r="M1068" s="126">
        <v>496.512</v>
      </c>
      <c r="N1068" s="124">
        <v>2482.56</v>
      </c>
      <c r="O1068" t="s">
        <v>346</v>
      </c>
      <c r="P1068" t="s">
        <v>294</v>
      </c>
    </row>
    <row r="1069" spans="1:16" ht="15" customHeight="1" x14ac:dyDescent="0.25">
      <c r="A1069" s="123">
        <v>46014</v>
      </c>
      <c r="B1069" t="s">
        <v>393</v>
      </c>
      <c r="C1069" t="s">
        <v>394</v>
      </c>
      <c r="D1069" t="s">
        <v>227</v>
      </c>
      <c r="E1069" t="s">
        <v>360</v>
      </c>
      <c r="F1069" t="s">
        <v>180</v>
      </c>
      <c r="G1069" t="s">
        <v>1475</v>
      </c>
      <c r="H1069" s="77">
        <v>50</v>
      </c>
      <c r="I1069" s="124">
        <v>473.39</v>
      </c>
      <c r="J1069" s="124">
        <v>23669.41</v>
      </c>
      <c r="K1069" s="77">
        <v>30</v>
      </c>
      <c r="L1069" t="s">
        <v>351</v>
      </c>
      <c r="M1069" s="126">
        <v>4733.8819999999996</v>
      </c>
      <c r="N1069" s="124">
        <v>23669.41</v>
      </c>
      <c r="O1069" t="s">
        <v>346</v>
      </c>
      <c r="P1069" t="s">
        <v>294</v>
      </c>
    </row>
    <row r="1070" spans="1:16" ht="15" customHeight="1" x14ac:dyDescent="0.25">
      <c r="A1070" s="123">
        <v>45701</v>
      </c>
      <c r="B1070" t="s">
        <v>373</v>
      </c>
      <c r="C1070" t="s">
        <v>374</v>
      </c>
      <c r="D1070" t="s">
        <v>225</v>
      </c>
      <c r="E1070" t="s">
        <v>420</v>
      </c>
      <c r="F1070" t="s">
        <v>182</v>
      </c>
      <c r="G1070" t="s">
        <v>1476</v>
      </c>
      <c r="H1070" s="77">
        <v>57</v>
      </c>
      <c r="I1070" s="124">
        <v>73.45</v>
      </c>
      <c r="J1070" s="124">
        <v>4186.8</v>
      </c>
      <c r="K1070" s="77">
        <v>60</v>
      </c>
      <c r="L1070" t="s">
        <v>339</v>
      </c>
      <c r="M1070" s="126">
        <v>837.36</v>
      </c>
      <c r="N1070" s="124">
        <v>4186.8</v>
      </c>
      <c r="O1070" t="s">
        <v>346</v>
      </c>
      <c r="P1070" t="s">
        <v>294</v>
      </c>
    </row>
    <row r="1071" spans="1:16" ht="15" customHeight="1" x14ac:dyDescent="0.25">
      <c r="A1071" s="123">
        <v>45670</v>
      </c>
      <c r="B1071" t="s">
        <v>354</v>
      </c>
      <c r="C1071" t="s">
        <v>355</v>
      </c>
      <c r="D1071" t="s">
        <v>227</v>
      </c>
      <c r="E1071" t="s">
        <v>349</v>
      </c>
      <c r="F1071" t="s">
        <v>177</v>
      </c>
      <c r="G1071" t="s">
        <v>1477</v>
      </c>
      <c r="H1071" s="77">
        <v>76</v>
      </c>
      <c r="I1071" s="124">
        <v>145.19</v>
      </c>
      <c r="J1071" s="124">
        <v>11034.72</v>
      </c>
      <c r="K1071" s="77">
        <v>30</v>
      </c>
      <c r="L1071" t="s">
        <v>345</v>
      </c>
      <c r="M1071" s="126">
        <v>2206.944</v>
      </c>
      <c r="N1071" s="124">
        <v>11034.72</v>
      </c>
      <c r="O1071" t="s">
        <v>340</v>
      </c>
      <c r="P1071" t="s">
        <v>294</v>
      </c>
    </row>
    <row r="1072" spans="1:16" ht="15" customHeight="1" x14ac:dyDescent="0.25">
      <c r="A1072" s="123">
        <v>45987</v>
      </c>
      <c r="B1072" t="s">
        <v>354</v>
      </c>
      <c r="C1072" t="s">
        <v>355</v>
      </c>
      <c r="D1072" t="s">
        <v>227</v>
      </c>
      <c r="E1072" t="s">
        <v>343</v>
      </c>
      <c r="F1072" t="s">
        <v>178</v>
      </c>
      <c r="G1072" t="s">
        <v>1478</v>
      </c>
      <c r="H1072" s="77">
        <v>40</v>
      </c>
      <c r="I1072" s="124">
        <v>63.34</v>
      </c>
      <c r="J1072" s="124">
        <v>2533.7600000000002</v>
      </c>
      <c r="K1072" s="77">
        <v>45</v>
      </c>
      <c r="L1072" t="s">
        <v>351</v>
      </c>
      <c r="M1072" s="126">
        <v>506.75200000000001</v>
      </c>
      <c r="N1072" s="124">
        <v>2533.7600000000002</v>
      </c>
      <c r="O1072" t="s">
        <v>346</v>
      </c>
      <c r="P1072" t="s">
        <v>294</v>
      </c>
    </row>
    <row r="1073" spans="1:16" ht="15" customHeight="1" x14ac:dyDescent="0.25">
      <c r="A1073" s="123">
        <v>45831</v>
      </c>
      <c r="B1073" t="s">
        <v>409</v>
      </c>
      <c r="C1073" t="s">
        <v>410</v>
      </c>
      <c r="D1073" t="s">
        <v>223</v>
      </c>
      <c r="E1073" t="s">
        <v>349</v>
      </c>
      <c r="F1073" t="s">
        <v>177</v>
      </c>
      <c r="G1073" t="s">
        <v>1479</v>
      </c>
      <c r="H1073" s="77">
        <v>8</v>
      </c>
      <c r="I1073" s="124">
        <v>156</v>
      </c>
      <c r="J1073" s="124">
        <v>1248.01</v>
      </c>
      <c r="K1073" s="77">
        <v>45</v>
      </c>
      <c r="L1073" t="s">
        <v>351</v>
      </c>
      <c r="M1073" s="126">
        <v>249.602</v>
      </c>
      <c r="N1073" s="124">
        <v>1248.01</v>
      </c>
      <c r="O1073" t="s">
        <v>340</v>
      </c>
      <c r="P1073" t="s">
        <v>294</v>
      </c>
    </row>
    <row r="1074" spans="1:16" ht="15" customHeight="1" x14ac:dyDescent="0.25">
      <c r="A1074" s="123">
        <v>45766</v>
      </c>
      <c r="B1074" t="s">
        <v>390</v>
      </c>
      <c r="C1074" t="s">
        <v>391</v>
      </c>
      <c r="D1074" t="s">
        <v>221</v>
      </c>
      <c r="E1074" t="s">
        <v>235</v>
      </c>
      <c r="F1074" t="s">
        <v>183</v>
      </c>
      <c r="G1074" t="s">
        <v>1480</v>
      </c>
      <c r="H1074" s="77">
        <v>67</v>
      </c>
      <c r="I1074" s="124">
        <v>312.95</v>
      </c>
      <c r="J1074" s="124">
        <v>20967.46</v>
      </c>
      <c r="K1074" s="77">
        <v>45</v>
      </c>
      <c r="L1074" t="s">
        <v>351</v>
      </c>
      <c r="M1074" s="126">
        <v>4193.4920000000002</v>
      </c>
      <c r="N1074" s="124">
        <v>20967.46</v>
      </c>
      <c r="O1074" t="s">
        <v>346</v>
      </c>
      <c r="P1074" t="s">
        <v>294</v>
      </c>
    </row>
    <row r="1075" spans="1:16" ht="15" customHeight="1" x14ac:dyDescent="0.25">
      <c r="A1075" s="123">
        <v>45954</v>
      </c>
      <c r="B1075" t="s">
        <v>401</v>
      </c>
      <c r="C1075" t="s">
        <v>402</v>
      </c>
      <c r="D1075" t="s">
        <v>221</v>
      </c>
      <c r="E1075" t="s">
        <v>412</v>
      </c>
      <c r="F1075" t="s">
        <v>179</v>
      </c>
      <c r="G1075" t="s">
        <v>1481</v>
      </c>
      <c r="H1075" s="77">
        <v>30</v>
      </c>
      <c r="I1075" s="124">
        <v>88.88</v>
      </c>
      <c r="J1075" s="124">
        <v>2666.46</v>
      </c>
      <c r="K1075" s="77">
        <v>30</v>
      </c>
      <c r="L1075" t="s">
        <v>339</v>
      </c>
      <c r="M1075" s="126">
        <v>533.29200000000003</v>
      </c>
      <c r="N1075" s="124">
        <v>2666.46</v>
      </c>
      <c r="O1075" t="s">
        <v>346</v>
      </c>
      <c r="P1075" t="s">
        <v>294</v>
      </c>
    </row>
    <row r="1076" spans="1:16" ht="15" customHeight="1" x14ac:dyDescent="0.25">
      <c r="A1076" s="123">
        <v>45992</v>
      </c>
      <c r="B1076" t="s">
        <v>390</v>
      </c>
      <c r="C1076" t="s">
        <v>391</v>
      </c>
      <c r="D1076" t="s">
        <v>221</v>
      </c>
      <c r="E1076" t="s">
        <v>381</v>
      </c>
      <c r="F1076" t="s">
        <v>179</v>
      </c>
      <c r="G1076" t="s">
        <v>1482</v>
      </c>
      <c r="H1076" s="77">
        <v>3</v>
      </c>
      <c r="I1076" s="124">
        <v>311.35000000000002</v>
      </c>
      <c r="J1076" s="124">
        <v>934.04</v>
      </c>
      <c r="K1076" s="77">
        <v>45</v>
      </c>
      <c r="L1076" t="s">
        <v>351</v>
      </c>
      <c r="M1076" s="126">
        <v>186.80799999999999</v>
      </c>
      <c r="N1076" s="124">
        <v>934.04</v>
      </c>
      <c r="O1076" t="s">
        <v>346</v>
      </c>
      <c r="P1076" t="s">
        <v>294</v>
      </c>
    </row>
    <row r="1077" spans="1:16" ht="15" customHeight="1" x14ac:dyDescent="0.25">
      <c r="A1077" s="123">
        <v>45990</v>
      </c>
      <c r="B1077" t="s">
        <v>347</v>
      </c>
      <c r="C1077" t="s">
        <v>348</v>
      </c>
      <c r="D1077" t="s">
        <v>223</v>
      </c>
      <c r="E1077" t="s">
        <v>352</v>
      </c>
      <c r="F1077" t="s">
        <v>180</v>
      </c>
      <c r="G1077" t="s">
        <v>1483</v>
      </c>
      <c r="H1077" s="77">
        <v>17</v>
      </c>
      <c r="I1077" s="124">
        <v>190.55</v>
      </c>
      <c r="J1077" s="124">
        <v>3239.29</v>
      </c>
      <c r="K1077" s="77">
        <v>30</v>
      </c>
      <c r="L1077" t="s">
        <v>339</v>
      </c>
      <c r="M1077" s="126">
        <v>647.85799999999995</v>
      </c>
      <c r="N1077" s="124">
        <v>3239.29</v>
      </c>
      <c r="O1077" t="s">
        <v>346</v>
      </c>
      <c r="P1077" t="s">
        <v>294</v>
      </c>
    </row>
    <row r="1078" spans="1:16" ht="15" customHeight="1" x14ac:dyDescent="0.25">
      <c r="A1078" s="123">
        <v>45707</v>
      </c>
      <c r="B1078" t="s">
        <v>431</v>
      </c>
      <c r="C1078" t="s">
        <v>432</v>
      </c>
      <c r="D1078" t="s">
        <v>221</v>
      </c>
      <c r="E1078" t="s">
        <v>496</v>
      </c>
      <c r="F1078" t="s">
        <v>177</v>
      </c>
      <c r="G1078" t="s">
        <v>1484</v>
      </c>
      <c r="H1078" s="77">
        <v>59</v>
      </c>
      <c r="I1078" s="124">
        <v>50.98</v>
      </c>
      <c r="J1078" s="124">
        <v>3007.63</v>
      </c>
      <c r="K1078" s="77">
        <v>60</v>
      </c>
      <c r="L1078" t="s">
        <v>339</v>
      </c>
      <c r="M1078" s="126">
        <v>601.52599999999995</v>
      </c>
      <c r="N1078" s="124">
        <v>3007.63</v>
      </c>
      <c r="O1078" t="s">
        <v>346</v>
      </c>
      <c r="P1078" t="s">
        <v>294</v>
      </c>
    </row>
    <row r="1079" spans="1:16" ht="15" customHeight="1" x14ac:dyDescent="0.25">
      <c r="A1079" s="123">
        <v>45716</v>
      </c>
      <c r="B1079" t="s">
        <v>354</v>
      </c>
      <c r="C1079" t="s">
        <v>355</v>
      </c>
      <c r="D1079" t="s">
        <v>227</v>
      </c>
      <c r="E1079" t="s">
        <v>415</v>
      </c>
      <c r="F1079" t="s">
        <v>178</v>
      </c>
      <c r="G1079" t="s">
        <v>1485</v>
      </c>
      <c r="H1079" s="77">
        <v>64</v>
      </c>
      <c r="I1079" s="124">
        <v>51.36</v>
      </c>
      <c r="J1079" s="124">
        <v>3287.25</v>
      </c>
      <c r="K1079" s="77">
        <v>60</v>
      </c>
      <c r="L1079" t="s">
        <v>351</v>
      </c>
      <c r="M1079" s="126">
        <v>657.45</v>
      </c>
      <c r="N1079" s="124">
        <v>3287.25</v>
      </c>
      <c r="O1079" t="s">
        <v>340</v>
      </c>
      <c r="P1079" t="s">
        <v>294</v>
      </c>
    </row>
    <row r="1080" spans="1:16" ht="15" customHeight="1" x14ac:dyDescent="0.25">
      <c r="A1080" s="123">
        <v>45876</v>
      </c>
      <c r="B1080" t="s">
        <v>386</v>
      </c>
      <c r="C1080" t="s">
        <v>387</v>
      </c>
      <c r="D1080" t="s">
        <v>223</v>
      </c>
      <c r="E1080" t="s">
        <v>415</v>
      </c>
      <c r="F1080" t="s">
        <v>178</v>
      </c>
      <c r="G1080" t="s">
        <v>1486</v>
      </c>
      <c r="H1080" s="77">
        <v>44</v>
      </c>
      <c r="I1080" s="124">
        <v>148.38</v>
      </c>
      <c r="J1080" s="124">
        <v>6528.91</v>
      </c>
      <c r="K1080" s="77">
        <v>60</v>
      </c>
      <c r="L1080" t="s">
        <v>351</v>
      </c>
      <c r="M1080" s="126">
        <v>1305.7819999999999</v>
      </c>
      <c r="N1080" s="124">
        <v>6528.91</v>
      </c>
      <c r="O1080" t="s">
        <v>340</v>
      </c>
      <c r="P1080" t="s">
        <v>294</v>
      </c>
    </row>
    <row r="1081" spans="1:16" ht="15" customHeight="1" x14ac:dyDescent="0.25">
      <c r="A1081" s="123">
        <v>46008</v>
      </c>
      <c r="B1081" t="s">
        <v>378</v>
      </c>
      <c r="C1081" t="s">
        <v>379</v>
      </c>
      <c r="D1081" t="s">
        <v>227</v>
      </c>
      <c r="E1081" t="s">
        <v>376</v>
      </c>
      <c r="F1081" t="s">
        <v>182</v>
      </c>
      <c r="G1081" t="s">
        <v>1487</v>
      </c>
      <c r="H1081" s="77">
        <v>74</v>
      </c>
      <c r="I1081" s="124">
        <v>151.63999999999999</v>
      </c>
      <c r="J1081" s="124">
        <v>11221.24</v>
      </c>
      <c r="K1081" s="77">
        <v>60</v>
      </c>
      <c r="L1081" t="s">
        <v>339</v>
      </c>
      <c r="M1081" s="126">
        <v>2244.248</v>
      </c>
      <c r="N1081" s="124">
        <v>11221.24</v>
      </c>
      <c r="O1081" t="s">
        <v>340</v>
      </c>
      <c r="P1081" t="s">
        <v>294</v>
      </c>
    </row>
    <row r="1082" spans="1:16" ht="15" customHeight="1" x14ac:dyDescent="0.25">
      <c r="A1082" s="123">
        <v>45961</v>
      </c>
      <c r="B1082" t="s">
        <v>347</v>
      </c>
      <c r="C1082" t="s">
        <v>348</v>
      </c>
      <c r="D1082" t="s">
        <v>223</v>
      </c>
      <c r="E1082" t="s">
        <v>423</v>
      </c>
      <c r="F1082" t="s">
        <v>180</v>
      </c>
      <c r="G1082" t="s">
        <v>1488</v>
      </c>
      <c r="H1082" s="77">
        <v>23</v>
      </c>
      <c r="I1082" s="124">
        <v>206.38</v>
      </c>
      <c r="J1082" s="124">
        <v>4746.66</v>
      </c>
      <c r="K1082" s="77">
        <v>45</v>
      </c>
      <c r="L1082" t="s">
        <v>339</v>
      </c>
      <c r="M1082" s="126">
        <v>949.33199999999999</v>
      </c>
      <c r="N1082" s="124">
        <v>4746.66</v>
      </c>
      <c r="O1082" t="s">
        <v>346</v>
      </c>
      <c r="P1082" t="s">
        <v>294</v>
      </c>
    </row>
    <row r="1083" spans="1:16" ht="15" customHeight="1" x14ac:dyDescent="0.25">
      <c r="A1083" s="123">
        <v>45870</v>
      </c>
      <c r="B1083" t="s">
        <v>335</v>
      </c>
      <c r="C1083" t="s">
        <v>336</v>
      </c>
      <c r="D1083" t="s">
        <v>223</v>
      </c>
      <c r="E1083" t="s">
        <v>356</v>
      </c>
      <c r="F1083" t="s">
        <v>181</v>
      </c>
      <c r="G1083" t="s">
        <v>1489</v>
      </c>
      <c r="H1083" s="77">
        <v>22</v>
      </c>
      <c r="I1083" s="124">
        <v>181.55</v>
      </c>
      <c r="J1083" s="124">
        <v>3994.12</v>
      </c>
      <c r="K1083" s="77">
        <v>60</v>
      </c>
      <c r="L1083" t="s">
        <v>345</v>
      </c>
      <c r="M1083" s="126">
        <v>798.82399999999996</v>
      </c>
      <c r="N1083" s="124">
        <v>3994.12</v>
      </c>
      <c r="O1083" t="s">
        <v>340</v>
      </c>
      <c r="P1083" t="s">
        <v>294</v>
      </c>
    </row>
    <row r="1084" spans="1:16" ht="15" customHeight="1" x14ac:dyDescent="0.25">
      <c r="A1084" s="123">
        <v>45782</v>
      </c>
      <c r="B1084" t="s">
        <v>401</v>
      </c>
      <c r="C1084" t="s">
        <v>402</v>
      </c>
      <c r="D1084" t="s">
        <v>221</v>
      </c>
      <c r="E1084" t="s">
        <v>381</v>
      </c>
      <c r="F1084" t="s">
        <v>179</v>
      </c>
      <c r="G1084" t="s">
        <v>1490</v>
      </c>
      <c r="H1084" s="77">
        <v>75</v>
      </c>
      <c r="I1084" s="124">
        <v>150.82</v>
      </c>
      <c r="J1084" s="124">
        <v>11311.17</v>
      </c>
      <c r="K1084" s="77">
        <v>30</v>
      </c>
      <c r="L1084" t="s">
        <v>339</v>
      </c>
      <c r="M1084" s="126">
        <v>2262.2339999999999</v>
      </c>
      <c r="N1084" s="124">
        <v>11311.17</v>
      </c>
      <c r="O1084" t="s">
        <v>346</v>
      </c>
      <c r="P1084" t="s">
        <v>294</v>
      </c>
    </row>
    <row r="1085" spans="1:16" ht="15" customHeight="1" x14ac:dyDescent="0.25">
      <c r="A1085" s="123">
        <v>45666</v>
      </c>
      <c r="B1085" t="s">
        <v>362</v>
      </c>
      <c r="C1085" t="s">
        <v>363</v>
      </c>
      <c r="D1085" t="s">
        <v>221</v>
      </c>
      <c r="E1085" t="s">
        <v>235</v>
      </c>
      <c r="F1085" t="s">
        <v>183</v>
      </c>
      <c r="G1085" t="s">
        <v>1491</v>
      </c>
      <c r="H1085" s="77">
        <v>63</v>
      </c>
      <c r="I1085" s="124">
        <v>940.11</v>
      </c>
      <c r="J1085" s="124">
        <v>59226.75</v>
      </c>
      <c r="K1085" s="77">
        <v>30</v>
      </c>
      <c r="L1085" t="s">
        <v>339</v>
      </c>
      <c r="M1085" s="126">
        <v>11845.35</v>
      </c>
      <c r="N1085" s="124">
        <v>59226.75</v>
      </c>
      <c r="O1085" t="s">
        <v>346</v>
      </c>
      <c r="P1085" t="s">
        <v>294</v>
      </c>
    </row>
    <row r="1086" spans="1:16" ht="15" customHeight="1" x14ac:dyDescent="0.25">
      <c r="A1086" s="123">
        <v>46019</v>
      </c>
      <c r="B1086" t="s">
        <v>335</v>
      </c>
      <c r="C1086" t="s">
        <v>336</v>
      </c>
      <c r="D1086" t="s">
        <v>223</v>
      </c>
      <c r="E1086" t="s">
        <v>442</v>
      </c>
      <c r="F1086" t="s">
        <v>179</v>
      </c>
      <c r="G1086" t="s">
        <v>1492</v>
      </c>
      <c r="H1086" s="77">
        <v>76</v>
      </c>
      <c r="I1086" s="124">
        <v>222.08</v>
      </c>
      <c r="J1086" s="124">
        <v>16877.8</v>
      </c>
      <c r="K1086" s="77">
        <v>45</v>
      </c>
      <c r="L1086" t="s">
        <v>345</v>
      </c>
      <c r="M1086" s="126">
        <v>3375.56</v>
      </c>
      <c r="N1086" s="124">
        <v>16877.8</v>
      </c>
      <c r="O1086" t="s">
        <v>340</v>
      </c>
      <c r="P1086" t="s">
        <v>294</v>
      </c>
    </row>
    <row r="1087" spans="1:16" ht="15" customHeight="1" x14ac:dyDescent="0.25">
      <c r="A1087" s="123">
        <v>45722</v>
      </c>
      <c r="B1087" t="s">
        <v>373</v>
      </c>
      <c r="C1087" t="s">
        <v>374</v>
      </c>
      <c r="D1087" t="s">
        <v>225</v>
      </c>
      <c r="E1087" t="s">
        <v>417</v>
      </c>
      <c r="F1087" t="s">
        <v>184</v>
      </c>
      <c r="G1087" t="s">
        <v>1493</v>
      </c>
      <c r="H1087" s="77">
        <v>27</v>
      </c>
      <c r="I1087" s="124">
        <v>95.01</v>
      </c>
      <c r="J1087" s="124">
        <v>2565.34</v>
      </c>
      <c r="K1087" s="77">
        <v>30</v>
      </c>
      <c r="L1087" t="s">
        <v>351</v>
      </c>
      <c r="M1087" s="126">
        <v>513.06799999999998</v>
      </c>
      <c r="N1087" s="124">
        <v>2565.34</v>
      </c>
      <c r="O1087" t="s">
        <v>346</v>
      </c>
      <c r="P1087" t="s">
        <v>294</v>
      </c>
    </row>
    <row r="1088" spans="1:16" ht="15" customHeight="1" x14ac:dyDescent="0.25">
      <c r="A1088" s="123">
        <v>45780</v>
      </c>
      <c r="B1088" t="s">
        <v>398</v>
      </c>
      <c r="C1088" t="s">
        <v>399</v>
      </c>
      <c r="D1088" t="s">
        <v>227</v>
      </c>
      <c r="E1088" t="s">
        <v>427</v>
      </c>
      <c r="F1088" t="s">
        <v>184</v>
      </c>
      <c r="G1088" t="s">
        <v>1494</v>
      </c>
      <c r="H1088" s="77">
        <v>23</v>
      </c>
      <c r="I1088" s="124">
        <v>132.18</v>
      </c>
      <c r="J1088" s="124">
        <v>3040.08</v>
      </c>
      <c r="K1088" s="77">
        <v>60</v>
      </c>
      <c r="L1088" t="s">
        <v>351</v>
      </c>
      <c r="M1088" s="126">
        <v>608.01599999999996</v>
      </c>
      <c r="N1088" s="124">
        <v>3040.08</v>
      </c>
      <c r="O1088" t="s">
        <v>346</v>
      </c>
      <c r="P1088" t="s">
        <v>294</v>
      </c>
    </row>
    <row r="1089" spans="1:16" ht="15" customHeight="1" x14ac:dyDescent="0.25">
      <c r="A1089" s="123">
        <v>45913</v>
      </c>
      <c r="B1089" t="s">
        <v>366</v>
      </c>
      <c r="C1089" t="s">
        <v>367</v>
      </c>
      <c r="D1089" t="s">
        <v>221</v>
      </c>
      <c r="E1089" t="s">
        <v>412</v>
      </c>
      <c r="F1089" t="s">
        <v>179</v>
      </c>
      <c r="G1089" t="s">
        <v>1495</v>
      </c>
      <c r="H1089" s="77">
        <v>79</v>
      </c>
      <c r="I1089" s="124">
        <v>205.26</v>
      </c>
      <c r="J1089" s="124">
        <v>16215.76</v>
      </c>
      <c r="K1089" s="77">
        <v>30</v>
      </c>
      <c r="L1089" t="s">
        <v>351</v>
      </c>
      <c r="M1089" s="126">
        <v>3243.152</v>
      </c>
      <c r="N1089" s="124">
        <v>16215.76</v>
      </c>
      <c r="O1089" t="s">
        <v>346</v>
      </c>
      <c r="P1089" t="s">
        <v>294</v>
      </c>
    </row>
    <row r="1090" spans="1:16" ht="15" customHeight="1" x14ac:dyDescent="0.25">
      <c r="A1090" s="123">
        <v>45660</v>
      </c>
      <c r="B1090" t="s">
        <v>393</v>
      </c>
      <c r="C1090" t="s">
        <v>394</v>
      </c>
      <c r="D1090" t="s">
        <v>227</v>
      </c>
      <c r="E1090" t="s">
        <v>420</v>
      </c>
      <c r="F1090" t="s">
        <v>182</v>
      </c>
      <c r="G1090" t="s">
        <v>1496</v>
      </c>
      <c r="H1090" s="77">
        <v>72</v>
      </c>
      <c r="I1090" s="124">
        <v>82.39</v>
      </c>
      <c r="J1090" s="124">
        <v>5931.72</v>
      </c>
      <c r="K1090" s="77">
        <v>30</v>
      </c>
      <c r="L1090" t="s">
        <v>339</v>
      </c>
      <c r="M1090" s="126">
        <v>1186.3440000000001</v>
      </c>
      <c r="N1090" s="124">
        <v>5931.72</v>
      </c>
      <c r="O1090" t="s">
        <v>346</v>
      </c>
      <c r="P1090" t="s">
        <v>294</v>
      </c>
    </row>
    <row r="1091" spans="1:16" ht="15" customHeight="1" x14ac:dyDescent="0.25">
      <c r="A1091" s="123">
        <v>45843</v>
      </c>
      <c r="B1091" t="s">
        <v>386</v>
      </c>
      <c r="C1091" t="s">
        <v>387</v>
      </c>
      <c r="D1091" t="s">
        <v>223</v>
      </c>
      <c r="E1091" t="s">
        <v>343</v>
      </c>
      <c r="F1091" t="s">
        <v>178</v>
      </c>
      <c r="G1091" t="s">
        <v>1497</v>
      </c>
      <c r="H1091" s="77">
        <v>70</v>
      </c>
      <c r="I1091" s="124">
        <v>58.35</v>
      </c>
      <c r="J1091" s="124">
        <v>4084.24</v>
      </c>
      <c r="K1091" s="77">
        <v>60</v>
      </c>
      <c r="L1091" t="s">
        <v>339</v>
      </c>
      <c r="M1091" s="126">
        <v>816.84799999999996</v>
      </c>
      <c r="N1091" s="124">
        <v>4084.24</v>
      </c>
      <c r="O1091" t="s">
        <v>346</v>
      </c>
      <c r="P1091" t="s">
        <v>294</v>
      </c>
    </row>
    <row r="1092" spans="1:16" ht="15" customHeight="1" x14ac:dyDescent="0.25">
      <c r="A1092" s="123">
        <v>45685</v>
      </c>
      <c r="B1092" t="s">
        <v>390</v>
      </c>
      <c r="C1092" t="s">
        <v>391</v>
      </c>
      <c r="D1092" t="s">
        <v>221</v>
      </c>
      <c r="E1092" t="s">
        <v>360</v>
      </c>
      <c r="F1092" t="s">
        <v>180</v>
      </c>
      <c r="G1092" t="s">
        <v>1498</v>
      </c>
      <c r="H1092" s="77">
        <v>25</v>
      </c>
      <c r="I1092" s="124">
        <v>240.35</v>
      </c>
      <c r="J1092" s="124">
        <v>6008.65</v>
      </c>
      <c r="K1092" s="77">
        <v>30</v>
      </c>
      <c r="L1092" t="s">
        <v>339</v>
      </c>
      <c r="M1092" s="126">
        <v>1201.73</v>
      </c>
      <c r="N1092" s="124">
        <v>6008.65</v>
      </c>
      <c r="O1092" t="s">
        <v>346</v>
      </c>
      <c r="P1092" t="s">
        <v>294</v>
      </c>
    </row>
    <row r="1093" spans="1:16" ht="15" customHeight="1" x14ac:dyDescent="0.25">
      <c r="A1093" s="123">
        <v>45748</v>
      </c>
      <c r="B1093" t="s">
        <v>341</v>
      </c>
      <c r="C1093" t="s">
        <v>342</v>
      </c>
      <c r="D1093" t="s">
        <v>223</v>
      </c>
      <c r="E1093" t="s">
        <v>427</v>
      </c>
      <c r="F1093" t="s">
        <v>184</v>
      </c>
      <c r="G1093" t="s">
        <v>1499</v>
      </c>
      <c r="H1093" s="77">
        <v>21</v>
      </c>
      <c r="I1093" s="124">
        <v>73.48</v>
      </c>
      <c r="J1093" s="124">
        <v>1543.08</v>
      </c>
      <c r="K1093" s="77">
        <v>60</v>
      </c>
      <c r="L1093" t="s">
        <v>339</v>
      </c>
      <c r="M1093" s="126">
        <v>308.61599999999999</v>
      </c>
      <c r="N1093" s="124">
        <v>1543.08</v>
      </c>
      <c r="O1093" t="s">
        <v>346</v>
      </c>
      <c r="P1093" t="s">
        <v>294</v>
      </c>
    </row>
    <row r="1094" spans="1:16" ht="15" customHeight="1" x14ac:dyDescent="0.25">
      <c r="A1094" s="123">
        <v>45765</v>
      </c>
      <c r="B1094" t="s">
        <v>386</v>
      </c>
      <c r="C1094" t="s">
        <v>387</v>
      </c>
      <c r="D1094" t="s">
        <v>223</v>
      </c>
      <c r="E1094" t="s">
        <v>420</v>
      </c>
      <c r="F1094" t="s">
        <v>182</v>
      </c>
      <c r="G1094" t="s">
        <v>1500</v>
      </c>
      <c r="H1094" s="77">
        <v>56</v>
      </c>
      <c r="I1094" s="124">
        <v>141.75</v>
      </c>
      <c r="J1094" s="124">
        <v>7938.07</v>
      </c>
      <c r="K1094" s="77">
        <v>45</v>
      </c>
      <c r="L1094" t="s">
        <v>345</v>
      </c>
      <c r="M1094" s="126">
        <v>1587.614</v>
      </c>
      <c r="N1094" s="124">
        <v>7938.07</v>
      </c>
      <c r="O1094" t="s">
        <v>346</v>
      </c>
      <c r="P1094" t="s">
        <v>294</v>
      </c>
    </row>
    <row r="1095" spans="1:16" ht="15" customHeight="1" x14ac:dyDescent="0.25">
      <c r="A1095" s="123">
        <v>45711</v>
      </c>
      <c r="B1095" t="s">
        <v>488</v>
      </c>
      <c r="C1095" t="s">
        <v>489</v>
      </c>
      <c r="D1095" t="s">
        <v>225</v>
      </c>
      <c r="E1095" t="s">
        <v>396</v>
      </c>
      <c r="F1095" t="s">
        <v>184</v>
      </c>
      <c r="G1095" t="s">
        <v>1501</v>
      </c>
      <c r="H1095" s="77">
        <v>7</v>
      </c>
      <c r="I1095" s="124">
        <v>77.17</v>
      </c>
      <c r="J1095" s="124">
        <v>540.22</v>
      </c>
      <c r="K1095" s="77">
        <v>60</v>
      </c>
      <c r="L1095" t="s">
        <v>339</v>
      </c>
      <c r="M1095" s="126">
        <v>108.044</v>
      </c>
      <c r="N1095" s="124">
        <v>540.22</v>
      </c>
      <c r="O1095" t="s">
        <v>346</v>
      </c>
      <c r="P1095" t="s">
        <v>294</v>
      </c>
    </row>
    <row r="1096" spans="1:16" ht="15" customHeight="1" x14ac:dyDescent="0.25">
      <c r="A1096" s="123">
        <v>45921</v>
      </c>
      <c r="B1096" t="s">
        <v>358</v>
      </c>
      <c r="C1096" t="s">
        <v>359</v>
      </c>
      <c r="D1096" t="s">
        <v>225</v>
      </c>
      <c r="E1096" t="s">
        <v>496</v>
      </c>
      <c r="F1096" t="s">
        <v>177</v>
      </c>
      <c r="G1096" t="s">
        <v>1502</v>
      </c>
      <c r="H1096" s="77">
        <v>15</v>
      </c>
      <c r="I1096" s="124">
        <v>179.55</v>
      </c>
      <c r="J1096" s="124">
        <v>2693.22</v>
      </c>
      <c r="K1096" s="77">
        <v>30</v>
      </c>
      <c r="L1096" t="s">
        <v>339</v>
      </c>
      <c r="M1096" s="126">
        <v>538.64400000000001</v>
      </c>
      <c r="N1096" s="124">
        <v>2693.22</v>
      </c>
      <c r="O1096" t="s">
        <v>346</v>
      </c>
      <c r="P1096" t="s">
        <v>294</v>
      </c>
    </row>
    <row r="1097" spans="1:16" ht="15" customHeight="1" x14ac:dyDescent="0.25">
      <c r="A1097" s="123">
        <v>45954</v>
      </c>
      <c r="B1097" t="s">
        <v>488</v>
      </c>
      <c r="C1097" t="s">
        <v>489</v>
      </c>
      <c r="D1097" t="s">
        <v>225</v>
      </c>
      <c r="E1097" t="s">
        <v>417</v>
      </c>
      <c r="F1097" t="s">
        <v>184</v>
      </c>
      <c r="G1097" t="s">
        <v>1503</v>
      </c>
      <c r="H1097" s="77">
        <v>42</v>
      </c>
      <c r="I1097" s="124">
        <v>71.739999999999995</v>
      </c>
      <c r="J1097" s="124">
        <v>3013.22</v>
      </c>
      <c r="K1097" s="77">
        <v>45</v>
      </c>
      <c r="L1097" t="s">
        <v>339</v>
      </c>
      <c r="M1097" s="126">
        <v>602.64400000000001</v>
      </c>
      <c r="N1097" s="124">
        <v>3013.22</v>
      </c>
      <c r="O1097" t="s">
        <v>346</v>
      </c>
      <c r="P1097" t="s">
        <v>294</v>
      </c>
    </row>
    <row r="1098" spans="1:16" ht="15" customHeight="1" x14ac:dyDescent="0.25">
      <c r="A1098" s="123">
        <v>45714</v>
      </c>
      <c r="B1098" t="s">
        <v>401</v>
      </c>
      <c r="C1098" t="s">
        <v>402</v>
      </c>
      <c r="D1098" t="s">
        <v>221</v>
      </c>
      <c r="E1098" t="s">
        <v>1504</v>
      </c>
      <c r="F1098" t="s">
        <v>182</v>
      </c>
      <c r="G1098" t="s">
        <v>1505</v>
      </c>
      <c r="H1098" s="77">
        <v>42</v>
      </c>
      <c r="I1098" s="124">
        <v>99.2</v>
      </c>
      <c r="J1098" s="124">
        <v>4166.3500000000004</v>
      </c>
      <c r="K1098" s="77">
        <v>30</v>
      </c>
      <c r="L1098" t="s">
        <v>339</v>
      </c>
      <c r="M1098" s="126">
        <v>833.27</v>
      </c>
      <c r="N1098" s="124">
        <v>4166.3500000000004</v>
      </c>
      <c r="O1098" t="s">
        <v>340</v>
      </c>
      <c r="P1098" t="s">
        <v>294</v>
      </c>
    </row>
    <row r="1099" spans="1:16" ht="15" customHeight="1" x14ac:dyDescent="0.25">
      <c r="A1099" s="123">
        <v>45850</v>
      </c>
      <c r="B1099" t="s">
        <v>373</v>
      </c>
      <c r="C1099" t="s">
        <v>374</v>
      </c>
      <c r="D1099" t="s">
        <v>225</v>
      </c>
      <c r="E1099" t="s">
        <v>235</v>
      </c>
      <c r="F1099" t="s">
        <v>183</v>
      </c>
      <c r="G1099" t="s">
        <v>1506</v>
      </c>
      <c r="H1099" s="77">
        <v>29</v>
      </c>
      <c r="I1099" s="124">
        <v>99.96</v>
      </c>
      <c r="J1099" s="124">
        <v>2898.85</v>
      </c>
      <c r="K1099" s="77">
        <v>30</v>
      </c>
      <c r="L1099" t="s">
        <v>345</v>
      </c>
      <c r="M1099" s="126">
        <v>579.77</v>
      </c>
      <c r="N1099" s="124">
        <v>2898.85</v>
      </c>
      <c r="O1099" t="s">
        <v>346</v>
      </c>
      <c r="P1099" t="s">
        <v>294</v>
      </c>
    </row>
    <row r="1100" spans="1:16" ht="15" customHeight="1" x14ac:dyDescent="0.25">
      <c r="A1100" s="123">
        <v>45881</v>
      </c>
      <c r="B1100" t="s">
        <v>398</v>
      </c>
      <c r="C1100" t="s">
        <v>399</v>
      </c>
      <c r="D1100" t="s">
        <v>227</v>
      </c>
      <c r="E1100" t="s">
        <v>396</v>
      </c>
      <c r="F1100" t="s">
        <v>184</v>
      </c>
      <c r="G1100" t="s">
        <v>1507</v>
      </c>
      <c r="H1100" s="77">
        <v>19</v>
      </c>
      <c r="I1100" s="124">
        <v>124.15</v>
      </c>
      <c r="J1100" s="124">
        <v>2358.8000000000002</v>
      </c>
      <c r="K1100" s="77">
        <v>30</v>
      </c>
      <c r="L1100" t="s">
        <v>351</v>
      </c>
      <c r="M1100" s="126">
        <v>471.76</v>
      </c>
      <c r="N1100" s="124">
        <v>2358.8000000000002</v>
      </c>
      <c r="O1100" t="s">
        <v>346</v>
      </c>
      <c r="P1100" t="s">
        <v>294</v>
      </c>
    </row>
    <row r="1101" spans="1:16" ht="15" customHeight="1" x14ac:dyDescent="0.25">
      <c r="A1101" s="123">
        <v>45849</v>
      </c>
      <c r="B1101" t="s">
        <v>390</v>
      </c>
      <c r="C1101" t="s">
        <v>391</v>
      </c>
      <c r="D1101" t="s">
        <v>221</v>
      </c>
      <c r="E1101" t="s">
        <v>381</v>
      </c>
      <c r="F1101" t="s">
        <v>179</v>
      </c>
      <c r="G1101" t="s">
        <v>1508</v>
      </c>
      <c r="H1101" s="77">
        <v>18</v>
      </c>
      <c r="I1101" s="124">
        <v>217.79</v>
      </c>
      <c r="J1101" s="124">
        <v>3920.2</v>
      </c>
      <c r="K1101" s="77">
        <v>45</v>
      </c>
      <c r="L1101" t="s">
        <v>351</v>
      </c>
      <c r="M1101" s="126">
        <v>784.04</v>
      </c>
      <c r="N1101" s="124">
        <v>3920.2</v>
      </c>
      <c r="O1101" t="s">
        <v>346</v>
      </c>
      <c r="P1101" t="s">
        <v>294</v>
      </c>
    </row>
    <row r="1102" spans="1:16" ht="15" customHeight="1" x14ac:dyDescent="0.25">
      <c r="A1102" s="123">
        <v>45761</v>
      </c>
      <c r="B1102" t="s">
        <v>393</v>
      </c>
      <c r="C1102" t="s">
        <v>394</v>
      </c>
      <c r="D1102" t="s">
        <v>227</v>
      </c>
      <c r="E1102" t="s">
        <v>420</v>
      </c>
      <c r="F1102" t="s">
        <v>182</v>
      </c>
      <c r="G1102" t="s">
        <v>1509</v>
      </c>
      <c r="H1102" s="77">
        <v>43</v>
      </c>
      <c r="I1102" s="124">
        <v>164.48</v>
      </c>
      <c r="K1102" s="77">
        <v>30</v>
      </c>
      <c r="L1102" t="s">
        <v>339</v>
      </c>
      <c r="M1102" s="126">
        <v>0</v>
      </c>
      <c r="N1102" s="124">
        <v>0</v>
      </c>
      <c r="O1102" t="s">
        <v>346</v>
      </c>
      <c r="P1102" t="s">
        <v>286</v>
      </c>
    </row>
    <row r="1103" spans="1:16" ht="15" customHeight="1" x14ac:dyDescent="0.25">
      <c r="A1103" s="123">
        <v>45727</v>
      </c>
      <c r="B1103" t="s">
        <v>335</v>
      </c>
      <c r="C1103" t="s">
        <v>336</v>
      </c>
      <c r="D1103" t="s">
        <v>223</v>
      </c>
      <c r="E1103" t="s">
        <v>496</v>
      </c>
      <c r="F1103" t="s">
        <v>177</v>
      </c>
      <c r="G1103" t="s">
        <v>1510</v>
      </c>
      <c r="H1103" s="77">
        <v>15</v>
      </c>
      <c r="I1103" s="124">
        <v>24.4</v>
      </c>
      <c r="J1103" s="124">
        <v>365.99</v>
      </c>
      <c r="K1103" s="77">
        <v>45</v>
      </c>
      <c r="L1103" t="s">
        <v>345</v>
      </c>
      <c r="M1103" s="126">
        <v>73.197999999999993</v>
      </c>
      <c r="N1103" s="124">
        <v>365.99</v>
      </c>
      <c r="O1103" t="s">
        <v>346</v>
      </c>
      <c r="P1103" t="s">
        <v>294</v>
      </c>
    </row>
    <row r="1104" spans="1:16" ht="15" customHeight="1" x14ac:dyDescent="0.25">
      <c r="A1104" s="123">
        <v>45770</v>
      </c>
      <c r="B1104" t="s">
        <v>354</v>
      </c>
      <c r="C1104" t="s">
        <v>355</v>
      </c>
      <c r="D1104" t="s">
        <v>227</v>
      </c>
      <c r="E1104" t="s">
        <v>381</v>
      </c>
      <c r="F1104" t="s">
        <v>179</v>
      </c>
      <c r="G1104" t="s">
        <v>1511</v>
      </c>
      <c r="H1104" s="77">
        <v>38</v>
      </c>
      <c r="I1104" s="124">
        <v>567.67999999999995</v>
      </c>
      <c r="J1104" s="124">
        <v>21571.95</v>
      </c>
      <c r="K1104" s="77">
        <v>60</v>
      </c>
      <c r="L1104" t="s">
        <v>339</v>
      </c>
      <c r="M1104" s="126">
        <v>4314.3900000000003</v>
      </c>
      <c r="N1104" s="124">
        <v>21571.95</v>
      </c>
      <c r="O1104" t="s">
        <v>346</v>
      </c>
      <c r="P1104" t="s">
        <v>294</v>
      </c>
    </row>
    <row r="1105" spans="1:16" ht="15" customHeight="1" x14ac:dyDescent="0.25">
      <c r="A1105" s="123">
        <v>45941</v>
      </c>
      <c r="B1105" t="s">
        <v>406</v>
      </c>
      <c r="C1105" t="s">
        <v>407</v>
      </c>
      <c r="D1105" t="s">
        <v>225</v>
      </c>
      <c r="E1105" t="s">
        <v>412</v>
      </c>
      <c r="F1105" t="s">
        <v>179</v>
      </c>
      <c r="G1105" t="s">
        <v>1512</v>
      </c>
      <c r="H1105" s="77">
        <v>30</v>
      </c>
      <c r="I1105" s="124">
        <v>166.7</v>
      </c>
      <c r="J1105" s="124">
        <v>5000.93</v>
      </c>
      <c r="K1105" s="77">
        <v>30</v>
      </c>
      <c r="L1105" t="s">
        <v>345</v>
      </c>
      <c r="M1105" s="126">
        <v>1000.186</v>
      </c>
      <c r="N1105" s="124">
        <v>5000.93</v>
      </c>
      <c r="O1105" t="s">
        <v>346</v>
      </c>
      <c r="P1105" t="s">
        <v>294</v>
      </c>
    </row>
    <row r="1106" spans="1:16" ht="15" customHeight="1" x14ac:dyDescent="0.25">
      <c r="A1106" s="123">
        <v>45960</v>
      </c>
      <c r="B1106" t="s">
        <v>373</v>
      </c>
      <c r="C1106" t="s">
        <v>374</v>
      </c>
      <c r="D1106" t="s">
        <v>225</v>
      </c>
      <c r="E1106" t="s">
        <v>396</v>
      </c>
      <c r="F1106" t="s">
        <v>184</v>
      </c>
      <c r="G1106" t="s">
        <v>1513</v>
      </c>
      <c r="H1106" s="77">
        <v>61</v>
      </c>
      <c r="I1106" s="124">
        <v>137.96</v>
      </c>
      <c r="J1106" s="124">
        <v>8415.77</v>
      </c>
      <c r="K1106" s="77">
        <v>45</v>
      </c>
      <c r="L1106" t="s">
        <v>345</v>
      </c>
      <c r="M1106" s="126">
        <v>1683.154</v>
      </c>
      <c r="N1106" s="124">
        <v>8415.77</v>
      </c>
      <c r="O1106" t="s">
        <v>346</v>
      </c>
      <c r="P1106" t="s">
        <v>294</v>
      </c>
    </row>
    <row r="1107" spans="1:16" ht="15" customHeight="1" x14ac:dyDescent="0.25">
      <c r="A1107" s="123">
        <v>45784</v>
      </c>
      <c r="B1107" t="s">
        <v>366</v>
      </c>
      <c r="C1107" t="s">
        <v>367</v>
      </c>
      <c r="D1107" t="s">
        <v>221</v>
      </c>
      <c r="E1107" t="s">
        <v>236</v>
      </c>
      <c r="F1107" t="s">
        <v>183</v>
      </c>
      <c r="G1107" t="s">
        <v>1514</v>
      </c>
      <c r="H1107" s="77">
        <v>32</v>
      </c>
      <c r="I1107" s="124">
        <v>169.33</v>
      </c>
      <c r="J1107" s="124">
        <v>5418.48</v>
      </c>
      <c r="K1107" s="77">
        <v>45</v>
      </c>
      <c r="L1107" t="s">
        <v>345</v>
      </c>
      <c r="M1107" s="126">
        <v>1083.6959999999999</v>
      </c>
      <c r="N1107" s="124">
        <v>5418.48</v>
      </c>
      <c r="O1107" t="s">
        <v>346</v>
      </c>
      <c r="P1107" t="s">
        <v>294</v>
      </c>
    </row>
    <row r="1108" spans="1:16" ht="15" customHeight="1" x14ac:dyDescent="0.25">
      <c r="A1108" s="123">
        <v>45734</v>
      </c>
      <c r="B1108" t="s">
        <v>431</v>
      </c>
      <c r="C1108" t="s">
        <v>432</v>
      </c>
      <c r="D1108" t="s">
        <v>221</v>
      </c>
      <c r="E1108" t="s">
        <v>352</v>
      </c>
      <c r="F1108" t="s">
        <v>180</v>
      </c>
      <c r="G1108" t="s">
        <v>1515</v>
      </c>
      <c r="H1108" s="77">
        <v>74</v>
      </c>
      <c r="I1108" s="124">
        <v>350.19</v>
      </c>
      <c r="J1108" s="124">
        <v>25914.34</v>
      </c>
      <c r="K1108" s="77">
        <v>30</v>
      </c>
      <c r="L1108" t="s">
        <v>345</v>
      </c>
      <c r="M1108" s="126">
        <v>5182.8680000000004</v>
      </c>
      <c r="N1108" s="124">
        <v>25914.34</v>
      </c>
      <c r="O1108" t="s">
        <v>346</v>
      </c>
      <c r="P1108" t="s">
        <v>294</v>
      </c>
    </row>
    <row r="1109" spans="1:16" ht="15" customHeight="1" x14ac:dyDescent="0.25">
      <c r="A1109" s="123">
        <v>45916</v>
      </c>
      <c r="B1109" t="s">
        <v>347</v>
      </c>
      <c r="C1109" t="s">
        <v>348</v>
      </c>
      <c r="D1109" t="s">
        <v>223</v>
      </c>
      <c r="E1109" t="s">
        <v>496</v>
      </c>
      <c r="F1109" t="s">
        <v>177</v>
      </c>
      <c r="G1109" t="s">
        <v>1516</v>
      </c>
      <c r="H1109" s="77">
        <v>5</v>
      </c>
      <c r="I1109" s="124">
        <v>67.23</v>
      </c>
      <c r="J1109" s="124">
        <v>336.15</v>
      </c>
      <c r="K1109" s="77">
        <v>45</v>
      </c>
      <c r="L1109" t="s">
        <v>351</v>
      </c>
      <c r="M1109" s="126">
        <v>67.23</v>
      </c>
      <c r="N1109" s="124">
        <v>336.15</v>
      </c>
      <c r="O1109" t="s">
        <v>346</v>
      </c>
      <c r="P1109" t="s">
        <v>294</v>
      </c>
    </row>
    <row r="1110" spans="1:16" ht="15" customHeight="1" x14ac:dyDescent="0.25">
      <c r="A1110" s="123">
        <v>45708</v>
      </c>
      <c r="B1110" t="s">
        <v>390</v>
      </c>
      <c r="C1110" t="s">
        <v>391</v>
      </c>
      <c r="D1110" t="s">
        <v>221</v>
      </c>
      <c r="E1110" t="s">
        <v>417</v>
      </c>
      <c r="F1110" t="s">
        <v>184</v>
      </c>
      <c r="G1110" t="s">
        <v>1517</v>
      </c>
      <c r="H1110" s="77">
        <v>58</v>
      </c>
      <c r="I1110" s="124">
        <v>53.22</v>
      </c>
      <c r="J1110" s="124">
        <v>3086.7</v>
      </c>
      <c r="K1110" s="77">
        <v>45</v>
      </c>
      <c r="L1110" t="s">
        <v>339</v>
      </c>
      <c r="M1110" s="126">
        <v>617.34</v>
      </c>
      <c r="N1110" s="124">
        <v>3086.7</v>
      </c>
      <c r="O1110" t="s">
        <v>346</v>
      </c>
      <c r="P1110" t="s">
        <v>294</v>
      </c>
    </row>
    <row r="1111" spans="1:16" ht="15" customHeight="1" x14ac:dyDescent="0.25">
      <c r="A1111" s="123">
        <v>45866</v>
      </c>
      <c r="B1111" t="s">
        <v>386</v>
      </c>
      <c r="C1111" t="s">
        <v>387</v>
      </c>
      <c r="D1111" t="s">
        <v>223</v>
      </c>
      <c r="E1111" t="s">
        <v>440</v>
      </c>
      <c r="F1111" t="s">
        <v>177</v>
      </c>
      <c r="G1111" t="s">
        <v>1518</v>
      </c>
      <c r="H1111" s="77">
        <v>28</v>
      </c>
      <c r="I1111" s="124">
        <v>343.85</v>
      </c>
      <c r="J1111" s="124">
        <v>9627.83</v>
      </c>
      <c r="K1111" s="77">
        <v>30</v>
      </c>
      <c r="L1111" t="s">
        <v>345</v>
      </c>
      <c r="M1111" s="126">
        <v>1925.566</v>
      </c>
      <c r="N1111" s="124">
        <v>9627.83</v>
      </c>
      <c r="O1111" t="s">
        <v>346</v>
      </c>
      <c r="P1111" t="s">
        <v>294</v>
      </c>
    </row>
    <row r="1112" spans="1:16" ht="15" customHeight="1" x14ac:dyDescent="0.25">
      <c r="A1112" s="123">
        <v>45704</v>
      </c>
      <c r="B1112" t="s">
        <v>401</v>
      </c>
      <c r="C1112" t="s">
        <v>402</v>
      </c>
      <c r="D1112" t="s">
        <v>221</v>
      </c>
      <c r="E1112" t="s">
        <v>352</v>
      </c>
      <c r="F1112" t="s">
        <v>180</v>
      </c>
      <c r="G1112" t="s">
        <v>1519</v>
      </c>
      <c r="H1112" s="77">
        <v>3</v>
      </c>
      <c r="I1112" s="124">
        <v>225.11</v>
      </c>
      <c r="J1112" s="124">
        <v>675.33</v>
      </c>
      <c r="K1112" s="77">
        <v>45</v>
      </c>
      <c r="L1112" t="s">
        <v>351</v>
      </c>
      <c r="M1112" s="126">
        <v>135.066</v>
      </c>
      <c r="N1112" s="124">
        <v>675.33</v>
      </c>
      <c r="O1112" t="s">
        <v>346</v>
      </c>
      <c r="P1112" t="s">
        <v>294</v>
      </c>
    </row>
    <row r="1113" spans="1:16" ht="15" customHeight="1" x14ac:dyDescent="0.25">
      <c r="A1113" s="123">
        <v>45893</v>
      </c>
      <c r="B1113" t="s">
        <v>431</v>
      </c>
      <c r="C1113" t="s">
        <v>432</v>
      </c>
      <c r="D1113" t="s">
        <v>221</v>
      </c>
      <c r="E1113" t="s">
        <v>412</v>
      </c>
      <c r="F1113" t="s">
        <v>179</v>
      </c>
      <c r="G1113" t="s">
        <v>1520</v>
      </c>
      <c r="H1113" s="77">
        <v>74</v>
      </c>
      <c r="I1113" s="124">
        <v>202.87</v>
      </c>
      <c r="J1113" s="124">
        <v>15012.07</v>
      </c>
      <c r="K1113" s="77">
        <v>60</v>
      </c>
      <c r="L1113" t="s">
        <v>351</v>
      </c>
      <c r="M1113" s="126">
        <v>3002.4140000000002</v>
      </c>
      <c r="N1113" s="124">
        <v>15012.07</v>
      </c>
      <c r="O1113" t="s">
        <v>346</v>
      </c>
      <c r="P1113" t="s">
        <v>294</v>
      </c>
    </row>
    <row r="1114" spans="1:16" ht="15" customHeight="1" x14ac:dyDescent="0.25">
      <c r="A1114" s="123">
        <v>45728</v>
      </c>
      <c r="B1114" t="s">
        <v>431</v>
      </c>
      <c r="C1114" t="s">
        <v>432</v>
      </c>
      <c r="D1114" t="s">
        <v>221</v>
      </c>
      <c r="E1114" t="s">
        <v>427</v>
      </c>
      <c r="F1114" t="s">
        <v>184</v>
      </c>
      <c r="G1114" t="s">
        <v>1521</v>
      </c>
      <c r="H1114" s="77">
        <v>52</v>
      </c>
      <c r="I1114" s="124">
        <v>121.03</v>
      </c>
      <c r="J1114" s="124">
        <v>6293.48</v>
      </c>
      <c r="K1114" s="77">
        <v>30</v>
      </c>
      <c r="L1114" t="s">
        <v>345</v>
      </c>
      <c r="M1114" s="126">
        <v>1258.6959999999999</v>
      </c>
      <c r="N1114" s="124">
        <v>6293.48</v>
      </c>
      <c r="O1114" t="s">
        <v>346</v>
      </c>
      <c r="P1114" t="s">
        <v>294</v>
      </c>
    </row>
    <row r="1115" spans="1:16" ht="15" customHeight="1" x14ac:dyDescent="0.25">
      <c r="A1115" s="123">
        <v>45982</v>
      </c>
      <c r="B1115" t="s">
        <v>390</v>
      </c>
      <c r="C1115" t="s">
        <v>391</v>
      </c>
      <c r="D1115" t="s">
        <v>221</v>
      </c>
      <c r="E1115" t="s">
        <v>417</v>
      </c>
      <c r="F1115" t="s">
        <v>184</v>
      </c>
      <c r="G1115" t="s">
        <v>1522</v>
      </c>
      <c r="H1115" s="77">
        <v>1</v>
      </c>
      <c r="I1115" s="124">
        <v>98.51</v>
      </c>
      <c r="J1115" s="124">
        <v>98.51</v>
      </c>
      <c r="K1115" s="77">
        <v>60</v>
      </c>
      <c r="L1115" t="s">
        <v>339</v>
      </c>
      <c r="M1115" s="126">
        <v>19.702000000000002</v>
      </c>
      <c r="N1115" s="124">
        <v>98.51</v>
      </c>
      <c r="O1115" t="s">
        <v>346</v>
      </c>
      <c r="P1115" t="s">
        <v>294</v>
      </c>
    </row>
    <row r="1116" spans="1:16" ht="15" customHeight="1" x14ac:dyDescent="0.25">
      <c r="A1116" s="123">
        <v>45674</v>
      </c>
      <c r="B1116" t="s">
        <v>398</v>
      </c>
      <c r="C1116" t="s">
        <v>399</v>
      </c>
      <c r="D1116" t="s">
        <v>227</v>
      </c>
      <c r="E1116" t="s">
        <v>364</v>
      </c>
      <c r="F1116" t="s">
        <v>182</v>
      </c>
      <c r="G1116" t="s">
        <v>1523</v>
      </c>
      <c r="H1116" s="77">
        <v>38</v>
      </c>
      <c r="I1116" s="124">
        <v>103.19</v>
      </c>
      <c r="J1116" s="124">
        <v>3921.36</v>
      </c>
      <c r="K1116" s="77">
        <v>45</v>
      </c>
      <c r="L1116" t="s">
        <v>345</v>
      </c>
      <c r="M1116" s="126">
        <v>784.27200000000005</v>
      </c>
      <c r="N1116" s="124">
        <v>3921.36</v>
      </c>
      <c r="O1116" t="s">
        <v>346</v>
      </c>
      <c r="P1116" t="s">
        <v>294</v>
      </c>
    </row>
    <row r="1117" spans="1:16" ht="15" customHeight="1" x14ac:dyDescent="0.25">
      <c r="A1117" s="123">
        <v>45699</v>
      </c>
      <c r="B1117" t="s">
        <v>383</v>
      </c>
      <c r="C1117" t="s">
        <v>384</v>
      </c>
      <c r="D1117" t="s">
        <v>225</v>
      </c>
      <c r="E1117" t="s">
        <v>352</v>
      </c>
      <c r="F1117" t="s">
        <v>180</v>
      </c>
      <c r="G1117" t="s">
        <v>1524</v>
      </c>
      <c r="H1117" s="77">
        <v>80</v>
      </c>
      <c r="I1117" s="124">
        <v>305.57</v>
      </c>
      <c r="J1117" s="124">
        <v>24445.86</v>
      </c>
      <c r="K1117" s="77">
        <v>45</v>
      </c>
      <c r="L1117" t="s">
        <v>351</v>
      </c>
      <c r="M1117" s="126">
        <v>4889.1719999999996</v>
      </c>
      <c r="N1117" s="124">
        <v>24445.86</v>
      </c>
      <c r="O1117" t="s">
        <v>346</v>
      </c>
      <c r="P1117" t="s">
        <v>294</v>
      </c>
    </row>
    <row r="1118" spans="1:16" ht="15" customHeight="1" x14ac:dyDescent="0.25">
      <c r="A1118" s="123">
        <v>45714</v>
      </c>
      <c r="B1118" t="s">
        <v>386</v>
      </c>
      <c r="C1118" t="s">
        <v>387</v>
      </c>
      <c r="D1118" t="s">
        <v>223</v>
      </c>
      <c r="E1118" t="s">
        <v>376</v>
      </c>
      <c r="F1118" t="s">
        <v>182</v>
      </c>
      <c r="G1118" t="s">
        <v>1525</v>
      </c>
      <c r="H1118" s="77">
        <v>50</v>
      </c>
      <c r="I1118" s="124">
        <v>356.29</v>
      </c>
      <c r="J1118" s="124">
        <v>17814.689999999999</v>
      </c>
      <c r="K1118" s="77">
        <v>45</v>
      </c>
      <c r="L1118" t="s">
        <v>345</v>
      </c>
      <c r="M1118" s="126">
        <v>3562.9380000000001</v>
      </c>
      <c r="N1118" s="124">
        <v>17814.689999999999</v>
      </c>
      <c r="O1118" t="s">
        <v>340</v>
      </c>
      <c r="P1118" t="s">
        <v>294</v>
      </c>
    </row>
    <row r="1119" spans="1:16" ht="15" customHeight="1" x14ac:dyDescent="0.25">
      <c r="A1119" s="123">
        <v>45845</v>
      </c>
      <c r="B1119" t="s">
        <v>354</v>
      </c>
      <c r="C1119" t="s">
        <v>355</v>
      </c>
      <c r="D1119" t="s">
        <v>227</v>
      </c>
      <c r="E1119" t="s">
        <v>496</v>
      </c>
      <c r="F1119" t="s">
        <v>177</v>
      </c>
      <c r="G1119" t="s">
        <v>1526</v>
      </c>
      <c r="H1119" s="77">
        <v>23</v>
      </c>
      <c r="I1119" s="124">
        <v>116.26</v>
      </c>
      <c r="J1119" s="124">
        <v>2673.91</v>
      </c>
      <c r="K1119" s="77">
        <v>60</v>
      </c>
      <c r="L1119" t="s">
        <v>351</v>
      </c>
      <c r="M1119" s="126">
        <v>534.78200000000004</v>
      </c>
      <c r="N1119" s="124">
        <v>2673.91</v>
      </c>
      <c r="O1119" t="s">
        <v>346</v>
      </c>
      <c r="P1119" t="s">
        <v>294</v>
      </c>
    </row>
    <row r="1120" spans="1:16" ht="15" customHeight="1" x14ac:dyDescent="0.25">
      <c r="A1120" s="123">
        <v>46021</v>
      </c>
      <c r="B1120" t="s">
        <v>335</v>
      </c>
      <c r="C1120" t="s">
        <v>336</v>
      </c>
      <c r="D1120" t="s">
        <v>223</v>
      </c>
      <c r="E1120" t="s">
        <v>343</v>
      </c>
      <c r="F1120" t="s">
        <v>178</v>
      </c>
      <c r="G1120" t="s">
        <v>1527</v>
      </c>
      <c r="H1120" s="77">
        <v>27</v>
      </c>
      <c r="I1120" s="124">
        <v>72.599999999999994</v>
      </c>
      <c r="J1120" s="124">
        <v>1960.25</v>
      </c>
      <c r="K1120" s="77">
        <v>30</v>
      </c>
      <c r="L1120" t="s">
        <v>345</v>
      </c>
      <c r="M1120" s="126">
        <v>392.05</v>
      </c>
      <c r="N1120" s="124">
        <v>1960.25</v>
      </c>
      <c r="O1120" t="s">
        <v>346</v>
      </c>
      <c r="P1120" t="s">
        <v>294</v>
      </c>
    </row>
    <row r="1121" spans="1:16" ht="15" customHeight="1" x14ac:dyDescent="0.25">
      <c r="A1121" s="123">
        <v>45902</v>
      </c>
      <c r="B1121" t="s">
        <v>409</v>
      </c>
      <c r="C1121" t="s">
        <v>410</v>
      </c>
      <c r="D1121" t="s">
        <v>223</v>
      </c>
      <c r="E1121" t="s">
        <v>343</v>
      </c>
      <c r="F1121" t="s">
        <v>178</v>
      </c>
      <c r="G1121" t="s">
        <v>1528</v>
      </c>
      <c r="H1121" s="77">
        <v>75</v>
      </c>
      <c r="I1121" s="124">
        <v>115.84</v>
      </c>
      <c r="J1121" s="124">
        <v>8688.32</v>
      </c>
      <c r="K1121" s="77">
        <v>60</v>
      </c>
      <c r="L1121" t="s">
        <v>339</v>
      </c>
      <c r="M1121" s="126">
        <v>1737.664</v>
      </c>
      <c r="N1121" s="124">
        <v>8688.32</v>
      </c>
      <c r="O1121" t="s">
        <v>346</v>
      </c>
      <c r="P1121" t="s">
        <v>294</v>
      </c>
    </row>
    <row r="1122" spans="1:16" ht="15" customHeight="1" x14ac:dyDescent="0.25">
      <c r="A1122" s="123">
        <v>45838</v>
      </c>
      <c r="B1122" t="s">
        <v>401</v>
      </c>
      <c r="C1122" t="s">
        <v>402</v>
      </c>
      <c r="D1122" t="s">
        <v>221</v>
      </c>
      <c r="E1122" t="s">
        <v>360</v>
      </c>
      <c r="F1122" t="s">
        <v>180</v>
      </c>
      <c r="G1122" t="s">
        <v>1529</v>
      </c>
      <c r="H1122" s="77">
        <v>35</v>
      </c>
      <c r="I1122" s="124">
        <v>459.21</v>
      </c>
      <c r="J1122" s="124">
        <v>16072.23</v>
      </c>
      <c r="K1122" s="77">
        <v>60</v>
      </c>
      <c r="L1122" t="s">
        <v>351</v>
      </c>
      <c r="M1122" s="126">
        <v>3214.4459999999999</v>
      </c>
      <c r="N1122" s="124">
        <v>16072.23</v>
      </c>
      <c r="O1122" t="s">
        <v>346</v>
      </c>
      <c r="P1122" t="s">
        <v>294</v>
      </c>
    </row>
    <row r="1123" spans="1:16" ht="15" customHeight="1" x14ac:dyDescent="0.25">
      <c r="A1123" s="123">
        <v>45690</v>
      </c>
      <c r="B1123" t="s">
        <v>431</v>
      </c>
      <c r="C1123" t="s">
        <v>432</v>
      </c>
      <c r="D1123" t="s">
        <v>221</v>
      </c>
      <c r="E1123" t="s">
        <v>356</v>
      </c>
      <c r="F1123" t="s">
        <v>181</v>
      </c>
      <c r="G1123" t="s">
        <v>1530</v>
      </c>
      <c r="H1123" s="77">
        <v>48</v>
      </c>
      <c r="I1123" s="124">
        <v>422.63</v>
      </c>
      <c r="J1123" s="124">
        <v>20286.18</v>
      </c>
      <c r="K1123" s="77">
        <v>45</v>
      </c>
      <c r="L1123" t="s">
        <v>345</v>
      </c>
      <c r="M1123" s="126">
        <v>4057.2359999999999</v>
      </c>
      <c r="N1123" s="124">
        <v>20286.18</v>
      </c>
      <c r="O1123" t="s">
        <v>340</v>
      </c>
      <c r="P1123" t="s">
        <v>294</v>
      </c>
    </row>
    <row r="1124" spans="1:16" ht="15" customHeight="1" x14ac:dyDescent="0.25">
      <c r="A1124" s="123">
        <v>46021</v>
      </c>
      <c r="B1124" t="s">
        <v>358</v>
      </c>
      <c r="C1124" t="s">
        <v>359</v>
      </c>
      <c r="D1124" t="s">
        <v>225</v>
      </c>
      <c r="E1124" t="s">
        <v>368</v>
      </c>
      <c r="F1124" t="s">
        <v>178</v>
      </c>
      <c r="G1124" t="s">
        <v>1531</v>
      </c>
      <c r="H1124" s="77">
        <v>69</v>
      </c>
      <c r="I1124" s="124">
        <v>92.36</v>
      </c>
      <c r="J1124" s="124">
        <v>6372.81</v>
      </c>
      <c r="K1124" s="77">
        <v>60</v>
      </c>
      <c r="L1124" t="s">
        <v>351</v>
      </c>
      <c r="M1124" s="126">
        <v>1274.5619999999999</v>
      </c>
      <c r="N1124" s="124">
        <v>6372.81</v>
      </c>
      <c r="O1124" t="s">
        <v>346</v>
      </c>
      <c r="P1124" t="s">
        <v>294</v>
      </c>
    </row>
    <row r="1125" spans="1:16" ht="15" customHeight="1" x14ac:dyDescent="0.25">
      <c r="A1125" s="123">
        <v>45846</v>
      </c>
      <c r="B1125" t="s">
        <v>409</v>
      </c>
      <c r="C1125" t="s">
        <v>410</v>
      </c>
      <c r="D1125" t="s">
        <v>223</v>
      </c>
      <c r="E1125" t="s">
        <v>417</v>
      </c>
      <c r="F1125" t="s">
        <v>184</v>
      </c>
      <c r="G1125" t="s">
        <v>1532</v>
      </c>
      <c r="H1125" s="77">
        <v>9</v>
      </c>
      <c r="I1125" s="124">
        <v>40</v>
      </c>
      <c r="J1125" s="124">
        <v>359.98</v>
      </c>
      <c r="K1125" s="77">
        <v>30</v>
      </c>
      <c r="L1125" t="s">
        <v>345</v>
      </c>
      <c r="M1125" s="126">
        <v>71.995999999999995</v>
      </c>
      <c r="N1125" s="124">
        <v>359.98</v>
      </c>
      <c r="O1125" t="s">
        <v>346</v>
      </c>
      <c r="P1125" t="s">
        <v>294</v>
      </c>
    </row>
    <row r="1126" spans="1:16" ht="15" customHeight="1" x14ac:dyDescent="0.25">
      <c r="A1126" s="123">
        <v>45749</v>
      </c>
      <c r="B1126" t="s">
        <v>335</v>
      </c>
      <c r="C1126" t="s">
        <v>336</v>
      </c>
      <c r="D1126" t="s">
        <v>223</v>
      </c>
      <c r="E1126" t="s">
        <v>368</v>
      </c>
      <c r="F1126" t="s">
        <v>178</v>
      </c>
      <c r="G1126" t="s">
        <v>1533</v>
      </c>
      <c r="H1126" s="77">
        <v>37</v>
      </c>
      <c r="I1126" s="124">
        <v>159.62</v>
      </c>
      <c r="J1126" s="124">
        <v>5905.81</v>
      </c>
      <c r="K1126" s="77">
        <v>30</v>
      </c>
      <c r="L1126" t="s">
        <v>339</v>
      </c>
      <c r="M1126" s="126">
        <v>1181.162</v>
      </c>
      <c r="N1126" s="124">
        <v>5905.81</v>
      </c>
      <c r="O1126" t="s">
        <v>346</v>
      </c>
      <c r="P1126" t="s">
        <v>294</v>
      </c>
    </row>
    <row r="1127" spans="1:16" ht="15" customHeight="1" x14ac:dyDescent="0.25">
      <c r="A1127" s="123">
        <v>46014</v>
      </c>
      <c r="B1127" t="s">
        <v>386</v>
      </c>
      <c r="C1127" t="s">
        <v>387</v>
      </c>
      <c r="D1127" t="s">
        <v>223</v>
      </c>
      <c r="E1127" t="s">
        <v>356</v>
      </c>
      <c r="F1127" t="s">
        <v>181</v>
      </c>
      <c r="G1127" t="s">
        <v>1534</v>
      </c>
      <c r="H1127" s="77">
        <v>19</v>
      </c>
      <c r="I1127" s="124">
        <v>117.11</v>
      </c>
      <c r="J1127" s="124">
        <v>2225.14</v>
      </c>
      <c r="K1127" s="77">
        <v>45</v>
      </c>
      <c r="L1127" t="s">
        <v>339</v>
      </c>
      <c r="M1127" s="126">
        <v>445.02800000000002</v>
      </c>
      <c r="N1127" s="124">
        <v>2225.14</v>
      </c>
      <c r="O1127" t="s">
        <v>340</v>
      </c>
      <c r="P1127" t="s">
        <v>294</v>
      </c>
    </row>
    <row r="1128" spans="1:16" ht="15" customHeight="1" x14ac:dyDescent="0.25">
      <c r="A1128" s="123">
        <v>45871</v>
      </c>
      <c r="B1128" t="s">
        <v>409</v>
      </c>
      <c r="C1128" t="s">
        <v>410</v>
      </c>
      <c r="D1128" t="s">
        <v>223</v>
      </c>
      <c r="E1128" t="s">
        <v>496</v>
      </c>
      <c r="F1128" t="s">
        <v>177</v>
      </c>
      <c r="G1128" t="s">
        <v>1535</v>
      </c>
      <c r="H1128" s="77">
        <v>70</v>
      </c>
      <c r="I1128" s="124">
        <v>141.72999999999999</v>
      </c>
      <c r="J1128" s="124">
        <v>9921.27</v>
      </c>
      <c r="K1128" s="77">
        <v>30</v>
      </c>
      <c r="L1128" t="s">
        <v>345</v>
      </c>
      <c r="M1128" s="126">
        <v>1984.2539999999999</v>
      </c>
      <c r="N1128" s="124">
        <v>9921.27</v>
      </c>
      <c r="O1128" t="s">
        <v>346</v>
      </c>
      <c r="P1128" t="s">
        <v>294</v>
      </c>
    </row>
    <row r="1129" spans="1:16" ht="15" customHeight="1" x14ac:dyDescent="0.25">
      <c r="A1129" s="123">
        <v>45988</v>
      </c>
      <c r="B1129" t="s">
        <v>341</v>
      </c>
      <c r="C1129" t="s">
        <v>342</v>
      </c>
      <c r="D1129" t="s">
        <v>223</v>
      </c>
      <c r="E1129" t="s">
        <v>234</v>
      </c>
      <c r="F1129" t="s">
        <v>183</v>
      </c>
      <c r="G1129" t="s">
        <v>1536</v>
      </c>
      <c r="H1129" s="77">
        <v>3</v>
      </c>
      <c r="I1129" s="124">
        <v>198.13</v>
      </c>
      <c r="J1129" s="124">
        <v>594.39</v>
      </c>
      <c r="K1129" s="77">
        <v>45</v>
      </c>
      <c r="L1129" t="s">
        <v>339</v>
      </c>
      <c r="M1129" s="126">
        <v>118.878</v>
      </c>
      <c r="N1129" s="124">
        <v>594.39</v>
      </c>
      <c r="O1129" t="s">
        <v>346</v>
      </c>
      <c r="P1129" t="s">
        <v>294</v>
      </c>
    </row>
    <row r="1130" spans="1:16" ht="15" customHeight="1" x14ac:dyDescent="0.25">
      <c r="A1130" s="123">
        <v>45924</v>
      </c>
      <c r="B1130" t="s">
        <v>373</v>
      </c>
      <c r="C1130" t="s">
        <v>374</v>
      </c>
      <c r="D1130" t="s">
        <v>225</v>
      </c>
      <c r="E1130" t="s">
        <v>349</v>
      </c>
      <c r="F1130" t="s">
        <v>177</v>
      </c>
      <c r="G1130" t="s">
        <v>1537</v>
      </c>
      <c r="H1130" s="77">
        <v>43</v>
      </c>
      <c r="I1130" s="124">
        <v>115.84</v>
      </c>
      <c r="J1130" s="124">
        <v>4981.1499999999996</v>
      </c>
      <c r="K1130" s="77">
        <v>45</v>
      </c>
      <c r="L1130" t="s">
        <v>351</v>
      </c>
      <c r="M1130" s="126">
        <v>996.23</v>
      </c>
      <c r="N1130" s="124">
        <v>4981.1499999999996</v>
      </c>
      <c r="O1130" t="s">
        <v>340</v>
      </c>
      <c r="P1130" t="s">
        <v>294</v>
      </c>
    </row>
    <row r="1131" spans="1:16" ht="15" customHeight="1" x14ac:dyDescent="0.25">
      <c r="A1131" s="123">
        <v>45961</v>
      </c>
      <c r="B1131" t="s">
        <v>358</v>
      </c>
      <c r="C1131" t="s">
        <v>359</v>
      </c>
      <c r="D1131" t="s">
        <v>225</v>
      </c>
      <c r="E1131" t="s">
        <v>420</v>
      </c>
      <c r="F1131" t="s">
        <v>182</v>
      </c>
      <c r="G1131" t="s">
        <v>1538</v>
      </c>
      <c r="H1131" s="77">
        <v>68</v>
      </c>
      <c r="I1131" s="124">
        <v>113.83</v>
      </c>
      <c r="J1131" s="124">
        <v>7740.36</v>
      </c>
      <c r="K1131" s="77">
        <v>60</v>
      </c>
      <c r="L1131" t="s">
        <v>345</v>
      </c>
      <c r="M1131" s="126">
        <v>1548.0719999999999</v>
      </c>
      <c r="N1131" s="124">
        <v>7740.36</v>
      </c>
      <c r="O1131" t="s">
        <v>346</v>
      </c>
      <c r="P1131" t="s">
        <v>294</v>
      </c>
    </row>
    <row r="1132" spans="1:16" ht="15" customHeight="1" x14ac:dyDescent="0.25">
      <c r="A1132" s="123">
        <v>45725</v>
      </c>
      <c r="B1132" t="s">
        <v>398</v>
      </c>
      <c r="C1132" t="s">
        <v>399</v>
      </c>
      <c r="D1132" t="s">
        <v>227</v>
      </c>
      <c r="E1132" t="s">
        <v>403</v>
      </c>
      <c r="F1132" t="s">
        <v>181</v>
      </c>
      <c r="G1132" t="s">
        <v>1539</v>
      </c>
      <c r="H1132" s="77">
        <v>40</v>
      </c>
      <c r="I1132" s="124">
        <v>262.52999999999997</v>
      </c>
      <c r="J1132" s="124">
        <v>10501.29</v>
      </c>
      <c r="K1132" s="77">
        <v>30</v>
      </c>
      <c r="L1132" t="s">
        <v>345</v>
      </c>
      <c r="M1132" s="126">
        <v>2100.2579999999998</v>
      </c>
      <c r="N1132" s="124">
        <v>10501.29</v>
      </c>
      <c r="O1132" t="s">
        <v>346</v>
      </c>
      <c r="P1132" t="s">
        <v>294</v>
      </c>
    </row>
    <row r="1133" spans="1:16" ht="15" customHeight="1" x14ac:dyDescent="0.25">
      <c r="A1133" s="123">
        <v>45805</v>
      </c>
      <c r="B1133" t="s">
        <v>401</v>
      </c>
      <c r="C1133" t="s">
        <v>402</v>
      </c>
      <c r="D1133" t="s">
        <v>221</v>
      </c>
      <c r="E1133" t="s">
        <v>427</v>
      </c>
      <c r="F1133" t="s">
        <v>184</v>
      </c>
      <c r="G1133" t="s">
        <v>1540</v>
      </c>
      <c r="H1133" s="77">
        <v>7</v>
      </c>
      <c r="I1133" s="124">
        <v>94.59</v>
      </c>
      <c r="J1133" s="124">
        <v>662.13</v>
      </c>
      <c r="K1133" s="77">
        <v>30</v>
      </c>
      <c r="L1133" t="s">
        <v>345</v>
      </c>
      <c r="M1133" s="126">
        <v>132.42599999999999</v>
      </c>
      <c r="N1133" s="124">
        <v>662.13</v>
      </c>
      <c r="O1133" t="s">
        <v>346</v>
      </c>
      <c r="P1133" t="s">
        <v>294</v>
      </c>
    </row>
    <row r="1134" spans="1:16" ht="15" customHeight="1" x14ac:dyDescent="0.25">
      <c r="A1134" s="123">
        <v>45974</v>
      </c>
      <c r="B1134" t="s">
        <v>488</v>
      </c>
      <c r="C1134" t="s">
        <v>489</v>
      </c>
      <c r="D1134" t="s">
        <v>225</v>
      </c>
      <c r="E1134" t="s">
        <v>396</v>
      </c>
      <c r="F1134" t="s">
        <v>184</v>
      </c>
      <c r="G1134" t="s">
        <v>1541</v>
      </c>
      <c r="H1134" s="77">
        <v>21</v>
      </c>
      <c r="I1134" s="124">
        <v>182.19</v>
      </c>
      <c r="J1134" s="124">
        <v>3825.91</v>
      </c>
      <c r="K1134" s="77">
        <v>60</v>
      </c>
      <c r="L1134" t="s">
        <v>351</v>
      </c>
      <c r="M1134" s="126">
        <v>765.18200000000002</v>
      </c>
      <c r="N1134" s="124">
        <v>3825.91</v>
      </c>
      <c r="O1134" t="s">
        <v>346</v>
      </c>
      <c r="P1134" t="s">
        <v>294</v>
      </c>
    </row>
    <row r="1135" spans="1:16" ht="15" customHeight="1" x14ac:dyDescent="0.25">
      <c r="A1135" s="123">
        <v>46020</v>
      </c>
      <c r="B1135" t="s">
        <v>335</v>
      </c>
      <c r="C1135" t="s">
        <v>336</v>
      </c>
      <c r="D1135" t="s">
        <v>223</v>
      </c>
      <c r="E1135" t="s">
        <v>442</v>
      </c>
      <c r="F1135" t="s">
        <v>179</v>
      </c>
      <c r="G1135" t="s">
        <v>1542</v>
      </c>
      <c r="H1135" s="77">
        <v>20</v>
      </c>
      <c r="I1135" s="124">
        <v>231</v>
      </c>
      <c r="J1135" s="124">
        <v>4619.92</v>
      </c>
      <c r="K1135" s="77">
        <v>30</v>
      </c>
      <c r="L1135" t="s">
        <v>339</v>
      </c>
      <c r="M1135" s="126">
        <v>923.98400000000004</v>
      </c>
      <c r="N1135" s="124">
        <v>4619.92</v>
      </c>
      <c r="O1135" t="s">
        <v>340</v>
      </c>
      <c r="P1135" t="s">
        <v>294</v>
      </c>
    </row>
    <row r="1136" spans="1:16" ht="15" customHeight="1" x14ac:dyDescent="0.25">
      <c r="A1136" s="123">
        <v>45952</v>
      </c>
      <c r="B1136" t="s">
        <v>366</v>
      </c>
      <c r="C1136" t="s">
        <v>367</v>
      </c>
      <c r="D1136" t="s">
        <v>221</v>
      </c>
      <c r="E1136" t="s">
        <v>496</v>
      </c>
      <c r="F1136" t="s">
        <v>177</v>
      </c>
      <c r="G1136" t="s">
        <v>1543</v>
      </c>
      <c r="H1136" s="77">
        <v>17</v>
      </c>
      <c r="I1136" s="124">
        <v>104.92</v>
      </c>
      <c r="J1136" s="124">
        <v>1783.65</v>
      </c>
      <c r="K1136" s="77">
        <v>45</v>
      </c>
      <c r="L1136" t="s">
        <v>345</v>
      </c>
      <c r="M1136" s="126">
        <v>356.73</v>
      </c>
      <c r="N1136" s="124">
        <v>1783.65</v>
      </c>
      <c r="O1136" t="s">
        <v>346</v>
      </c>
      <c r="P1136" t="s">
        <v>294</v>
      </c>
    </row>
    <row r="1137" spans="1:16" ht="15" customHeight="1" x14ac:dyDescent="0.25">
      <c r="A1137" s="123">
        <v>45945</v>
      </c>
      <c r="B1137" t="s">
        <v>386</v>
      </c>
      <c r="C1137" t="s">
        <v>387</v>
      </c>
      <c r="D1137" t="s">
        <v>223</v>
      </c>
      <c r="E1137" t="s">
        <v>442</v>
      </c>
      <c r="F1137" t="s">
        <v>179</v>
      </c>
      <c r="G1137" t="s">
        <v>1544</v>
      </c>
      <c r="H1137" s="77">
        <v>5</v>
      </c>
      <c r="I1137" s="124">
        <v>305.88</v>
      </c>
      <c r="J1137" s="124">
        <v>1529.42</v>
      </c>
      <c r="K1137" s="77">
        <v>60</v>
      </c>
      <c r="L1137" t="s">
        <v>345</v>
      </c>
      <c r="M1137" s="126">
        <v>305.88400000000001</v>
      </c>
      <c r="N1137" s="124">
        <v>1529.42</v>
      </c>
      <c r="O1137" t="s">
        <v>340</v>
      </c>
      <c r="P1137" t="s">
        <v>294</v>
      </c>
    </row>
    <row r="1138" spans="1:16" ht="15" customHeight="1" x14ac:dyDescent="0.25">
      <c r="A1138" s="123">
        <v>45887</v>
      </c>
      <c r="B1138" t="s">
        <v>347</v>
      </c>
      <c r="C1138" t="s">
        <v>348</v>
      </c>
      <c r="D1138" t="s">
        <v>223</v>
      </c>
      <c r="E1138" t="s">
        <v>381</v>
      </c>
      <c r="F1138" t="s">
        <v>179</v>
      </c>
      <c r="G1138" t="s">
        <v>1545</v>
      </c>
      <c r="H1138" s="77">
        <v>70</v>
      </c>
      <c r="I1138" s="124">
        <v>346.25</v>
      </c>
      <c r="J1138" s="124">
        <v>24237.61</v>
      </c>
      <c r="K1138" s="77">
        <v>30</v>
      </c>
      <c r="L1138" t="s">
        <v>351</v>
      </c>
      <c r="M1138" s="126">
        <v>4847.5219999999999</v>
      </c>
      <c r="N1138" s="124">
        <v>24237.61</v>
      </c>
      <c r="O1138" t="s">
        <v>346</v>
      </c>
      <c r="P1138" t="s">
        <v>294</v>
      </c>
    </row>
    <row r="1139" spans="1:16" ht="15" customHeight="1" x14ac:dyDescent="0.25">
      <c r="A1139" s="123">
        <v>45865</v>
      </c>
      <c r="B1139" t="s">
        <v>370</v>
      </c>
      <c r="C1139" t="s">
        <v>371</v>
      </c>
      <c r="D1139" t="s">
        <v>227</v>
      </c>
      <c r="E1139" t="s">
        <v>415</v>
      </c>
      <c r="F1139" t="s">
        <v>178</v>
      </c>
      <c r="G1139" t="s">
        <v>1546</v>
      </c>
      <c r="H1139" s="77">
        <v>64</v>
      </c>
      <c r="I1139" s="124">
        <v>33.090000000000003</v>
      </c>
      <c r="J1139" s="124">
        <v>2117.6999999999998</v>
      </c>
      <c r="K1139" s="77">
        <v>30</v>
      </c>
      <c r="L1139" t="s">
        <v>345</v>
      </c>
      <c r="M1139" s="126">
        <v>423.54</v>
      </c>
      <c r="N1139" s="124">
        <v>2117.6999999999998</v>
      </c>
      <c r="O1139" t="s">
        <v>340</v>
      </c>
      <c r="P1139" t="s">
        <v>294</v>
      </c>
    </row>
    <row r="1140" spans="1:16" ht="15" customHeight="1" x14ac:dyDescent="0.25">
      <c r="A1140" s="123">
        <v>45937</v>
      </c>
      <c r="B1140" t="s">
        <v>358</v>
      </c>
      <c r="C1140" t="s">
        <v>359</v>
      </c>
      <c r="D1140" t="s">
        <v>225</v>
      </c>
      <c r="E1140" t="s">
        <v>442</v>
      </c>
      <c r="F1140" t="s">
        <v>179</v>
      </c>
      <c r="G1140" t="s">
        <v>1547</v>
      </c>
      <c r="H1140" s="77">
        <v>65</v>
      </c>
      <c r="I1140" s="124">
        <v>250.02</v>
      </c>
      <c r="J1140" s="124">
        <v>16251.07</v>
      </c>
      <c r="K1140" s="77">
        <v>45</v>
      </c>
      <c r="L1140" t="s">
        <v>351</v>
      </c>
      <c r="M1140" s="126">
        <v>3250.2139999999999</v>
      </c>
      <c r="N1140" s="124">
        <v>16251.07</v>
      </c>
      <c r="O1140" t="s">
        <v>340</v>
      </c>
      <c r="P1140" t="s">
        <v>294</v>
      </c>
    </row>
    <row r="1141" spans="1:16" ht="15" customHeight="1" x14ac:dyDescent="0.25">
      <c r="A1141" s="123">
        <v>45806</v>
      </c>
      <c r="B1141" t="s">
        <v>341</v>
      </c>
      <c r="C1141" t="s">
        <v>342</v>
      </c>
      <c r="D1141" t="s">
        <v>223</v>
      </c>
      <c r="E1141" t="s">
        <v>437</v>
      </c>
      <c r="F1141" t="s">
        <v>181</v>
      </c>
      <c r="G1141" t="s">
        <v>1548</v>
      </c>
      <c r="H1141" s="77">
        <v>74</v>
      </c>
      <c r="I1141" s="124">
        <v>323.52</v>
      </c>
      <c r="J1141" s="124">
        <v>23940.76</v>
      </c>
      <c r="K1141" s="77">
        <v>60</v>
      </c>
      <c r="L1141" t="s">
        <v>339</v>
      </c>
      <c r="M1141" s="126">
        <v>4788.152</v>
      </c>
      <c r="N1141" s="124">
        <v>23940.76</v>
      </c>
      <c r="O1141" t="s">
        <v>346</v>
      </c>
      <c r="P1141" t="s">
        <v>294</v>
      </c>
    </row>
    <row r="1142" spans="1:16" ht="15" customHeight="1" x14ac:dyDescent="0.25">
      <c r="A1142" s="123">
        <v>46010</v>
      </c>
      <c r="B1142" t="s">
        <v>362</v>
      </c>
      <c r="C1142" t="s">
        <v>363</v>
      </c>
      <c r="D1142" t="s">
        <v>221</v>
      </c>
      <c r="E1142" t="s">
        <v>427</v>
      </c>
      <c r="F1142" t="s">
        <v>184</v>
      </c>
      <c r="G1142" t="s">
        <v>1549</v>
      </c>
      <c r="H1142" s="77">
        <v>15</v>
      </c>
      <c r="I1142" s="124">
        <v>63.68</v>
      </c>
      <c r="J1142" s="124">
        <v>955.16</v>
      </c>
      <c r="K1142" s="77">
        <v>60</v>
      </c>
      <c r="L1142" t="s">
        <v>345</v>
      </c>
      <c r="M1142" s="126">
        <v>191.03200000000001</v>
      </c>
      <c r="N1142" s="124">
        <v>955.16</v>
      </c>
      <c r="O1142" t="s">
        <v>346</v>
      </c>
      <c r="P1142" t="s">
        <v>294</v>
      </c>
    </row>
    <row r="1143" spans="1:16" ht="15" customHeight="1" x14ac:dyDescent="0.25">
      <c r="A1143" s="123">
        <v>45940</v>
      </c>
      <c r="B1143" t="s">
        <v>335</v>
      </c>
      <c r="C1143" t="s">
        <v>336</v>
      </c>
      <c r="D1143" t="s">
        <v>223</v>
      </c>
      <c r="E1143" t="s">
        <v>412</v>
      </c>
      <c r="F1143" t="s">
        <v>179</v>
      </c>
      <c r="G1143" t="s">
        <v>1550</v>
      </c>
      <c r="H1143" s="77">
        <v>15</v>
      </c>
      <c r="I1143" s="124">
        <v>383.6</v>
      </c>
      <c r="J1143" s="124">
        <v>5753.97</v>
      </c>
      <c r="K1143" s="77">
        <v>45</v>
      </c>
      <c r="L1143" t="s">
        <v>339</v>
      </c>
      <c r="M1143" s="126">
        <v>1150.7940000000001</v>
      </c>
      <c r="N1143" s="124">
        <v>5753.97</v>
      </c>
      <c r="O1143" t="s">
        <v>346</v>
      </c>
      <c r="P1143" t="s">
        <v>294</v>
      </c>
    </row>
    <row r="1144" spans="1:16" ht="15" customHeight="1" x14ac:dyDescent="0.25">
      <c r="A1144" s="123">
        <v>45840</v>
      </c>
      <c r="B1144" t="s">
        <v>354</v>
      </c>
      <c r="C1144" t="s">
        <v>355</v>
      </c>
      <c r="D1144" t="s">
        <v>227</v>
      </c>
      <c r="E1144" t="s">
        <v>360</v>
      </c>
      <c r="F1144" t="s">
        <v>180</v>
      </c>
      <c r="G1144" t="s">
        <v>1551</v>
      </c>
      <c r="H1144" s="77">
        <v>12</v>
      </c>
      <c r="I1144" s="124">
        <v>230.2</v>
      </c>
      <c r="J1144" s="124">
        <v>2762.35</v>
      </c>
      <c r="K1144" s="77">
        <v>45</v>
      </c>
      <c r="L1144" t="s">
        <v>339</v>
      </c>
      <c r="M1144" s="126">
        <v>552.47</v>
      </c>
      <c r="N1144" s="124">
        <v>2762.35</v>
      </c>
      <c r="O1144" t="s">
        <v>346</v>
      </c>
      <c r="P1144" t="s">
        <v>294</v>
      </c>
    </row>
    <row r="1145" spans="1:16" ht="15" customHeight="1" x14ac:dyDescent="0.25">
      <c r="A1145" s="123">
        <v>45927</v>
      </c>
      <c r="B1145" t="s">
        <v>398</v>
      </c>
      <c r="C1145" t="s">
        <v>399</v>
      </c>
      <c r="D1145" t="s">
        <v>227</v>
      </c>
      <c r="E1145" t="s">
        <v>352</v>
      </c>
      <c r="F1145" t="s">
        <v>180</v>
      </c>
      <c r="G1145" t="s">
        <v>1552</v>
      </c>
      <c r="H1145" s="77">
        <v>29</v>
      </c>
      <c r="I1145" s="124">
        <v>267.88</v>
      </c>
      <c r="J1145" s="124">
        <v>7768.43</v>
      </c>
      <c r="K1145" s="77">
        <v>45</v>
      </c>
      <c r="L1145" t="s">
        <v>339</v>
      </c>
      <c r="M1145" s="126">
        <v>1553.6859999999999</v>
      </c>
      <c r="N1145" s="124">
        <v>7768.43</v>
      </c>
      <c r="O1145" t="s">
        <v>346</v>
      </c>
      <c r="P1145" t="s">
        <v>294</v>
      </c>
    </row>
    <row r="1146" spans="1:16" ht="15" customHeight="1" x14ac:dyDescent="0.25">
      <c r="A1146" s="123">
        <v>45886</v>
      </c>
      <c r="B1146" t="s">
        <v>401</v>
      </c>
      <c r="C1146" t="s">
        <v>402</v>
      </c>
      <c r="D1146" t="s">
        <v>221</v>
      </c>
      <c r="E1146" t="s">
        <v>343</v>
      </c>
      <c r="F1146" t="s">
        <v>178</v>
      </c>
      <c r="G1146" t="s">
        <v>1553</v>
      </c>
      <c r="H1146" s="77">
        <v>12</v>
      </c>
      <c r="I1146" s="124">
        <v>59.1</v>
      </c>
      <c r="J1146" s="124">
        <v>709.18</v>
      </c>
      <c r="K1146" s="77">
        <v>60</v>
      </c>
      <c r="L1146" t="s">
        <v>345</v>
      </c>
      <c r="M1146" s="126">
        <v>141.83600000000001</v>
      </c>
      <c r="N1146" s="124">
        <v>709.18</v>
      </c>
      <c r="O1146" t="s">
        <v>346</v>
      </c>
      <c r="P1146" t="s">
        <v>294</v>
      </c>
    </row>
    <row r="1147" spans="1:16" ht="15" customHeight="1" x14ac:dyDescent="0.25">
      <c r="A1147" s="123">
        <v>45966</v>
      </c>
      <c r="B1147" t="s">
        <v>431</v>
      </c>
      <c r="C1147" t="s">
        <v>432</v>
      </c>
      <c r="D1147" t="s">
        <v>221</v>
      </c>
      <c r="E1147" t="s">
        <v>427</v>
      </c>
      <c r="F1147" t="s">
        <v>184</v>
      </c>
      <c r="G1147" t="s">
        <v>1554</v>
      </c>
      <c r="H1147" s="77">
        <v>78</v>
      </c>
      <c r="I1147" s="124">
        <v>75.650000000000006</v>
      </c>
      <c r="J1147" s="124">
        <v>5900.34</v>
      </c>
      <c r="K1147" s="77">
        <v>60</v>
      </c>
      <c r="L1147" t="s">
        <v>339</v>
      </c>
      <c r="M1147" s="126">
        <v>1180.068</v>
      </c>
      <c r="N1147" s="124">
        <v>5900.34</v>
      </c>
      <c r="O1147" t="s">
        <v>346</v>
      </c>
      <c r="P1147" t="s">
        <v>294</v>
      </c>
    </row>
    <row r="1148" spans="1:16" ht="15" customHeight="1" x14ac:dyDescent="0.25">
      <c r="A1148" s="123">
        <v>45733</v>
      </c>
      <c r="B1148" t="s">
        <v>335</v>
      </c>
      <c r="C1148" t="s">
        <v>336</v>
      </c>
      <c r="D1148" t="s">
        <v>223</v>
      </c>
      <c r="E1148" t="s">
        <v>420</v>
      </c>
      <c r="F1148" t="s">
        <v>182</v>
      </c>
      <c r="G1148" t="s">
        <v>1555</v>
      </c>
      <c r="H1148" s="77">
        <v>55</v>
      </c>
      <c r="I1148" s="124">
        <v>51.98</v>
      </c>
      <c r="J1148" s="124">
        <v>2859.09</v>
      </c>
      <c r="K1148" s="77">
        <v>45</v>
      </c>
      <c r="L1148" t="s">
        <v>345</v>
      </c>
      <c r="M1148" s="126">
        <v>571.81799999999998</v>
      </c>
      <c r="N1148" s="124">
        <v>2859.09</v>
      </c>
      <c r="O1148" t="s">
        <v>346</v>
      </c>
      <c r="P1148" t="s">
        <v>294</v>
      </c>
    </row>
    <row r="1149" spans="1:16" ht="15" customHeight="1" x14ac:dyDescent="0.25">
      <c r="A1149" s="123">
        <v>45834</v>
      </c>
      <c r="B1149" t="s">
        <v>393</v>
      </c>
      <c r="C1149" t="s">
        <v>394</v>
      </c>
      <c r="D1149" t="s">
        <v>227</v>
      </c>
      <c r="E1149" t="s">
        <v>496</v>
      </c>
      <c r="F1149" t="s">
        <v>177</v>
      </c>
      <c r="G1149" t="s">
        <v>1556</v>
      </c>
      <c r="H1149" s="77">
        <v>45</v>
      </c>
      <c r="I1149" s="124">
        <v>54.35</v>
      </c>
      <c r="J1149" s="124">
        <v>2445.8000000000002</v>
      </c>
      <c r="K1149" s="77">
        <v>45</v>
      </c>
      <c r="L1149" t="s">
        <v>345</v>
      </c>
      <c r="M1149" s="126">
        <v>489.16</v>
      </c>
      <c r="N1149" s="124">
        <v>2445.8000000000002</v>
      </c>
      <c r="O1149" t="s">
        <v>346</v>
      </c>
      <c r="P1149" t="s">
        <v>294</v>
      </c>
    </row>
    <row r="1150" spans="1:16" ht="15" customHeight="1" x14ac:dyDescent="0.25">
      <c r="A1150" s="123">
        <v>45885</v>
      </c>
      <c r="B1150" t="s">
        <v>370</v>
      </c>
      <c r="C1150" t="s">
        <v>371</v>
      </c>
      <c r="D1150" t="s">
        <v>227</v>
      </c>
      <c r="E1150" t="s">
        <v>415</v>
      </c>
      <c r="F1150" t="s">
        <v>178</v>
      </c>
      <c r="G1150" t="s">
        <v>1557</v>
      </c>
      <c r="H1150" s="77">
        <v>54</v>
      </c>
      <c r="I1150" s="124">
        <v>156.24</v>
      </c>
      <c r="J1150" s="124">
        <v>8436.7199999999993</v>
      </c>
      <c r="K1150" s="77">
        <v>45</v>
      </c>
      <c r="L1150" t="s">
        <v>345</v>
      </c>
      <c r="M1150" s="126">
        <v>1687.3440000000001</v>
      </c>
      <c r="N1150" s="124">
        <v>8436.7199999999993</v>
      </c>
      <c r="O1150" t="s">
        <v>340</v>
      </c>
      <c r="P1150" t="s">
        <v>294</v>
      </c>
    </row>
    <row r="1151" spans="1:16" ht="15" customHeight="1" x14ac:dyDescent="0.25">
      <c r="A1151" s="123">
        <v>45870</v>
      </c>
      <c r="B1151" t="s">
        <v>378</v>
      </c>
      <c r="C1151" t="s">
        <v>379</v>
      </c>
      <c r="D1151" t="s">
        <v>227</v>
      </c>
      <c r="E1151" t="s">
        <v>236</v>
      </c>
      <c r="F1151" t="s">
        <v>183</v>
      </c>
      <c r="G1151" t="s">
        <v>1558</v>
      </c>
      <c r="H1151" s="77">
        <v>18</v>
      </c>
      <c r="I1151" s="124">
        <v>188.28</v>
      </c>
      <c r="J1151" s="124">
        <v>3389.12</v>
      </c>
      <c r="K1151" s="77">
        <v>60</v>
      </c>
      <c r="L1151" t="s">
        <v>351</v>
      </c>
      <c r="M1151" s="126">
        <v>677.82399999999996</v>
      </c>
      <c r="N1151" s="124">
        <v>3389.12</v>
      </c>
      <c r="O1151" t="s">
        <v>346</v>
      </c>
      <c r="P1151" t="s">
        <v>294</v>
      </c>
    </row>
    <row r="1152" spans="1:16" ht="15" customHeight="1" x14ac:dyDescent="0.25">
      <c r="A1152" s="123">
        <v>45813</v>
      </c>
      <c r="B1152" t="s">
        <v>390</v>
      </c>
      <c r="C1152" t="s">
        <v>391</v>
      </c>
      <c r="D1152" t="s">
        <v>221</v>
      </c>
      <c r="E1152" t="s">
        <v>442</v>
      </c>
      <c r="F1152" t="s">
        <v>179</v>
      </c>
      <c r="G1152" t="s">
        <v>1559</v>
      </c>
      <c r="H1152" s="77">
        <v>61</v>
      </c>
      <c r="I1152" s="124">
        <v>104.34</v>
      </c>
      <c r="J1152" s="124">
        <v>6364.97</v>
      </c>
      <c r="K1152" s="77">
        <v>60</v>
      </c>
      <c r="L1152" t="s">
        <v>345</v>
      </c>
      <c r="M1152" s="126">
        <v>1272.9939999999999</v>
      </c>
      <c r="N1152" s="124">
        <v>6364.97</v>
      </c>
      <c r="O1152" t="s">
        <v>340</v>
      </c>
      <c r="P1152" t="s">
        <v>294</v>
      </c>
    </row>
    <row r="1153" spans="1:16" ht="15" customHeight="1" x14ac:dyDescent="0.25">
      <c r="A1153" s="123">
        <v>45661</v>
      </c>
      <c r="B1153" t="s">
        <v>378</v>
      </c>
      <c r="C1153" t="s">
        <v>379</v>
      </c>
      <c r="D1153" t="s">
        <v>227</v>
      </c>
      <c r="E1153" t="s">
        <v>235</v>
      </c>
      <c r="F1153" t="s">
        <v>183</v>
      </c>
      <c r="G1153" t="s">
        <v>1560</v>
      </c>
      <c r="H1153" s="77">
        <v>53</v>
      </c>
      <c r="I1153" s="124">
        <v>91.78</v>
      </c>
      <c r="J1153" s="124">
        <v>4864.45</v>
      </c>
      <c r="K1153" s="77">
        <v>60</v>
      </c>
      <c r="L1153" t="s">
        <v>345</v>
      </c>
      <c r="M1153" s="126">
        <v>972.89</v>
      </c>
      <c r="N1153" s="124">
        <v>4864.45</v>
      </c>
      <c r="O1153" t="s">
        <v>346</v>
      </c>
      <c r="P1153" t="s">
        <v>294</v>
      </c>
    </row>
    <row r="1154" spans="1:16" ht="15" customHeight="1" x14ac:dyDescent="0.25">
      <c r="A1154" s="123">
        <v>45894</v>
      </c>
      <c r="B1154" t="s">
        <v>358</v>
      </c>
      <c r="C1154" t="s">
        <v>359</v>
      </c>
      <c r="D1154" t="s">
        <v>225</v>
      </c>
      <c r="E1154" t="s">
        <v>412</v>
      </c>
      <c r="F1154" t="s">
        <v>179</v>
      </c>
      <c r="G1154" t="s">
        <v>1561</v>
      </c>
      <c r="H1154" s="77">
        <v>73</v>
      </c>
      <c r="I1154" s="124">
        <v>126.66</v>
      </c>
      <c r="J1154" s="124">
        <v>9246.3799999999992</v>
      </c>
      <c r="K1154" s="77">
        <v>30</v>
      </c>
      <c r="L1154" t="s">
        <v>339</v>
      </c>
      <c r="M1154" s="126">
        <v>1849.2760000000001</v>
      </c>
      <c r="N1154" s="124">
        <v>9246.3799999999992</v>
      </c>
      <c r="O1154" t="s">
        <v>346</v>
      </c>
      <c r="P1154" t="s">
        <v>294</v>
      </c>
    </row>
    <row r="1155" spans="1:16" ht="15" customHeight="1" x14ac:dyDescent="0.25">
      <c r="A1155" s="123">
        <v>45941</v>
      </c>
      <c r="B1155" t="s">
        <v>398</v>
      </c>
      <c r="C1155" t="s">
        <v>399</v>
      </c>
      <c r="D1155" t="s">
        <v>227</v>
      </c>
      <c r="E1155" t="s">
        <v>234</v>
      </c>
      <c r="F1155" t="s">
        <v>183</v>
      </c>
      <c r="G1155" t="s">
        <v>1562</v>
      </c>
      <c r="H1155" s="77">
        <v>63</v>
      </c>
      <c r="I1155" s="124">
        <v>144.91</v>
      </c>
      <c r="J1155" s="124">
        <v>9129.06</v>
      </c>
      <c r="K1155" s="77">
        <v>30</v>
      </c>
      <c r="L1155" t="s">
        <v>345</v>
      </c>
      <c r="M1155" s="126">
        <v>1825.8119999999999</v>
      </c>
      <c r="N1155" s="124">
        <v>9129.06</v>
      </c>
      <c r="O1155" t="s">
        <v>346</v>
      </c>
      <c r="P1155" t="s">
        <v>294</v>
      </c>
    </row>
    <row r="1156" spans="1:16" ht="15" customHeight="1" x14ac:dyDescent="0.25">
      <c r="A1156" s="123">
        <v>45944</v>
      </c>
      <c r="B1156" t="s">
        <v>383</v>
      </c>
      <c r="C1156" t="s">
        <v>384</v>
      </c>
      <c r="D1156" t="s">
        <v>225</v>
      </c>
      <c r="E1156" t="s">
        <v>437</v>
      </c>
      <c r="F1156" t="s">
        <v>181</v>
      </c>
      <c r="G1156" t="s">
        <v>1563</v>
      </c>
      <c r="H1156" s="77">
        <v>60</v>
      </c>
      <c r="I1156" s="124">
        <v>542.79999999999995</v>
      </c>
      <c r="J1156" s="124">
        <v>32567.84</v>
      </c>
      <c r="K1156" s="77">
        <v>30</v>
      </c>
      <c r="L1156" t="s">
        <v>339</v>
      </c>
      <c r="M1156" s="126">
        <v>6513.5680000000002</v>
      </c>
      <c r="N1156" s="124">
        <v>32567.84</v>
      </c>
      <c r="O1156" t="s">
        <v>346</v>
      </c>
      <c r="P1156" t="s">
        <v>294</v>
      </c>
    </row>
    <row r="1157" spans="1:16" ht="15" customHeight="1" x14ac:dyDescent="0.25">
      <c r="A1157" s="123">
        <v>45811</v>
      </c>
      <c r="B1157" t="s">
        <v>390</v>
      </c>
      <c r="C1157" t="s">
        <v>391</v>
      </c>
      <c r="D1157" t="s">
        <v>221</v>
      </c>
      <c r="E1157" t="s">
        <v>381</v>
      </c>
      <c r="F1157" t="s">
        <v>179</v>
      </c>
      <c r="G1157" t="s">
        <v>1564</v>
      </c>
      <c r="H1157" s="77">
        <v>61</v>
      </c>
      <c r="I1157" s="124">
        <v>313.67</v>
      </c>
      <c r="J1157" s="124">
        <v>19134.150000000001</v>
      </c>
      <c r="K1157" s="77">
        <v>30</v>
      </c>
      <c r="L1157" t="s">
        <v>351</v>
      </c>
      <c r="M1157" s="126">
        <v>3826.83</v>
      </c>
      <c r="N1157" s="124">
        <v>19134.150000000001</v>
      </c>
      <c r="O1157" t="s">
        <v>346</v>
      </c>
      <c r="P1157" t="s">
        <v>294</v>
      </c>
    </row>
    <row r="1158" spans="1:16" ht="15" customHeight="1" x14ac:dyDescent="0.25">
      <c r="A1158" s="123">
        <v>45749</v>
      </c>
      <c r="B1158" t="s">
        <v>335</v>
      </c>
      <c r="C1158" t="s">
        <v>336</v>
      </c>
      <c r="D1158" t="s">
        <v>223</v>
      </c>
      <c r="E1158" t="s">
        <v>437</v>
      </c>
      <c r="F1158" t="s">
        <v>181</v>
      </c>
      <c r="G1158" t="s">
        <v>1565</v>
      </c>
      <c r="H1158" s="77">
        <v>63</v>
      </c>
      <c r="I1158" s="124">
        <v>150.68</v>
      </c>
      <c r="J1158" s="124">
        <v>9492.7099999999991</v>
      </c>
      <c r="K1158" s="77">
        <v>60</v>
      </c>
      <c r="L1158" t="s">
        <v>351</v>
      </c>
      <c r="M1158" s="126">
        <v>1898.5419999999999</v>
      </c>
      <c r="N1158" s="124">
        <v>9492.7099999999991</v>
      </c>
      <c r="O1158" t="s">
        <v>346</v>
      </c>
      <c r="P1158" t="s">
        <v>294</v>
      </c>
    </row>
    <row r="1159" spans="1:16" ht="15" customHeight="1" x14ac:dyDescent="0.25">
      <c r="A1159" s="123">
        <v>45799</v>
      </c>
      <c r="B1159" t="s">
        <v>341</v>
      </c>
      <c r="C1159" t="s">
        <v>342</v>
      </c>
      <c r="D1159" t="s">
        <v>223</v>
      </c>
      <c r="E1159" t="s">
        <v>349</v>
      </c>
      <c r="F1159" t="s">
        <v>177</v>
      </c>
      <c r="G1159" t="s">
        <v>1566</v>
      </c>
      <c r="H1159" s="77">
        <v>64</v>
      </c>
      <c r="I1159" s="124">
        <v>414.19</v>
      </c>
      <c r="J1159" s="124">
        <v>26508.34</v>
      </c>
      <c r="K1159" s="77">
        <v>30</v>
      </c>
      <c r="L1159" t="s">
        <v>351</v>
      </c>
      <c r="M1159" s="126">
        <v>5301.6679999999997</v>
      </c>
      <c r="N1159" s="124">
        <v>26508.34</v>
      </c>
      <c r="O1159" t="s">
        <v>340</v>
      </c>
      <c r="P1159" t="s">
        <v>294</v>
      </c>
    </row>
    <row r="1160" spans="1:16" ht="15" customHeight="1" x14ac:dyDescent="0.25">
      <c r="A1160" s="123">
        <v>45904</v>
      </c>
      <c r="B1160" t="s">
        <v>354</v>
      </c>
      <c r="C1160" t="s">
        <v>355</v>
      </c>
      <c r="D1160" t="s">
        <v>227</v>
      </c>
      <c r="E1160" t="s">
        <v>364</v>
      </c>
      <c r="F1160" t="s">
        <v>182</v>
      </c>
      <c r="G1160" t="s">
        <v>1567</v>
      </c>
      <c r="H1160" s="77">
        <v>73</v>
      </c>
      <c r="I1160" s="124">
        <v>163.02000000000001</v>
      </c>
      <c r="J1160" s="124">
        <v>11900.16</v>
      </c>
      <c r="K1160" s="77">
        <v>45</v>
      </c>
      <c r="L1160" t="s">
        <v>345</v>
      </c>
      <c r="M1160" s="126">
        <v>2380.0320000000002</v>
      </c>
      <c r="N1160" s="124">
        <v>11900.16</v>
      </c>
      <c r="O1160" t="s">
        <v>346</v>
      </c>
      <c r="P1160" t="s">
        <v>294</v>
      </c>
    </row>
    <row r="1161" spans="1:16" ht="15" customHeight="1" x14ac:dyDescent="0.25">
      <c r="A1161" s="123">
        <v>45719</v>
      </c>
      <c r="B1161" t="s">
        <v>347</v>
      </c>
      <c r="C1161" t="s">
        <v>348</v>
      </c>
      <c r="D1161" t="s">
        <v>223</v>
      </c>
      <c r="E1161" t="s">
        <v>417</v>
      </c>
      <c r="F1161" t="s">
        <v>184</v>
      </c>
      <c r="G1161" t="s">
        <v>1568</v>
      </c>
      <c r="H1161" s="77">
        <v>48</v>
      </c>
      <c r="I1161" s="124">
        <v>62.73</v>
      </c>
      <c r="J1161" s="124">
        <v>3011.01</v>
      </c>
      <c r="K1161" s="77">
        <v>60</v>
      </c>
      <c r="L1161" t="s">
        <v>351</v>
      </c>
      <c r="M1161" s="126">
        <v>602.202</v>
      </c>
      <c r="N1161" s="124">
        <v>3011.01</v>
      </c>
      <c r="O1161" t="s">
        <v>346</v>
      </c>
      <c r="P1161" t="s">
        <v>294</v>
      </c>
    </row>
    <row r="1162" spans="1:16" ht="15" customHeight="1" x14ac:dyDescent="0.25">
      <c r="A1162" s="123">
        <v>45741</v>
      </c>
      <c r="B1162" t="s">
        <v>373</v>
      </c>
      <c r="C1162" t="s">
        <v>374</v>
      </c>
      <c r="D1162" t="s">
        <v>225</v>
      </c>
      <c r="E1162" t="s">
        <v>496</v>
      </c>
      <c r="F1162" t="s">
        <v>177</v>
      </c>
      <c r="G1162" t="s">
        <v>1569</v>
      </c>
      <c r="H1162" s="77">
        <v>75</v>
      </c>
      <c r="I1162" s="124">
        <v>30.35</v>
      </c>
      <c r="J1162" s="124">
        <v>2276.3000000000002</v>
      </c>
      <c r="K1162" s="77">
        <v>30</v>
      </c>
      <c r="L1162" t="s">
        <v>339</v>
      </c>
      <c r="M1162" s="126">
        <v>455.26</v>
      </c>
      <c r="N1162" s="124">
        <v>2276.3000000000002</v>
      </c>
      <c r="O1162" t="s">
        <v>346</v>
      </c>
      <c r="P1162" t="s">
        <v>294</v>
      </c>
    </row>
    <row r="1163" spans="1:16" ht="15" customHeight="1" x14ac:dyDescent="0.25">
      <c r="A1163" s="123">
        <v>45727</v>
      </c>
      <c r="B1163" t="s">
        <v>335</v>
      </c>
      <c r="C1163" t="s">
        <v>336</v>
      </c>
      <c r="D1163" t="s">
        <v>223</v>
      </c>
      <c r="E1163" t="s">
        <v>417</v>
      </c>
      <c r="F1163" t="s">
        <v>184</v>
      </c>
      <c r="G1163" t="s">
        <v>1570</v>
      </c>
      <c r="H1163" s="77">
        <v>46</v>
      </c>
      <c r="I1163" s="124">
        <v>264.41000000000003</v>
      </c>
      <c r="J1163" s="124">
        <v>12162.93</v>
      </c>
      <c r="K1163" s="77">
        <v>30</v>
      </c>
      <c r="L1163" t="s">
        <v>339</v>
      </c>
      <c r="M1163" s="126">
        <v>2432.5859999999998</v>
      </c>
      <c r="N1163" s="124">
        <v>12162.93</v>
      </c>
      <c r="O1163" t="s">
        <v>346</v>
      </c>
      <c r="P1163" t="s">
        <v>294</v>
      </c>
    </row>
    <row r="1164" spans="1:16" ht="15" customHeight="1" x14ac:dyDescent="0.25">
      <c r="A1164" s="123">
        <v>45983</v>
      </c>
      <c r="B1164" t="s">
        <v>390</v>
      </c>
      <c r="C1164" t="s">
        <v>391</v>
      </c>
      <c r="D1164" t="s">
        <v>221</v>
      </c>
      <c r="E1164" t="s">
        <v>420</v>
      </c>
      <c r="F1164" t="s">
        <v>182</v>
      </c>
      <c r="G1164" t="s">
        <v>1571</v>
      </c>
      <c r="H1164" s="77">
        <v>46</v>
      </c>
      <c r="I1164" s="124">
        <v>44.24</v>
      </c>
      <c r="J1164" s="124">
        <v>2035</v>
      </c>
      <c r="K1164" s="77">
        <v>30</v>
      </c>
      <c r="L1164" t="s">
        <v>345</v>
      </c>
      <c r="M1164" s="126">
        <v>407</v>
      </c>
      <c r="N1164" s="124">
        <v>2035</v>
      </c>
      <c r="O1164" t="s">
        <v>346</v>
      </c>
      <c r="P1164" t="s">
        <v>294</v>
      </c>
    </row>
    <row r="1165" spans="1:16" ht="15" customHeight="1" x14ac:dyDescent="0.25">
      <c r="A1165" s="123">
        <v>45757</v>
      </c>
      <c r="B1165" t="s">
        <v>383</v>
      </c>
      <c r="C1165" t="s">
        <v>384</v>
      </c>
      <c r="D1165" t="s">
        <v>225</v>
      </c>
      <c r="E1165" t="s">
        <v>343</v>
      </c>
      <c r="F1165" t="s">
        <v>178</v>
      </c>
      <c r="G1165" t="s">
        <v>1572</v>
      </c>
      <c r="H1165" s="77">
        <v>24</v>
      </c>
      <c r="I1165" s="124">
        <v>26.3</v>
      </c>
      <c r="J1165" s="124">
        <v>631.1</v>
      </c>
      <c r="K1165" s="77">
        <v>30</v>
      </c>
      <c r="L1165" t="s">
        <v>351</v>
      </c>
      <c r="M1165" s="126">
        <v>126.22</v>
      </c>
      <c r="N1165" s="124">
        <v>631.1</v>
      </c>
      <c r="O1165" t="s">
        <v>346</v>
      </c>
      <c r="P1165" t="s">
        <v>294</v>
      </c>
    </row>
    <row r="1166" spans="1:16" ht="15" customHeight="1" x14ac:dyDescent="0.25">
      <c r="A1166" s="123">
        <v>45823</v>
      </c>
      <c r="B1166" t="s">
        <v>354</v>
      </c>
      <c r="C1166" t="s">
        <v>355</v>
      </c>
      <c r="D1166" t="s">
        <v>227</v>
      </c>
      <c r="E1166" t="s">
        <v>412</v>
      </c>
      <c r="F1166" t="s">
        <v>179</v>
      </c>
      <c r="G1166" t="s">
        <v>1573</v>
      </c>
      <c r="H1166" s="77">
        <v>41</v>
      </c>
      <c r="I1166" s="124">
        <v>315.88</v>
      </c>
      <c r="J1166" s="124">
        <v>12951.19</v>
      </c>
      <c r="K1166" s="77">
        <v>60</v>
      </c>
      <c r="L1166" t="s">
        <v>345</v>
      </c>
      <c r="M1166" s="126">
        <v>2590.2379999999998</v>
      </c>
      <c r="N1166" s="124">
        <v>12951.19</v>
      </c>
      <c r="O1166" t="s">
        <v>346</v>
      </c>
      <c r="P1166" t="s">
        <v>294</v>
      </c>
    </row>
    <row r="1167" spans="1:16" ht="15" customHeight="1" x14ac:dyDescent="0.25">
      <c r="A1167" s="123">
        <v>45931</v>
      </c>
      <c r="B1167" t="s">
        <v>378</v>
      </c>
      <c r="C1167" t="s">
        <v>379</v>
      </c>
      <c r="D1167" t="s">
        <v>227</v>
      </c>
      <c r="E1167" t="s">
        <v>376</v>
      </c>
      <c r="F1167" t="s">
        <v>182</v>
      </c>
      <c r="G1167" t="s">
        <v>1574</v>
      </c>
      <c r="H1167" s="77">
        <v>75</v>
      </c>
      <c r="I1167" s="124">
        <v>363.49</v>
      </c>
      <c r="J1167" s="124">
        <v>27261.45</v>
      </c>
      <c r="K1167" s="77">
        <v>45</v>
      </c>
      <c r="L1167" t="s">
        <v>339</v>
      </c>
      <c r="M1167" s="126">
        <v>5452.29</v>
      </c>
      <c r="N1167" s="124">
        <v>27261.45</v>
      </c>
      <c r="O1167" t="s">
        <v>340</v>
      </c>
      <c r="P1167" t="s">
        <v>294</v>
      </c>
    </row>
    <row r="1168" spans="1:16" ht="15" customHeight="1" x14ac:dyDescent="0.25">
      <c r="A1168" s="123">
        <v>45802</v>
      </c>
      <c r="B1168" t="s">
        <v>406</v>
      </c>
      <c r="C1168" t="s">
        <v>407</v>
      </c>
      <c r="D1168" t="s">
        <v>225</v>
      </c>
      <c r="E1168" t="s">
        <v>412</v>
      </c>
      <c r="F1168" t="s">
        <v>179</v>
      </c>
      <c r="G1168" t="s">
        <v>1575</v>
      </c>
      <c r="H1168" s="77">
        <v>48</v>
      </c>
      <c r="I1168" s="124">
        <v>385.41</v>
      </c>
      <c r="J1168" s="124">
        <v>18499.669999999998</v>
      </c>
      <c r="K1168" s="77">
        <v>45</v>
      </c>
      <c r="L1168" t="s">
        <v>345</v>
      </c>
      <c r="M1168" s="126">
        <v>3699.9340000000002</v>
      </c>
      <c r="N1168" s="124">
        <v>18499.669999999998</v>
      </c>
      <c r="O1168" t="s">
        <v>346</v>
      </c>
      <c r="P1168" t="s">
        <v>294</v>
      </c>
    </row>
    <row r="1169" spans="1:16" ht="15" customHeight="1" x14ac:dyDescent="0.25">
      <c r="A1169" s="123">
        <v>45769</v>
      </c>
      <c r="B1169" t="s">
        <v>386</v>
      </c>
      <c r="C1169" t="s">
        <v>387</v>
      </c>
      <c r="D1169" t="s">
        <v>223</v>
      </c>
      <c r="E1169" t="s">
        <v>442</v>
      </c>
      <c r="F1169" t="s">
        <v>179</v>
      </c>
      <c r="G1169" t="s">
        <v>1576</v>
      </c>
      <c r="H1169" s="77">
        <v>20</v>
      </c>
      <c r="I1169" s="124">
        <v>245.45</v>
      </c>
      <c r="J1169" s="124">
        <v>4909.07</v>
      </c>
      <c r="K1169" s="77">
        <v>60</v>
      </c>
      <c r="L1169" t="s">
        <v>339</v>
      </c>
      <c r="M1169" s="126">
        <v>981.81399999999996</v>
      </c>
      <c r="N1169" s="124">
        <v>4909.07</v>
      </c>
      <c r="O1169" t="s">
        <v>340</v>
      </c>
      <c r="P1169" t="s">
        <v>294</v>
      </c>
    </row>
    <row r="1170" spans="1:16" ht="15" customHeight="1" x14ac:dyDescent="0.25">
      <c r="A1170" s="123">
        <v>45893</v>
      </c>
      <c r="B1170" t="s">
        <v>362</v>
      </c>
      <c r="C1170" t="s">
        <v>363</v>
      </c>
      <c r="D1170" t="s">
        <v>221</v>
      </c>
      <c r="E1170" t="s">
        <v>368</v>
      </c>
      <c r="F1170" t="s">
        <v>178</v>
      </c>
      <c r="G1170" t="s">
        <v>1577</v>
      </c>
      <c r="H1170" s="77">
        <v>10</v>
      </c>
      <c r="I1170" s="124">
        <v>90.15</v>
      </c>
      <c r="J1170" s="124">
        <v>901.52</v>
      </c>
      <c r="K1170" s="77">
        <v>30</v>
      </c>
      <c r="L1170" t="s">
        <v>339</v>
      </c>
      <c r="M1170" s="126">
        <v>180.304</v>
      </c>
      <c r="N1170" s="124">
        <v>901.52</v>
      </c>
      <c r="O1170" t="s">
        <v>346</v>
      </c>
      <c r="P1170" t="s">
        <v>294</v>
      </c>
    </row>
    <row r="1171" spans="1:16" ht="15" customHeight="1" x14ac:dyDescent="0.25">
      <c r="A1171" s="123">
        <v>45817</v>
      </c>
      <c r="B1171" t="s">
        <v>335</v>
      </c>
      <c r="C1171" t="s">
        <v>336</v>
      </c>
      <c r="D1171" t="s">
        <v>223</v>
      </c>
      <c r="E1171" t="s">
        <v>427</v>
      </c>
      <c r="F1171" t="s">
        <v>184</v>
      </c>
      <c r="G1171" t="s">
        <v>1578</v>
      </c>
      <c r="H1171" s="77">
        <v>47</v>
      </c>
      <c r="I1171" s="124">
        <v>119.93</v>
      </c>
      <c r="J1171" s="124">
        <v>5636.48</v>
      </c>
      <c r="K1171" s="77">
        <v>30</v>
      </c>
      <c r="L1171" t="s">
        <v>345</v>
      </c>
      <c r="M1171" s="126">
        <v>1127.296</v>
      </c>
      <c r="N1171" s="124">
        <v>5636.48</v>
      </c>
      <c r="O1171" t="s">
        <v>346</v>
      </c>
      <c r="P1171" t="s">
        <v>294</v>
      </c>
    </row>
    <row r="1172" spans="1:16" ht="15" customHeight="1" x14ac:dyDescent="0.25">
      <c r="A1172" s="123">
        <v>46021</v>
      </c>
      <c r="B1172" t="s">
        <v>383</v>
      </c>
      <c r="C1172" t="s">
        <v>384</v>
      </c>
      <c r="D1172" t="s">
        <v>225</v>
      </c>
      <c r="E1172" t="s">
        <v>376</v>
      </c>
      <c r="F1172" t="s">
        <v>182</v>
      </c>
      <c r="G1172" t="s">
        <v>1579</v>
      </c>
      <c r="H1172" s="77">
        <v>39</v>
      </c>
      <c r="I1172" s="124">
        <v>144.21</v>
      </c>
      <c r="J1172" s="124">
        <v>5624.29</v>
      </c>
      <c r="K1172" s="77">
        <v>30</v>
      </c>
      <c r="L1172" t="s">
        <v>351</v>
      </c>
      <c r="M1172" s="126">
        <v>1124.8579999999999</v>
      </c>
      <c r="N1172" s="124">
        <v>5624.29</v>
      </c>
      <c r="O1172" t="s">
        <v>340</v>
      </c>
      <c r="P1172" t="s">
        <v>294</v>
      </c>
    </row>
    <row r="1173" spans="1:16" ht="15" customHeight="1" x14ac:dyDescent="0.25">
      <c r="A1173" s="123">
        <v>46013</v>
      </c>
      <c r="B1173" t="s">
        <v>431</v>
      </c>
      <c r="C1173" t="s">
        <v>432</v>
      </c>
      <c r="D1173" t="s">
        <v>221</v>
      </c>
      <c r="E1173" t="s">
        <v>423</v>
      </c>
      <c r="F1173" t="s">
        <v>180</v>
      </c>
      <c r="G1173" t="s">
        <v>1580</v>
      </c>
      <c r="H1173" s="77">
        <v>19</v>
      </c>
      <c r="I1173" s="124">
        <v>291.81</v>
      </c>
      <c r="J1173" s="124">
        <v>5544.46</v>
      </c>
      <c r="K1173" s="77">
        <v>60</v>
      </c>
      <c r="L1173" t="s">
        <v>339</v>
      </c>
      <c r="M1173" s="126">
        <v>1108.8920000000001</v>
      </c>
      <c r="N1173" s="124">
        <v>5544.46</v>
      </c>
      <c r="O1173" t="s">
        <v>346</v>
      </c>
      <c r="P1173" t="s">
        <v>294</v>
      </c>
    </row>
    <row r="1174" spans="1:16" ht="15" customHeight="1" x14ac:dyDescent="0.25">
      <c r="A1174" s="123">
        <v>45724</v>
      </c>
      <c r="B1174" t="s">
        <v>370</v>
      </c>
      <c r="C1174" t="s">
        <v>371</v>
      </c>
      <c r="D1174" t="s">
        <v>227</v>
      </c>
      <c r="E1174" t="s">
        <v>442</v>
      </c>
      <c r="F1174" t="s">
        <v>179</v>
      </c>
      <c r="G1174" t="s">
        <v>1581</v>
      </c>
      <c r="H1174" s="77">
        <v>11</v>
      </c>
      <c r="I1174" s="124">
        <v>190.62</v>
      </c>
      <c r="J1174" s="124">
        <v>2096.79</v>
      </c>
      <c r="K1174" s="77">
        <v>45</v>
      </c>
      <c r="L1174" t="s">
        <v>351</v>
      </c>
      <c r="M1174" s="126">
        <v>419.358</v>
      </c>
      <c r="N1174" s="124">
        <v>2096.79</v>
      </c>
      <c r="O1174" t="s">
        <v>340</v>
      </c>
      <c r="P1174" t="s">
        <v>294</v>
      </c>
    </row>
    <row r="1175" spans="1:16" ht="15" customHeight="1" x14ac:dyDescent="0.25">
      <c r="A1175" s="123">
        <v>45905</v>
      </c>
      <c r="B1175" t="s">
        <v>358</v>
      </c>
      <c r="C1175" t="s">
        <v>359</v>
      </c>
      <c r="D1175" t="s">
        <v>225</v>
      </c>
      <c r="E1175" t="s">
        <v>415</v>
      </c>
      <c r="F1175" t="s">
        <v>178</v>
      </c>
      <c r="G1175" t="s">
        <v>1582</v>
      </c>
      <c r="H1175" s="77">
        <v>56</v>
      </c>
      <c r="I1175" s="124">
        <v>62.8</v>
      </c>
      <c r="J1175" s="124">
        <v>3516.82</v>
      </c>
      <c r="K1175" s="77">
        <v>30</v>
      </c>
      <c r="L1175" t="s">
        <v>339</v>
      </c>
      <c r="M1175" s="126">
        <v>703.36400000000003</v>
      </c>
      <c r="N1175" s="124">
        <v>3516.82</v>
      </c>
      <c r="O1175" t="s">
        <v>340</v>
      </c>
      <c r="P1175" t="s">
        <v>294</v>
      </c>
    </row>
    <row r="1176" spans="1:16" ht="15" customHeight="1" x14ac:dyDescent="0.25">
      <c r="A1176" s="123">
        <v>45920</v>
      </c>
      <c r="B1176" t="s">
        <v>431</v>
      </c>
      <c r="C1176" t="s">
        <v>432</v>
      </c>
      <c r="D1176" t="s">
        <v>221</v>
      </c>
      <c r="E1176" t="s">
        <v>440</v>
      </c>
      <c r="F1176" t="s">
        <v>177</v>
      </c>
      <c r="G1176" t="s">
        <v>1583</v>
      </c>
      <c r="H1176" s="77">
        <v>76</v>
      </c>
      <c r="I1176" s="124">
        <v>79.27</v>
      </c>
      <c r="J1176" s="124">
        <v>6024.23</v>
      </c>
      <c r="K1176" s="77">
        <v>30</v>
      </c>
      <c r="L1176" t="s">
        <v>345</v>
      </c>
      <c r="M1176" s="126">
        <v>1204.846</v>
      </c>
      <c r="N1176" s="124">
        <v>6024.23</v>
      </c>
      <c r="O1176" t="s">
        <v>346</v>
      </c>
      <c r="P1176" t="s">
        <v>294</v>
      </c>
    </row>
    <row r="1177" spans="1:16" ht="15" customHeight="1" x14ac:dyDescent="0.25">
      <c r="A1177" s="123">
        <v>45691</v>
      </c>
      <c r="B1177" t="s">
        <v>386</v>
      </c>
      <c r="C1177" t="s">
        <v>387</v>
      </c>
      <c r="D1177" t="s">
        <v>223</v>
      </c>
      <c r="E1177" t="s">
        <v>356</v>
      </c>
      <c r="F1177" t="s">
        <v>181</v>
      </c>
      <c r="G1177" t="s">
        <v>1584</v>
      </c>
      <c r="H1177" s="77">
        <v>39</v>
      </c>
      <c r="I1177" s="124">
        <v>188.53</v>
      </c>
      <c r="J1177" s="124">
        <v>7352.66</v>
      </c>
      <c r="K1177" s="77">
        <v>60</v>
      </c>
      <c r="L1177" t="s">
        <v>339</v>
      </c>
      <c r="M1177" s="126">
        <v>1470.5319999999999</v>
      </c>
      <c r="N1177" s="124">
        <v>7352.66</v>
      </c>
      <c r="O1177" t="s">
        <v>340</v>
      </c>
      <c r="P1177" t="s">
        <v>294</v>
      </c>
    </row>
    <row r="1178" spans="1:16" ht="15" customHeight="1" x14ac:dyDescent="0.25">
      <c r="A1178" s="123">
        <v>45966</v>
      </c>
      <c r="B1178" t="s">
        <v>386</v>
      </c>
      <c r="C1178" t="s">
        <v>387</v>
      </c>
      <c r="D1178" t="s">
        <v>223</v>
      </c>
      <c r="E1178" t="s">
        <v>415</v>
      </c>
      <c r="F1178" t="s">
        <v>178</v>
      </c>
      <c r="G1178" t="s">
        <v>1585</v>
      </c>
      <c r="H1178" s="77">
        <v>27</v>
      </c>
      <c r="I1178" s="124">
        <v>25.62</v>
      </c>
      <c r="J1178" s="124">
        <v>691.66</v>
      </c>
      <c r="K1178" s="77">
        <v>60</v>
      </c>
      <c r="L1178" t="s">
        <v>339</v>
      </c>
      <c r="M1178" s="126">
        <v>138.33199999999999</v>
      </c>
      <c r="N1178" s="124">
        <v>691.66</v>
      </c>
      <c r="O1178" t="s">
        <v>340</v>
      </c>
      <c r="P1178" t="s">
        <v>294</v>
      </c>
    </row>
    <row r="1179" spans="1:16" ht="15" customHeight="1" x14ac:dyDescent="0.25">
      <c r="A1179" s="123">
        <v>45704</v>
      </c>
      <c r="B1179" t="s">
        <v>335</v>
      </c>
      <c r="C1179" t="s">
        <v>336</v>
      </c>
      <c r="D1179" t="s">
        <v>223</v>
      </c>
      <c r="E1179" t="s">
        <v>376</v>
      </c>
      <c r="F1179" t="s">
        <v>182</v>
      </c>
      <c r="G1179" t="s">
        <v>1586</v>
      </c>
      <c r="H1179" s="77">
        <v>19</v>
      </c>
      <c r="I1179" s="124">
        <v>90</v>
      </c>
      <c r="J1179" s="124">
        <v>1709.97</v>
      </c>
      <c r="K1179" s="77">
        <v>60</v>
      </c>
      <c r="L1179" t="s">
        <v>345</v>
      </c>
      <c r="M1179" s="126">
        <v>341.99400000000003</v>
      </c>
      <c r="N1179" s="124">
        <v>1709.97</v>
      </c>
      <c r="O1179" t="s">
        <v>340</v>
      </c>
      <c r="P1179" t="s">
        <v>294</v>
      </c>
    </row>
    <row r="1180" spans="1:16" ht="15" customHeight="1" x14ac:dyDescent="0.25">
      <c r="A1180" s="123">
        <v>45740</v>
      </c>
      <c r="B1180" t="s">
        <v>393</v>
      </c>
      <c r="C1180" t="s">
        <v>394</v>
      </c>
      <c r="D1180" t="s">
        <v>227</v>
      </c>
      <c r="E1180" t="s">
        <v>420</v>
      </c>
      <c r="F1180" t="s">
        <v>182</v>
      </c>
      <c r="G1180" t="s">
        <v>1587</v>
      </c>
      <c r="H1180" s="77">
        <v>65</v>
      </c>
      <c r="I1180" s="124">
        <v>55.16</v>
      </c>
      <c r="J1180" s="124">
        <v>3585.09</v>
      </c>
      <c r="K1180" s="77">
        <v>60</v>
      </c>
      <c r="L1180" t="s">
        <v>351</v>
      </c>
      <c r="M1180" s="126">
        <v>717.01800000000003</v>
      </c>
      <c r="N1180" s="124">
        <v>3585.09</v>
      </c>
      <c r="O1180" t="s">
        <v>346</v>
      </c>
      <c r="P1180" t="s">
        <v>294</v>
      </c>
    </row>
    <row r="1181" spans="1:16" ht="15" customHeight="1" x14ac:dyDescent="0.25">
      <c r="A1181" s="123">
        <v>45954</v>
      </c>
      <c r="B1181" t="s">
        <v>335</v>
      </c>
      <c r="C1181" t="s">
        <v>336</v>
      </c>
      <c r="D1181" t="s">
        <v>223</v>
      </c>
      <c r="E1181" t="s">
        <v>415</v>
      </c>
      <c r="F1181" t="s">
        <v>178</v>
      </c>
      <c r="G1181" t="s">
        <v>1588</v>
      </c>
      <c r="H1181" s="77">
        <v>2</v>
      </c>
      <c r="I1181" s="124">
        <v>35.42</v>
      </c>
      <c r="J1181" s="124">
        <v>70.849999999999994</v>
      </c>
      <c r="K1181" s="77">
        <v>60</v>
      </c>
      <c r="L1181" t="s">
        <v>339</v>
      </c>
      <c r="M1181" s="126">
        <v>14.17</v>
      </c>
      <c r="N1181" s="124">
        <v>70.849999999999994</v>
      </c>
      <c r="O1181" t="s">
        <v>340</v>
      </c>
      <c r="P1181" t="s">
        <v>294</v>
      </c>
    </row>
    <row r="1182" spans="1:16" ht="15" customHeight="1" x14ac:dyDescent="0.25">
      <c r="A1182" s="123">
        <v>45745</v>
      </c>
      <c r="B1182" t="s">
        <v>488</v>
      </c>
      <c r="C1182" t="s">
        <v>489</v>
      </c>
      <c r="D1182" t="s">
        <v>225</v>
      </c>
      <c r="E1182" t="s">
        <v>360</v>
      </c>
      <c r="F1182" t="s">
        <v>180</v>
      </c>
      <c r="G1182" t="s">
        <v>1589</v>
      </c>
      <c r="H1182" s="77">
        <v>69</v>
      </c>
      <c r="I1182" s="124">
        <v>276</v>
      </c>
      <c r="J1182" s="124">
        <v>19044.03</v>
      </c>
      <c r="K1182" s="77">
        <v>30</v>
      </c>
      <c r="L1182" t="s">
        <v>351</v>
      </c>
      <c r="M1182" s="126">
        <v>3808.806</v>
      </c>
      <c r="N1182" s="124">
        <v>19044.03</v>
      </c>
      <c r="O1182" t="s">
        <v>346</v>
      </c>
      <c r="P1182" t="s">
        <v>294</v>
      </c>
    </row>
    <row r="1183" spans="1:16" ht="15" customHeight="1" x14ac:dyDescent="0.25">
      <c r="A1183" s="123">
        <v>46020</v>
      </c>
      <c r="B1183" t="s">
        <v>370</v>
      </c>
      <c r="C1183" t="s">
        <v>371</v>
      </c>
      <c r="D1183" t="s">
        <v>227</v>
      </c>
      <c r="E1183" t="s">
        <v>352</v>
      </c>
      <c r="F1183" t="s">
        <v>180</v>
      </c>
      <c r="G1183" t="s">
        <v>1590</v>
      </c>
      <c r="H1183" s="77">
        <v>61</v>
      </c>
      <c r="I1183" s="124">
        <v>537.57000000000005</v>
      </c>
      <c r="J1183" s="124">
        <v>32791.870000000003</v>
      </c>
      <c r="K1183" s="77">
        <v>45</v>
      </c>
      <c r="L1183" t="s">
        <v>351</v>
      </c>
      <c r="M1183" s="126">
        <v>6558.3739999999998</v>
      </c>
      <c r="N1183" s="124">
        <v>32791.870000000003</v>
      </c>
      <c r="O1183" t="s">
        <v>346</v>
      </c>
      <c r="P1183" t="s">
        <v>294</v>
      </c>
    </row>
    <row r="1184" spans="1:16" ht="15" customHeight="1" x14ac:dyDescent="0.25">
      <c r="A1184" s="123">
        <v>46002</v>
      </c>
      <c r="B1184" t="s">
        <v>398</v>
      </c>
      <c r="C1184" t="s">
        <v>399</v>
      </c>
      <c r="D1184" t="s">
        <v>227</v>
      </c>
      <c r="E1184" t="s">
        <v>381</v>
      </c>
      <c r="F1184" t="s">
        <v>179</v>
      </c>
      <c r="G1184" t="s">
        <v>1591</v>
      </c>
      <c r="H1184" s="77">
        <v>14</v>
      </c>
      <c r="I1184" s="124">
        <v>298.27999999999997</v>
      </c>
      <c r="J1184" s="124">
        <v>4175.91</v>
      </c>
      <c r="K1184" s="77">
        <v>30</v>
      </c>
      <c r="L1184" t="s">
        <v>345</v>
      </c>
      <c r="M1184" s="126">
        <v>835.18200000000002</v>
      </c>
      <c r="N1184" s="124">
        <v>4175.91</v>
      </c>
      <c r="O1184" t="s">
        <v>346</v>
      </c>
      <c r="P1184" t="s">
        <v>294</v>
      </c>
    </row>
    <row r="1185" spans="1:16" ht="15" customHeight="1" x14ac:dyDescent="0.25">
      <c r="A1185" s="123">
        <v>45921</v>
      </c>
      <c r="B1185" t="s">
        <v>335</v>
      </c>
      <c r="C1185" t="s">
        <v>336</v>
      </c>
      <c r="D1185" t="s">
        <v>223</v>
      </c>
      <c r="E1185" t="s">
        <v>235</v>
      </c>
      <c r="F1185" t="s">
        <v>183</v>
      </c>
      <c r="G1185" t="s">
        <v>1592</v>
      </c>
      <c r="H1185" s="77">
        <v>30</v>
      </c>
      <c r="I1185" s="124">
        <v>126.47</v>
      </c>
      <c r="J1185" s="124">
        <v>3794.11</v>
      </c>
      <c r="K1185" s="77">
        <v>45</v>
      </c>
      <c r="L1185" t="s">
        <v>339</v>
      </c>
      <c r="M1185" s="126">
        <v>758.822</v>
      </c>
      <c r="N1185" s="124">
        <v>3794.11</v>
      </c>
      <c r="O1185" t="s">
        <v>346</v>
      </c>
      <c r="P1185" t="s">
        <v>294</v>
      </c>
    </row>
    <row r="1186" spans="1:16" ht="15" customHeight="1" x14ac:dyDescent="0.25">
      <c r="A1186" s="123">
        <v>45896</v>
      </c>
      <c r="B1186" t="s">
        <v>341</v>
      </c>
      <c r="C1186" t="s">
        <v>342</v>
      </c>
      <c r="D1186" t="s">
        <v>223</v>
      </c>
      <c r="E1186" t="s">
        <v>376</v>
      </c>
      <c r="F1186" t="s">
        <v>182</v>
      </c>
      <c r="G1186" t="s">
        <v>1593</v>
      </c>
      <c r="H1186" s="77">
        <v>15</v>
      </c>
      <c r="I1186" s="124">
        <v>55.12</v>
      </c>
      <c r="J1186" s="124">
        <v>826.86</v>
      </c>
      <c r="K1186" s="77">
        <v>60</v>
      </c>
      <c r="L1186" t="s">
        <v>339</v>
      </c>
      <c r="M1186" s="126">
        <v>165.37200000000001</v>
      </c>
      <c r="N1186" s="124">
        <v>826.86</v>
      </c>
      <c r="O1186" t="s">
        <v>340</v>
      </c>
      <c r="P1186" t="s">
        <v>294</v>
      </c>
    </row>
    <row r="1187" spans="1:16" ht="15" customHeight="1" x14ac:dyDescent="0.25">
      <c r="A1187" s="123">
        <v>45805</v>
      </c>
      <c r="B1187" t="s">
        <v>401</v>
      </c>
      <c r="C1187" t="s">
        <v>402</v>
      </c>
      <c r="D1187" t="s">
        <v>221</v>
      </c>
      <c r="E1187" t="s">
        <v>364</v>
      </c>
      <c r="F1187" t="s">
        <v>182</v>
      </c>
      <c r="G1187" t="s">
        <v>1594</v>
      </c>
      <c r="H1187" s="77">
        <v>72</v>
      </c>
      <c r="I1187" s="124">
        <v>159.38</v>
      </c>
      <c r="J1187" s="124">
        <v>11475.47</v>
      </c>
      <c r="K1187" s="77">
        <v>60</v>
      </c>
      <c r="L1187" t="s">
        <v>339</v>
      </c>
      <c r="M1187" s="126">
        <v>2295.0940000000001</v>
      </c>
      <c r="N1187" s="124">
        <v>11475.47</v>
      </c>
      <c r="O1187" t="s">
        <v>346</v>
      </c>
      <c r="P1187" t="s">
        <v>294</v>
      </c>
    </row>
    <row r="1188" spans="1:16" ht="15" customHeight="1" x14ac:dyDescent="0.25">
      <c r="A1188" s="123">
        <v>45717</v>
      </c>
      <c r="B1188" t="s">
        <v>354</v>
      </c>
      <c r="C1188" t="s">
        <v>355</v>
      </c>
      <c r="D1188" t="s">
        <v>227</v>
      </c>
      <c r="E1188" t="s">
        <v>420</v>
      </c>
      <c r="F1188" t="s">
        <v>182</v>
      </c>
      <c r="G1188" t="s">
        <v>1595</v>
      </c>
      <c r="H1188" s="77">
        <v>50</v>
      </c>
      <c r="I1188" s="124">
        <v>55.34</v>
      </c>
      <c r="J1188" s="124">
        <v>2767.04</v>
      </c>
      <c r="K1188" s="77">
        <v>45</v>
      </c>
      <c r="L1188" t="s">
        <v>345</v>
      </c>
      <c r="M1188" s="126">
        <v>553.40800000000002</v>
      </c>
      <c r="N1188" s="124">
        <v>2767.04</v>
      </c>
      <c r="O1188" t="s">
        <v>346</v>
      </c>
      <c r="P1188" t="s">
        <v>294</v>
      </c>
    </row>
    <row r="1189" spans="1:16" ht="15" customHeight="1" x14ac:dyDescent="0.25">
      <c r="A1189" s="123">
        <v>45885</v>
      </c>
      <c r="B1189" t="s">
        <v>383</v>
      </c>
      <c r="C1189" t="s">
        <v>384</v>
      </c>
      <c r="D1189" t="s">
        <v>225</v>
      </c>
      <c r="E1189" t="s">
        <v>403</v>
      </c>
      <c r="F1189" t="s">
        <v>181</v>
      </c>
      <c r="G1189" t="s">
        <v>1596</v>
      </c>
      <c r="H1189" s="77">
        <v>29</v>
      </c>
      <c r="I1189" s="124">
        <v>194.43</v>
      </c>
      <c r="J1189" s="124">
        <v>5638.51</v>
      </c>
      <c r="K1189" s="77">
        <v>60</v>
      </c>
      <c r="L1189" t="s">
        <v>345</v>
      </c>
      <c r="M1189" s="126">
        <v>1127.702</v>
      </c>
      <c r="N1189" s="124">
        <v>5638.51</v>
      </c>
      <c r="O1189" t="s">
        <v>346</v>
      </c>
      <c r="P1189" t="s">
        <v>294</v>
      </c>
    </row>
    <row r="1190" spans="1:16" ht="15" customHeight="1" x14ac:dyDescent="0.25">
      <c r="A1190" s="123">
        <v>45693</v>
      </c>
      <c r="B1190" t="s">
        <v>409</v>
      </c>
      <c r="C1190" t="s">
        <v>410</v>
      </c>
      <c r="D1190" t="s">
        <v>223</v>
      </c>
      <c r="E1190" t="s">
        <v>235</v>
      </c>
      <c r="F1190" t="s">
        <v>183</v>
      </c>
      <c r="G1190" t="s">
        <v>1597</v>
      </c>
      <c r="H1190" s="77">
        <v>61</v>
      </c>
      <c r="I1190" s="124">
        <v>405.98</v>
      </c>
      <c r="J1190" s="124">
        <v>24764.959999999999</v>
      </c>
      <c r="K1190" s="77">
        <v>60</v>
      </c>
      <c r="L1190" t="s">
        <v>345</v>
      </c>
      <c r="M1190" s="126">
        <v>4952.9920000000002</v>
      </c>
      <c r="N1190" s="124">
        <v>24764.959999999999</v>
      </c>
      <c r="O1190" t="s">
        <v>346</v>
      </c>
      <c r="P1190" t="s">
        <v>294</v>
      </c>
    </row>
    <row r="1191" spans="1:16" ht="15" customHeight="1" x14ac:dyDescent="0.25">
      <c r="A1191" s="123">
        <v>45909</v>
      </c>
      <c r="B1191" t="s">
        <v>378</v>
      </c>
      <c r="C1191" t="s">
        <v>379</v>
      </c>
      <c r="D1191" t="s">
        <v>227</v>
      </c>
      <c r="E1191" t="s">
        <v>440</v>
      </c>
      <c r="F1191" t="s">
        <v>177</v>
      </c>
      <c r="G1191" t="s">
        <v>1598</v>
      </c>
      <c r="H1191" s="77">
        <v>14</v>
      </c>
      <c r="I1191" s="124">
        <v>70.45</v>
      </c>
      <c r="J1191" s="124">
        <v>986.3</v>
      </c>
      <c r="K1191" s="77">
        <v>45</v>
      </c>
      <c r="L1191" t="s">
        <v>345</v>
      </c>
      <c r="M1191" s="126">
        <v>197.26</v>
      </c>
      <c r="N1191" s="124">
        <v>986.3</v>
      </c>
      <c r="O1191" t="s">
        <v>346</v>
      </c>
      <c r="P1191" t="s">
        <v>294</v>
      </c>
    </row>
    <row r="1192" spans="1:16" ht="15" customHeight="1" x14ac:dyDescent="0.25">
      <c r="A1192" s="123">
        <v>45731</v>
      </c>
      <c r="B1192" t="s">
        <v>370</v>
      </c>
      <c r="C1192" t="s">
        <v>371</v>
      </c>
      <c r="D1192" t="s">
        <v>227</v>
      </c>
      <c r="E1192" t="s">
        <v>415</v>
      </c>
      <c r="F1192" t="s">
        <v>178</v>
      </c>
      <c r="G1192" t="s">
        <v>1599</v>
      </c>
      <c r="H1192" s="77">
        <v>51</v>
      </c>
      <c r="I1192" s="124">
        <v>68.88</v>
      </c>
      <c r="J1192" s="124">
        <v>3512.8</v>
      </c>
      <c r="K1192" s="77">
        <v>45</v>
      </c>
      <c r="L1192" t="s">
        <v>351</v>
      </c>
      <c r="M1192" s="126">
        <v>702.56</v>
      </c>
      <c r="N1192" s="124">
        <v>3512.8</v>
      </c>
      <c r="O1192" t="s">
        <v>340</v>
      </c>
      <c r="P1192" t="s">
        <v>294</v>
      </c>
    </row>
    <row r="1193" spans="1:16" ht="15" customHeight="1" x14ac:dyDescent="0.25">
      <c r="A1193" s="123">
        <v>45744</v>
      </c>
      <c r="B1193" t="s">
        <v>378</v>
      </c>
      <c r="C1193" t="s">
        <v>379</v>
      </c>
      <c r="D1193" t="s">
        <v>227</v>
      </c>
      <c r="E1193" t="s">
        <v>343</v>
      </c>
      <c r="F1193" t="s">
        <v>178</v>
      </c>
      <c r="G1193" t="s">
        <v>1600</v>
      </c>
      <c r="H1193" s="77">
        <v>9</v>
      </c>
      <c r="I1193" s="124">
        <v>31.21</v>
      </c>
      <c r="J1193" s="124">
        <v>280.87</v>
      </c>
      <c r="K1193" s="77">
        <v>45</v>
      </c>
      <c r="L1193" t="s">
        <v>339</v>
      </c>
      <c r="M1193" s="126">
        <v>56.173999999999999</v>
      </c>
      <c r="N1193" s="124">
        <v>280.87</v>
      </c>
      <c r="O1193" t="s">
        <v>346</v>
      </c>
      <c r="P1193" t="s">
        <v>294</v>
      </c>
    </row>
    <row r="1194" spans="1:16" ht="15" customHeight="1" x14ac:dyDescent="0.25">
      <c r="A1194" s="123">
        <v>45864</v>
      </c>
      <c r="B1194" t="s">
        <v>488</v>
      </c>
      <c r="C1194" t="s">
        <v>489</v>
      </c>
      <c r="D1194" t="s">
        <v>225</v>
      </c>
      <c r="E1194" t="s">
        <v>352</v>
      </c>
      <c r="F1194" t="s">
        <v>180</v>
      </c>
      <c r="G1194" t="s">
        <v>1601</v>
      </c>
      <c r="H1194" s="77">
        <v>16</v>
      </c>
      <c r="I1194" s="124">
        <v>179.6</v>
      </c>
      <c r="J1194" s="124">
        <v>2873.53</v>
      </c>
      <c r="K1194" s="77">
        <v>30</v>
      </c>
      <c r="L1194" t="s">
        <v>345</v>
      </c>
      <c r="M1194" s="126">
        <v>574.70600000000002</v>
      </c>
      <c r="N1194" s="124">
        <v>2873.53</v>
      </c>
      <c r="O1194" t="s">
        <v>346</v>
      </c>
      <c r="P1194" t="s">
        <v>294</v>
      </c>
    </row>
    <row r="1195" spans="1:16" ht="15" customHeight="1" x14ac:dyDescent="0.25">
      <c r="A1195" s="123">
        <v>45955</v>
      </c>
      <c r="B1195" t="s">
        <v>354</v>
      </c>
      <c r="C1195" t="s">
        <v>355</v>
      </c>
      <c r="D1195" t="s">
        <v>227</v>
      </c>
      <c r="E1195" t="s">
        <v>427</v>
      </c>
      <c r="F1195" t="s">
        <v>184</v>
      </c>
      <c r="G1195" t="s">
        <v>1602</v>
      </c>
      <c r="H1195" s="77">
        <v>76</v>
      </c>
      <c r="I1195" s="124">
        <v>89.42</v>
      </c>
      <c r="J1195" s="124">
        <v>6796.08</v>
      </c>
      <c r="K1195" s="77">
        <v>45</v>
      </c>
      <c r="L1195" t="s">
        <v>351</v>
      </c>
      <c r="M1195" s="126">
        <v>1359.2159999999999</v>
      </c>
      <c r="N1195" s="124">
        <v>6796.08</v>
      </c>
      <c r="O1195" t="s">
        <v>346</v>
      </c>
      <c r="P1195" t="s">
        <v>294</v>
      </c>
    </row>
    <row r="1196" spans="1:16" ht="15" customHeight="1" x14ac:dyDescent="0.25">
      <c r="A1196" s="123">
        <v>45999</v>
      </c>
      <c r="B1196" t="s">
        <v>341</v>
      </c>
      <c r="C1196" t="s">
        <v>342</v>
      </c>
      <c r="D1196" t="s">
        <v>223</v>
      </c>
      <c r="E1196" t="s">
        <v>420</v>
      </c>
      <c r="F1196" t="s">
        <v>182</v>
      </c>
      <c r="G1196" t="s">
        <v>1603</v>
      </c>
      <c r="H1196" s="77">
        <v>78</v>
      </c>
      <c r="I1196" s="124">
        <v>39.56</v>
      </c>
      <c r="J1196" s="124">
        <v>3085.41</v>
      </c>
      <c r="K1196" s="77">
        <v>45</v>
      </c>
      <c r="L1196" t="s">
        <v>345</v>
      </c>
      <c r="M1196" s="126">
        <v>617.08199999999999</v>
      </c>
      <c r="N1196" s="124">
        <v>3085.41</v>
      </c>
      <c r="O1196" t="s">
        <v>346</v>
      </c>
      <c r="P1196" t="s">
        <v>294</v>
      </c>
    </row>
    <row r="1197" spans="1:16" ht="15" customHeight="1" x14ac:dyDescent="0.25">
      <c r="A1197" s="123">
        <v>45890</v>
      </c>
      <c r="B1197" t="s">
        <v>390</v>
      </c>
      <c r="C1197" t="s">
        <v>391</v>
      </c>
      <c r="D1197" t="s">
        <v>221</v>
      </c>
      <c r="E1197" t="s">
        <v>356</v>
      </c>
      <c r="F1197" t="s">
        <v>181</v>
      </c>
      <c r="G1197" t="s">
        <v>1604</v>
      </c>
      <c r="H1197" s="77">
        <v>14</v>
      </c>
      <c r="I1197" s="124">
        <v>280.31</v>
      </c>
      <c r="J1197" s="124">
        <v>3924.31</v>
      </c>
      <c r="K1197" s="77">
        <v>30</v>
      </c>
      <c r="L1197" t="s">
        <v>345</v>
      </c>
      <c r="M1197" s="126">
        <v>784.86199999999997</v>
      </c>
      <c r="N1197" s="124">
        <v>3924.31</v>
      </c>
      <c r="O1197" t="s">
        <v>340</v>
      </c>
      <c r="P1197" t="s">
        <v>294</v>
      </c>
    </row>
    <row r="1198" spans="1:16" ht="15" customHeight="1" x14ac:dyDescent="0.25">
      <c r="A1198" s="123">
        <v>45979</v>
      </c>
      <c r="B1198" t="s">
        <v>370</v>
      </c>
      <c r="C1198" t="s">
        <v>371</v>
      </c>
      <c r="D1198" t="s">
        <v>227</v>
      </c>
      <c r="E1198" t="s">
        <v>396</v>
      </c>
      <c r="F1198" t="s">
        <v>184</v>
      </c>
      <c r="G1198" t="s">
        <v>1605</v>
      </c>
      <c r="H1198" s="77">
        <v>18</v>
      </c>
      <c r="I1198" s="124">
        <v>74.19</v>
      </c>
      <c r="J1198" s="124">
        <v>1335.5</v>
      </c>
      <c r="K1198" s="77">
        <v>30</v>
      </c>
      <c r="L1198" t="s">
        <v>339</v>
      </c>
      <c r="M1198" s="126">
        <v>267.10000000000002</v>
      </c>
      <c r="N1198" s="124">
        <v>1335.5</v>
      </c>
      <c r="O1198" t="s">
        <v>346</v>
      </c>
      <c r="P1198" t="s">
        <v>294</v>
      </c>
    </row>
    <row r="1199" spans="1:16" ht="15" customHeight="1" x14ac:dyDescent="0.25">
      <c r="A1199" s="123">
        <v>45913</v>
      </c>
      <c r="B1199" t="s">
        <v>431</v>
      </c>
      <c r="C1199" t="s">
        <v>432</v>
      </c>
      <c r="D1199" t="s">
        <v>221</v>
      </c>
      <c r="E1199" t="s">
        <v>349</v>
      </c>
      <c r="F1199" t="s">
        <v>177</v>
      </c>
      <c r="G1199" t="s">
        <v>1606</v>
      </c>
      <c r="H1199" s="77">
        <v>4</v>
      </c>
      <c r="I1199" s="124">
        <v>162.61000000000001</v>
      </c>
      <c r="J1199" s="124">
        <v>650.44000000000005</v>
      </c>
      <c r="K1199" s="77">
        <v>30</v>
      </c>
      <c r="L1199" t="s">
        <v>345</v>
      </c>
      <c r="M1199" s="126">
        <v>130.08799999999999</v>
      </c>
      <c r="N1199" s="124">
        <v>650.44000000000005</v>
      </c>
      <c r="O1199" t="s">
        <v>340</v>
      </c>
      <c r="P1199" t="s">
        <v>294</v>
      </c>
    </row>
    <row r="1200" spans="1:16" ht="15" customHeight="1" x14ac:dyDescent="0.25">
      <c r="A1200" s="123">
        <v>45813</v>
      </c>
      <c r="B1200" t="s">
        <v>378</v>
      </c>
      <c r="C1200" t="s">
        <v>379</v>
      </c>
      <c r="D1200" t="s">
        <v>227</v>
      </c>
      <c r="E1200" t="s">
        <v>376</v>
      </c>
      <c r="F1200" t="s">
        <v>182</v>
      </c>
      <c r="G1200" t="s">
        <v>1607</v>
      </c>
      <c r="H1200" s="77">
        <v>80</v>
      </c>
      <c r="I1200" s="124">
        <v>107.45</v>
      </c>
      <c r="J1200" s="124">
        <v>8596.0300000000007</v>
      </c>
      <c r="K1200" s="77">
        <v>60</v>
      </c>
      <c r="L1200" t="s">
        <v>339</v>
      </c>
      <c r="M1200" s="126">
        <v>1719.2059999999999</v>
      </c>
      <c r="N1200" s="124">
        <v>8596.0300000000007</v>
      </c>
      <c r="O1200" t="s">
        <v>340</v>
      </c>
      <c r="P1200" t="s">
        <v>294</v>
      </c>
    </row>
    <row r="1201" spans="1:16" ht="15" customHeight="1" x14ac:dyDescent="0.25">
      <c r="A1201" s="123">
        <v>45924</v>
      </c>
      <c r="B1201" t="s">
        <v>393</v>
      </c>
      <c r="C1201" t="s">
        <v>394</v>
      </c>
      <c r="D1201" t="s">
        <v>227</v>
      </c>
      <c r="E1201" t="s">
        <v>343</v>
      </c>
      <c r="F1201" t="s">
        <v>178</v>
      </c>
      <c r="G1201" t="s">
        <v>1608</v>
      </c>
      <c r="H1201" s="77">
        <v>64</v>
      </c>
      <c r="I1201" s="124">
        <v>137.63999999999999</v>
      </c>
      <c r="J1201" s="124">
        <v>8809.16</v>
      </c>
      <c r="K1201" s="77">
        <v>45</v>
      </c>
      <c r="L1201" t="s">
        <v>339</v>
      </c>
      <c r="M1201" s="126">
        <v>1761.8320000000001</v>
      </c>
      <c r="N1201" s="124">
        <v>8809.16</v>
      </c>
      <c r="O1201" t="s">
        <v>346</v>
      </c>
      <c r="P1201" t="s">
        <v>294</v>
      </c>
    </row>
    <row r="1202" spans="1:16" ht="15" customHeight="1" x14ac:dyDescent="0.25">
      <c r="A1202" s="123">
        <v>45916</v>
      </c>
      <c r="B1202" t="s">
        <v>362</v>
      </c>
      <c r="C1202" t="s">
        <v>363</v>
      </c>
      <c r="D1202" t="s">
        <v>221</v>
      </c>
      <c r="E1202" t="s">
        <v>427</v>
      </c>
      <c r="F1202" t="s">
        <v>184</v>
      </c>
      <c r="G1202" t="s">
        <v>1609</v>
      </c>
      <c r="H1202" s="77">
        <v>34</v>
      </c>
      <c r="I1202" s="124">
        <v>80.349999999999994</v>
      </c>
      <c r="J1202" s="124">
        <v>2731.82</v>
      </c>
      <c r="K1202" s="77">
        <v>60</v>
      </c>
      <c r="L1202" t="s">
        <v>345</v>
      </c>
      <c r="M1202" s="126">
        <v>546.36400000000003</v>
      </c>
      <c r="N1202" s="124">
        <v>2731.82</v>
      </c>
      <c r="O1202" t="s">
        <v>346</v>
      </c>
      <c r="P1202" t="s">
        <v>294</v>
      </c>
    </row>
    <row r="1203" spans="1:16" ht="15" customHeight="1" x14ac:dyDescent="0.25">
      <c r="A1203" s="123">
        <v>45878</v>
      </c>
      <c r="B1203" t="s">
        <v>386</v>
      </c>
      <c r="C1203" t="s">
        <v>387</v>
      </c>
      <c r="D1203" t="s">
        <v>223</v>
      </c>
      <c r="E1203" t="s">
        <v>349</v>
      </c>
      <c r="F1203" t="s">
        <v>177</v>
      </c>
      <c r="G1203" t="s">
        <v>1610</v>
      </c>
      <c r="H1203" s="77">
        <v>16</v>
      </c>
      <c r="I1203" s="124">
        <v>94.76</v>
      </c>
      <c r="J1203" s="124">
        <v>1516.12</v>
      </c>
      <c r="K1203" s="77">
        <v>45</v>
      </c>
      <c r="L1203" t="s">
        <v>345</v>
      </c>
      <c r="M1203" s="126">
        <v>303.22399999999999</v>
      </c>
      <c r="N1203" s="124">
        <v>1516.12</v>
      </c>
      <c r="O1203" t="s">
        <v>340</v>
      </c>
      <c r="P1203" t="s">
        <v>294</v>
      </c>
    </row>
    <row r="1204" spans="1:16" ht="15" customHeight="1" x14ac:dyDescent="0.25">
      <c r="A1204" s="123">
        <v>45893</v>
      </c>
      <c r="B1204" t="s">
        <v>370</v>
      </c>
      <c r="C1204" t="s">
        <v>371</v>
      </c>
      <c r="D1204" t="s">
        <v>227</v>
      </c>
      <c r="E1204" t="s">
        <v>234</v>
      </c>
      <c r="F1204" t="s">
        <v>183</v>
      </c>
      <c r="G1204" t="s">
        <v>1611</v>
      </c>
      <c r="H1204" s="77">
        <v>5</v>
      </c>
      <c r="I1204" s="124">
        <v>320.87</v>
      </c>
      <c r="J1204" s="124">
        <v>1604.37</v>
      </c>
      <c r="K1204" s="77">
        <v>30</v>
      </c>
      <c r="L1204" t="s">
        <v>339</v>
      </c>
      <c r="M1204" s="126">
        <v>320.87400000000002</v>
      </c>
      <c r="N1204" s="124">
        <v>1604.37</v>
      </c>
      <c r="O1204" t="s">
        <v>346</v>
      </c>
      <c r="P1204" t="s">
        <v>294</v>
      </c>
    </row>
    <row r="1205" spans="1:16" ht="15" customHeight="1" x14ac:dyDescent="0.25">
      <c r="A1205" s="123">
        <v>45742</v>
      </c>
      <c r="B1205" t="s">
        <v>362</v>
      </c>
      <c r="C1205" t="s">
        <v>363</v>
      </c>
      <c r="D1205" t="s">
        <v>221</v>
      </c>
      <c r="E1205" t="s">
        <v>403</v>
      </c>
      <c r="F1205" t="s">
        <v>181</v>
      </c>
      <c r="G1205" t="s">
        <v>1612</v>
      </c>
      <c r="H1205" s="77">
        <v>63</v>
      </c>
      <c r="I1205" s="124">
        <v>296.62</v>
      </c>
      <c r="J1205" s="124">
        <v>18686.87</v>
      </c>
      <c r="K1205" s="77">
        <v>45</v>
      </c>
      <c r="L1205" t="s">
        <v>339</v>
      </c>
      <c r="M1205" s="126">
        <v>3737.3739999999998</v>
      </c>
      <c r="N1205" s="124">
        <v>18686.87</v>
      </c>
      <c r="O1205" t="s">
        <v>346</v>
      </c>
      <c r="P1205" t="s">
        <v>294</v>
      </c>
    </row>
    <row r="1206" spans="1:16" ht="15" customHeight="1" x14ac:dyDescent="0.25">
      <c r="A1206" s="123">
        <v>45714</v>
      </c>
      <c r="B1206" t="s">
        <v>401</v>
      </c>
      <c r="C1206" t="s">
        <v>402</v>
      </c>
      <c r="D1206" t="s">
        <v>221</v>
      </c>
      <c r="E1206" t="s">
        <v>234</v>
      </c>
      <c r="F1206" t="s">
        <v>183</v>
      </c>
      <c r="G1206" t="s">
        <v>1613</v>
      </c>
      <c r="H1206" s="77">
        <v>73</v>
      </c>
      <c r="I1206" s="124">
        <v>308.17</v>
      </c>
      <c r="J1206" s="124">
        <v>22496.5</v>
      </c>
      <c r="K1206" s="77">
        <v>60</v>
      </c>
      <c r="L1206" t="s">
        <v>345</v>
      </c>
      <c r="M1206" s="126">
        <v>4499.3</v>
      </c>
      <c r="N1206" s="124">
        <v>22496.5</v>
      </c>
      <c r="O1206" t="s">
        <v>346</v>
      </c>
      <c r="P1206" t="s">
        <v>294</v>
      </c>
    </row>
    <row r="1207" spans="1:16" ht="15" customHeight="1" x14ac:dyDescent="0.25">
      <c r="A1207" s="123">
        <v>45945</v>
      </c>
      <c r="B1207" t="s">
        <v>431</v>
      </c>
      <c r="C1207" t="s">
        <v>432</v>
      </c>
      <c r="D1207" t="s">
        <v>221</v>
      </c>
      <c r="E1207" t="s">
        <v>427</v>
      </c>
      <c r="F1207" t="s">
        <v>184</v>
      </c>
      <c r="G1207" t="s">
        <v>1614</v>
      </c>
      <c r="H1207" s="77">
        <v>21</v>
      </c>
      <c r="I1207" s="124">
        <v>76.69</v>
      </c>
      <c r="J1207" s="124">
        <v>1610.56</v>
      </c>
      <c r="K1207" s="77">
        <v>60</v>
      </c>
      <c r="L1207" t="s">
        <v>339</v>
      </c>
      <c r="M1207" s="126">
        <v>322.11200000000002</v>
      </c>
      <c r="N1207" s="124">
        <v>1610.56</v>
      </c>
      <c r="O1207" t="s">
        <v>346</v>
      </c>
      <c r="P1207" t="s">
        <v>294</v>
      </c>
    </row>
    <row r="1208" spans="1:16" ht="15" customHeight="1" x14ac:dyDescent="0.25">
      <c r="A1208" s="123">
        <v>45960</v>
      </c>
      <c r="B1208" t="s">
        <v>362</v>
      </c>
      <c r="C1208" t="s">
        <v>363</v>
      </c>
      <c r="D1208" t="s">
        <v>221</v>
      </c>
      <c r="E1208" t="s">
        <v>437</v>
      </c>
      <c r="F1208" t="s">
        <v>181</v>
      </c>
      <c r="G1208" t="s">
        <v>1615</v>
      </c>
      <c r="H1208" s="77">
        <v>49</v>
      </c>
      <c r="I1208" s="124">
        <v>149.54</v>
      </c>
      <c r="J1208" s="124">
        <v>7327.23</v>
      </c>
      <c r="K1208" s="77">
        <v>60</v>
      </c>
      <c r="L1208" t="s">
        <v>351</v>
      </c>
      <c r="M1208" s="126">
        <v>1465.4459999999999</v>
      </c>
      <c r="N1208" s="124">
        <v>7327.23</v>
      </c>
      <c r="O1208" t="s">
        <v>346</v>
      </c>
      <c r="P1208" t="s">
        <v>294</v>
      </c>
    </row>
    <row r="1209" spans="1:16" ht="15" customHeight="1" x14ac:dyDescent="0.25">
      <c r="A1209" s="123">
        <v>45689</v>
      </c>
      <c r="B1209" t="s">
        <v>335</v>
      </c>
      <c r="C1209" t="s">
        <v>336</v>
      </c>
      <c r="D1209" t="s">
        <v>223</v>
      </c>
      <c r="E1209" t="s">
        <v>437</v>
      </c>
      <c r="F1209" t="s">
        <v>181</v>
      </c>
      <c r="G1209" t="s">
        <v>1616</v>
      </c>
      <c r="H1209" s="77">
        <v>4</v>
      </c>
      <c r="I1209" s="124">
        <v>152.79</v>
      </c>
      <c r="J1209" s="124">
        <v>611.14</v>
      </c>
      <c r="K1209" s="77">
        <v>60</v>
      </c>
      <c r="L1209" t="s">
        <v>339</v>
      </c>
      <c r="M1209" s="126">
        <v>122.22799999999999</v>
      </c>
      <c r="N1209" s="124">
        <v>611.14</v>
      </c>
      <c r="O1209" t="s">
        <v>346</v>
      </c>
      <c r="P1209" t="s">
        <v>294</v>
      </c>
    </row>
    <row r="1210" spans="1:16" ht="15" customHeight="1" x14ac:dyDescent="0.25">
      <c r="A1210" s="123">
        <v>45956</v>
      </c>
      <c r="B1210" t="s">
        <v>378</v>
      </c>
      <c r="C1210" t="s">
        <v>379</v>
      </c>
      <c r="D1210" t="s">
        <v>227</v>
      </c>
      <c r="E1210" t="s">
        <v>420</v>
      </c>
      <c r="F1210" t="s">
        <v>182</v>
      </c>
      <c r="G1210" t="s">
        <v>1617</v>
      </c>
      <c r="H1210" s="77">
        <v>4</v>
      </c>
      <c r="I1210" s="124">
        <v>43.92</v>
      </c>
      <c r="J1210" s="124">
        <v>175.69</v>
      </c>
      <c r="K1210" s="77">
        <v>60</v>
      </c>
      <c r="L1210" t="s">
        <v>345</v>
      </c>
      <c r="M1210" s="126">
        <v>35.137999999999998</v>
      </c>
      <c r="N1210" s="124">
        <v>175.69</v>
      </c>
      <c r="O1210" t="s">
        <v>346</v>
      </c>
      <c r="P1210" t="s">
        <v>294</v>
      </c>
    </row>
    <row r="1211" spans="1:16" ht="15" customHeight="1" x14ac:dyDescent="0.25">
      <c r="A1211" s="123">
        <v>45834</v>
      </c>
      <c r="B1211" t="s">
        <v>390</v>
      </c>
      <c r="C1211" t="s">
        <v>391</v>
      </c>
      <c r="D1211" t="s">
        <v>221</v>
      </c>
      <c r="E1211" t="s">
        <v>368</v>
      </c>
      <c r="F1211" t="s">
        <v>178</v>
      </c>
      <c r="G1211" t="s">
        <v>1618</v>
      </c>
      <c r="H1211" s="77">
        <v>46</v>
      </c>
      <c r="I1211" s="124">
        <v>170.15</v>
      </c>
      <c r="J1211" s="124">
        <v>7826.7</v>
      </c>
      <c r="K1211" s="77">
        <v>45</v>
      </c>
      <c r="L1211" t="s">
        <v>345</v>
      </c>
      <c r="M1211" s="126">
        <v>1565.34</v>
      </c>
      <c r="N1211" s="124">
        <v>7826.7</v>
      </c>
      <c r="O1211" t="s">
        <v>346</v>
      </c>
      <c r="P1211" t="s">
        <v>294</v>
      </c>
    </row>
    <row r="1212" spans="1:16" ht="15" customHeight="1" x14ac:dyDescent="0.25">
      <c r="A1212" s="123">
        <v>45778</v>
      </c>
      <c r="B1212" t="s">
        <v>383</v>
      </c>
      <c r="C1212" t="s">
        <v>384</v>
      </c>
      <c r="D1212" t="s">
        <v>225</v>
      </c>
      <c r="E1212" t="s">
        <v>423</v>
      </c>
      <c r="F1212" t="s">
        <v>180</v>
      </c>
      <c r="G1212" t="s">
        <v>1619</v>
      </c>
      <c r="H1212" s="77">
        <v>40</v>
      </c>
      <c r="I1212" s="124">
        <v>126.13</v>
      </c>
      <c r="J1212" s="124">
        <v>5045.32</v>
      </c>
      <c r="K1212" s="77">
        <v>60</v>
      </c>
      <c r="L1212" t="s">
        <v>339</v>
      </c>
      <c r="M1212" s="126">
        <v>1009.064</v>
      </c>
      <c r="N1212" s="124">
        <v>5045.32</v>
      </c>
      <c r="O1212" t="s">
        <v>346</v>
      </c>
      <c r="P1212" t="s">
        <v>294</v>
      </c>
    </row>
    <row r="1213" spans="1:16" ht="15" customHeight="1" x14ac:dyDescent="0.25">
      <c r="A1213" s="123">
        <v>45716</v>
      </c>
      <c r="B1213" t="s">
        <v>354</v>
      </c>
      <c r="C1213" t="s">
        <v>355</v>
      </c>
      <c r="D1213" t="s">
        <v>227</v>
      </c>
      <c r="E1213" t="s">
        <v>368</v>
      </c>
      <c r="F1213" t="s">
        <v>178</v>
      </c>
      <c r="G1213" t="s">
        <v>1620</v>
      </c>
      <c r="H1213" s="77">
        <v>44</v>
      </c>
      <c r="I1213" s="124">
        <v>44.4</v>
      </c>
      <c r="J1213" s="124">
        <v>1953.7</v>
      </c>
      <c r="K1213" s="77">
        <v>30</v>
      </c>
      <c r="L1213" t="s">
        <v>339</v>
      </c>
      <c r="M1213" s="126">
        <v>390.74</v>
      </c>
      <c r="N1213" s="124">
        <v>1953.7</v>
      </c>
      <c r="O1213" t="s">
        <v>346</v>
      </c>
      <c r="P1213" t="s">
        <v>294</v>
      </c>
    </row>
    <row r="1214" spans="1:16" ht="15" customHeight="1" x14ac:dyDescent="0.25">
      <c r="A1214" s="123">
        <v>45893</v>
      </c>
      <c r="B1214" t="s">
        <v>354</v>
      </c>
      <c r="C1214" t="s">
        <v>355</v>
      </c>
      <c r="D1214" t="s">
        <v>227</v>
      </c>
      <c r="E1214" t="s">
        <v>376</v>
      </c>
      <c r="F1214" t="s">
        <v>182</v>
      </c>
      <c r="G1214" t="s">
        <v>1621</v>
      </c>
      <c r="H1214" s="77">
        <v>55</v>
      </c>
      <c r="I1214" s="124">
        <v>63.99</v>
      </c>
      <c r="J1214" s="124">
        <v>3519.54</v>
      </c>
      <c r="K1214" s="77">
        <v>60</v>
      </c>
      <c r="L1214" t="s">
        <v>351</v>
      </c>
      <c r="M1214" s="126">
        <v>703.90800000000002</v>
      </c>
      <c r="N1214" s="124">
        <v>3519.54</v>
      </c>
      <c r="O1214" t="s">
        <v>340</v>
      </c>
      <c r="P1214" t="s">
        <v>294</v>
      </c>
    </row>
    <row r="1215" spans="1:16" ht="15" customHeight="1" x14ac:dyDescent="0.25">
      <c r="A1215" s="123">
        <v>46014</v>
      </c>
      <c r="B1215" t="s">
        <v>370</v>
      </c>
      <c r="C1215" t="s">
        <v>371</v>
      </c>
      <c r="D1215" t="s">
        <v>227</v>
      </c>
      <c r="E1215" t="s">
        <v>356</v>
      </c>
      <c r="F1215" t="s">
        <v>181</v>
      </c>
      <c r="G1215" t="s">
        <v>1622</v>
      </c>
      <c r="H1215" s="77">
        <v>61</v>
      </c>
      <c r="I1215" s="124">
        <v>359.9</v>
      </c>
      <c r="J1215" s="124">
        <v>21954.11</v>
      </c>
      <c r="K1215" s="77">
        <v>60</v>
      </c>
      <c r="L1215" t="s">
        <v>339</v>
      </c>
      <c r="M1215" s="126">
        <v>4390.8220000000001</v>
      </c>
      <c r="N1215" s="124">
        <v>21954.11</v>
      </c>
      <c r="O1215" t="s">
        <v>340</v>
      </c>
      <c r="P1215" t="s">
        <v>294</v>
      </c>
    </row>
    <row r="1216" spans="1:16" ht="15" customHeight="1" x14ac:dyDescent="0.25">
      <c r="A1216" s="123">
        <v>45857</v>
      </c>
      <c r="B1216" t="s">
        <v>383</v>
      </c>
      <c r="C1216" t="s">
        <v>384</v>
      </c>
      <c r="D1216" t="s">
        <v>225</v>
      </c>
      <c r="E1216" t="s">
        <v>236</v>
      </c>
      <c r="F1216" t="s">
        <v>183</v>
      </c>
      <c r="G1216" t="s">
        <v>1623</v>
      </c>
      <c r="H1216" s="77">
        <v>42</v>
      </c>
      <c r="I1216" s="124">
        <v>255.08</v>
      </c>
      <c r="J1216" s="124">
        <v>10713.18</v>
      </c>
      <c r="K1216" s="77">
        <v>60</v>
      </c>
      <c r="L1216" t="s">
        <v>339</v>
      </c>
      <c r="M1216" s="126">
        <v>2142.636</v>
      </c>
      <c r="N1216" s="124">
        <v>10713.18</v>
      </c>
      <c r="O1216" t="s">
        <v>346</v>
      </c>
      <c r="P1216" t="s">
        <v>294</v>
      </c>
    </row>
    <row r="1217" spans="1:16" ht="15" customHeight="1" x14ac:dyDescent="0.25">
      <c r="A1217" s="123">
        <v>46003</v>
      </c>
      <c r="B1217" t="s">
        <v>366</v>
      </c>
      <c r="C1217" t="s">
        <v>367</v>
      </c>
      <c r="D1217" t="s">
        <v>221</v>
      </c>
      <c r="E1217" t="s">
        <v>343</v>
      </c>
      <c r="F1217" t="s">
        <v>178</v>
      </c>
      <c r="G1217" t="s">
        <v>1624</v>
      </c>
      <c r="H1217" s="77">
        <v>27</v>
      </c>
      <c r="I1217" s="124">
        <v>129.11000000000001</v>
      </c>
      <c r="J1217" s="124">
        <v>3485.9</v>
      </c>
      <c r="K1217" s="77">
        <v>45</v>
      </c>
      <c r="L1217" t="s">
        <v>345</v>
      </c>
      <c r="M1217" s="126">
        <v>697.18</v>
      </c>
      <c r="N1217" s="124">
        <v>3485.9</v>
      </c>
      <c r="O1217" t="s">
        <v>346</v>
      </c>
      <c r="P1217" t="s">
        <v>294</v>
      </c>
    </row>
    <row r="1218" spans="1:16" ht="15" customHeight="1" x14ac:dyDescent="0.25">
      <c r="A1218" s="123">
        <v>45972</v>
      </c>
      <c r="B1218" t="s">
        <v>409</v>
      </c>
      <c r="C1218" t="s">
        <v>410</v>
      </c>
      <c r="D1218" t="s">
        <v>223</v>
      </c>
      <c r="E1218" t="s">
        <v>376</v>
      </c>
      <c r="F1218" t="s">
        <v>182</v>
      </c>
      <c r="G1218" t="s">
        <v>1625</v>
      </c>
      <c r="H1218" s="77">
        <v>39</v>
      </c>
      <c r="I1218" s="124">
        <v>65.59</v>
      </c>
      <c r="J1218" s="124">
        <v>2558.1</v>
      </c>
      <c r="K1218" s="77">
        <v>45</v>
      </c>
      <c r="L1218" t="s">
        <v>345</v>
      </c>
      <c r="M1218" s="126">
        <v>511.62</v>
      </c>
      <c r="N1218" s="124">
        <v>2558.1</v>
      </c>
      <c r="O1218" t="s">
        <v>340</v>
      </c>
      <c r="P1218" t="s">
        <v>294</v>
      </c>
    </row>
    <row r="1219" spans="1:16" ht="15" customHeight="1" x14ac:dyDescent="0.25">
      <c r="A1219" s="123">
        <v>45696</v>
      </c>
      <c r="B1219" t="s">
        <v>393</v>
      </c>
      <c r="C1219" t="s">
        <v>394</v>
      </c>
      <c r="D1219" t="s">
        <v>227</v>
      </c>
      <c r="E1219" t="s">
        <v>417</v>
      </c>
      <c r="F1219" t="s">
        <v>184</v>
      </c>
      <c r="G1219" t="s">
        <v>1626</v>
      </c>
      <c r="H1219" s="77">
        <v>69</v>
      </c>
      <c r="I1219" s="124">
        <v>87.44</v>
      </c>
      <c r="J1219" s="124">
        <v>6033.25</v>
      </c>
      <c r="K1219" s="77">
        <v>30</v>
      </c>
      <c r="L1219" t="s">
        <v>345</v>
      </c>
      <c r="M1219" s="126">
        <v>1206.6500000000001</v>
      </c>
      <c r="N1219" s="124">
        <v>6033.25</v>
      </c>
      <c r="O1219" t="s">
        <v>346</v>
      </c>
      <c r="P1219" t="s">
        <v>294</v>
      </c>
    </row>
    <row r="1220" spans="1:16" ht="15" customHeight="1" x14ac:dyDescent="0.25">
      <c r="A1220" s="123">
        <v>45951</v>
      </c>
      <c r="B1220" t="s">
        <v>358</v>
      </c>
      <c r="C1220" t="s">
        <v>359</v>
      </c>
      <c r="D1220" t="s">
        <v>225</v>
      </c>
      <c r="E1220" t="s">
        <v>496</v>
      </c>
      <c r="F1220" t="s">
        <v>177</v>
      </c>
      <c r="G1220" t="s">
        <v>1627</v>
      </c>
      <c r="H1220" s="77">
        <v>52</v>
      </c>
      <c r="I1220" s="124">
        <v>75.8</v>
      </c>
      <c r="J1220" s="124">
        <v>3941.41</v>
      </c>
      <c r="K1220" s="77">
        <v>30</v>
      </c>
      <c r="L1220" t="s">
        <v>351</v>
      </c>
      <c r="M1220" s="126">
        <v>788.28200000000004</v>
      </c>
      <c r="N1220" s="124">
        <v>3941.41</v>
      </c>
      <c r="O1220" t="s">
        <v>346</v>
      </c>
      <c r="P1220" t="s">
        <v>294</v>
      </c>
    </row>
    <row r="1221" spans="1:16" ht="15" customHeight="1" x14ac:dyDescent="0.25">
      <c r="A1221" s="123">
        <v>45954</v>
      </c>
      <c r="B1221" t="s">
        <v>341</v>
      </c>
      <c r="C1221" t="s">
        <v>342</v>
      </c>
      <c r="D1221" t="s">
        <v>223</v>
      </c>
      <c r="E1221" t="s">
        <v>343</v>
      </c>
      <c r="F1221" t="s">
        <v>178</v>
      </c>
      <c r="G1221" t="s">
        <v>1628</v>
      </c>
      <c r="H1221" s="77">
        <v>13</v>
      </c>
      <c r="I1221" s="124">
        <v>211.5</v>
      </c>
      <c r="J1221" s="124">
        <v>2749.48</v>
      </c>
      <c r="K1221" s="77">
        <v>60</v>
      </c>
      <c r="L1221" t="s">
        <v>345</v>
      </c>
      <c r="M1221" s="126">
        <v>549.89599999999996</v>
      </c>
      <c r="N1221" s="124">
        <v>2749.48</v>
      </c>
      <c r="O1221" t="s">
        <v>346</v>
      </c>
      <c r="P1221" t="s">
        <v>294</v>
      </c>
    </row>
    <row r="1222" spans="1:16" ht="15" customHeight="1" x14ac:dyDescent="0.25">
      <c r="A1222" s="123">
        <v>45929</v>
      </c>
      <c r="B1222" t="s">
        <v>386</v>
      </c>
      <c r="C1222" t="s">
        <v>387</v>
      </c>
      <c r="D1222" t="s">
        <v>223</v>
      </c>
      <c r="E1222" t="s">
        <v>343</v>
      </c>
      <c r="F1222" t="s">
        <v>178</v>
      </c>
      <c r="G1222" t="s">
        <v>1629</v>
      </c>
      <c r="H1222" s="77">
        <v>61</v>
      </c>
      <c r="I1222" s="124">
        <v>33.83</v>
      </c>
      <c r="J1222" s="124">
        <v>2063.34</v>
      </c>
      <c r="K1222" s="77">
        <v>45</v>
      </c>
      <c r="L1222" t="s">
        <v>339</v>
      </c>
      <c r="M1222" s="126">
        <v>412.66800000000001</v>
      </c>
      <c r="N1222" s="124">
        <v>2063.34</v>
      </c>
      <c r="O1222" t="s">
        <v>346</v>
      </c>
      <c r="P1222" t="s">
        <v>294</v>
      </c>
    </row>
    <row r="1223" spans="1:16" ht="15" customHeight="1" x14ac:dyDescent="0.25">
      <c r="A1223" s="123">
        <v>45812</v>
      </c>
      <c r="B1223" t="s">
        <v>366</v>
      </c>
      <c r="C1223" t="s">
        <v>367</v>
      </c>
      <c r="D1223" t="s">
        <v>221</v>
      </c>
      <c r="E1223" t="s">
        <v>343</v>
      </c>
      <c r="F1223" t="s">
        <v>178</v>
      </c>
      <c r="G1223" t="s">
        <v>1630</v>
      </c>
      <c r="H1223" s="77">
        <v>65</v>
      </c>
      <c r="I1223" s="124">
        <v>77.08</v>
      </c>
      <c r="J1223" s="124">
        <v>5009.92</v>
      </c>
      <c r="K1223" s="77">
        <v>45</v>
      </c>
      <c r="L1223" t="s">
        <v>345</v>
      </c>
      <c r="M1223" s="126">
        <v>1001.984</v>
      </c>
      <c r="N1223" s="124">
        <v>5009.92</v>
      </c>
      <c r="O1223" t="s">
        <v>346</v>
      </c>
      <c r="P1223" t="s">
        <v>294</v>
      </c>
    </row>
    <row r="1224" spans="1:16" ht="15" customHeight="1" x14ac:dyDescent="0.25">
      <c r="A1224" s="123">
        <v>45870</v>
      </c>
      <c r="B1224" t="s">
        <v>390</v>
      </c>
      <c r="C1224" t="s">
        <v>391</v>
      </c>
      <c r="D1224" t="s">
        <v>221</v>
      </c>
      <c r="E1224" t="s">
        <v>376</v>
      </c>
      <c r="F1224" t="s">
        <v>182</v>
      </c>
      <c r="G1224" t="s">
        <v>1631</v>
      </c>
      <c r="H1224" s="77">
        <v>52</v>
      </c>
      <c r="I1224" s="124">
        <v>134.62</v>
      </c>
      <c r="J1224" s="124">
        <v>7000.23</v>
      </c>
      <c r="K1224" s="77">
        <v>45</v>
      </c>
      <c r="L1224" t="s">
        <v>351</v>
      </c>
      <c r="M1224" s="126">
        <v>1400.046</v>
      </c>
      <c r="N1224" s="124">
        <v>7000.23</v>
      </c>
      <c r="O1224" t="s">
        <v>340</v>
      </c>
      <c r="P1224" t="s">
        <v>294</v>
      </c>
    </row>
    <row r="1225" spans="1:16" ht="15" customHeight="1" x14ac:dyDescent="0.25">
      <c r="A1225" s="123">
        <v>45938</v>
      </c>
      <c r="B1225" t="s">
        <v>335</v>
      </c>
      <c r="C1225" t="s">
        <v>336</v>
      </c>
      <c r="D1225" t="s">
        <v>223</v>
      </c>
      <c r="E1225" t="s">
        <v>417</v>
      </c>
      <c r="F1225" t="s">
        <v>184</v>
      </c>
      <c r="G1225" t="s">
        <v>1632</v>
      </c>
      <c r="H1225" s="77">
        <v>24</v>
      </c>
      <c r="I1225" s="124">
        <v>94.17</v>
      </c>
      <c r="J1225" s="124">
        <v>2260.0300000000002</v>
      </c>
      <c r="K1225" s="77">
        <v>30</v>
      </c>
      <c r="L1225" t="s">
        <v>351</v>
      </c>
      <c r="M1225" s="126">
        <v>452.00599999999997</v>
      </c>
      <c r="N1225" s="124">
        <v>2260.0300000000002</v>
      </c>
      <c r="O1225" t="s">
        <v>346</v>
      </c>
      <c r="P1225" t="s">
        <v>294</v>
      </c>
    </row>
    <row r="1226" spans="1:16" ht="15" customHeight="1" x14ac:dyDescent="0.25">
      <c r="A1226" s="123">
        <v>45913</v>
      </c>
      <c r="B1226" t="s">
        <v>386</v>
      </c>
      <c r="C1226" t="s">
        <v>387</v>
      </c>
      <c r="D1226" t="s">
        <v>223</v>
      </c>
      <c r="E1226" t="s">
        <v>412</v>
      </c>
      <c r="F1226" t="s">
        <v>179</v>
      </c>
      <c r="G1226" t="s">
        <v>1633</v>
      </c>
      <c r="H1226" s="77">
        <v>28</v>
      </c>
      <c r="I1226" s="124">
        <v>162.56</v>
      </c>
      <c r="J1226" s="124">
        <v>4551.6899999999996</v>
      </c>
      <c r="K1226" s="77">
        <v>60</v>
      </c>
      <c r="L1226" t="s">
        <v>351</v>
      </c>
      <c r="M1226" s="126">
        <v>910.33799999999997</v>
      </c>
      <c r="N1226" s="124">
        <v>4551.6899999999996</v>
      </c>
      <c r="O1226" t="s">
        <v>346</v>
      </c>
      <c r="P1226" t="s">
        <v>294</v>
      </c>
    </row>
    <row r="1227" spans="1:16" ht="15" customHeight="1" x14ac:dyDescent="0.25">
      <c r="A1227" s="123">
        <v>45930</v>
      </c>
      <c r="B1227" t="s">
        <v>378</v>
      </c>
      <c r="C1227" t="s">
        <v>379</v>
      </c>
      <c r="D1227" t="s">
        <v>227</v>
      </c>
      <c r="E1227" t="s">
        <v>403</v>
      </c>
      <c r="F1227" t="s">
        <v>181</v>
      </c>
      <c r="G1227" t="s">
        <v>1634</v>
      </c>
      <c r="H1227" s="77">
        <v>79</v>
      </c>
      <c r="I1227" s="124">
        <v>204.84</v>
      </c>
      <c r="J1227" s="124">
        <v>16182.31</v>
      </c>
      <c r="K1227" s="77">
        <v>45</v>
      </c>
      <c r="L1227" t="s">
        <v>351</v>
      </c>
      <c r="M1227" s="126">
        <v>3236.462</v>
      </c>
      <c r="N1227" s="124">
        <v>16182.31</v>
      </c>
      <c r="O1227" t="s">
        <v>346</v>
      </c>
      <c r="P1227" t="s">
        <v>294</v>
      </c>
    </row>
    <row r="1228" spans="1:16" ht="15" customHeight="1" x14ac:dyDescent="0.25">
      <c r="A1228" s="123">
        <v>45760</v>
      </c>
      <c r="B1228" t="s">
        <v>401</v>
      </c>
      <c r="C1228" t="s">
        <v>402</v>
      </c>
      <c r="D1228" t="s">
        <v>221</v>
      </c>
      <c r="E1228" t="s">
        <v>440</v>
      </c>
      <c r="F1228" t="s">
        <v>177</v>
      </c>
      <c r="G1228" t="s">
        <v>1635</v>
      </c>
      <c r="H1228" s="77">
        <v>47</v>
      </c>
      <c r="I1228" s="124">
        <v>122.93</v>
      </c>
      <c r="J1228" s="124">
        <v>5777.55</v>
      </c>
      <c r="K1228" s="77">
        <v>45</v>
      </c>
      <c r="L1228" t="s">
        <v>339</v>
      </c>
      <c r="M1228" s="126">
        <v>1155.51</v>
      </c>
      <c r="N1228" s="124">
        <v>5777.55</v>
      </c>
      <c r="O1228" t="s">
        <v>346</v>
      </c>
      <c r="P1228" t="s">
        <v>294</v>
      </c>
    </row>
    <row r="1229" spans="1:16" ht="15" customHeight="1" x14ac:dyDescent="0.25">
      <c r="A1229" s="123">
        <v>46008</v>
      </c>
      <c r="B1229" t="s">
        <v>335</v>
      </c>
      <c r="C1229" t="s">
        <v>336</v>
      </c>
      <c r="D1229" t="s">
        <v>223</v>
      </c>
      <c r="E1229" t="s">
        <v>412</v>
      </c>
      <c r="F1229" t="s">
        <v>179</v>
      </c>
      <c r="G1229" t="s">
        <v>1636</v>
      </c>
      <c r="H1229" s="77">
        <v>39</v>
      </c>
      <c r="I1229" s="124">
        <v>166.02</v>
      </c>
      <c r="J1229" s="124">
        <v>6474.76</v>
      </c>
      <c r="K1229" s="77">
        <v>45</v>
      </c>
      <c r="L1229" t="s">
        <v>345</v>
      </c>
      <c r="M1229" s="126">
        <v>1294.952</v>
      </c>
      <c r="N1229" s="124">
        <v>6474.76</v>
      </c>
      <c r="O1229" t="s">
        <v>346</v>
      </c>
      <c r="P1229" t="s">
        <v>294</v>
      </c>
    </row>
    <row r="1230" spans="1:16" ht="15" customHeight="1" x14ac:dyDescent="0.25">
      <c r="A1230" s="123">
        <v>45762</v>
      </c>
      <c r="B1230" t="s">
        <v>406</v>
      </c>
      <c r="C1230" t="s">
        <v>407</v>
      </c>
      <c r="D1230" t="s">
        <v>225</v>
      </c>
      <c r="E1230" t="s">
        <v>343</v>
      </c>
      <c r="F1230" t="s">
        <v>178</v>
      </c>
      <c r="G1230" t="s">
        <v>1637</v>
      </c>
      <c r="H1230" s="77">
        <v>53</v>
      </c>
      <c r="I1230" s="124">
        <v>110.45</v>
      </c>
      <c r="J1230" s="124">
        <v>5853.6</v>
      </c>
      <c r="K1230" s="77">
        <v>45</v>
      </c>
      <c r="L1230" t="s">
        <v>345</v>
      </c>
      <c r="M1230" s="126">
        <v>1170.72</v>
      </c>
      <c r="N1230" s="124">
        <v>5853.6</v>
      </c>
      <c r="O1230" t="s">
        <v>346</v>
      </c>
      <c r="P1230" t="s">
        <v>294</v>
      </c>
    </row>
    <row r="1231" spans="1:16" ht="15" customHeight="1" x14ac:dyDescent="0.25">
      <c r="A1231" s="123">
        <v>46009</v>
      </c>
      <c r="B1231" t="s">
        <v>390</v>
      </c>
      <c r="C1231" t="s">
        <v>391</v>
      </c>
      <c r="D1231" t="s">
        <v>221</v>
      </c>
      <c r="E1231" t="s">
        <v>381</v>
      </c>
      <c r="F1231" t="s">
        <v>179</v>
      </c>
      <c r="G1231" t="s">
        <v>1638</v>
      </c>
      <c r="H1231" s="77">
        <v>77</v>
      </c>
      <c r="I1231" s="124">
        <v>607.13</v>
      </c>
      <c r="J1231" s="124">
        <v>46749.08</v>
      </c>
      <c r="K1231" s="77">
        <v>30</v>
      </c>
      <c r="L1231" t="s">
        <v>345</v>
      </c>
      <c r="M1231" s="126">
        <v>9349.8160000000007</v>
      </c>
      <c r="N1231" s="124">
        <v>46749.08</v>
      </c>
      <c r="O1231" t="s">
        <v>346</v>
      </c>
      <c r="P1231" t="s">
        <v>294</v>
      </c>
    </row>
    <row r="1232" spans="1:16" ht="15" customHeight="1" x14ac:dyDescent="0.25">
      <c r="A1232" s="123">
        <v>45756</v>
      </c>
      <c r="B1232" t="s">
        <v>406</v>
      </c>
      <c r="C1232" t="s">
        <v>407</v>
      </c>
      <c r="D1232" t="s">
        <v>225</v>
      </c>
      <c r="E1232" t="s">
        <v>415</v>
      </c>
      <c r="F1232" t="s">
        <v>178</v>
      </c>
      <c r="G1232" t="s">
        <v>1639</v>
      </c>
      <c r="H1232" s="77">
        <v>4</v>
      </c>
      <c r="I1232" s="124">
        <v>47.84</v>
      </c>
      <c r="J1232" s="124">
        <v>191.34</v>
      </c>
      <c r="K1232" s="77">
        <v>30</v>
      </c>
      <c r="L1232" t="s">
        <v>345</v>
      </c>
      <c r="M1232" s="126">
        <v>38.268000000000001</v>
      </c>
      <c r="N1232" s="124">
        <v>191.34</v>
      </c>
      <c r="O1232" t="s">
        <v>340</v>
      </c>
      <c r="P1232" t="s">
        <v>294</v>
      </c>
    </row>
    <row r="1233" spans="1:16" ht="15" customHeight="1" x14ac:dyDescent="0.25">
      <c r="A1233" s="123">
        <v>45881</v>
      </c>
      <c r="B1233" t="s">
        <v>373</v>
      </c>
      <c r="C1233" t="s">
        <v>374</v>
      </c>
      <c r="D1233" t="s">
        <v>225</v>
      </c>
      <c r="E1233" t="s">
        <v>417</v>
      </c>
      <c r="F1233" t="s">
        <v>184</v>
      </c>
      <c r="G1233" t="s">
        <v>1640</v>
      </c>
      <c r="H1233" s="77">
        <v>55</v>
      </c>
      <c r="I1233" s="124">
        <v>35.31</v>
      </c>
      <c r="J1233" s="124">
        <v>1941.91</v>
      </c>
      <c r="K1233" s="77">
        <v>60</v>
      </c>
      <c r="L1233" t="s">
        <v>339</v>
      </c>
      <c r="M1233" s="126">
        <v>388.38200000000001</v>
      </c>
      <c r="N1233" s="124">
        <v>1941.91</v>
      </c>
      <c r="O1233" t="s">
        <v>346</v>
      </c>
      <c r="P1233" t="s">
        <v>294</v>
      </c>
    </row>
    <row r="1234" spans="1:16" ht="15" customHeight="1" x14ac:dyDescent="0.25">
      <c r="A1234" s="123">
        <v>45727</v>
      </c>
      <c r="B1234" t="s">
        <v>358</v>
      </c>
      <c r="C1234" t="s">
        <v>359</v>
      </c>
      <c r="D1234" t="s">
        <v>225</v>
      </c>
      <c r="E1234" t="s">
        <v>381</v>
      </c>
      <c r="F1234" t="s">
        <v>179</v>
      </c>
      <c r="G1234" t="s">
        <v>1641</v>
      </c>
      <c r="H1234" s="77">
        <v>4</v>
      </c>
      <c r="I1234" s="124">
        <v>171.47</v>
      </c>
      <c r="J1234" s="124">
        <v>685.88</v>
      </c>
      <c r="K1234" s="77">
        <v>45</v>
      </c>
      <c r="L1234" t="s">
        <v>345</v>
      </c>
      <c r="M1234" s="126">
        <v>137.17599999999999</v>
      </c>
      <c r="N1234" s="124">
        <v>685.88</v>
      </c>
      <c r="O1234" t="s">
        <v>346</v>
      </c>
      <c r="P1234" t="s">
        <v>294</v>
      </c>
    </row>
    <row r="1235" spans="1:16" ht="15" customHeight="1" x14ac:dyDescent="0.25">
      <c r="A1235" s="123">
        <v>45679</v>
      </c>
      <c r="B1235" t="s">
        <v>378</v>
      </c>
      <c r="C1235" t="s">
        <v>379</v>
      </c>
      <c r="D1235" t="s">
        <v>227</v>
      </c>
      <c r="E1235" t="s">
        <v>1642</v>
      </c>
      <c r="F1235" t="s">
        <v>179</v>
      </c>
      <c r="G1235" t="s">
        <v>1643</v>
      </c>
      <c r="H1235" s="77">
        <v>63</v>
      </c>
      <c r="I1235" s="124">
        <v>743.82</v>
      </c>
      <c r="J1235" s="124">
        <v>46860.56</v>
      </c>
      <c r="K1235" s="77">
        <v>30</v>
      </c>
      <c r="L1235" t="s">
        <v>339</v>
      </c>
      <c r="M1235" s="126">
        <v>9372.1119999999992</v>
      </c>
      <c r="N1235" s="124">
        <v>46860.56</v>
      </c>
      <c r="O1235" t="s">
        <v>346</v>
      </c>
      <c r="P1235" t="s">
        <v>294</v>
      </c>
    </row>
    <row r="1236" spans="1:16" ht="15" customHeight="1" x14ac:dyDescent="0.25">
      <c r="A1236" s="123">
        <v>45810</v>
      </c>
      <c r="B1236" t="s">
        <v>341</v>
      </c>
      <c r="C1236" t="s">
        <v>342</v>
      </c>
      <c r="D1236" t="s">
        <v>223</v>
      </c>
      <c r="E1236" t="s">
        <v>364</v>
      </c>
      <c r="F1236" t="s">
        <v>182</v>
      </c>
      <c r="G1236" t="s">
        <v>1644</v>
      </c>
      <c r="H1236" s="77">
        <v>9</v>
      </c>
      <c r="I1236" s="124">
        <v>61.06</v>
      </c>
      <c r="J1236" s="124">
        <v>549.54</v>
      </c>
      <c r="K1236" s="77">
        <v>45</v>
      </c>
      <c r="L1236" t="s">
        <v>345</v>
      </c>
      <c r="M1236" s="126">
        <v>109.908</v>
      </c>
      <c r="N1236" s="124">
        <v>549.54</v>
      </c>
      <c r="O1236" t="s">
        <v>346</v>
      </c>
      <c r="P1236" t="s">
        <v>294</v>
      </c>
    </row>
    <row r="1237" spans="1:16" ht="15" customHeight="1" x14ac:dyDescent="0.25">
      <c r="A1237" s="123">
        <v>45729</v>
      </c>
      <c r="B1237" t="s">
        <v>383</v>
      </c>
      <c r="C1237" t="s">
        <v>384</v>
      </c>
      <c r="D1237" t="s">
        <v>225</v>
      </c>
      <c r="E1237" t="s">
        <v>368</v>
      </c>
      <c r="F1237" t="s">
        <v>178</v>
      </c>
      <c r="G1237" t="s">
        <v>1645</v>
      </c>
      <c r="H1237" s="77">
        <v>31</v>
      </c>
      <c r="I1237" s="124">
        <v>160.12</v>
      </c>
      <c r="J1237" s="124">
        <v>4963.6099999999997</v>
      </c>
      <c r="K1237" s="77">
        <v>30</v>
      </c>
      <c r="L1237" t="s">
        <v>351</v>
      </c>
      <c r="M1237" s="126">
        <v>992.72199999999998</v>
      </c>
      <c r="N1237" s="124">
        <v>4963.6099999999997</v>
      </c>
      <c r="O1237" t="s">
        <v>346</v>
      </c>
      <c r="P1237" t="s">
        <v>294</v>
      </c>
    </row>
    <row r="1238" spans="1:16" ht="15" customHeight="1" x14ac:dyDescent="0.25">
      <c r="A1238" s="123">
        <v>45998</v>
      </c>
      <c r="B1238" t="s">
        <v>401</v>
      </c>
      <c r="C1238" t="s">
        <v>402</v>
      </c>
      <c r="D1238" t="s">
        <v>221</v>
      </c>
      <c r="E1238" t="s">
        <v>343</v>
      </c>
      <c r="F1238" t="s">
        <v>178</v>
      </c>
      <c r="G1238" t="s">
        <v>1646</v>
      </c>
      <c r="H1238" s="77">
        <v>75</v>
      </c>
      <c r="I1238" s="124">
        <v>163.55000000000001</v>
      </c>
      <c r="J1238" s="124">
        <v>12266.3</v>
      </c>
      <c r="K1238" s="77">
        <v>60</v>
      </c>
      <c r="L1238" t="s">
        <v>345</v>
      </c>
      <c r="M1238" s="126">
        <v>2453.2600000000002</v>
      </c>
      <c r="N1238" s="124">
        <v>12266.3</v>
      </c>
      <c r="O1238" t="s">
        <v>346</v>
      </c>
      <c r="P1238" t="s">
        <v>294</v>
      </c>
    </row>
    <row r="1239" spans="1:16" ht="15" customHeight="1" x14ac:dyDescent="0.25">
      <c r="A1239" s="123">
        <v>45965</v>
      </c>
      <c r="B1239" t="s">
        <v>373</v>
      </c>
      <c r="C1239" t="s">
        <v>374</v>
      </c>
      <c r="D1239" t="s">
        <v>225</v>
      </c>
      <c r="E1239" t="s">
        <v>415</v>
      </c>
      <c r="F1239" t="s">
        <v>178</v>
      </c>
      <c r="G1239" t="s">
        <v>1647</v>
      </c>
      <c r="H1239" s="77">
        <v>16</v>
      </c>
      <c r="I1239" s="124">
        <v>47.94</v>
      </c>
      <c r="J1239" s="124">
        <v>767.01</v>
      </c>
      <c r="K1239" s="77">
        <v>45</v>
      </c>
      <c r="L1239" t="s">
        <v>345</v>
      </c>
      <c r="M1239" s="126">
        <v>153.40199999999999</v>
      </c>
      <c r="N1239" s="124">
        <v>767.01</v>
      </c>
      <c r="O1239" t="s">
        <v>340</v>
      </c>
      <c r="P1239" t="s">
        <v>294</v>
      </c>
    </row>
    <row r="1240" spans="1:16" ht="15" customHeight="1" x14ac:dyDescent="0.25">
      <c r="A1240" s="123">
        <v>45778</v>
      </c>
      <c r="B1240" t="s">
        <v>362</v>
      </c>
      <c r="C1240" t="s">
        <v>363</v>
      </c>
      <c r="D1240" t="s">
        <v>221</v>
      </c>
      <c r="E1240" t="s">
        <v>236</v>
      </c>
      <c r="F1240" t="s">
        <v>183</v>
      </c>
      <c r="G1240" t="s">
        <v>1648</v>
      </c>
      <c r="H1240" s="77">
        <v>55</v>
      </c>
      <c r="I1240" s="124">
        <v>410.23</v>
      </c>
      <c r="J1240" s="124">
        <v>22562.77</v>
      </c>
      <c r="K1240" s="77">
        <v>30</v>
      </c>
      <c r="L1240" t="s">
        <v>339</v>
      </c>
      <c r="M1240" s="126">
        <v>4512.5540000000001</v>
      </c>
      <c r="N1240" s="124">
        <v>22562.77</v>
      </c>
      <c r="O1240" t="s">
        <v>346</v>
      </c>
      <c r="P1240" t="s">
        <v>294</v>
      </c>
    </row>
    <row r="1241" spans="1:16" ht="15" customHeight="1" x14ac:dyDescent="0.25">
      <c r="A1241" s="123">
        <v>45798</v>
      </c>
      <c r="B1241" t="s">
        <v>366</v>
      </c>
      <c r="C1241" t="s">
        <v>367</v>
      </c>
      <c r="D1241" t="s">
        <v>221</v>
      </c>
      <c r="E1241" t="s">
        <v>442</v>
      </c>
      <c r="F1241" t="s">
        <v>179</v>
      </c>
      <c r="G1241" t="s">
        <v>1649</v>
      </c>
      <c r="H1241" s="77">
        <v>57</v>
      </c>
      <c r="I1241" s="124">
        <v>440.79</v>
      </c>
      <c r="J1241" s="124">
        <v>25125.19</v>
      </c>
      <c r="K1241" s="77">
        <v>45</v>
      </c>
      <c r="L1241" t="s">
        <v>345</v>
      </c>
      <c r="M1241" s="126">
        <v>5025.0379999999996</v>
      </c>
      <c r="N1241" s="124">
        <v>25125.19</v>
      </c>
      <c r="O1241" t="s">
        <v>340</v>
      </c>
      <c r="P1241" t="s">
        <v>294</v>
      </c>
    </row>
    <row r="1242" spans="1:16" ht="15" customHeight="1" x14ac:dyDescent="0.25">
      <c r="A1242" s="123">
        <v>45931</v>
      </c>
      <c r="B1242" t="s">
        <v>401</v>
      </c>
      <c r="C1242" t="s">
        <v>402</v>
      </c>
      <c r="D1242" t="s">
        <v>221</v>
      </c>
      <c r="E1242" t="s">
        <v>496</v>
      </c>
      <c r="F1242" t="s">
        <v>177</v>
      </c>
      <c r="G1242" t="s">
        <v>1650</v>
      </c>
      <c r="H1242" s="77">
        <v>48</v>
      </c>
      <c r="I1242" s="124">
        <v>97.41</v>
      </c>
      <c r="J1242" s="124">
        <v>4675.88</v>
      </c>
      <c r="K1242" s="77">
        <v>60</v>
      </c>
      <c r="L1242" t="s">
        <v>339</v>
      </c>
      <c r="M1242" s="126">
        <v>935.17600000000004</v>
      </c>
      <c r="N1242" s="124">
        <v>4675.88</v>
      </c>
      <c r="O1242" t="s">
        <v>346</v>
      </c>
      <c r="P1242" t="s">
        <v>294</v>
      </c>
    </row>
    <row r="1243" spans="1:16" ht="15" customHeight="1" x14ac:dyDescent="0.25">
      <c r="A1243" s="123">
        <v>46007</v>
      </c>
      <c r="B1243" t="s">
        <v>347</v>
      </c>
      <c r="C1243" t="s">
        <v>348</v>
      </c>
      <c r="D1243" t="s">
        <v>223</v>
      </c>
      <c r="E1243" t="s">
        <v>234</v>
      </c>
      <c r="F1243" t="s">
        <v>183</v>
      </c>
      <c r="G1243" t="s">
        <v>1651</v>
      </c>
      <c r="H1243" s="77">
        <v>32</v>
      </c>
      <c r="I1243" s="124">
        <v>268.22000000000003</v>
      </c>
      <c r="J1243" s="124">
        <v>8583.09</v>
      </c>
      <c r="K1243" s="77">
        <v>45</v>
      </c>
      <c r="L1243" t="s">
        <v>339</v>
      </c>
      <c r="M1243" s="126">
        <v>1716.6179999999999</v>
      </c>
      <c r="N1243" s="124">
        <v>8583.09</v>
      </c>
      <c r="O1243" t="s">
        <v>346</v>
      </c>
      <c r="P1243" t="s">
        <v>294</v>
      </c>
    </row>
    <row r="1244" spans="1:16" ht="15" customHeight="1" x14ac:dyDescent="0.25">
      <c r="A1244" s="123">
        <v>45846</v>
      </c>
      <c r="B1244" t="s">
        <v>431</v>
      </c>
      <c r="C1244" t="s">
        <v>432</v>
      </c>
      <c r="D1244" t="s">
        <v>221</v>
      </c>
      <c r="E1244" t="s">
        <v>417</v>
      </c>
      <c r="F1244" t="s">
        <v>184</v>
      </c>
      <c r="G1244" t="s">
        <v>1652</v>
      </c>
      <c r="H1244" s="77">
        <v>40</v>
      </c>
      <c r="I1244" s="124">
        <v>54.47</v>
      </c>
      <c r="J1244" s="124">
        <v>2178.61</v>
      </c>
      <c r="K1244" s="77">
        <v>30</v>
      </c>
      <c r="L1244" t="s">
        <v>351</v>
      </c>
      <c r="M1244" s="126">
        <v>435.72199999999998</v>
      </c>
      <c r="N1244" s="124">
        <v>2178.61</v>
      </c>
      <c r="O1244" t="s">
        <v>346</v>
      </c>
      <c r="P1244" t="s">
        <v>294</v>
      </c>
    </row>
    <row r="1245" spans="1:16" ht="15" customHeight="1" x14ac:dyDescent="0.25">
      <c r="A1245" s="123">
        <v>45997</v>
      </c>
      <c r="B1245" t="s">
        <v>383</v>
      </c>
      <c r="C1245" t="s">
        <v>384</v>
      </c>
      <c r="D1245" t="s">
        <v>225</v>
      </c>
      <c r="E1245" t="s">
        <v>440</v>
      </c>
      <c r="F1245" t="s">
        <v>177</v>
      </c>
      <c r="G1245" t="s">
        <v>1653</v>
      </c>
      <c r="H1245" s="77">
        <v>7</v>
      </c>
      <c r="I1245" s="124">
        <v>68.67</v>
      </c>
      <c r="J1245" s="124">
        <v>480.72</v>
      </c>
      <c r="K1245" s="77">
        <v>60</v>
      </c>
      <c r="L1245" t="s">
        <v>351</v>
      </c>
      <c r="M1245" s="126">
        <v>96.144000000000005</v>
      </c>
      <c r="N1245" s="124">
        <v>480.72</v>
      </c>
      <c r="O1245" t="s">
        <v>346</v>
      </c>
      <c r="P1245" t="s">
        <v>294</v>
      </c>
    </row>
    <row r="1246" spans="1:16" ht="15" customHeight="1" x14ac:dyDescent="0.25">
      <c r="A1246" s="123">
        <v>45854</v>
      </c>
      <c r="B1246" t="s">
        <v>488</v>
      </c>
      <c r="C1246" t="s">
        <v>489</v>
      </c>
      <c r="D1246" t="s">
        <v>225</v>
      </c>
      <c r="E1246" t="s">
        <v>403</v>
      </c>
      <c r="F1246" t="s">
        <v>181</v>
      </c>
      <c r="G1246" t="s">
        <v>1654</v>
      </c>
      <c r="H1246" s="77">
        <v>40</v>
      </c>
      <c r="I1246" s="124">
        <v>153.93</v>
      </c>
      <c r="J1246" s="124">
        <v>6157.37</v>
      </c>
      <c r="K1246" s="77">
        <v>60</v>
      </c>
      <c r="L1246" t="s">
        <v>351</v>
      </c>
      <c r="M1246" s="126">
        <v>1231.4739999999999</v>
      </c>
      <c r="N1246" s="124">
        <v>6157.37</v>
      </c>
      <c r="O1246" t="s">
        <v>346</v>
      </c>
      <c r="P1246" t="s">
        <v>294</v>
      </c>
    </row>
    <row r="1247" spans="1:16" ht="15" customHeight="1" x14ac:dyDescent="0.25">
      <c r="A1247" s="123">
        <v>45779</v>
      </c>
      <c r="B1247" t="s">
        <v>370</v>
      </c>
      <c r="C1247" t="s">
        <v>371</v>
      </c>
      <c r="D1247" t="s">
        <v>227</v>
      </c>
      <c r="E1247" t="s">
        <v>343</v>
      </c>
      <c r="F1247" t="s">
        <v>178</v>
      </c>
      <c r="G1247" t="s">
        <v>1655</v>
      </c>
      <c r="H1247" s="77">
        <v>57</v>
      </c>
      <c r="I1247" s="124">
        <v>33.159999999999997</v>
      </c>
      <c r="J1247" s="124">
        <v>1889.89</v>
      </c>
      <c r="K1247" s="77">
        <v>45</v>
      </c>
      <c r="L1247" t="s">
        <v>339</v>
      </c>
      <c r="M1247" s="126">
        <v>377.97800000000001</v>
      </c>
      <c r="N1247" s="124">
        <v>1889.89</v>
      </c>
      <c r="O1247" t="s">
        <v>346</v>
      </c>
      <c r="P1247" t="s">
        <v>294</v>
      </c>
    </row>
    <row r="1248" spans="1:16" ht="15" customHeight="1" x14ac:dyDescent="0.25">
      <c r="A1248" s="123">
        <v>45704</v>
      </c>
      <c r="B1248" t="s">
        <v>401</v>
      </c>
      <c r="C1248" t="s">
        <v>402</v>
      </c>
      <c r="D1248" t="s">
        <v>221</v>
      </c>
      <c r="E1248" t="s">
        <v>437</v>
      </c>
      <c r="F1248" t="s">
        <v>181</v>
      </c>
      <c r="G1248" t="s">
        <v>1656</v>
      </c>
      <c r="H1248" s="77">
        <v>31</v>
      </c>
      <c r="I1248" s="124">
        <v>224.16</v>
      </c>
      <c r="J1248" s="124">
        <v>6949.05</v>
      </c>
      <c r="K1248" s="77">
        <v>45</v>
      </c>
      <c r="L1248" t="s">
        <v>339</v>
      </c>
      <c r="M1248" s="126">
        <v>1389.81</v>
      </c>
      <c r="N1248" s="124">
        <v>6949.05</v>
      </c>
      <c r="O1248" t="s">
        <v>346</v>
      </c>
      <c r="P1248" t="s">
        <v>294</v>
      </c>
    </row>
    <row r="1249" spans="1:16" ht="15" customHeight="1" x14ac:dyDescent="0.25">
      <c r="A1249" s="123">
        <v>45820</v>
      </c>
      <c r="B1249" t="s">
        <v>373</v>
      </c>
      <c r="C1249" t="s">
        <v>374</v>
      </c>
      <c r="D1249" t="s">
        <v>225</v>
      </c>
      <c r="E1249" t="s">
        <v>417</v>
      </c>
      <c r="F1249" t="s">
        <v>184</v>
      </c>
      <c r="G1249" t="s">
        <v>1657</v>
      </c>
      <c r="H1249" s="77">
        <v>53</v>
      </c>
      <c r="I1249" s="124">
        <v>49.11</v>
      </c>
      <c r="J1249" s="124">
        <v>2602.67</v>
      </c>
      <c r="K1249" s="77">
        <v>30</v>
      </c>
      <c r="L1249" t="s">
        <v>345</v>
      </c>
      <c r="M1249" s="126">
        <v>520.53399999999999</v>
      </c>
      <c r="N1249" s="124">
        <v>2602.67</v>
      </c>
      <c r="O1249" t="s">
        <v>346</v>
      </c>
      <c r="P1249" t="s">
        <v>294</v>
      </c>
    </row>
    <row r="1250" spans="1:16" ht="15" customHeight="1" x14ac:dyDescent="0.25">
      <c r="A1250" s="123">
        <v>45869</v>
      </c>
      <c r="B1250" t="s">
        <v>398</v>
      </c>
      <c r="C1250" t="s">
        <v>399</v>
      </c>
      <c r="D1250" t="s">
        <v>227</v>
      </c>
      <c r="E1250" t="s">
        <v>427</v>
      </c>
      <c r="F1250" t="s">
        <v>184</v>
      </c>
      <c r="G1250" t="s">
        <v>1658</v>
      </c>
      <c r="H1250" s="77">
        <v>43</v>
      </c>
      <c r="I1250" s="124">
        <v>85.29</v>
      </c>
      <c r="J1250" s="124">
        <v>3667.52</v>
      </c>
      <c r="K1250" s="77">
        <v>60</v>
      </c>
      <c r="L1250" t="s">
        <v>345</v>
      </c>
      <c r="M1250" s="126">
        <v>733.50400000000002</v>
      </c>
      <c r="N1250" s="124">
        <v>3667.52</v>
      </c>
      <c r="O1250" t="s">
        <v>346</v>
      </c>
      <c r="P1250" t="s">
        <v>294</v>
      </c>
    </row>
    <row r="1251" spans="1:16" ht="15" customHeight="1" x14ac:dyDescent="0.25">
      <c r="A1251" s="123">
        <v>45791</v>
      </c>
      <c r="B1251" t="s">
        <v>393</v>
      </c>
      <c r="C1251" t="s">
        <v>394</v>
      </c>
      <c r="D1251" t="s">
        <v>227</v>
      </c>
      <c r="E1251" t="s">
        <v>412</v>
      </c>
      <c r="F1251" t="s">
        <v>179</v>
      </c>
      <c r="G1251" t="s">
        <v>1659</v>
      </c>
      <c r="H1251" s="77">
        <v>65</v>
      </c>
      <c r="I1251" s="124">
        <v>76.489999999999995</v>
      </c>
      <c r="J1251" s="124">
        <v>4972.12</v>
      </c>
      <c r="K1251" s="77">
        <v>30</v>
      </c>
      <c r="L1251" t="s">
        <v>345</v>
      </c>
      <c r="M1251" s="126">
        <v>994.42399999999998</v>
      </c>
      <c r="N1251" s="124">
        <v>4972.12</v>
      </c>
      <c r="O1251" t="s">
        <v>346</v>
      </c>
      <c r="P1251" t="s">
        <v>294</v>
      </c>
    </row>
    <row r="1252" spans="1:16" ht="15" customHeight="1" x14ac:dyDescent="0.25">
      <c r="A1252" s="123">
        <v>46013</v>
      </c>
      <c r="B1252" t="s">
        <v>409</v>
      </c>
      <c r="C1252" t="s">
        <v>410</v>
      </c>
      <c r="D1252" t="s">
        <v>223</v>
      </c>
      <c r="E1252" t="s">
        <v>420</v>
      </c>
      <c r="F1252" t="s">
        <v>182</v>
      </c>
      <c r="G1252" t="s">
        <v>1660</v>
      </c>
      <c r="H1252" s="77">
        <v>4</v>
      </c>
      <c r="I1252" s="124">
        <v>113.96</v>
      </c>
      <c r="J1252" s="124">
        <v>455.85</v>
      </c>
      <c r="K1252" s="77">
        <v>30</v>
      </c>
      <c r="L1252" t="s">
        <v>351</v>
      </c>
      <c r="M1252" s="126">
        <v>91.17</v>
      </c>
      <c r="N1252" s="124">
        <v>455.85</v>
      </c>
      <c r="O1252" t="s">
        <v>346</v>
      </c>
      <c r="P1252" t="s">
        <v>294</v>
      </c>
    </row>
    <row r="1253" spans="1:16" ht="15" customHeight="1" x14ac:dyDescent="0.25">
      <c r="A1253" s="123">
        <v>45885</v>
      </c>
      <c r="B1253" t="s">
        <v>362</v>
      </c>
      <c r="C1253" t="s">
        <v>363</v>
      </c>
      <c r="D1253" t="s">
        <v>221</v>
      </c>
      <c r="E1253" t="s">
        <v>412</v>
      </c>
      <c r="F1253" t="s">
        <v>179</v>
      </c>
      <c r="G1253" t="s">
        <v>1661</v>
      </c>
      <c r="H1253" s="77">
        <v>18</v>
      </c>
      <c r="I1253" s="124">
        <v>284.69</v>
      </c>
      <c r="J1253" s="124">
        <v>5124.3999999999996</v>
      </c>
      <c r="K1253" s="77">
        <v>30</v>
      </c>
      <c r="L1253" t="s">
        <v>345</v>
      </c>
      <c r="M1253" s="126">
        <v>1024.8800000000001</v>
      </c>
      <c r="N1253" s="124">
        <v>5124.3999999999996</v>
      </c>
      <c r="O1253" t="s">
        <v>346</v>
      </c>
      <c r="P1253" t="s">
        <v>294</v>
      </c>
    </row>
    <row r="1254" spans="1:16" ht="15" customHeight="1" x14ac:dyDescent="0.25">
      <c r="A1254" s="123">
        <v>45952</v>
      </c>
      <c r="B1254" t="s">
        <v>370</v>
      </c>
      <c r="C1254" t="s">
        <v>371</v>
      </c>
      <c r="D1254" t="s">
        <v>227</v>
      </c>
      <c r="E1254" t="s">
        <v>437</v>
      </c>
      <c r="F1254" t="s">
        <v>181</v>
      </c>
      <c r="G1254" t="s">
        <v>1662</v>
      </c>
      <c r="H1254" s="77">
        <v>11</v>
      </c>
      <c r="I1254" s="124">
        <v>73.48</v>
      </c>
      <c r="J1254" s="124">
        <v>808.33</v>
      </c>
      <c r="K1254" s="77">
        <v>30</v>
      </c>
      <c r="L1254" t="s">
        <v>339</v>
      </c>
      <c r="M1254" s="126">
        <v>161.666</v>
      </c>
      <c r="N1254" s="124">
        <v>808.33</v>
      </c>
      <c r="O1254" t="s">
        <v>346</v>
      </c>
      <c r="P1254" t="s">
        <v>294</v>
      </c>
    </row>
    <row r="1255" spans="1:16" ht="15" customHeight="1" x14ac:dyDescent="0.25">
      <c r="A1255" s="123">
        <v>46009</v>
      </c>
      <c r="B1255" t="s">
        <v>383</v>
      </c>
      <c r="C1255" t="s">
        <v>384</v>
      </c>
      <c r="D1255" t="s">
        <v>225</v>
      </c>
      <c r="E1255" t="s">
        <v>412</v>
      </c>
      <c r="F1255" t="s">
        <v>179</v>
      </c>
      <c r="G1255" t="s">
        <v>1663</v>
      </c>
      <c r="H1255" s="77">
        <v>53</v>
      </c>
      <c r="I1255" s="124">
        <v>221.12</v>
      </c>
      <c r="J1255" s="124">
        <v>11719.15</v>
      </c>
      <c r="K1255" s="77">
        <v>45</v>
      </c>
      <c r="L1255" t="s">
        <v>345</v>
      </c>
      <c r="M1255" s="126">
        <v>2343.83</v>
      </c>
      <c r="N1255" s="124">
        <v>11719.15</v>
      </c>
      <c r="O1255" t="s">
        <v>346</v>
      </c>
      <c r="P1255" t="s">
        <v>294</v>
      </c>
    </row>
    <row r="1256" spans="1:16" ht="15" customHeight="1" x14ac:dyDescent="0.25">
      <c r="A1256" s="123">
        <v>45746</v>
      </c>
      <c r="B1256" t="s">
        <v>378</v>
      </c>
      <c r="C1256" t="s">
        <v>379</v>
      </c>
      <c r="D1256" t="s">
        <v>227</v>
      </c>
      <c r="E1256" t="s">
        <v>381</v>
      </c>
      <c r="F1256" t="s">
        <v>179</v>
      </c>
      <c r="G1256" t="s">
        <v>1664</v>
      </c>
      <c r="H1256" s="77">
        <v>76</v>
      </c>
      <c r="I1256" s="124">
        <v>353.6</v>
      </c>
      <c r="J1256" s="124">
        <v>26873.83</v>
      </c>
      <c r="K1256" s="77">
        <v>45</v>
      </c>
      <c r="L1256" t="s">
        <v>345</v>
      </c>
      <c r="M1256" s="126">
        <v>5374.7659999999996</v>
      </c>
      <c r="N1256" s="124">
        <v>26873.83</v>
      </c>
      <c r="O1256" t="s">
        <v>346</v>
      </c>
      <c r="P1256" t="s">
        <v>294</v>
      </c>
    </row>
    <row r="1257" spans="1:16" ht="15" customHeight="1" x14ac:dyDescent="0.25">
      <c r="A1257" s="123">
        <v>45846</v>
      </c>
      <c r="B1257" t="s">
        <v>378</v>
      </c>
      <c r="C1257" t="s">
        <v>379</v>
      </c>
      <c r="D1257" t="s">
        <v>227</v>
      </c>
      <c r="E1257" t="s">
        <v>368</v>
      </c>
      <c r="F1257" t="s">
        <v>178</v>
      </c>
      <c r="G1257" t="s">
        <v>1665</v>
      </c>
      <c r="H1257" s="77">
        <v>24</v>
      </c>
      <c r="I1257" s="124">
        <v>33.42</v>
      </c>
      <c r="J1257" s="124">
        <v>802.02</v>
      </c>
      <c r="K1257" s="77">
        <v>45</v>
      </c>
      <c r="L1257" t="s">
        <v>345</v>
      </c>
      <c r="M1257" s="126">
        <v>160.404</v>
      </c>
      <c r="N1257" s="124">
        <v>802.02</v>
      </c>
      <c r="O1257" t="s">
        <v>346</v>
      </c>
      <c r="P1257" t="s">
        <v>294</v>
      </c>
    </row>
    <row r="1258" spans="1:16" ht="15" customHeight="1" x14ac:dyDescent="0.25">
      <c r="A1258" s="123">
        <v>45669</v>
      </c>
      <c r="B1258" t="s">
        <v>354</v>
      </c>
      <c r="C1258" t="s">
        <v>355</v>
      </c>
      <c r="D1258" t="s">
        <v>227</v>
      </c>
      <c r="E1258" t="s">
        <v>423</v>
      </c>
      <c r="F1258" t="s">
        <v>180</v>
      </c>
      <c r="G1258" t="s">
        <v>1666</v>
      </c>
      <c r="H1258" s="77">
        <v>72</v>
      </c>
      <c r="I1258" s="124">
        <v>627.27</v>
      </c>
      <c r="J1258" s="124">
        <v>45163.38</v>
      </c>
      <c r="K1258" s="77">
        <v>60</v>
      </c>
      <c r="L1258" t="s">
        <v>351</v>
      </c>
      <c r="M1258" s="126">
        <v>9032.6759999999995</v>
      </c>
      <c r="N1258" s="124">
        <v>45163.38</v>
      </c>
      <c r="O1258" t="s">
        <v>346</v>
      </c>
      <c r="P1258" t="s">
        <v>294</v>
      </c>
    </row>
    <row r="1259" spans="1:16" ht="15" customHeight="1" x14ac:dyDescent="0.25">
      <c r="A1259" s="123">
        <v>45894</v>
      </c>
      <c r="B1259" t="s">
        <v>488</v>
      </c>
      <c r="C1259" t="s">
        <v>489</v>
      </c>
      <c r="D1259" t="s">
        <v>225</v>
      </c>
      <c r="E1259" t="s">
        <v>423</v>
      </c>
      <c r="F1259" t="s">
        <v>180</v>
      </c>
      <c r="G1259" t="s">
        <v>1667</v>
      </c>
      <c r="H1259" s="77">
        <v>26</v>
      </c>
      <c r="I1259" s="124">
        <v>314.79000000000002</v>
      </c>
      <c r="J1259" s="124">
        <v>8184.67</v>
      </c>
      <c r="K1259" s="77">
        <v>45</v>
      </c>
      <c r="L1259" t="s">
        <v>351</v>
      </c>
      <c r="M1259" s="126">
        <v>1636.934</v>
      </c>
      <c r="N1259" s="124">
        <v>8184.67</v>
      </c>
      <c r="O1259" t="s">
        <v>346</v>
      </c>
      <c r="P1259" t="s">
        <v>294</v>
      </c>
    </row>
    <row r="1260" spans="1:16" ht="15" customHeight="1" x14ac:dyDescent="0.25">
      <c r="A1260" s="123">
        <v>45974</v>
      </c>
      <c r="B1260" t="s">
        <v>409</v>
      </c>
      <c r="C1260" t="s">
        <v>410</v>
      </c>
      <c r="D1260" t="s">
        <v>223</v>
      </c>
      <c r="E1260" t="s">
        <v>496</v>
      </c>
      <c r="F1260" t="s">
        <v>177</v>
      </c>
      <c r="G1260" t="s">
        <v>1668</v>
      </c>
      <c r="H1260" s="77">
        <v>55</v>
      </c>
      <c r="I1260" s="124">
        <v>81.430000000000007</v>
      </c>
      <c r="J1260" s="124">
        <v>4478.6099999999997</v>
      </c>
      <c r="K1260" s="77">
        <v>60</v>
      </c>
      <c r="L1260" t="s">
        <v>345</v>
      </c>
      <c r="M1260" s="126">
        <v>895.72199999999998</v>
      </c>
      <c r="N1260" s="124">
        <v>4478.6099999999997</v>
      </c>
      <c r="O1260" t="s">
        <v>346</v>
      </c>
      <c r="P1260" t="s">
        <v>294</v>
      </c>
    </row>
    <row r="1261" spans="1:16" ht="15" customHeight="1" x14ac:dyDescent="0.25">
      <c r="A1261" s="123">
        <v>45745</v>
      </c>
      <c r="B1261" t="s">
        <v>341</v>
      </c>
      <c r="C1261" t="s">
        <v>342</v>
      </c>
      <c r="D1261" t="s">
        <v>223</v>
      </c>
      <c r="E1261" t="s">
        <v>368</v>
      </c>
      <c r="F1261" t="s">
        <v>178</v>
      </c>
      <c r="G1261" t="s">
        <v>1669</v>
      </c>
      <c r="H1261" s="77">
        <v>73</v>
      </c>
      <c r="I1261" s="124">
        <v>63.04</v>
      </c>
      <c r="J1261" s="124">
        <v>4601.67</v>
      </c>
      <c r="K1261" s="77">
        <v>30</v>
      </c>
      <c r="L1261" t="s">
        <v>339</v>
      </c>
      <c r="M1261" s="126">
        <v>920.33399999999995</v>
      </c>
      <c r="N1261" s="124">
        <v>4601.67</v>
      </c>
      <c r="O1261" t="s">
        <v>346</v>
      </c>
      <c r="P1261" t="s">
        <v>294</v>
      </c>
    </row>
    <row r="1262" spans="1:16" ht="15" customHeight="1" x14ac:dyDescent="0.25">
      <c r="A1262" s="123">
        <v>46002</v>
      </c>
      <c r="B1262" t="s">
        <v>358</v>
      </c>
      <c r="C1262" t="s">
        <v>359</v>
      </c>
      <c r="D1262" t="s">
        <v>225</v>
      </c>
      <c r="E1262" t="s">
        <v>234</v>
      </c>
      <c r="F1262" t="s">
        <v>183</v>
      </c>
      <c r="G1262" t="s">
        <v>1670</v>
      </c>
      <c r="H1262" s="77">
        <v>64</v>
      </c>
      <c r="I1262" s="124">
        <v>407.83</v>
      </c>
      <c r="J1262" s="124">
        <v>26101.43</v>
      </c>
      <c r="K1262" s="77">
        <v>30</v>
      </c>
      <c r="L1262" t="s">
        <v>339</v>
      </c>
      <c r="M1262" s="126">
        <v>5220.2860000000001</v>
      </c>
      <c r="N1262" s="124">
        <v>26101.43</v>
      </c>
      <c r="O1262" t="s">
        <v>346</v>
      </c>
      <c r="P1262" t="s">
        <v>294</v>
      </c>
    </row>
    <row r="1263" spans="1:16" ht="15" customHeight="1" x14ac:dyDescent="0.25">
      <c r="A1263" s="123">
        <v>45794</v>
      </c>
      <c r="B1263" t="s">
        <v>366</v>
      </c>
      <c r="C1263" t="s">
        <v>367</v>
      </c>
      <c r="D1263" t="s">
        <v>221</v>
      </c>
      <c r="E1263" t="s">
        <v>423</v>
      </c>
      <c r="F1263" t="s">
        <v>180</v>
      </c>
      <c r="G1263" t="s">
        <v>1671</v>
      </c>
      <c r="H1263" s="77">
        <v>37</v>
      </c>
      <c r="I1263" s="124">
        <v>260.67</v>
      </c>
      <c r="J1263" s="124">
        <v>9644.8700000000008</v>
      </c>
      <c r="K1263" s="77">
        <v>60</v>
      </c>
      <c r="L1263" t="s">
        <v>345</v>
      </c>
      <c r="M1263" s="126">
        <v>1928.9739999999999</v>
      </c>
      <c r="N1263" s="124">
        <v>9644.8700000000008</v>
      </c>
      <c r="O1263" t="s">
        <v>346</v>
      </c>
      <c r="P1263" t="s">
        <v>294</v>
      </c>
    </row>
    <row r="1264" spans="1:16" ht="15" customHeight="1" x14ac:dyDescent="0.25">
      <c r="A1264" s="123">
        <v>45763</v>
      </c>
      <c r="B1264" t="s">
        <v>406</v>
      </c>
      <c r="C1264" t="s">
        <v>407</v>
      </c>
      <c r="D1264" t="s">
        <v>225</v>
      </c>
      <c r="E1264" t="s">
        <v>381</v>
      </c>
      <c r="F1264" t="s">
        <v>179</v>
      </c>
      <c r="G1264" t="s">
        <v>1672</v>
      </c>
      <c r="H1264" s="77">
        <v>77</v>
      </c>
      <c r="I1264" s="124">
        <v>242.08</v>
      </c>
      <c r="J1264" s="124">
        <v>18640.240000000002</v>
      </c>
      <c r="K1264" s="77">
        <v>30</v>
      </c>
      <c r="L1264" t="s">
        <v>345</v>
      </c>
      <c r="M1264" s="126">
        <v>3728.0479999999998</v>
      </c>
      <c r="N1264" s="124">
        <v>18640.240000000002</v>
      </c>
      <c r="O1264" t="s">
        <v>346</v>
      </c>
      <c r="P1264" t="s">
        <v>294</v>
      </c>
    </row>
    <row r="1265" spans="1:16" ht="15" customHeight="1" x14ac:dyDescent="0.25">
      <c r="A1265" s="123">
        <v>45750</v>
      </c>
      <c r="B1265" t="s">
        <v>370</v>
      </c>
      <c r="C1265" t="s">
        <v>371</v>
      </c>
      <c r="D1265" t="s">
        <v>227</v>
      </c>
      <c r="E1265" t="s">
        <v>360</v>
      </c>
      <c r="F1265" t="s">
        <v>180</v>
      </c>
      <c r="G1265" t="s">
        <v>1673</v>
      </c>
      <c r="H1265" s="77">
        <v>53</v>
      </c>
      <c r="I1265" s="124">
        <v>150.66999999999999</v>
      </c>
      <c r="J1265" s="124">
        <v>7985.5</v>
      </c>
      <c r="K1265" s="77">
        <v>30</v>
      </c>
      <c r="L1265" t="s">
        <v>339</v>
      </c>
      <c r="M1265" s="126">
        <v>1597.1</v>
      </c>
      <c r="N1265" s="124">
        <v>7985.5</v>
      </c>
      <c r="O1265" t="s">
        <v>346</v>
      </c>
      <c r="P1265" t="s">
        <v>294</v>
      </c>
    </row>
    <row r="1266" spans="1:16" ht="15" customHeight="1" x14ac:dyDescent="0.25">
      <c r="A1266" s="123">
        <v>45974</v>
      </c>
      <c r="B1266" t="s">
        <v>431</v>
      </c>
      <c r="C1266" t="s">
        <v>432</v>
      </c>
      <c r="D1266" t="s">
        <v>221</v>
      </c>
      <c r="E1266" t="s">
        <v>356</v>
      </c>
      <c r="F1266" t="s">
        <v>181</v>
      </c>
      <c r="G1266" t="s">
        <v>1674</v>
      </c>
      <c r="H1266" s="77">
        <v>58</v>
      </c>
      <c r="I1266" s="124">
        <v>241.48</v>
      </c>
      <c r="J1266" s="124">
        <v>14005.69</v>
      </c>
      <c r="K1266" s="77">
        <v>30</v>
      </c>
      <c r="L1266" t="s">
        <v>345</v>
      </c>
      <c r="M1266" s="126">
        <v>2801.1379999999999</v>
      </c>
      <c r="N1266" s="124">
        <v>14005.69</v>
      </c>
      <c r="O1266" t="s">
        <v>340</v>
      </c>
      <c r="P1266" t="s">
        <v>294</v>
      </c>
    </row>
    <row r="1267" spans="1:16" ht="15" customHeight="1" x14ac:dyDescent="0.25">
      <c r="A1267" s="123">
        <v>45663</v>
      </c>
      <c r="B1267" t="s">
        <v>347</v>
      </c>
      <c r="C1267" t="s">
        <v>348</v>
      </c>
      <c r="D1267" t="s">
        <v>223</v>
      </c>
      <c r="E1267" t="s">
        <v>396</v>
      </c>
      <c r="F1267" t="s">
        <v>184</v>
      </c>
      <c r="G1267" t="s">
        <v>1675</v>
      </c>
      <c r="H1267" s="77">
        <v>61</v>
      </c>
      <c r="I1267" s="124">
        <v>34.47</v>
      </c>
      <c r="J1267" s="124">
        <v>2102.37</v>
      </c>
      <c r="K1267" s="77">
        <v>30</v>
      </c>
      <c r="L1267" t="s">
        <v>345</v>
      </c>
      <c r="M1267" s="126">
        <v>420.47399999999999</v>
      </c>
      <c r="N1267" s="124">
        <v>2102.37</v>
      </c>
      <c r="O1267" t="s">
        <v>346</v>
      </c>
      <c r="P1267" t="s">
        <v>294</v>
      </c>
    </row>
    <row r="1268" spans="1:16" ht="15" customHeight="1" x14ac:dyDescent="0.25">
      <c r="A1268" s="123">
        <v>45766</v>
      </c>
      <c r="B1268" t="s">
        <v>390</v>
      </c>
      <c r="C1268" t="s">
        <v>391</v>
      </c>
      <c r="D1268" t="s">
        <v>221</v>
      </c>
      <c r="E1268" t="s">
        <v>236</v>
      </c>
      <c r="F1268" t="s">
        <v>183</v>
      </c>
      <c r="G1268" t="s">
        <v>1676</v>
      </c>
      <c r="H1268" s="77">
        <v>50</v>
      </c>
      <c r="I1268" s="124">
        <v>282.2</v>
      </c>
      <c r="J1268" s="124">
        <v>14109.89</v>
      </c>
      <c r="K1268" s="77">
        <v>60</v>
      </c>
      <c r="L1268" t="s">
        <v>345</v>
      </c>
      <c r="M1268" s="126">
        <v>2821.9780000000001</v>
      </c>
      <c r="N1268" s="124">
        <v>14109.89</v>
      </c>
      <c r="O1268" t="s">
        <v>346</v>
      </c>
      <c r="P1268" t="s">
        <v>294</v>
      </c>
    </row>
    <row r="1269" spans="1:16" ht="15" customHeight="1" x14ac:dyDescent="0.25">
      <c r="A1269" s="123">
        <v>45706</v>
      </c>
      <c r="B1269" t="s">
        <v>373</v>
      </c>
      <c r="C1269" t="s">
        <v>374</v>
      </c>
      <c r="D1269" t="s">
        <v>225</v>
      </c>
      <c r="E1269" t="s">
        <v>356</v>
      </c>
      <c r="F1269" t="s">
        <v>181</v>
      </c>
      <c r="G1269" t="s">
        <v>1677</v>
      </c>
      <c r="H1269" s="77">
        <v>72</v>
      </c>
      <c r="I1269" s="124">
        <v>133.82</v>
      </c>
      <c r="J1269" s="124">
        <v>9634.8700000000008</v>
      </c>
      <c r="K1269" s="77">
        <v>30</v>
      </c>
      <c r="L1269" t="s">
        <v>339</v>
      </c>
      <c r="M1269" s="126">
        <v>1926.9739999999999</v>
      </c>
      <c r="N1269" s="124">
        <v>9634.8700000000008</v>
      </c>
      <c r="O1269" t="s">
        <v>340</v>
      </c>
      <c r="P1269" t="s">
        <v>294</v>
      </c>
    </row>
    <row r="1270" spans="1:16" ht="15" customHeight="1" x14ac:dyDescent="0.25">
      <c r="A1270" s="123">
        <v>45839</v>
      </c>
      <c r="B1270" t="s">
        <v>383</v>
      </c>
      <c r="C1270" t="s">
        <v>384</v>
      </c>
      <c r="D1270" t="s">
        <v>225</v>
      </c>
      <c r="E1270" t="s">
        <v>360</v>
      </c>
      <c r="F1270" t="s">
        <v>180</v>
      </c>
      <c r="G1270" t="s">
        <v>1678</v>
      </c>
      <c r="H1270" s="77">
        <v>78</v>
      </c>
      <c r="I1270" s="124">
        <v>166.82</v>
      </c>
      <c r="J1270" s="124">
        <v>13012.01</v>
      </c>
      <c r="K1270" s="77">
        <v>60</v>
      </c>
      <c r="L1270" t="s">
        <v>351</v>
      </c>
      <c r="M1270" s="126">
        <v>2602.402</v>
      </c>
      <c r="N1270" s="124">
        <v>13012.01</v>
      </c>
      <c r="O1270" t="s">
        <v>346</v>
      </c>
      <c r="P1270" t="s">
        <v>294</v>
      </c>
    </row>
    <row r="1271" spans="1:16" ht="15" customHeight="1" x14ac:dyDescent="0.25">
      <c r="A1271" s="123">
        <v>45787</v>
      </c>
      <c r="B1271" t="s">
        <v>393</v>
      </c>
      <c r="C1271" t="s">
        <v>394</v>
      </c>
      <c r="D1271" t="s">
        <v>227</v>
      </c>
      <c r="E1271" t="s">
        <v>349</v>
      </c>
      <c r="F1271" t="s">
        <v>177</v>
      </c>
      <c r="G1271" t="s">
        <v>1679</v>
      </c>
      <c r="H1271" s="77">
        <v>65</v>
      </c>
      <c r="I1271" s="124">
        <v>236.83</v>
      </c>
      <c r="J1271" s="124">
        <v>15393.96</v>
      </c>
      <c r="K1271" s="77">
        <v>60</v>
      </c>
      <c r="L1271" t="s">
        <v>345</v>
      </c>
      <c r="M1271" s="126">
        <v>3078.7919999999999</v>
      </c>
      <c r="N1271" s="124">
        <v>15393.96</v>
      </c>
      <c r="O1271" t="s">
        <v>340</v>
      </c>
      <c r="P1271" t="s">
        <v>294</v>
      </c>
    </row>
    <row r="1272" spans="1:16" ht="15" customHeight="1" x14ac:dyDescent="0.25">
      <c r="A1272" s="123">
        <v>45847</v>
      </c>
      <c r="B1272" t="s">
        <v>398</v>
      </c>
      <c r="C1272" t="s">
        <v>399</v>
      </c>
      <c r="D1272" t="s">
        <v>227</v>
      </c>
      <c r="E1272" t="s">
        <v>236</v>
      </c>
      <c r="F1272" t="s">
        <v>183</v>
      </c>
      <c r="G1272" t="s">
        <v>1680</v>
      </c>
      <c r="H1272" s="77">
        <v>17</v>
      </c>
      <c r="I1272" s="124">
        <v>546.76</v>
      </c>
      <c r="J1272" s="124">
        <v>9294.86</v>
      </c>
      <c r="K1272" s="77">
        <v>60</v>
      </c>
      <c r="L1272" t="s">
        <v>339</v>
      </c>
      <c r="M1272" s="126">
        <v>1858.972</v>
      </c>
      <c r="N1272" s="124">
        <v>9294.86</v>
      </c>
      <c r="O1272" t="s">
        <v>346</v>
      </c>
      <c r="P1272" t="s">
        <v>294</v>
      </c>
    </row>
    <row r="1273" spans="1:16" ht="15" customHeight="1" x14ac:dyDescent="0.25">
      <c r="A1273" s="123">
        <v>45744</v>
      </c>
      <c r="B1273" t="s">
        <v>393</v>
      </c>
      <c r="C1273" t="s">
        <v>394</v>
      </c>
      <c r="D1273" t="s">
        <v>227</v>
      </c>
      <c r="E1273" t="s">
        <v>381</v>
      </c>
      <c r="F1273" t="s">
        <v>179</v>
      </c>
      <c r="G1273" t="s">
        <v>1681</v>
      </c>
      <c r="H1273" s="77">
        <v>65</v>
      </c>
      <c r="I1273" s="124">
        <v>251.64</v>
      </c>
      <c r="J1273" s="124">
        <v>16356.33</v>
      </c>
      <c r="K1273" s="77">
        <v>45</v>
      </c>
      <c r="L1273" t="s">
        <v>345</v>
      </c>
      <c r="M1273" s="126">
        <v>3271.2660000000001</v>
      </c>
      <c r="N1273" s="124">
        <v>16356.33</v>
      </c>
      <c r="O1273" t="s">
        <v>346</v>
      </c>
      <c r="P1273" t="s">
        <v>294</v>
      </c>
    </row>
    <row r="1274" spans="1:16" ht="15" customHeight="1" x14ac:dyDescent="0.25">
      <c r="A1274" s="123">
        <v>45820</v>
      </c>
      <c r="B1274" t="s">
        <v>354</v>
      </c>
      <c r="C1274" t="s">
        <v>355</v>
      </c>
      <c r="D1274" t="s">
        <v>227</v>
      </c>
      <c r="E1274" t="s">
        <v>442</v>
      </c>
      <c r="F1274" t="s">
        <v>179</v>
      </c>
      <c r="G1274" t="s">
        <v>1682</v>
      </c>
      <c r="H1274" s="77">
        <v>68</v>
      </c>
      <c r="I1274" s="124">
        <v>98.71</v>
      </c>
      <c r="J1274" s="124">
        <v>6712.27</v>
      </c>
      <c r="K1274" s="77">
        <v>45</v>
      </c>
      <c r="L1274" t="s">
        <v>339</v>
      </c>
      <c r="M1274" s="126">
        <v>1342.454</v>
      </c>
      <c r="N1274" s="124">
        <v>6712.27</v>
      </c>
      <c r="O1274" t="s">
        <v>340</v>
      </c>
      <c r="P1274" t="s">
        <v>294</v>
      </c>
    </row>
    <row r="1275" spans="1:16" ht="15" customHeight="1" x14ac:dyDescent="0.25">
      <c r="A1275" s="123">
        <v>45680</v>
      </c>
      <c r="B1275" t="s">
        <v>341</v>
      </c>
      <c r="C1275" t="s">
        <v>342</v>
      </c>
      <c r="D1275" t="s">
        <v>223</v>
      </c>
      <c r="E1275" t="s">
        <v>368</v>
      </c>
      <c r="F1275" t="s">
        <v>178</v>
      </c>
      <c r="G1275" t="s">
        <v>1683</v>
      </c>
      <c r="H1275" s="77">
        <v>17</v>
      </c>
      <c r="I1275" s="124">
        <v>54.62</v>
      </c>
      <c r="J1275" s="124">
        <v>928.51</v>
      </c>
      <c r="K1275" s="77">
        <v>45</v>
      </c>
      <c r="L1275" t="s">
        <v>345</v>
      </c>
      <c r="M1275" s="126">
        <v>185.702</v>
      </c>
      <c r="N1275" s="124">
        <v>928.51</v>
      </c>
      <c r="O1275" t="s">
        <v>346</v>
      </c>
      <c r="P1275" t="s">
        <v>294</v>
      </c>
    </row>
    <row r="1276" spans="1:16" ht="15" customHeight="1" x14ac:dyDescent="0.25">
      <c r="A1276" s="123">
        <v>45802</v>
      </c>
      <c r="B1276" t="s">
        <v>366</v>
      </c>
      <c r="C1276" t="s">
        <v>367</v>
      </c>
      <c r="D1276" t="s">
        <v>221</v>
      </c>
      <c r="E1276" t="s">
        <v>420</v>
      </c>
      <c r="F1276" t="s">
        <v>182</v>
      </c>
      <c r="G1276" t="s">
        <v>1684</v>
      </c>
      <c r="H1276" s="77">
        <v>34</v>
      </c>
      <c r="I1276" s="124">
        <v>185.13</v>
      </c>
      <c r="J1276" s="124">
        <v>6294.56</v>
      </c>
      <c r="K1276" s="77">
        <v>60</v>
      </c>
      <c r="L1276" t="s">
        <v>345</v>
      </c>
      <c r="M1276" s="126">
        <v>1258.912</v>
      </c>
      <c r="N1276" s="124">
        <v>6294.56</v>
      </c>
      <c r="O1276" t="s">
        <v>346</v>
      </c>
      <c r="P1276" t="s">
        <v>294</v>
      </c>
    </row>
    <row r="1277" spans="1:16" ht="15" customHeight="1" x14ac:dyDescent="0.25">
      <c r="A1277" s="123">
        <v>45742</v>
      </c>
      <c r="B1277" t="s">
        <v>354</v>
      </c>
      <c r="C1277" t="s">
        <v>355</v>
      </c>
      <c r="D1277" t="s">
        <v>227</v>
      </c>
      <c r="E1277" t="s">
        <v>420</v>
      </c>
      <c r="F1277" t="s">
        <v>182</v>
      </c>
      <c r="G1277" t="s">
        <v>1685</v>
      </c>
      <c r="H1277" s="77">
        <v>41</v>
      </c>
      <c r="I1277" s="124">
        <v>102.7</v>
      </c>
      <c r="J1277" s="124">
        <v>4210.74</v>
      </c>
      <c r="K1277" s="77">
        <v>60</v>
      </c>
      <c r="L1277" t="s">
        <v>345</v>
      </c>
      <c r="M1277" s="126">
        <v>842.14800000000002</v>
      </c>
      <c r="N1277" s="124">
        <v>4210.74</v>
      </c>
      <c r="O1277" t="s">
        <v>346</v>
      </c>
      <c r="P1277" t="s">
        <v>294</v>
      </c>
    </row>
    <row r="1278" spans="1:16" ht="15" customHeight="1" x14ac:dyDescent="0.25">
      <c r="A1278" s="123">
        <v>45754</v>
      </c>
      <c r="B1278" t="s">
        <v>362</v>
      </c>
      <c r="C1278" t="s">
        <v>363</v>
      </c>
      <c r="D1278" t="s">
        <v>221</v>
      </c>
      <c r="E1278" t="s">
        <v>396</v>
      </c>
      <c r="F1278" t="s">
        <v>184</v>
      </c>
      <c r="G1278" t="s">
        <v>1686</v>
      </c>
      <c r="H1278" s="77">
        <v>20</v>
      </c>
      <c r="I1278" s="124">
        <v>268.57</v>
      </c>
      <c r="J1278" s="124">
        <v>5371.44</v>
      </c>
      <c r="K1278" s="77">
        <v>30</v>
      </c>
      <c r="L1278" t="s">
        <v>339</v>
      </c>
      <c r="M1278" s="126">
        <v>1074.288</v>
      </c>
      <c r="N1278" s="124">
        <v>5371.44</v>
      </c>
      <c r="O1278" t="s">
        <v>346</v>
      </c>
      <c r="P1278" t="s">
        <v>294</v>
      </c>
    </row>
    <row r="1279" spans="1:16" ht="15" customHeight="1" x14ac:dyDescent="0.25">
      <c r="A1279" s="123">
        <v>45791</v>
      </c>
      <c r="B1279" t="s">
        <v>341</v>
      </c>
      <c r="C1279" t="s">
        <v>342</v>
      </c>
      <c r="D1279" t="s">
        <v>223</v>
      </c>
      <c r="E1279" t="s">
        <v>496</v>
      </c>
      <c r="F1279" t="s">
        <v>177</v>
      </c>
      <c r="G1279" t="s">
        <v>1687</v>
      </c>
      <c r="H1279" s="77">
        <v>21</v>
      </c>
      <c r="I1279" s="124">
        <v>148.97999999999999</v>
      </c>
      <c r="J1279" s="124">
        <v>3128.59</v>
      </c>
      <c r="K1279" s="77">
        <v>60</v>
      </c>
      <c r="L1279" t="s">
        <v>345</v>
      </c>
      <c r="M1279" s="126">
        <v>625.71799999999996</v>
      </c>
      <c r="N1279" s="124">
        <v>3128.59</v>
      </c>
      <c r="O1279" t="s">
        <v>346</v>
      </c>
      <c r="P1279" t="s">
        <v>294</v>
      </c>
    </row>
    <row r="1280" spans="1:16" ht="15" customHeight="1" x14ac:dyDescent="0.25">
      <c r="A1280" s="123">
        <v>45678</v>
      </c>
      <c r="B1280" t="s">
        <v>398</v>
      </c>
      <c r="C1280" t="s">
        <v>399</v>
      </c>
      <c r="D1280" t="s">
        <v>227</v>
      </c>
      <c r="E1280" t="s">
        <v>368</v>
      </c>
      <c r="F1280" t="s">
        <v>178</v>
      </c>
      <c r="G1280" t="s">
        <v>1688</v>
      </c>
      <c r="H1280" s="77">
        <v>57</v>
      </c>
      <c r="I1280" s="124">
        <v>72.239999999999995</v>
      </c>
      <c r="J1280" s="124">
        <v>4117.76</v>
      </c>
      <c r="K1280" s="77">
        <v>45</v>
      </c>
      <c r="L1280" t="s">
        <v>351</v>
      </c>
      <c r="M1280" s="126">
        <v>823.55200000000002</v>
      </c>
      <c r="N1280" s="124">
        <v>4117.76</v>
      </c>
      <c r="O1280" t="s">
        <v>346</v>
      </c>
      <c r="P1280" t="s">
        <v>294</v>
      </c>
    </row>
    <row r="1281" spans="1:16" ht="15" customHeight="1" x14ac:dyDescent="0.25">
      <c r="A1281" s="123">
        <v>45910</v>
      </c>
      <c r="B1281" t="s">
        <v>362</v>
      </c>
      <c r="C1281" t="s">
        <v>363</v>
      </c>
      <c r="D1281" t="s">
        <v>221</v>
      </c>
      <c r="E1281" t="s">
        <v>427</v>
      </c>
      <c r="F1281" t="s">
        <v>184</v>
      </c>
      <c r="G1281" t="s">
        <v>1689</v>
      </c>
      <c r="H1281" s="77">
        <v>15</v>
      </c>
      <c r="I1281" s="124">
        <v>63.27</v>
      </c>
      <c r="J1281" s="124">
        <v>949.11</v>
      </c>
      <c r="K1281" s="77">
        <v>60</v>
      </c>
      <c r="L1281" t="s">
        <v>339</v>
      </c>
      <c r="M1281" s="126">
        <v>189.822</v>
      </c>
      <c r="N1281" s="124">
        <v>949.11</v>
      </c>
      <c r="O1281" t="s">
        <v>346</v>
      </c>
      <c r="P1281" t="s">
        <v>294</v>
      </c>
    </row>
    <row r="1282" spans="1:16" ht="15" customHeight="1" x14ac:dyDescent="0.25">
      <c r="A1282" s="123">
        <v>45762</v>
      </c>
      <c r="B1282" t="s">
        <v>401</v>
      </c>
      <c r="C1282" t="s">
        <v>402</v>
      </c>
      <c r="D1282" t="s">
        <v>221</v>
      </c>
      <c r="E1282" t="s">
        <v>376</v>
      </c>
      <c r="F1282" t="s">
        <v>182</v>
      </c>
      <c r="G1282" t="s">
        <v>1690</v>
      </c>
      <c r="H1282" s="77">
        <v>37</v>
      </c>
      <c r="I1282" s="124">
        <v>102.24</v>
      </c>
      <c r="J1282" s="124">
        <v>3782.89</v>
      </c>
      <c r="K1282" s="77">
        <v>30</v>
      </c>
      <c r="L1282" t="s">
        <v>339</v>
      </c>
      <c r="M1282" s="126">
        <v>756.57799999999997</v>
      </c>
      <c r="N1282" s="124">
        <v>3782.89</v>
      </c>
      <c r="O1282" t="s">
        <v>340</v>
      </c>
      <c r="P1282" t="s">
        <v>294</v>
      </c>
    </row>
    <row r="1283" spans="1:16" ht="15" customHeight="1" x14ac:dyDescent="0.25">
      <c r="A1283" s="123">
        <v>45997</v>
      </c>
      <c r="B1283" t="s">
        <v>398</v>
      </c>
      <c r="C1283" t="s">
        <v>399</v>
      </c>
      <c r="D1283" t="s">
        <v>227</v>
      </c>
      <c r="E1283" t="s">
        <v>403</v>
      </c>
      <c r="F1283" t="s">
        <v>181</v>
      </c>
      <c r="G1283" t="s">
        <v>1691</v>
      </c>
      <c r="H1283" s="77">
        <v>75</v>
      </c>
      <c r="I1283" s="124">
        <v>202.3</v>
      </c>
      <c r="J1283" s="124">
        <v>15172.76</v>
      </c>
      <c r="K1283" s="77">
        <v>30</v>
      </c>
      <c r="L1283" t="s">
        <v>351</v>
      </c>
      <c r="M1283" s="126">
        <v>3034.5520000000001</v>
      </c>
      <c r="N1283" s="124">
        <v>15172.76</v>
      </c>
      <c r="O1283" t="s">
        <v>346</v>
      </c>
      <c r="P1283" t="s">
        <v>294</v>
      </c>
    </row>
    <row r="1284" spans="1:16" ht="15" customHeight="1" x14ac:dyDescent="0.25">
      <c r="A1284" s="123">
        <v>45697</v>
      </c>
      <c r="B1284" t="s">
        <v>406</v>
      </c>
      <c r="C1284" t="s">
        <v>407</v>
      </c>
      <c r="D1284" t="s">
        <v>225</v>
      </c>
      <c r="E1284" t="s">
        <v>381</v>
      </c>
      <c r="F1284" t="s">
        <v>179</v>
      </c>
      <c r="G1284" t="s">
        <v>1692</v>
      </c>
      <c r="H1284" s="77">
        <v>32</v>
      </c>
      <c r="I1284" s="124">
        <v>265.70999999999998</v>
      </c>
      <c r="J1284" s="124">
        <v>8502.81</v>
      </c>
      <c r="K1284" s="77">
        <v>45</v>
      </c>
      <c r="L1284" t="s">
        <v>351</v>
      </c>
      <c r="M1284" s="126">
        <v>1700.5619999999999</v>
      </c>
      <c r="N1284" s="124">
        <v>8502.81</v>
      </c>
      <c r="O1284" t="s">
        <v>346</v>
      </c>
      <c r="P1284" t="s">
        <v>294</v>
      </c>
    </row>
    <row r="1285" spans="1:16" ht="15" customHeight="1" x14ac:dyDescent="0.25">
      <c r="A1285" s="123">
        <v>45803</v>
      </c>
      <c r="B1285" t="s">
        <v>488</v>
      </c>
      <c r="C1285" t="s">
        <v>489</v>
      </c>
      <c r="D1285" t="s">
        <v>225</v>
      </c>
      <c r="E1285" t="s">
        <v>376</v>
      </c>
      <c r="F1285" t="s">
        <v>182</v>
      </c>
      <c r="G1285" t="s">
        <v>1693</v>
      </c>
      <c r="H1285" s="77">
        <v>16</v>
      </c>
      <c r="I1285" s="124">
        <v>160.78</v>
      </c>
      <c r="J1285" s="124">
        <v>2572.5500000000002</v>
      </c>
      <c r="K1285" s="77">
        <v>45</v>
      </c>
      <c r="L1285" t="s">
        <v>345</v>
      </c>
      <c r="M1285" s="126">
        <v>514.51</v>
      </c>
      <c r="N1285" s="124">
        <v>2572.5500000000002</v>
      </c>
      <c r="O1285" t="s">
        <v>340</v>
      </c>
      <c r="P1285" t="s">
        <v>294</v>
      </c>
    </row>
    <row r="1286" spans="1:16" ht="15" customHeight="1" x14ac:dyDescent="0.25">
      <c r="A1286" s="123">
        <v>45736</v>
      </c>
      <c r="B1286" t="s">
        <v>358</v>
      </c>
      <c r="C1286" t="s">
        <v>359</v>
      </c>
      <c r="D1286" t="s">
        <v>225</v>
      </c>
      <c r="E1286" t="s">
        <v>368</v>
      </c>
      <c r="F1286" t="s">
        <v>178</v>
      </c>
      <c r="G1286" t="s">
        <v>1694</v>
      </c>
      <c r="H1286" s="77">
        <v>4</v>
      </c>
      <c r="I1286" s="124">
        <v>42.19</v>
      </c>
      <c r="J1286" s="124">
        <v>168.74</v>
      </c>
      <c r="K1286" s="77">
        <v>30</v>
      </c>
      <c r="L1286" t="s">
        <v>345</v>
      </c>
      <c r="M1286" s="126">
        <v>33.747999999999998</v>
      </c>
      <c r="N1286" s="124">
        <v>168.74</v>
      </c>
      <c r="O1286" t="s">
        <v>346</v>
      </c>
      <c r="P1286" t="s">
        <v>294</v>
      </c>
    </row>
    <row r="1287" spans="1:16" ht="15" customHeight="1" x14ac:dyDescent="0.25">
      <c r="A1287" s="123">
        <v>45979</v>
      </c>
      <c r="B1287" t="s">
        <v>341</v>
      </c>
      <c r="C1287" t="s">
        <v>342</v>
      </c>
      <c r="D1287" t="s">
        <v>223</v>
      </c>
      <c r="E1287" t="s">
        <v>427</v>
      </c>
      <c r="F1287" t="s">
        <v>184</v>
      </c>
      <c r="G1287" t="s">
        <v>1695</v>
      </c>
      <c r="H1287" s="77">
        <v>35</v>
      </c>
      <c r="I1287" s="124">
        <v>36.06</v>
      </c>
      <c r="J1287" s="124">
        <v>1262.26</v>
      </c>
      <c r="K1287" s="77">
        <v>60</v>
      </c>
      <c r="L1287" t="s">
        <v>351</v>
      </c>
      <c r="M1287" s="126">
        <v>252.452</v>
      </c>
      <c r="N1287" s="124">
        <v>1262.26</v>
      </c>
      <c r="O1287" t="s">
        <v>346</v>
      </c>
      <c r="P1287" t="s">
        <v>294</v>
      </c>
    </row>
    <row r="1288" spans="1:16" ht="15" customHeight="1" x14ac:dyDescent="0.25">
      <c r="A1288" s="123">
        <v>45993</v>
      </c>
      <c r="B1288" t="s">
        <v>347</v>
      </c>
      <c r="C1288" t="s">
        <v>348</v>
      </c>
      <c r="D1288" t="s">
        <v>223</v>
      </c>
      <c r="E1288" t="s">
        <v>376</v>
      </c>
      <c r="F1288" t="s">
        <v>182</v>
      </c>
      <c r="G1288" t="s">
        <v>1696</v>
      </c>
      <c r="H1288" s="77">
        <v>80</v>
      </c>
      <c r="I1288" s="124">
        <v>34.6</v>
      </c>
      <c r="J1288" s="124">
        <v>2768.31</v>
      </c>
      <c r="K1288" s="77">
        <v>45</v>
      </c>
      <c r="L1288" t="s">
        <v>345</v>
      </c>
      <c r="M1288" s="126">
        <v>553.66200000000003</v>
      </c>
      <c r="N1288" s="124">
        <v>2768.31</v>
      </c>
      <c r="O1288" t="s">
        <v>340</v>
      </c>
      <c r="P1288" t="s">
        <v>294</v>
      </c>
    </row>
    <row r="1289" spans="1:16" ht="15" customHeight="1" x14ac:dyDescent="0.25">
      <c r="A1289" s="123">
        <v>45682</v>
      </c>
      <c r="B1289" t="s">
        <v>378</v>
      </c>
      <c r="C1289" t="s">
        <v>379</v>
      </c>
      <c r="D1289" t="s">
        <v>227</v>
      </c>
      <c r="E1289" t="s">
        <v>442</v>
      </c>
      <c r="F1289" t="s">
        <v>179</v>
      </c>
      <c r="G1289" t="s">
        <v>1697</v>
      </c>
      <c r="H1289" s="77">
        <v>37</v>
      </c>
      <c r="I1289" s="124">
        <v>238.02</v>
      </c>
      <c r="J1289" s="124">
        <v>8806.7199999999993</v>
      </c>
      <c r="K1289" s="77">
        <v>45</v>
      </c>
      <c r="L1289" t="s">
        <v>339</v>
      </c>
      <c r="M1289" s="126">
        <v>1761.3440000000001</v>
      </c>
      <c r="N1289" s="124">
        <v>8806.7199999999993</v>
      </c>
      <c r="O1289" t="s">
        <v>340</v>
      </c>
      <c r="P1289" t="s">
        <v>294</v>
      </c>
    </row>
    <row r="1290" spans="1:16" ht="15" customHeight="1" x14ac:dyDescent="0.25">
      <c r="A1290" s="123">
        <v>45966</v>
      </c>
      <c r="B1290" t="s">
        <v>401</v>
      </c>
      <c r="C1290" t="s">
        <v>402</v>
      </c>
      <c r="D1290" t="s">
        <v>221</v>
      </c>
      <c r="E1290" t="s">
        <v>343</v>
      </c>
      <c r="F1290" t="s">
        <v>178</v>
      </c>
      <c r="G1290" t="s">
        <v>1698</v>
      </c>
      <c r="H1290" s="77">
        <v>49</v>
      </c>
      <c r="I1290" s="124">
        <v>35.43</v>
      </c>
      <c r="J1290" s="124">
        <v>1736.03</v>
      </c>
      <c r="K1290" s="77">
        <v>30</v>
      </c>
      <c r="L1290" t="s">
        <v>345</v>
      </c>
      <c r="M1290" s="126">
        <v>347.20600000000002</v>
      </c>
      <c r="N1290" s="124">
        <v>1736.03</v>
      </c>
      <c r="O1290" t="s">
        <v>346</v>
      </c>
      <c r="P1290" t="s">
        <v>294</v>
      </c>
    </row>
    <row r="1291" spans="1:16" ht="15" customHeight="1" x14ac:dyDescent="0.25">
      <c r="A1291" s="123">
        <v>45862</v>
      </c>
      <c r="B1291" t="s">
        <v>431</v>
      </c>
      <c r="C1291" t="s">
        <v>432</v>
      </c>
      <c r="D1291" t="s">
        <v>221</v>
      </c>
      <c r="E1291" t="s">
        <v>442</v>
      </c>
      <c r="F1291" t="s">
        <v>179</v>
      </c>
      <c r="G1291" t="s">
        <v>1699</v>
      </c>
      <c r="H1291" s="77">
        <v>12</v>
      </c>
      <c r="I1291" s="124">
        <v>55.08</v>
      </c>
      <c r="J1291" s="124">
        <v>661.01</v>
      </c>
      <c r="K1291" s="77">
        <v>30</v>
      </c>
      <c r="L1291" t="s">
        <v>339</v>
      </c>
      <c r="M1291" s="126">
        <v>132.202</v>
      </c>
      <c r="N1291" s="124">
        <v>661.01</v>
      </c>
      <c r="O1291" t="s">
        <v>340</v>
      </c>
      <c r="P1291" t="s">
        <v>294</v>
      </c>
    </row>
    <row r="1292" spans="1:16" ht="15" customHeight="1" x14ac:dyDescent="0.25">
      <c r="A1292" s="123">
        <v>45803</v>
      </c>
      <c r="B1292" t="s">
        <v>341</v>
      </c>
      <c r="C1292" t="s">
        <v>342</v>
      </c>
      <c r="D1292" t="s">
        <v>223</v>
      </c>
      <c r="E1292" t="s">
        <v>234</v>
      </c>
      <c r="F1292" t="s">
        <v>183</v>
      </c>
      <c r="G1292" t="s">
        <v>1700</v>
      </c>
      <c r="H1292" s="77">
        <v>20</v>
      </c>
      <c r="I1292" s="124">
        <v>371.48</v>
      </c>
      <c r="J1292" s="124">
        <v>7429.64</v>
      </c>
      <c r="K1292" s="77">
        <v>30</v>
      </c>
      <c r="L1292" t="s">
        <v>345</v>
      </c>
      <c r="M1292" s="126">
        <v>1485.9280000000001</v>
      </c>
      <c r="N1292" s="124">
        <v>7429.64</v>
      </c>
      <c r="O1292" t="s">
        <v>346</v>
      </c>
      <c r="P1292" t="s">
        <v>294</v>
      </c>
    </row>
    <row r="1293" spans="1:16" ht="15" customHeight="1" x14ac:dyDescent="0.25">
      <c r="A1293" s="123">
        <v>45816</v>
      </c>
      <c r="B1293" t="s">
        <v>390</v>
      </c>
      <c r="C1293" t="s">
        <v>391</v>
      </c>
      <c r="D1293" t="s">
        <v>221</v>
      </c>
      <c r="E1293" t="s">
        <v>236</v>
      </c>
      <c r="F1293" t="s">
        <v>183</v>
      </c>
      <c r="G1293" t="s">
        <v>1701</v>
      </c>
      <c r="H1293" s="77">
        <v>78</v>
      </c>
      <c r="I1293" s="124">
        <v>1181.96</v>
      </c>
      <c r="J1293" s="124">
        <v>92193.14</v>
      </c>
      <c r="K1293" s="77">
        <v>30</v>
      </c>
      <c r="L1293" t="s">
        <v>345</v>
      </c>
      <c r="M1293" s="126">
        <v>18438.628000000001</v>
      </c>
      <c r="N1293" s="124">
        <v>92193.14</v>
      </c>
      <c r="O1293" t="s">
        <v>346</v>
      </c>
      <c r="P1293" t="s">
        <v>294</v>
      </c>
    </row>
    <row r="1294" spans="1:16" ht="15" customHeight="1" x14ac:dyDescent="0.25">
      <c r="A1294" s="123">
        <v>45920</v>
      </c>
      <c r="B1294" t="s">
        <v>406</v>
      </c>
      <c r="C1294" t="s">
        <v>407</v>
      </c>
      <c r="D1294" t="s">
        <v>225</v>
      </c>
      <c r="E1294" t="s">
        <v>368</v>
      </c>
      <c r="F1294" t="s">
        <v>178</v>
      </c>
      <c r="G1294" t="s">
        <v>1702</v>
      </c>
      <c r="H1294" s="77">
        <v>26</v>
      </c>
      <c r="I1294" s="124">
        <v>64.78</v>
      </c>
      <c r="J1294" s="124">
        <v>1684.37</v>
      </c>
      <c r="K1294" s="77">
        <v>45</v>
      </c>
      <c r="L1294" t="s">
        <v>345</v>
      </c>
      <c r="M1294" s="126">
        <v>336.87400000000002</v>
      </c>
      <c r="N1294" s="124">
        <v>1684.37</v>
      </c>
      <c r="O1294" t="s">
        <v>346</v>
      </c>
      <c r="P1294" t="s">
        <v>294</v>
      </c>
    </row>
    <row r="1295" spans="1:16" ht="15" customHeight="1" x14ac:dyDescent="0.25">
      <c r="A1295" s="123">
        <v>45946</v>
      </c>
      <c r="B1295" t="s">
        <v>409</v>
      </c>
      <c r="C1295" t="s">
        <v>410</v>
      </c>
      <c r="D1295" t="s">
        <v>223</v>
      </c>
      <c r="E1295" t="s">
        <v>427</v>
      </c>
      <c r="F1295" t="s">
        <v>184</v>
      </c>
      <c r="G1295" t="s">
        <v>1703</v>
      </c>
      <c r="H1295" s="77">
        <v>77</v>
      </c>
      <c r="I1295" s="124">
        <v>118.94</v>
      </c>
      <c r="J1295" s="124">
        <v>9158.74</v>
      </c>
      <c r="K1295" s="77">
        <v>45</v>
      </c>
      <c r="L1295" t="s">
        <v>339</v>
      </c>
      <c r="M1295" s="126">
        <v>1831.748</v>
      </c>
      <c r="N1295" s="124">
        <v>9158.74</v>
      </c>
      <c r="O1295" t="s">
        <v>346</v>
      </c>
      <c r="P1295" t="s">
        <v>294</v>
      </c>
    </row>
    <row r="1296" spans="1:16" ht="15" customHeight="1" x14ac:dyDescent="0.25">
      <c r="A1296" s="123">
        <v>45972</v>
      </c>
      <c r="B1296" t="s">
        <v>488</v>
      </c>
      <c r="C1296" t="s">
        <v>489</v>
      </c>
      <c r="D1296" t="s">
        <v>225</v>
      </c>
      <c r="E1296" t="s">
        <v>234</v>
      </c>
      <c r="F1296" t="s">
        <v>183</v>
      </c>
      <c r="G1296" t="s">
        <v>1704</v>
      </c>
      <c r="H1296" s="77">
        <v>24</v>
      </c>
      <c r="I1296" s="124">
        <v>313.81</v>
      </c>
      <c r="J1296" s="124">
        <v>7531.45</v>
      </c>
      <c r="K1296" s="77">
        <v>45</v>
      </c>
      <c r="L1296" t="s">
        <v>351</v>
      </c>
      <c r="M1296" s="126">
        <v>1506.29</v>
      </c>
      <c r="N1296" s="124">
        <v>7531.45</v>
      </c>
      <c r="O1296" t="s">
        <v>346</v>
      </c>
      <c r="P1296" t="s">
        <v>294</v>
      </c>
    </row>
    <row r="1297" spans="1:16" ht="15" customHeight="1" x14ac:dyDescent="0.25">
      <c r="A1297" s="123">
        <v>45920</v>
      </c>
      <c r="B1297" t="s">
        <v>383</v>
      </c>
      <c r="C1297" t="s">
        <v>384</v>
      </c>
      <c r="D1297" t="s">
        <v>225</v>
      </c>
      <c r="E1297" t="s">
        <v>415</v>
      </c>
      <c r="F1297" t="s">
        <v>178</v>
      </c>
      <c r="G1297" t="s">
        <v>1705</v>
      </c>
      <c r="H1297" s="77">
        <v>44</v>
      </c>
      <c r="I1297" s="124">
        <v>61.56</v>
      </c>
      <c r="J1297" s="124">
        <v>2708.6</v>
      </c>
      <c r="K1297" s="77">
        <v>45</v>
      </c>
      <c r="L1297" t="s">
        <v>351</v>
      </c>
      <c r="M1297" s="126">
        <v>541.72</v>
      </c>
      <c r="N1297" s="124">
        <v>2708.6</v>
      </c>
      <c r="O1297" t="s">
        <v>340</v>
      </c>
      <c r="P1297" t="s">
        <v>294</v>
      </c>
    </row>
    <row r="1298" spans="1:16" ht="15" customHeight="1" x14ac:dyDescent="0.25">
      <c r="A1298" s="123">
        <v>45927</v>
      </c>
      <c r="B1298" t="s">
        <v>431</v>
      </c>
      <c r="C1298" t="s">
        <v>432</v>
      </c>
      <c r="D1298" t="s">
        <v>221</v>
      </c>
      <c r="E1298" t="s">
        <v>381</v>
      </c>
      <c r="F1298" t="s">
        <v>179</v>
      </c>
      <c r="G1298" t="s">
        <v>1706</v>
      </c>
      <c r="H1298" s="77">
        <v>68</v>
      </c>
      <c r="I1298" s="124">
        <v>298.39999999999998</v>
      </c>
      <c r="J1298" s="124">
        <v>20291.490000000002</v>
      </c>
      <c r="K1298" s="77">
        <v>30</v>
      </c>
      <c r="L1298" t="s">
        <v>345</v>
      </c>
      <c r="M1298" s="126">
        <v>4058.2979999999998</v>
      </c>
      <c r="N1298" s="124">
        <v>20291.490000000002</v>
      </c>
      <c r="O1298" t="s">
        <v>346</v>
      </c>
      <c r="P1298" t="s">
        <v>294</v>
      </c>
    </row>
    <row r="1299" spans="1:16" ht="15" customHeight="1" x14ac:dyDescent="0.25">
      <c r="A1299" s="123">
        <v>45902</v>
      </c>
      <c r="B1299" t="s">
        <v>383</v>
      </c>
      <c r="C1299" t="s">
        <v>384</v>
      </c>
      <c r="D1299" t="s">
        <v>225</v>
      </c>
      <c r="E1299" t="s">
        <v>235</v>
      </c>
      <c r="F1299" t="s">
        <v>183</v>
      </c>
      <c r="G1299" t="s">
        <v>1707</v>
      </c>
      <c r="H1299" s="77">
        <v>39</v>
      </c>
      <c r="I1299" s="124">
        <v>255.73</v>
      </c>
      <c r="J1299" s="124">
        <v>9973.56</v>
      </c>
      <c r="K1299" s="77">
        <v>30</v>
      </c>
      <c r="L1299" t="s">
        <v>339</v>
      </c>
      <c r="M1299" s="126">
        <v>1994.712</v>
      </c>
      <c r="N1299" s="124">
        <v>9973.56</v>
      </c>
      <c r="O1299" t="s">
        <v>346</v>
      </c>
      <c r="P1299" t="s">
        <v>294</v>
      </c>
    </row>
    <row r="1300" spans="1:16" ht="15" customHeight="1" x14ac:dyDescent="0.25">
      <c r="A1300" s="123">
        <v>45925</v>
      </c>
      <c r="B1300" t="s">
        <v>390</v>
      </c>
      <c r="C1300" t="s">
        <v>391</v>
      </c>
      <c r="D1300" t="s">
        <v>221</v>
      </c>
      <c r="E1300" t="s">
        <v>356</v>
      </c>
      <c r="F1300" t="s">
        <v>181</v>
      </c>
      <c r="G1300" t="s">
        <v>1708</v>
      </c>
      <c r="H1300" s="77">
        <v>55</v>
      </c>
      <c r="I1300" s="124">
        <v>254.85</v>
      </c>
      <c r="J1300" s="124">
        <v>14017</v>
      </c>
      <c r="K1300" s="77">
        <v>45</v>
      </c>
      <c r="L1300" t="s">
        <v>351</v>
      </c>
      <c r="M1300" s="126">
        <v>2803.4</v>
      </c>
      <c r="N1300" s="124">
        <v>14017</v>
      </c>
      <c r="O1300" t="s">
        <v>340</v>
      </c>
      <c r="P1300" t="s">
        <v>294</v>
      </c>
    </row>
    <row r="1301" spans="1:16" ht="15" customHeight="1" x14ac:dyDescent="0.25">
      <c r="A1301" s="123">
        <v>45920</v>
      </c>
      <c r="B1301" t="s">
        <v>431</v>
      </c>
      <c r="C1301" t="s">
        <v>432</v>
      </c>
      <c r="D1301" t="s">
        <v>221</v>
      </c>
      <c r="E1301" t="s">
        <v>415</v>
      </c>
      <c r="F1301" t="s">
        <v>178</v>
      </c>
      <c r="G1301" t="s">
        <v>1709</v>
      </c>
      <c r="H1301" s="77">
        <v>14</v>
      </c>
      <c r="I1301" s="124">
        <v>77.58</v>
      </c>
      <c r="J1301" s="124">
        <v>1086.1300000000001</v>
      </c>
      <c r="K1301" s="77">
        <v>60</v>
      </c>
      <c r="L1301" t="s">
        <v>345</v>
      </c>
      <c r="M1301" s="126">
        <v>217.226</v>
      </c>
      <c r="N1301" s="124">
        <v>1086.1300000000001</v>
      </c>
      <c r="O1301" t="s">
        <v>340</v>
      </c>
      <c r="P1301" t="s">
        <v>294</v>
      </c>
    </row>
    <row r="1302" spans="1:16" ht="15" customHeight="1" x14ac:dyDescent="0.25">
      <c r="A1302" s="123">
        <v>45996</v>
      </c>
      <c r="B1302" t="s">
        <v>358</v>
      </c>
      <c r="C1302" t="s">
        <v>359</v>
      </c>
      <c r="D1302" t="s">
        <v>225</v>
      </c>
      <c r="E1302" t="s">
        <v>368</v>
      </c>
      <c r="F1302" t="s">
        <v>178</v>
      </c>
      <c r="G1302" t="s">
        <v>1710</v>
      </c>
      <c r="H1302" s="77">
        <v>73</v>
      </c>
      <c r="I1302" s="124">
        <v>45.01</v>
      </c>
      <c r="J1302" s="124">
        <v>3285.9</v>
      </c>
      <c r="K1302" s="77">
        <v>45</v>
      </c>
      <c r="L1302" t="s">
        <v>345</v>
      </c>
      <c r="M1302" s="126">
        <v>657.18</v>
      </c>
      <c r="N1302" s="124">
        <v>3285.9</v>
      </c>
      <c r="O1302" t="s">
        <v>346</v>
      </c>
      <c r="P1302" t="s">
        <v>294</v>
      </c>
    </row>
    <row r="1303" spans="1:16" ht="15" customHeight="1" x14ac:dyDescent="0.25">
      <c r="A1303" s="123">
        <v>45666</v>
      </c>
      <c r="B1303" t="s">
        <v>335</v>
      </c>
      <c r="C1303" t="s">
        <v>336</v>
      </c>
      <c r="D1303" t="s">
        <v>223</v>
      </c>
      <c r="E1303" t="s">
        <v>343</v>
      </c>
      <c r="F1303" t="s">
        <v>178</v>
      </c>
      <c r="G1303" t="s">
        <v>1711</v>
      </c>
      <c r="H1303" s="77">
        <v>15</v>
      </c>
      <c r="I1303" s="124">
        <v>112.17</v>
      </c>
      <c r="J1303" s="124">
        <v>1682.54</v>
      </c>
      <c r="K1303" s="77">
        <v>60</v>
      </c>
      <c r="L1303" t="s">
        <v>351</v>
      </c>
      <c r="M1303" s="126">
        <v>336.50799999999998</v>
      </c>
      <c r="N1303" s="124">
        <v>1682.54</v>
      </c>
      <c r="O1303" t="s">
        <v>346</v>
      </c>
      <c r="P1303" t="s">
        <v>294</v>
      </c>
    </row>
    <row r="1304" spans="1:16" ht="15" customHeight="1" x14ac:dyDescent="0.25">
      <c r="A1304" s="123">
        <v>45859</v>
      </c>
      <c r="B1304" t="s">
        <v>398</v>
      </c>
      <c r="C1304" t="s">
        <v>399</v>
      </c>
      <c r="D1304" t="s">
        <v>227</v>
      </c>
      <c r="E1304" t="s">
        <v>442</v>
      </c>
      <c r="F1304" t="s">
        <v>179</v>
      </c>
      <c r="G1304" t="s">
        <v>1712</v>
      </c>
      <c r="H1304" s="77">
        <v>6</v>
      </c>
      <c r="I1304" s="124">
        <v>163.49</v>
      </c>
      <c r="J1304" s="124">
        <v>980.92</v>
      </c>
      <c r="K1304" s="77">
        <v>30</v>
      </c>
      <c r="L1304" t="s">
        <v>345</v>
      </c>
      <c r="M1304" s="126">
        <v>196.184</v>
      </c>
      <c r="N1304" s="124">
        <v>980.92</v>
      </c>
      <c r="O1304" t="s">
        <v>340</v>
      </c>
      <c r="P1304" t="s">
        <v>294</v>
      </c>
    </row>
    <row r="1305" spans="1:16" ht="15" customHeight="1" x14ac:dyDescent="0.25">
      <c r="A1305" s="123">
        <v>45958</v>
      </c>
      <c r="B1305" t="s">
        <v>409</v>
      </c>
      <c r="C1305" t="s">
        <v>410</v>
      </c>
      <c r="D1305" t="s">
        <v>223</v>
      </c>
      <c r="E1305" t="s">
        <v>437</v>
      </c>
      <c r="F1305" t="s">
        <v>181</v>
      </c>
      <c r="G1305" t="s">
        <v>1713</v>
      </c>
      <c r="H1305" s="77">
        <v>59</v>
      </c>
      <c r="I1305" s="124">
        <v>145.18</v>
      </c>
      <c r="J1305" s="124">
        <v>8565.56</v>
      </c>
      <c r="K1305" s="77">
        <v>60</v>
      </c>
      <c r="L1305" t="s">
        <v>345</v>
      </c>
      <c r="M1305" s="126">
        <v>1713.1120000000001</v>
      </c>
      <c r="N1305" s="124">
        <v>8565.56</v>
      </c>
      <c r="O1305" t="s">
        <v>346</v>
      </c>
      <c r="P1305" t="s">
        <v>294</v>
      </c>
    </row>
    <row r="1306" spans="1:16" ht="15" customHeight="1" x14ac:dyDescent="0.25">
      <c r="A1306" s="123">
        <v>45753</v>
      </c>
      <c r="B1306" t="s">
        <v>390</v>
      </c>
      <c r="C1306" t="s">
        <v>391</v>
      </c>
      <c r="D1306" t="s">
        <v>221</v>
      </c>
      <c r="E1306" t="s">
        <v>437</v>
      </c>
      <c r="F1306" t="s">
        <v>181</v>
      </c>
      <c r="G1306" t="s">
        <v>1714</v>
      </c>
      <c r="H1306" s="77">
        <v>28</v>
      </c>
      <c r="I1306" s="124">
        <v>295.51</v>
      </c>
      <c r="J1306" s="124">
        <v>8274.32</v>
      </c>
      <c r="K1306" s="77">
        <v>30</v>
      </c>
      <c r="L1306" t="s">
        <v>339</v>
      </c>
      <c r="M1306" s="126">
        <v>1654.864</v>
      </c>
      <c r="N1306" s="124">
        <v>8274.32</v>
      </c>
      <c r="O1306" t="s">
        <v>346</v>
      </c>
      <c r="P1306" t="s">
        <v>294</v>
      </c>
    </row>
    <row r="1307" spans="1:16" ht="15" customHeight="1" x14ac:dyDescent="0.25">
      <c r="A1307" s="123">
        <v>45712</v>
      </c>
      <c r="B1307" t="s">
        <v>393</v>
      </c>
      <c r="C1307" t="s">
        <v>394</v>
      </c>
      <c r="D1307" t="s">
        <v>227</v>
      </c>
      <c r="E1307" t="s">
        <v>403</v>
      </c>
      <c r="F1307" t="s">
        <v>181</v>
      </c>
      <c r="G1307" t="s">
        <v>1715</v>
      </c>
      <c r="H1307" s="77">
        <v>56</v>
      </c>
      <c r="I1307" s="124">
        <v>134.22</v>
      </c>
      <c r="J1307" s="124">
        <v>7516.24</v>
      </c>
      <c r="K1307" s="77">
        <v>60</v>
      </c>
      <c r="L1307" t="s">
        <v>339</v>
      </c>
      <c r="M1307" s="126">
        <v>1503.248</v>
      </c>
      <c r="N1307" s="124">
        <v>7516.24</v>
      </c>
      <c r="O1307" t="s">
        <v>346</v>
      </c>
      <c r="P1307" t="s">
        <v>294</v>
      </c>
    </row>
    <row r="1308" spans="1:16" ht="15" customHeight="1" x14ac:dyDescent="0.25">
      <c r="A1308" s="123">
        <v>45664</v>
      </c>
      <c r="B1308" t="s">
        <v>406</v>
      </c>
      <c r="C1308" t="s">
        <v>407</v>
      </c>
      <c r="D1308" t="s">
        <v>225</v>
      </c>
      <c r="E1308" t="s">
        <v>235</v>
      </c>
      <c r="F1308" t="s">
        <v>183</v>
      </c>
      <c r="G1308" t="s">
        <v>1716</v>
      </c>
      <c r="H1308" s="77">
        <v>22</v>
      </c>
      <c r="I1308" s="124">
        <v>304.69</v>
      </c>
      <c r="J1308" s="124">
        <v>6703.09</v>
      </c>
      <c r="K1308" s="77">
        <v>60</v>
      </c>
      <c r="L1308" t="s">
        <v>345</v>
      </c>
      <c r="M1308" s="126">
        <v>1340.6179999999999</v>
      </c>
      <c r="N1308" s="124">
        <v>6703.09</v>
      </c>
      <c r="O1308" t="s">
        <v>346</v>
      </c>
      <c r="P1308" t="s">
        <v>294</v>
      </c>
    </row>
    <row r="1309" spans="1:16" ht="15" customHeight="1" x14ac:dyDescent="0.25">
      <c r="A1309" s="123">
        <v>45966</v>
      </c>
      <c r="B1309" t="s">
        <v>358</v>
      </c>
      <c r="C1309" t="s">
        <v>359</v>
      </c>
      <c r="D1309" t="s">
        <v>225</v>
      </c>
      <c r="E1309" t="s">
        <v>236</v>
      </c>
      <c r="F1309" t="s">
        <v>183</v>
      </c>
      <c r="G1309" t="s">
        <v>1717</v>
      </c>
      <c r="H1309" s="77">
        <v>63</v>
      </c>
      <c r="I1309" s="124">
        <v>298.5</v>
      </c>
      <c r="J1309" s="124">
        <v>18805.45</v>
      </c>
      <c r="K1309" s="77">
        <v>45</v>
      </c>
      <c r="L1309" t="s">
        <v>351</v>
      </c>
      <c r="M1309" s="126">
        <v>3761.09</v>
      </c>
      <c r="N1309" s="124">
        <v>18805.45</v>
      </c>
      <c r="O1309" t="s">
        <v>346</v>
      </c>
      <c r="P1309" t="s">
        <v>294</v>
      </c>
    </row>
    <row r="1310" spans="1:16" ht="15" customHeight="1" x14ac:dyDescent="0.25">
      <c r="A1310" s="123">
        <v>46002</v>
      </c>
      <c r="B1310" t="s">
        <v>488</v>
      </c>
      <c r="C1310" t="s">
        <v>489</v>
      </c>
      <c r="D1310" t="s">
        <v>225</v>
      </c>
      <c r="E1310" t="s">
        <v>364</v>
      </c>
      <c r="F1310" t="s">
        <v>182</v>
      </c>
      <c r="G1310" t="s">
        <v>1718</v>
      </c>
      <c r="H1310" s="77">
        <v>51</v>
      </c>
      <c r="I1310" s="124">
        <v>172.62</v>
      </c>
      <c r="J1310" s="124">
        <v>8803.86</v>
      </c>
      <c r="K1310" s="77">
        <v>45</v>
      </c>
      <c r="L1310" t="s">
        <v>339</v>
      </c>
      <c r="M1310" s="126">
        <v>1760.7719999999999</v>
      </c>
      <c r="N1310" s="124">
        <v>8803.86</v>
      </c>
      <c r="O1310" t="s">
        <v>346</v>
      </c>
      <c r="P1310" t="s">
        <v>294</v>
      </c>
    </row>
    <row r="1311" spans="1:16" ht="15" customHeight="1" x14ac:dyDescent="0.25">
      <c r="A1311" s="123">
        <v>45755</v>
      </c>
      <c r="B1311" t="s">
        <v>431</v>
      </c>
      <c r="C1311" t="s">
        <v>432</v>
      </c>
      <c r="D1311" t="s">
        <v>221</v>
      </c>
      <c r="E1311" t="s">
        <v>442</v>
      </c>
      <c r="F1311" t="s">
        <v>179</v>
      </c>
      <c r="G1311" t="s">
        <v>1719</v>
      </c>
      <c r="H1311" s="77">
        <v>15</v>
      </c>
      <c r="I1311" s="124">
        <v>233.7</v>
      </c>
      <c r="J1311" s="124">
        <v>3505.51</v>
      </c>
      <c r="K1311" s="77">
        <v>30</v>
      </c>
      <c r="L1311" t="s">
        <v>351</v>
      </c>
      <c r="M1311" s="126">
        <v>701.10199999999998</v>
      </c>
      <c r="N1311" s="124">
        <v>3505.51</v>
      </c>
      <c r="O1311" t="s">
        <v>340</v>
      </c>
      <c r="P1311" t="s">
        <v>294</v>
      </c>
    </row>
    <row r="1312" spans="1:16" ht="15" customHeight="1" x14ac:dyDescent="0.25">
      <c r="A1312" s="123">
        <v>45904</v>
      </c>
      <c r="B1312" t="s">
        <v>406</v>
      </c>
      <c r="C1312" t="s">
        <v>407</v>
      </c>
      <c r="D1312" t="s">
        <v>225</v>
      </c>
      <c r="E1312" t="s">
        <v>349</v>
      </c>
      <c r="F1312" t="s">
        <v>177</v>
      </c>
      <c r="G1312" t="s">
        <v>1720</v>
      </c>
      <c r="H1312" s="77">
        <v>19</v>
      </c>
      <c r="I1312" s="124">
        <v>118.36</v>
      </c>
      <c r="J1312" s="124">
        <v>2248.83</v>
      </c>
      <c r="K1312" s="77">
        <v>60</v>
      </c>
      <c r="L1312" t="s">
        <v>339</v>
      </c>
      <c r="M1312" s="126">
        <v>449.76600000000002</v>
      </c>
      <c r="N1312" s="124">
        <v>2248.83</v>
      </c>
      <c r="O1312" t="s">
        <v>340</v>
      </c>
      <c r="P1312" t="s">
        <v>294</v>
      </c>
    </row>
    <row r="1313" spans="1:16" ht="15" customHeight="1" x14ac:dyDescent="0.25">
      <c r="A1313" s="123">
        <v>45812</v>
      </c>
      <c r="B1313" t="s">
        <v>370</v>
      </c>
      <c r="C1313" t="s">
        <v>371</v>
      </c>
      <c r="D1313" t="s">
        <v>227</v>
      </c>
      <c r="E1313" t="s">
        <v>423</v>
      </c>
      <c r="F1313" t="s">
        <v>180</v>
      </c>
      <c r="G1313" t="s">
        <v>1721</v>
      </c>
      <c r="H1313" s="77">
        <v>60</v>
      </c>
      <c r="I1313" s="124">
        <v>391.99</v>
      </c>
      <c r="J1313" s="124">
        <v>23519.31</v>
      </c>
      <c r="K1313" s="77">
        <v>30</v>
      </c>
      <c r="L1313" t="s">
        <v>345</v>
      </c>
      <c r="M1313" s="126">
        <v>4703.8620000000001</v>
      </c>
      <c r="N1313" s="124">
        <v>23519.31</v>
      </c>
      <c r="O1313" t="s">
        <v>346</v>
      </c>
      <c r="P1313" t="s">
        <v>294</v>
      </c>
    </row>
    <row r="1314" spans="1:16" ht="15" customHeight="1" x14ac:dyDescent="0.25">
      <c r="A1314" s="123">
        <v>45743</v>
      </c>
      <c r="B1314" t="s">
        <v>398</v>
      </c>
      <c r="C1314" t="s">
        <v>399</v>
      </c>
      <c r="D1314" t="s">
        <v>227</v>
      </c>
      <c r="E1314" t="s">
        <v>349</v>
      </c>
      <c r="F1314" t="s">
        <v>177</v>
      </c>
      <c r="G1314" t="s">
        <v>1722</v>
      </c>
      <c r="H1314" s="77">
        <v>20</v>
      </c>
      <c r="I1314" s="124">
        <v>257.77999999999997</v>
      </c>
      <c r="J1314" s="124">
        <v>5155.6000000000004</v>
      </c>
      <c r="K1314" s="77">
        <v>60</v>
      </c>
      <c r="L1314" t="s">
        <v>351</v>
      </c>
      <c r="M1314" s="126">
        <v>1031.1199999999999</v>
      </c>
      <c r="N1314" s="124">
        <v>5155.6000000000004</v>
      </c>
      <c r="O1314" t="s">
        <v>340</v>
      </c>
      <c r="P1314" t="s">
        <v>294</v>
      </c>
    </row>
    <row r="1315" spans="1:16" ht="15" customHeight="1" x14ac:dyDescent="0.25">
      <c r="A1315" s="123">
        <v>45668</v>
      </c>
      <c r="B1315" t="s">
        <v>366</v>
      </c>
      <c r="C1315" t="s">
        <v>367</v>
      </c>
      <c r="D1315" t="s">
        <v>221</v>
      </c>
      <c r="E1315" t="s">
        <v>427</v>
      </c>
      <c r="F1315" t="s">
        <v>184</v>
      </c>
      <c r="G1315" t="s">
        <v>1723</v>
      </c>
      <c r="H1315" s="77">
        <v>58</v>
      </c>
      <c r="I1315" s="124">
        <v>101.93</v>
      </c>
      <c r="J1315" s="124">
        <v>5911.93</v>
      </c>
      <c r="K1315" s="77">
        <v>60</v>
      </c>
      <c r="L1315" t="s">
        <v>339</v>
      </c>
      <c r="M1315" s="126">
        <v>1182.386</v>
      </c>
      <c r="N1315" s="124">
        <v>5911.93</v>
      </c>
      <c r="O1315" t="s">
        <v>346</v>
      </c>
      <c r="P1315" t="s">
        <v>294</v>
      </c>
    </row>
    <row r="1316" spans="1:16" ht="15" customHeight="1" x14ac:dyDescent="0.25">
      <c r="A1316" s="123">
        <v>45858</v>
      </c>
      <c r="B1316" t="s">
        <v>370</v>
      </c>
      <c r="C1316" t="s">
        <v>371</v>
      </c>
      <c r="D1316" t="s">
        <v>227</v>
      </c>
      <c r="E1316" t="s">
        <v>403</v>
      </c>
      <c r="F1316" t="s">
        <v>181</v>
      </c>
      <c r="G1316" t="s">
        <v>1724</v>
      </c>
      <c r="H1316" s="77">
        <v>7</v>
      </c>
      <c r="I1316" s="124">
        <v>221.26</v>
      </c>
      <c r="J1316" s="124">
        <v>1548.79</v>
      </c>
      <c r="K1316" s="77">
        <v>45</v>
      </c>
      <c r="L1316" t="s">
        <v>339</v>
      </c>
      <c r="M1316" s="126">
        <v>309.75799999999998</v>
      </c>
      <c r="N1316" s="124">
        <v>1548.79</v>
      </c>
      <c r="O1316" t="s">
        <v>346</v>
      </c>
      <c r="P1316" t="s">
        <v>294</v>
      </c>
    </row>
    <row r="1317" spans="1:16" ht="15" customHeight="1" x14ac:dyDescent="0.25">
      <c r="A1317" s="123">
        <v>45911</v>
      </c>
      <c r="B1317" t="s">
        <v>347</v>
      </c>
      <c r="C1317" t="s">
        <v>348</v>
      </c>
      <c r="D1317" t="s">
        <v>223</v>
      </c>
      <c r="E1317" t="s">
        <v>234</v>
      </c>
      <c r="F1317" t="s">
        <v>183</v>
      </c>
      <c r="G1317" t="s">
        <v>1725</v>
      </c>
      <c r="H1317" s="77">
        <v>75</v>
      </c>
      <c r="I1317" s="124">
        <v>145.81</v>
      </c>
      <c r="J1317" s="124">
        <v>10935.4</v>
      </c>
      <c r="K1317" s="77">
        <v>60</v>
      </c>
      <c r="L1317" t="s">
        <v>351</v>
      </c>
      <c r="M1317" s="126">
        <v>2187.08</v>
      </c>
      <c r="N1317" s="124">
        <v>10935.4</v>
      </c>
      <c r="O1317" t="s">
        <v>346</v>
      </c>
      <c r="P1317" t="s">
        <v>294</v>
      </c>
    </row>
    <row r="1318" spans="1:16" ht="15" customHeight="1" x14ac:dyDescent="0.25">
      <c r="A1318" s="123">
        <v>45907</v>
      </c>
      <c r="B1318" t="s">
        <v>386</v>
      </c>
      <c r="C1318" t="s">
        <v>387</v>
      </c>
      <c r="D1318" t="s">
        <v>223</v>
      </c>
      <c r="E1318" t="s">
        <v>356</v>
      </c>
      <c r="F1318" t="s">
        <v>181</v>
      </c>
      <c r="G1318" t="s">
        <v>1726</v>
      </c>
      <c r="H1318" s="77">
        <v>52</v>
      </c>
      <c r="I1318" s="124">
        <v>122.46</v>
      </c>
      <c r="J1318" s="124">
        <v>6368.11</v>
      </c>
      <c r="K1318" s="77">
        <v>45</v>
      </c>
      <c r="L1318" t="s">
        <v>351</v>
      </c>
      <c r="M1318" s="126">
        <v>1273.6220000000001</v>
      </c>
      <c r="N1318" s="124">
        <v>6368.11</v>
      </c>
      <c r="O1318" t="s">
        <v>340</v>
      </c>
      <c r="P1318" t="s">
        <v>294</v>
      </c>
    </row>
    <row r="1319" spans="1:16" ht="15" customHeight="1" x14ac:dyDescent="0.25">
      <c r="A1319" s="123">
        <v>45689</v>
      </c>
      <c r="B1319" t="s">
        <v>409</v>
      </c>
      <c r="C1319" t="s">
        <v>410</v>
      </c>
      <c r="D1319" t="s">
        <v>223</v>
      </c>
      <c r="E1319" t="s">
        <v>396</v>
      </c>
      <c r="F1319" t="s">
        <v>184</v>
      </c>
      <c r="G1319" t="s">
        <v>1727</v>
      </c>
      <c r="H1319" s="77">
        <v>68</v>
      </c>
      <c r="I1319" s="124">
        <v>63.41</v>
      </c>
      <c r="J1319" s="124">
        <v>4311.8500000000004</v>
      </c>
      <c r="K1319" s="77">
        <v>30</v>
      </c>
      <c r="L1319" t="s">
        <v>345</v>
      </c>
      <c r="M1319" s="126">
        <v>862.37</v>
      </c>
      <c r="N1319" s="124">
        <v>4311.8500000000004</v>
      </c>
      <c r="O1319" t="s">
        <v>346</v>
      </c>
      <c r="P1319" t="s">
        <v>294</v>
      </c>
    </row>
    <row r="1320" spans="1:16" ht="15" customHeight="1" x14ac:dyDescent="0.25">
      <c r="A1320" s="123">
        <v>45690</v>
      </c>
      <c r="B1320" t="s">
        <v>335</v>
      </c>
      <c r="C1320" t="s">
        <v>336</v>
      </c>
      <c r="D1320" t="s">
        <v>223</v>
      </c>
      <c r="E1320" t="s">
        <v>364</v>
      </c>
      <c r="F1320" t="s">
        <v>182</v>
      </c>
      <c r="G1320" t="s">
        <v>1728</v>
      </c>
      <c r="H1320" s="77">
        <v>35</v>
      </c>
      <c r="I1320" s="124">
        <v>67.94</v>
      </c>
      <c r="J1320" s="124">
        <v>2377.9499999999998</v>
      </c>
      <c r="K1320" s="77">
        <v>60</v>
      </c>
      <c r="L1320" t="s">
        <v>345</v>
      </c>
      <c r="M1320" s="126">
        <v>475.59</v>
      </c>
      <c r="N1320" s="124">
        <v>2377.9499999999998</v>
      </c>
      <c r="O1320" t="s">
        <v>346</v>
      </c>
      <c r="P1320" t="s">
        <v>294</v>
      </c>
    </row>
    <row r="1321" spans="1:16" ht="15" customHeight="1" x14ac:dyDescent="0.25">
      <c r="A1321" s="123">
        <v>45976</v>
      </c>
      <c r="B1321" t="s">
        <v>366</v>
      </c>
      <c r="C1321" t="s">
        <v>367</v>
      </c>
      <c r="D1321" t="s">
        <v>221</v>
      </c>
      <c r="E1321" t="s">
        <v>368</v>
      </c>
      <c r="F1321" t="s">
        <v>178</v>
      </c>
      <c r="G1321" t="s">
        <v>1729</v>
      </c>
      <c r="H1321" s="77">
        <v>45</v>
      </c>
      <c r="I1321" s="124">
        <v>58.65</v>
      </c>
      <c r="J1321" s="124">
        <v>2639.16</v>
      </c>
      <c r="K1321" s="77">
        <v>45</v>
      </c>
      <c r="L1321" t="s">
        <v>351</v>
      </c>
      <c r="M1321" s="126">
        <v>527.83199999999999</v>
      </c>
      <c r="N1321" s="124">
        <v>2639.16</v>
      </c>
      <c r="O1321" t="s">
        <v>346</v>
      </c>
      <c r="P1321" t="s">
        <v>294</v>
      </c>
    </row>
    <row r="1322" spans="1:16" ht="15" customHeight="1" x14ac:dyDescent="0.25">
      <c r="A1322" s="123">
        <v>45805</v>
      </c>
      <c r="B1322" t="s">
        <v>362</v>
      </c>
      <c r="C1322" t="s">
        <v>363</v>
      </c>
      <c r="D1322" t="s">
        <v>221</v>
      </c>
      <c r="E1322" t="s">
        <v>349</v>
      </c>
      <c r="F1322" t="s">
        <v>177</v>
      </c>
      <c r="G1322" t="s">
        <v>1730</v>
      </c>
      <c r="H1322" s="77">
        <v>25</v>
      </c>
      <c r="I1322" s="124">
        <v>123.8</v>
      </c>
      <c r="J1322" s="124">
        <v>3094.94</v>
      </c>
      <c r="K1322" s="77">
        <v>45</v>
      </c>
      <c r="L1322" t="s">
        <v>345</v>
      </c>
      <c r="M1322" s="126">
        <v>618.98800000000006</v>
      </c>
      <c r="N1322" s="124">
        <v>3094.94</v>
      </c>
      <c r="O1322" t="s">
        <v>340</v>
      </c>
      <c r="P1322" t="s">
        <v>294</v>
      </c>
    </row>
    <row r="1323" spans="1:16" ht="15" customHeight="1" x14ac:dyDescent="0.25">
      <c r="A1323" s="123">
        <v>45770</v>
      </c>
      <c r="B1323" t="s">
        <v>398</v>
      </c>
      <c r="C1323" t="s">
        <v>399</v>
      </c>
      <c r="D1323" t="s">
        <v>227</v>
      </c>
      <c r="E1323" t="s">
        <v>352</v>
      </c>
      <c r="F1323" t="s">
        <v>180</v>
      </c>
      <c r="G1323" t="s">
        <v>1731</v>
      </c>
      <c r="H1323" s="77">
        <v>76</v>
      </c>
      <c r="I1323" s="124">
        <v>334.55</v>
      </c>
      <c r="J1323" s="124">
        <v>25425.94</v>
      </c>
      <c r="K1323" s="77">
        <v>60</v>
      </c>
      <c r="L1323" t="s">
        <v>345</v>
      </c>
      <c r="M1323" s="126">
        <v>5085.1880000000001</v>
      </c>
      <c r="N1323" s="124">
        <v>25425.94</v>
      </c>
      <c r="O1323" t="s">
        <v>346</v>
      </c>
      <c r="P1323" t="s">
        <v>294</v>
      </c>
    </row>
    <row r="1324" spans="1:16" ht="15" customHeight="1" x14ac:dyDescent="0.25">
      <c r="A1324" s="123">
        <v>45808</v>
      </c>
      <c r="B1324" t="s">
        <v>431</v>
      </c>
      <c r="C1324" t="s">
        <v>432</v>
      </c>
      <c r="D1324" t="s">
        <v>221</v>
      </c>
      <c r="E1324" t="s">
        <v>396</v>
      </c>
      <c r="F1324" t="s">
        <v>184</v>
      </c>
      <c r="G1324" t="s">
        <v>1732</v>
      </c>
      <c r="H1324" s="77">
        <v>50</v>
      </c>
      <c r="I1324" s="124">
        <v>72.150000000000006</v>
      </c>
      <c r="J1324" s="124">
        <v>3607.38</v>
      </c>
      <c r="K1324" s="77">
        <v>45</v>
      </c>
      <c r="L1324" t="s">
        <v>351</v>
      </c>
      <c r="M1324" s="126">
        <v>721.476</v>
      </c>
      <c r="N1324" s="124">
        <v>3607.38</v>
      </c>
      <c r="O1324" t="s">
        <v>346</v>
      </c>
      <c r="P1324" t="s">
        <v>294</v>
      </c>
    </row>
    <row r="1325" spans="1:16" ht="15" customHeight="1" x14ac:dyDescent="0.25">
      <c r="A1325" s="123">
        <v>45740</v>
      </c>
      <c r="B1325" t="s">
        <v>378</v>
      </c>
      <c r="C1325" t="s">
        <v>379</v>
      </c>
      <c r="D1325" t="s">
        <v>227</v>
      </c>
      <c r="E1325" t="s">
        <v>420</v>
      </c>
      <c r="F1325" t="s">
        <v>182</v>
      </c>
      <c r="G1325" t="s">
        <v>1733</v>
      </c>
      <c r="H1325" s="77">
        <v>80</v>
      </c>
      <c r="I1325" s="124">
        <v>124.15</v>
      </c>
      <c r="J1325" s="124">
        <v>9931.6299999999992</v>
      </c>
      <c r="K1325" s="77">
        <v>30</v>
      </c>
      <c r="L1325" t="s">
        <v>345</v>
      </c>
      <c r="M1325" s="126">
        <v>1986.326</v>
      </c>
      <c r="N1325" s="124">
        <v>9931.6299999999992</v>
      </c>
      <c r="O1325" t="s">
        <v>346</v>
      </c>
      <c r="P1325" t="s">
        <v>294</v>
      </c>
    </row>
    <row r="1326" spans="1:16" ht="15" customHeight="1" x14ac:dyDescent="0.25">
      <c r="A1326" s="123">
        <v>45905</v>
      </c>
      <c r="B1326" t="s">
        <v>335</v>
      </c>
      <c r="C1326" t="s">
        <v>336</v>
      </c>
      <c r="D1326" t="s">
        <v>223</v>
      </c>
      <c r="E1326" t="s">
        <v>343</v>
      </c>
      <c r="F1326" t="s">
        <v>178</v>
      </c>
      <c r="G1326" t="s">
        <v>1734</v>
      </c>
      <c r="H1326" s="77">
        <v>17</v>
      </c>
      <c r="I1326" s="124">
        <v>67.349999999999994</v>
      </c>
      <c r="J1326" s="124">
        <v>1144.8900000000001</v>
      </c>
      <c r="K1326" s="77">
        <v>30</v>
      </c>
      <c r="L1326" t="s">
        <v>339</v>
      </c>
      <c r="M1326" s="126">
        <v>228.97800000000001</v>
      </c>
      <c r="N1326" s="124">
        <v>1144.8900000000001</v>
      </c>
      <c r="O1326" t="s">
        <v>346</v>
      </c>
      <c r="P1326" t="s">
        <v>294</v>
      </c>
    </row>
    <row r="1327" spans="1:16" ht="15" customHeight="1" x14ac:dyDescent="0.25">
      <c r="A1327" s="123">
        <v>45870</v>
      </c>
      <c r="B1327" t="s">
        <v>378</v>
      </c>
      <c r="C1327" t="s">
        <v>379</v>
      </c>
      <c r="D1327" t="s">
        <v>227</v>
      </c>
      <c r="E1327" t="s">
        <v>396</v>
      </c>
      <c r="F1327" t="s">
        <v>184</v>
      </c>
      <c r="G1327" t="s">
        <v>1735</v>
      </c>
      <c r="H1327" s="77">
        <v>64</v>
      </c>
      <c r="I1327" s="124">
        <v>25.3</v>
      </c>
      <c r="J1327" s="124">
        <v>1619.49</v>
      </c>
      <c r="K1327" s="77">
        <v>45</v>
      </c>
      <c r="L1327" t="s">
        <v>339</v>
      </c>
      <c r="M1327" s="126">
        <v>323.89800000000002</v>
      </c>
      <c r="N1327" s="124">
        <v>1619.49</v>
      </c>
      <c r="O1327" t="s">
        <v>346</v>
      </c>
      <c r="P1327" t="s">
        <v>294</v>
      </c>
    </row>
    <row r="1328" spans="1:16" ht="15" customHeight="1" x14ac:dyDescent="0.25">
      <c r="A1328" s="123">
        <v>45841</v>
      </c>
      <c r="B1328" t="s">
        <v>488</v>
      </c>
      <c r="C1328" t="s">
        <v>489</v>
      </c>
      <c r="D1328" t="s">
        <v>225</v>
      </c>
      <c r="E1328" t="s">
        <v>349</v>
      </c>
      <c r="F1328" t="s">
        <v>177</v>
      </c>
      <c r="G1328" t="s">
        <v>1736</v>
      </c>
      <c r="H1328" s="77">
        <v>34</v>
      </c>
      <c r="I1328" s="124">
        <v>71.58</v>
      </c>
      <c r="J1328" s="124">
        <v>2433.8200000000002</v>
      </c>
      <c r="K1328" s="77">
        <v>45</v>
      </c>
      <c r="L1328" t="s">
        <v>351</v>
      </c>
      <c r="M1328" s="126">
        <v>486.76400000000001</v>
      </c>
      <c r="N1328" s="124">
        <v>2433.8200000000002</v>
      </c>
      <c r="O1328" t="s">
        <v>340</v>
      </c>
      <c r="P1328" t="s">
        <v>294</v>
      </c>
    </row>
    <row r="1329" spans="1:16" ht="15" customHeight="1" x14ac:dyDescent="0.25">
      <c r="A1329" s="123">
        <v>45674</v>
      </c>
      <c r="B1329" t="s">
        <v>406</v>
      </c>
      <c r="C1329" t="s">
        <v>407</v>
      </c>
      <c r="D1329" t="s">
        <v>225</v>
      </c>
      <c r="E1329" t="s">
        <v>412</v>
      </c>
      <c r="F1329" t="s">
        <v>179</v>
      </c>
      <c r="G1329" t="s">
        <v>1737</v>
      </c>
      <c r="H1329" s="77">
        <v>9</v>
      </c>
      <c r="I1329" s="124">
        <v>166.29</v>
      </c>
      <c r="J1329" s="124">
        <v>1496.57</v>
      </c>
      <c r="K1329" s="77">
        <v>45</v>
      </c>
      <c r="L1329" t="s">
        <v>345</v>
      </c>
      <c r="M1329" s="126">
        <v>299.31400000000002</v>
      </c>
      <c r="N1329" s="124">
        <v>1496.57</v>
      </c>
      <c r="O1329" t="s">
        <v>346</v>
      </c>
      <c r="P1329" t="s">
        <v>294</v>
      </c>
    </row>
    <row r="1330" spans="1:16" ht="15" customHeight="1" x14ac:dyDescent="0.25">
      <c r="A1330" s="123">
        <v>45945</v>
      </c>
      <c r="B1330" t="s">
        <v>398</v>
      </c>
      <c r="C1330" t="s">
        <v>399</v>
      </c>
      <c r="D1330" t="s">
        <v>227</v>
      </c>
      <c r="E1330" t="s">
        <v>423</v>
      </c>
      <c r="F1330" t="s">
        <v>180</v>
      </c>
      <c r="G1330" t="s">
        <v>1738</v>
      </c>
      <c r="H1330" s="77">
        <v>29</v>
      </c>
      <c r="I1330" s="124">
        <v>128.53</v>
      </c>
      <c r="J1330" s="124">
        <v>3727.25</v>
      </c>
      <c r="K1330" s="77">
        <v>45</v>
      </c>
      <c r="L1330" t="s">
        <v>345</v>
      </c>
      <c r="M1330" s="126">
        <v>745.45</v>
      </c>
      <c r="N1330" s="124">
        <v>3727.25</v>
      </c>
      <c r="O1330" t="s">
        <v>346</v>
      </c>
      <c r="P1330" t="s">
        <v>294</v>
      </c>
    </row>
    <row r="1331" spans="1:16" ht="15" customHeight="1" x14ac:dyDescent="0.25">
      <c r="A1331" s="123">
        <v>45943</v>
      </c>
      <c r="B1331" t="s">
        <v>431</v>
      </c>
      <c r="C1331" t="s">
        <v>432</v>
      </c>
      <c r="D1331" t="s">
        <v>221</v>
      </c>
      <c r="E1331" t="s">
        <v>376</v>
      </c>
      <c r="F1331" t="s">
        <v>182</v>
      </c>
      <c r="G1331" t="s">
        <v>1739</v>
      </c>
      <c r="H1331" s="77">
        <v>35</v>
      </c>
      <c r="I1331" s="124">
        <v>132.13999999999999</v>
      </c>
      <c r="J1331" s="124">
        <v>4624.79</v>
      </c>
      <c r="K1331" s="77">
        <v>30</v>
      </c>
      <c r="L1331" t="s">
        <v>351</v>
      </c>
      <c r="M1331" s="126">
        <v>924.95799999999997</v>
      </c>
      <c r="N1331" s="124">
        <v>4624.79</v>
      </c>
      <c r="O1331" t="s">
        <v>340</v>
      </c>
      <c r="P1331" t="s">
        <v>294</v>
      </c>
    </row>
    <row r="1332" spans="1:16" ht="15" customHeight="1" x14ac:dyDescent="0.25">
      <c r="A1332" s="123">
        <v>45683</v>
      </c>
      <c r="B1332" t="s">
        <v>373</v>
      </c>
      <c r="C1332" t="s">
        <v>374</v>
      </c>
      <c r="D1332" t="s">
        <v>225</v>
      </c>
      <c r="E1332" t="s">
        <v>343</v>
      </c>
      <c r="F1332" t="s">
        <v>178</v>
      </c>
      <c r="G1332" t="s">
        <v>1740</v>
      </c>
      <c r="H1332" s="77">
        <v>57</v>
      </c>
      <c r="I1332" s="124">
        <v>150.85</v>
      </c>
      <c r="J1332" s="124">
        <v>8598.57</v>
      </c>
      <c r="K1332" s="77">
        <v>45</v>
      </c>
      <c r="L1332" t="s">
        <v>339</v>
      </c>
      <c r="M1332" s="126">
        <v>1719.7139999999999</v>
      </c>
      <c r="N1332" s="124">
        <v>8598.57</v>
      </c>
      <c r="O1332" t="s">
        <v>346</v>
      </c>
      <c r="P1332" t="s">
        <v>294</v>
      </c>
    </row>
    <row r="1333" spans="1:16" ht="15" customHeight="1" x14ac:dyDescent="0.25">
      <c r="A1333" s="123">
        <v>45679</v>
      </c>
      <c r="B1333" t="s">
        <v>358</v>
      </c>
      <c r="C1333" t="s">
        <v>359</v>
      </c>
      <c r="D1333" t="s">
        <v>225</v>
      </c>
      <c r="E1333" t="s">
        <v>343</v>
      </c>
      <c r="F1333" t="s">
        <v>178</v>
      </c>
      <c r="G1333" t="s">
        <v>1741</v>
      </c>
      <c r="H1333" s="77">
        <v>65</v>
      </c>
      <c r="I1333" s="124">
        <v>127.07</v>
      </c>
      <c r="J1333" s="124">
        <v>8259.2900000000009</v>
      </c>
      <c r="K1333" s="77">
        <v>30</v>
      </c>
      <c r="L1333" t="s">
        <v>339</v>
      </c>
      <c r="M1333" s="126">
        <v>1651.8579999999999</v>
      </c>
      <c r="N1333" s="124">
        <v>8259.2900000000009</v>
      </c>
      <c r="O1333" t="s">
        <v>346</v>
      </c>
      <c r="P1333" t="s">
        <v>294</v>
      </c>
    </row>
    <row r="1334" spans="1:16" ht="15" customHeight="1" x14ac:dyDescent="0.25">
      <c r="A1334" s="123">
        <v>45843</v>
      </c>
      <c r="B1334" t="s">
        <v>378</v>
      </c>
      <c r="C1334" t="s">
        <v>379</v>
      </c>
      <c r="D1334" t="s">
        <v>227</v>
      </c>
      <c r="E1334" t="s">
        <v>415</v>
      </c>
      <c r="F1334" t="s">
        <v>178</v>
      </c>
      <c r="G1334" t="s">
        <v>1742</v>
      </c>
      <c r="H1334" s="77">
        <v>21</v>
      </c>
      <c r="I1334" s="124">
        <v>57.8</v>
      </c>
      <c r="J1334" s="124">
        <v>1213.81</v>
      </c>
      <c r="K1334" s="77">
        <v>60</v>
      </c>
      <c r="L1334" t="s">
        <v>345</v>
      </c>
      <c r="M1334" s="126">
        <v>242.762</v>
      </c>
      <c r="N1334" s="124">
        <v>1213.81</v>
      </c>
      <c r="O1334" t="s">
        <v>340</v>
      </c>
      <c r="P1334" t="s">
        <v>294</v>
      </c>
    </row>
    <row r="1335" spans="1:16" ht="15" customHeight="1" x14ac:dyDescent="0.25">
      <c r="A1335" s="123">
        <v>45913</v>
      </c>
      <c r="B1335" t="s">
        <v>398</v>
      </c>
      <c r="C1335" t="s">
        <v>399</v>
      </c>
      <c r="D1335" t="s">
        <v>227</v>
      </c>
      <c r="E1335" t="s">
        <v>417</v>
      </c>
      <c r="F1335" t="s">
        <v>184</v>
      </c>
      <c r="G1335" t="s">
        <v>1743</v>
      </c>
      <c r="H1335" s="77">
        <v>13</v>
      </c>
      <c r="I1335" s="124">
        <v>170.27</v>
      </c>
      <c r="J1335" s="124">
        <v>2213.5100000000002</v>
      </c>
      <c r="K1335" s="77">
        <v>30</v>
      </c>
      <c r="L1335" t="s">
        <v>351</v>
      </c>
      <c r="M1335" s="126">
        <v>442.702</v>
      </c>
      <c r="N1335" s="124">
        <v>2213.5100000000002</v>
      </c>
      <c r="O1335" t="s">
        <v>346</v>
      </c>
      <c r="P1335" t="s">
        <v>294</v>
      </c>
    </row>
    <row r="1336" spans="1:16" ht="15" customHeight="1" x14ac:dyDescent="0.25">
      <c r="A1336" s="123">
        <v>45720</v>
      </c>
      <c r="B1336" t="s">
        <v>370</v>
      </c>
      <c r="C1336" t="s">
        <v>371</v>
      </c>
      <c r="D1336" t="s">
        <v>227</v>
      </c>
      <c r="E1336" t="s">
        <v>376</v>
      </c>
      <c r="F1336" t="s">
        <v>182</v>
      </c>
      <c r="G1336" t="s">
        <v>1744</v>
      </c>
      <c r="H1336" s="77">
        <v>26</v>
      </c>
      <c r="I1336" s="124">
        <v>103.09</v>
      </c>
      <c r="J1336" s="124">
        <v>2680.45</v>
      </c>
      <c r="K1336" s="77">
        <v>45</v>
      </c>
      <c r="L1336" t="s">
        <v>345</v>
      </c>
      <c r="M1336" s="126">
        <v>536.09</v>
      </c>
      <c r="N1336" s="124">
        <v>2680.45</v>
      </c>
      <c r="O1336" t="s">
        <v>340</v>
      </c>
      <c r="P1336" t="s">
        <v>294</v>
      </c>
    </row>
    <row r="1337" spans="1:16" ht="15" customHeight="1" x14ac:dyDescent="0.25">
      <c r="A1337" s="123">
        <v>45832</v>
      </c>
      <c r="B1337" t="s">
        <v>406</v>
      </c>
      <c r="C1337" t="s">
        <v>407</v>
      </c>
      <c r="D1337" t="s">
        <v>225</v>
      </c>
      <c r="E1337" t="s">
        <v>360</v>
      </c>
      <c r="F1337" t="s">
        <v>180</v>
      </c>
      <c r="G1337" t="s">
        <v>1745</v>
      </c>
      <c r="H1337" s="77">
        <v>37</v>
      </c>
      <c r="I1337" s="124">
        <v>207.69</v>
      </c>
      <c r="J1337" s="124">
        <v>7684.66</v>
      </c>
      <c r="K1337" s="77">
        <v>60</v>
      </c>
      <c r="L1337" t="s">
        <v>339</v>
      </c>
      <c r="M1337" s="126">
        <v>1536.932</v>
      </c>
      <c r="N1337" s="124">
        <v>7684.66</v>
      </c>
      <c r="O1337" t="s">
        <v>346</v>
      </c>
      <c r="P1337" t="s">
        <v>294</v>
      </c>
    </row>
    <row r="1338" spans="1:16" ht="15" customHeight="1" x14ac:dyDescent="0.25">
      <c r="A1338" s="123">
        <v>45870</v>
      </c>
      <c r="B1338" t="s">
        <v>386</v>
      </c>
      <c r="C1338" t="s">
        <v>387</v>
      </c>
      <c r="D1338" t="s">
        <v>223</v>
      </c>
      <c r="E1338" t="s">
        <v>437</v>
      </c>
      <c r="F1338" t="s">
        <v>181</v>
      </c>
      <c r="G1338" t="s">
        <v>1746</v>
      </c>
      <c r="H1338" s="77">
        <v>47</v>
      </c>
      <c r="I1338" s="124">
        <v>157</v>
      </c>
      <c r="J1338" s="124">
        <v>7379.08</v>
      </c>
      <c r="K1338" s="77">
        <v>60</v>
      </c>
      <c r="L1338" t="s">
        <v>351</v>
      </c>
      <c r="M1338" s="126">
        <v>1475.816</v>
      </c>
      <c r="N1338" s="124">
        <v>7379.08</v>
      </c>
      <c r="O1338" t="s">
        <v>346</v>
      </c>
      <c r="P1338" t="s">
        <v>294</v>
      </c>
    </row>
    <row r="1339" spans="1:16" ht="15" customHeight="1" x14ac:dyDescent="0.25">
      <c r="A1339" s="123">
        <v>45873</v>
      </c>
      <c r="B1339" t="s">
        <v>362</v>
      </c>
      <c r="C1339" t="s">
        <v>363</v>
      </c>
      <c r="D1339" t="s">
        <v>221</v>
      </c>
      <c r="E1339" t="s">
        <v>412</v>
      </c>
      <c r="F1339" t="s">
        <v>179</v>
      </c>
      <c r="G1339" t="s">
        <v>1747</v>
      </c>
      <c r="H1339" s="77">
        <v>30</v>
      </c>
      <c r="I1339" s="124">
        <v>152.41</v>
      </c>
      <c r="J1339" s="124">
        <v>4572.41</v>
      </c>
      <c r="K1339" s="77">
        <v>30</v>
      </c>
      <c r="L1339" t="s">
        <v>345</v>
      </c>
      <c r="M1339" s="126">
        <v>914.48199999999997</v>
      </c>
      <c r="N1339" s="124">
        <v>4572.41</v>
      </c>
      <c r="O1339" t="s">
        <v>346</v>
      </c>
      <c r="P1339" t="s">
        <v>294</v>
      </c>
    </row>
    <row r="1340" spans="1:16" ht="15" customHeight="1" x14ac:dyDescent="0.25">
      <c r="A1340" s="123">
        <v>45922</v>
      </c>
      <c r="B1340" t="s">
        <v>393</v>
      </c>
      <c r="C1340" t="s">
        <v>394</v>
      </c>
      <c r="D1340" t="s">
        <v>227</v>
      </c>
      <c r="E1340" t="s">
        <v>234</v>
      </c>
      <c r="F1340" t="s">
        <v>183</v>
      </c>
      <c r="G1340" t="s">
        <v>1748</v>
      </c>
      <c r="H1340" s="77">
        <v>47</v>
      </c>
      <c r="I1340" s="124">
        <v>242.33</v>
      </c>
      <c r="J1340" s="124">
        <v>11389.34</v>
      </c>
      <c r="K1340" s="77">
        <v>30</v>
      </c>
      <c r="L1340" t="s">
        <v>345</v>
      </c>
      <c r="M1340" s="126">
        <v>2277.8679999999999</v>
      </c>
      <c r="N1340" s="124">
        <v>11389.34</v>
      </c>
      <c r="O1340" t="s">
        <v>346</v>
      </c>
      <c r="P1340" t="s">
        <v>294</v>
      </c>
    </row>
    <row r="1341" spans="1:16" ht="15" customHeight="1" x14ac:dyDescent="0.25">
      <c r="A1341" s="123">
        <v>45922</v>
      </c>
      <c r="B1341" t="s">
        <v>341</v>
      </c>
      <c r="C1341" t="s">
        <v>342</v>
      </c>
      <c r="D1341" t="s">
        <v>223</v>
      </c>
      <c r="E1341" t="s">
        <v>440</v>
      </c>
      <c r="F1341" t="s">
        <v>177</v>
      </c>
      <c r="G1341" t="s">
        <v>1749</v>
      </c>
      <c r="H1341" s="77">
        <v>9</v>
      </c>
      <c r="I1341" s="124">
        <v>131.79</v>
      </c>
      <c r="J1341" s="124">
        <v>1186.1199999999999</v>
      </c>
      <c r="K1341" s="77">
        <v>30</v>
      </c>
      <c r="L1341" t="s">
        <v>345</v>
      </c>
      <c r="M1341" s="126">
        <v>237.22399999999999</v>
      </c>
      <c r="N1341" s="124">
        <v>1186.1199999999999</v>
      </c>
      <c r="O1341" t="s">
        <v>346</v>
      </c>
      <c r="P1341" t="s">
        <v>294</v>
      </c>
    </row>
    <row r="1342" spans="1:16" ht="15" customHeight="1" x14ac:dyDescent="0.25">
      <c r="A1342" s="123">
        <v>45880</v>
      </c>
      <c r="B1342" t="s">
        <v>383</v>
      </c>
      <c r="C1342" t="s">
        <v>384</v>
      </c>
      <c r="D1342" t="s">
        <v>225</v>
      </c>
      <c r="E1342" t="s">
        <v>235</v>
      </c>
      <c r="F1342" t="s">
        <v>183</v>
      </c>
      <c r="G1342" t="s">
        <v>1750</v>
      </c>
      <c r="H1342" s="77">
        <v>8</v>
      </c>
      <c r="I1342" s="124">
        <v>327.7</v>
      </c>
      <c r="J1342" s="124">
        <v>2621.6</v>
      </c>
      <c r="K1342" s="77">
        <v>45</v>
      </c>
      <c r="L1342" t="s">
        <v>339</v>
      </c>
      <c r="M1342" s="126">
        <v>524.32000000000005</v>
      </c>
      <c r="N1342" s="124">
        <v>2621.6</v>
      </c>
      <c r="O1342" t="s">
        <v>346</v>
      </c>
      <c r="P1342" t="s">
        <v>294</v>
      </c>
    </row>
    <row r="1343" spans="1:16" ht="15" customHeight="1" x14ac:dyDescent="0.25">
      <c r="A1343" s="123">
        <v>45687</v>
      </c>
      <c r="B1343" t="s">
        <v>401</v>
      </c>
      <c r="C1343" t="s">
        <v>402</v>
      </c>
      <c r="D1343" t="s">
        <v>221</v>
      </c>
      <c r="E1343" t="s">
        <v>412</v>
      </c>
      <c r="F1343" t="s">
        <v>179</v>
      </c>
      <c r="G1343" t="s">
        <v>1751</v>
      </c>
      <c r="H1343" s="77">
        <v>67</v>
      </c>
      <c r="I1343" s="124">
        <v>180.3</v>
      </c>
      <c r="J1343" s="124">
        <v>12080.22</v>
      </c>
      <c r="K1343" s="77">
        <v>45</v>
      </c>
      <c r="L1343" t="s">
        <v>345</v>
      </c>
      <c r="M1343" s="126">
        <v>2416.0439999999999</v>
      </c>
      <c r="N1343" s="124">
        <v>12080.22</v>
      </c>
      <c r="O1343" t="s">
        <v>346</v>
      </c>
      <c r="P1343" t="s">
        <v>294</v>
      </c>
    </row>
    <row r="1344" spans="1:16" ht="15" customHeight="1" x14ac:dyDescent="0.25">
      <c r="A1344" s="123">
        <v>45818</v>
      </c>
      <c r="B1344" t="s">
        <v>378</v>
      </c>
      <c r="C1344" t="s">
        <v>379</v>
      </c>
      <c r="D1344" t="s">
        <v>227</v>
      </c>
      <c r="E1344" t="s">
        <v>403</v>
      </c>
      <c r="F1344" t="s">
        <v>181</v>
      </c>
      <c r="G1344" t="s">
        <v>1752</v>
      </c>
      <c r="H1344" s="77">
        <v>45</v>
      </c>
      <c r="I1344" s="124">
        <v>279.76</v>
      </c>
      <c r="J1344" s="124">
        <v>12589.34</v>
      </c>
      <c r="K1344" s="77">
        <v>30</v>
      </c>
      <c r="L1344" t="s">
        <v>345</v>
      </c>
      <c r="M1344" s="126">
        <v>2517.8679999999999</v>
      </c>
      <c r="N1344" s="124">
        <v>12589.34</v>
      </c>
      <c r="O1344" t="s">
        <v>346</v>
      </c>
      <c r="P1344" t="s">
        <v>294</v>
      </c>
    </row>
    <row r="1345" spans="1:16" ht="15" customHeight="1" x14ac:dyDescent="0.25">
      <c r="A1345" s="123">
        <v>45864</v>
      </c>
      <c r="B1345" t="s">
        <v>373</v>
      </c>
      <c r="C1345" t="s">
        <v>374</v>
      </c>
      <c r="D1345" t="s">
        <v>225</v>
      </c>
      <c r="E1345" t="s">
        <v>412</v>
      </c>
      <c r="F1345" t="s">
        <v>179</v>
      </c>
      <c r="G1345" t="s">
        <v>1753</v>
      </c>
      <c r="H1345" s="77">
        <v>58</v>
      </c>
      <c r="I1345" s="124">
        <v>346.48</v>
      </c>
      <c r="J1345" s="124">
        <v>20095.580000000002</v>
      </c>
      <c r="K1345" s="77">
        <v>60</v>
      </c>
      <c r="L1345" t="s">
        <v>339</v>
      </c>
      <c r="M1345" s="126">
        <v>4019.116</v>
      </c>
      <c r="N1345" s="124">
        <v>20095.580000000002</v>
      </c>
      <c r="O1345" t="s">
        <v>346</v>
      </c>
      <c r="P1345" t="s">
        <v>294</v>
      </c>
    </row>
    <row r="1346" spans="1:16" ht="15" customHeight="1" x14ac:dyDescent="0.25">
      <c r="A1346" s="123">
        <v>45834</v>
      </c>
      <c r="B1346" t="s">
        <v>347</v>
      </c>
      <c r="C1346" t="s">
        <v>348</v>
      </c>
      <c r="D1346" t="s">
        <v>223</v>
      </c>
      <c r="E1346" t="s">
        <v>417</v>
      </c>
      <c r="F1346" t="s">
        <v>184</v>
      </c>
      <c r="G1346" t="s">
        <v>1754</v>
      </c>
      <c r="H1346" s="77">
        <v>52</v>
      </c>
      <c r="I1346" s="124">
        <v>126.44</v>
      </c>
      <c r="J1346" s="124">
        <v>6574.72</v>
      </c>
      <c r="K1346" s="77">
        <v>30</v>
      </c>
      <c r="L1346" t="s">
        <v>345</v>
      </c>
      <c r="M1346" s="126">
        <v>1314.944</v>
      </c>
      <c r="N1346" s="124">
        <v>6574.72</v>
      </c>
      <c r="O1346" t="s">
        <v>346</v>
      </c>
      <c r="P1346" t="s">
        <v>294</v>
      </c>
    </row>
    <row r="1347" spans="1:16" ht="15" customHeight="1" x14ac:dyDescent="0.25">
      <c r="A1347" s="123">
        <v>45829</v>
      </c>
      <c r="B1347" t="s">
        <v>431</v>
      </c>
      <c r="C1347" t="s">
        <v>432</v>
      </c>
      <c r="D1347" t="s">
        <v>221</v>
      </c>
      <c r="E1347" t="s">
        <v>440</v>
      </c>
      <c r="F1347" t="s">
        <v>177</v>
      </c>
      <c r="G1347" t="s">
        <v>1755</v>
      </c>
      <c r="H1347" s="77">
        <v>50</v>
      </c>
      <c r="I1347" s="124">
        <v>53.03</v>
      </c>
      <c r="J1347" s="124">
        <v>2651.34</v>
      </c>
      <c r="K1347" s="77">
        <v>60</v>
      </c>
      <c r="L1347" t="s">
        <v>351</v>
      </c>
      <c r="M1347" s="126">
        <v>530.26800000000003</v>
      </c>
      <c r="N1347" s="124">
        <v>2651.34</v>
      </c>
      <c r="O1347" t="s">
        <v>346</v>
      </c>
      <c r="P1347" t="s">
        <v>294</v>
      </c>
    </row>
    <row r="1348" spans="1:16" ht="15" customHeight="1" x14ac:dyDescent="0.25">
      <c r="A1348" s="123">
        <v>45934</v>
      </c>
      <c r="B1348" t="s">
        <v>393</v>
      </c>
      <c r="C1348" t="s">
        <v>394</v>
      </c>
      <c r="D1348" t="s">
        <v>227</v>
      </c>
      <c r="E1348" t="s">
        <v>412</v>
      </c>
      <c r="F1348" t="s">
        <v>179</v>
      </c>
      <c r="G1348" t="s">
        <v>1756</v>
      </c>
      <c r="H1348" s="77">
        <v>37</v>
      </c>
      <c r="I1348" s="124">
        <v>44.18</v>
      </c>
      <c r="J1348" s="124">
        <v>1634.71</v>
      </c>
      <c r="K1348" s="77">
        <v>30</v>
      </c>
      <c r="L1348" t="s">
        <v>339</v>
      </c>
      <c r="M1348" s="126">
        <v>326.94200000000001</v>
      </c>
      <c r="N1348" s="124">
        <v>1634.71</v>
      </c>
      <c r="O1348" t="s">
        <v>346</v>
      </c>
      <c r="P1348" t="s">
        <v>294</v>
      </c>
    </row>
    <row r="1349" spans="1:16" ht="15" customHeight="1" x14ac:dyDescent="0.25">
      <c r="A1349" s="123">
        <v>45832</v>
      </c>
      <c r="B1349" t="s">
        <v>370</v>
      </c>
      <c r="C1349" t="s">
        <v>371</v>
      </c>
      <c r="D1349" t="s">
        <v>227</v>
      </c>
      <c r="E1349" t="s">
        <v>403</v>
      </c>
      <c r="F1349" t="s">
        <v>181</v>
      </c>
      <c r="G1349" t="s">
        <v>1757</v>
      </c>
      <c r="H1349" s="77">
        <v>21</v>
      </c>
      <c r="I1349" s="124">
        <v>367.79</v>
      </c>
      <c r="J1349" s="124">
        <v>7723.52</v>
      </c>
      <c r="K1349" s="77">
        <v>30</v>
      </c>
      <c r="L1349" t="s">
        <v>339</v>
      </c>
      <c r="M1349" s="126">
        <v>1544.704</v>
      </c>
      <c r="N1349" s="124">
        <v>7723.52</v>
      </c>
      <c r="O1349" t="s">
        <v>346</v>
      </c>
      <c r="P1349" t="s">
        <v>294</v>
      </c>
    </row>
    <row r="1350" spans="1:16" ht="15" customHeight="1" x14ac:dyDescent="0.25">
      <c r="A1350" s="123">
        <v>45813</v>
      </c>
      <c r="B1350" t="s">
        <v>362</v>
      </c>
      <c r="C1350" t="s">
        <v>363</v>
      </c>
      <c r="D1350" t="s">
        <v>221</v>
      </c>
      <c r="E1350" t="s">
        <v>356</v>
      </c>
      <c r="F1350" t="s">
        <v>181</v>
      </c>
      <c r="G1350" t="s">
        <v>1758</v>
      </c>
      <c r="H1350" s="77">
        <v>55</v>
      </c>
      <c r="I1350" s="124">
        <v>103.74</v>
      </c>
      <c r="J1350" s="124">
        <v>5705.45</v>
      </c>
      <c r="K1350" s="77">
        <v>60</v>
      </c>
      <c r="L1350" t="s">
        <v>339</v>
      </c>
      <c r="M1350" s="126">
        <v>1141.0899999999999</v>
      </c>
      <c r="N1350" s="124">
        <v>5705.45</v>
      </c>
      <c r="O1350" t="s">
        <v>340</v>
      </c>
      <c r="P1350" t="s">
        <v>294</v>
      </c>
    </row>
    <row r="1351" spans="1:16" ht="15" customHeight="1" x14ac:dyDescent="0.25">
      <c r="A1351" s="123">
        <v>45790</v>
      </c>
      <c r="B1351" t="s">
        <v>362</v>
      </c>
      <c r="C1351" t="s">
        <v>363</v>
      </c>
      <c r="D1351" t="s">
        <v>221</v>
      </c>
      <c r="E1351" t="s">
        <v>496</v>
      </c>
      <c r="F1351" t="s">
        <v>177</v>
      </c>
      <c r="G1351" t="s">
        <v>1759</v>
      </c>
      <c r="H1351" s="77">
        <v>65</v>
      </c>
      <c r="I1351" s="124">
        <v>106.05</v>
      </c>
      <c r="J1351" s="124">
        <v>6892.97</v>
      </c>
      <c r="K1351" s="77">
        <v>45</v>
      </c>
      <c r="L1351" t="s">
        <v>339</v>
      </c>
      <c r="M1351" s="126">
        <v>1378.5940000000001</v>
      </c>
      <c r="N1351" s="124">
        <v>6892.97</v>
      </c>
      <c r="O1351" t="s">
        <v>346</v>
      </c>
      <c r="P1351" t="s">
        <v>294</v>
      </c>
    </row>
    <row r="1352" spans="1:16" ht="15" customHeight="1" x14ac:dyDescent="0.25">
      <c r="A1352" s="123">
        <v>45810</v>
      </c>
      <c r="B1352" t="s">
        <v>398</v>
      </c>
      <c r="C1352" t="s">
        <v>399</v>
      </c>
      <c r="D1352" t="s">
        <v>227</v>
      </c>
      <c r="E1352" t="s">
        <v>368</v>
      </c>
      <c r="F1352" t="s">
        <v>178</v>
      </c>
      <c r="G1352" t="s">
        <v>1760</v>
      </c>
      <c r="H1352" s="77">
        <v>74</v>
      </c>
      <c r="I1352" s="124">
        <v>34.15</v>
      </c>
      <c r="J1352" s="124">
        <v>2527.2600000000002</v>
      </c>
      <c r="K1352" s="77">
        <v>60</v>
      </c>
      <c r="L1352" t="s">
        <v>339</v>
      </c>
      <c r="M1352" s="126">
        <v>505.452</v>
      </c>
      <c r="N1352" s="124">
        <v>2527.2600000000002</v>
      </c>
      <c r="O1352" t="s">
        <v>346</v>
      </c>
      <c r="P1352" t="s">
        <v>294</v>
      </c>
    </row>
    <row r="1353" spans="1:16" ht="15" customHeight="1" x14ac:dyDescent="0.25">
      <c r="A1353" s="123">
        <v>45955</v>
      </c>
      <c r="B1353" t="s">
        <v>386</v>
      </c>
      <c r="C1353" t="s">
        <v>387</v>
      </c>
      <c r="D1353" t="s">
        <v>223</v>
      </c>
      <c r="E1353" t="s">
        <v>376</v>
      </c>
      <c r="F1353" t="s">
        <v>182</v>
      </c>
      <c r="G1353" t="s">
        <v>1761</v>
      </c>
      <c r="H1353" s="77">
        <v>73</v>
      </c>
      <c r="I1353" s="124">
        <v>35.26</v>
      </c>
      <c r="J1353" s="124">
        <v>2574.08</v>
      </c>
      <c r="K1353" s="77">
        <v>60</v>
      </c>
      <c r="L1353" t="s">
        <v>351</v>
      </c>
      <c r="M1353" s="126">
        <v>514.81600000000003</v>
      </c>
      <c r="N1353" s="124">
        <v>2574.08</v>
      </c>
      <c r="O1353" t="s">
        <v>340</v>
      </c>
      <c r="P1353" t="s">
        <v>294</v>
      </c>
    </row>
    <row r="1354" spans="1:16" ht="15" customHeight="1" x14ac:dyDescent="0.25">
      <c r="A1354" s="123">
        <v>45811</v>
      </c>
      <c r="B1354" t="s">
        <v>406</v>
      </c>
      <c r="C1354" t="s">
        <v>407</v>
      </c>
      <c r="D1354" t="s">
        <v>225</v>
      </c>
      <c r="E1354" t="s">
        <v>360</v>
      </c>
      <c r="F1354" t="s">
        <v>180</v>
      </c>
      <c r="G1354" t="s">
        <v>1762</v>
      </c>
      <c r="H1354" s="77">
        <v>37</v>
      </c>
      <c r="I1354" s="124">
        <v>336.72</v>
      </c>
      <c r="J1354" s="124">
        <v>12458.81</v>
      </c>
      <c r="K1354" s="77">
        <v>60</v>
      </c>
      <c r="L1354" t="s">
        <v>351</v>
      </c>
      <c r="M1354" s="126">
        <v>2491.7620000000002</v>
      </c>
      <c r="N1354" s="124">
        <v>12458.81</v>
      </c>
      <c r="O1354" t="s">
        <v>346</v>
      </c>
      <c r="P1354" t="s">
        <v>294</v>
      </c>
    </row>
    <row r="1355" spans="1:16" ht="15" customHeight="1" x14ac:dyDescent="0.25">
      <c r="A1355" s="123">
        <v>45851</v>
      </c>
      <c r="B1355" t="s">
        <v>406</v>
      </c>
      <c r="C1355" t="s">
        <v>407</v>
      </c>
      <c r="D1355" t="s">
        <v>225</v>
      </c>
      <c r="E1355" t="s">
        <v>412</v>
      </c>
      <c r="F1355" t="s">
        <v>179</v>
      </c>
      <c r="G1355" t="s">
        <v>1763</v>
      </c>
      <c r="H1355" s="77">
        <v>67</v>
      </c>
      <c r="I1355" s="124">
        <v>273.27999999999997</v>
      </c>
      <c r="J1355" s="124">
        <v>18309.669999999998</v>
      </c>
      <c r="K1355" s="77">
        <v>60</v>
      </c>
      <c r="L1355" t="s">
        <v>339</v>
      </c>
      <c r="M1355" s="126">
        <v>3661.9340000000002</v>
      </c>
      <c r="N1355" s="124">
        <v>18309.669999999998</v>
      </c>
      <c r="O1355" t="s">
        <v>346</v>
      </c>
      <c r="P1355" t="s">
        <v>294</v>
      </c>
    </row>
    <row r="1356" spans="1:16" ht="15" customHeight="1" x14ac:dyDescent="0.25">
      <c r="A1356" s="123">
        <v>45956</v>
      </c>
      <c r="B1356" t="s">
        <v>488</v>
      </c>
      <c r="C1356" t="s">
        <v>489</v>
      </c>
      <c r="D1356" t="s">
        <v>225</v>
      </c>
      <c r="E1356" t="s">
        <v>364</v>
      </c>
      <c r="F1356" t="s">
        <v>182</v>
      </c>
      <c r="G1356" t="s">
        <v>1764</v>
      </c>
      <c r="H1356" s="77">
        <v>25</v>
      </c>
      <c r="I1356" s="124">
        <v>69.19</v>
      </c>
      <c r="J1356" s="124">
        <v>1729.65</v>
      </c>
      <c r="K1356" s="77">
        <v>45</v>
      </c>
      <c r="L1356" t="s">
        <v>345</v>
      </c>
      <c r="M1356" s="126">
        <v>345.93</v>
      </c>
      <c r="N1356" s="124">
        <v>1729.65</v>
      </c>
      <c r="O1356" t="s">
        <v>346</v>
      </c>
      <c r="P1356" t="s">
        <v>294</v>
      </c>
    </row>
    <row r="1357" spans="1:16" ht="15" customHeight="1" x14ac:dyDescent="0.25">
      <c r="A1357" s="123">
        <v>45875</v>
      </c>
      <c r="B1357" t="s">
        <v>409</v>
      </c>
      <c r="C1357" t="s">
        <v>410</v>
      </c>
      <c r="D1357" t="s">
        <v>223</v>
      </c>
      <c r="E1357" t="s">
        <v>412</v>
      </c>
      <c r="F1357" t="s">
        <v>179</v>
      </c>
      <c r="G1357" t="s">
        <v>1765</v>
      </c>
      <c r="H1357" s="77">
        <v>53</v>
      </c>
      <c r="I1357" s="124">
        <v>43.29</v>
      </c>
      <c r="J1357" s="124">
        <v>2294.2800000000002</v>
      </c>
      <c r="K1357" s="77">
        <v>30</v>
      </c>
      <c r="L1357" t="s">
        <v>339</v>
      </c>
      <c r="M1357" s="126">
        <v>458.85599999999999</v>
      </c>
      <c r="N1357" s="124">
        <v>2294.2800000000002</v>
      </c>
      <c r="O1357" t="s">
        <v>346</v>
      </c>
      <c r="P1357" t="s">
        <v>294</v>
      </c>
    </row>
    <row r="1358" spans="1:16" ht="15" customHeight="1" x14ac:dyDescent="0.25">
      <c r="A1358" s="123">
        <v>45901</v>
      </c>
      <c r="B1358" t="s">
        <v>378</v>
      </c>
      <c r="C1358" t="s">
        <v>379</v>
      </c>
      <c r="D1358" t="s">
        <v>227</v>
      </c>
      <c r="E1358" t="s">
        <v>235</v>
      </c>
      <c r="F1358" t="s">
        <v>183</v>
      </c>
      <c r="G1358" t="s">
        <v>1766</v>
      </c>
      <c r="H1358" s="77">
        <v>28</v>
      </c>
      <c r="I1358" s="124">
        <v>222.15</v>
      </c>
      <c r="J1358" s="124">
        <v>6220.17</v>
      </c>
      <c r="K1358" s="77">
        <v>45</v>
      </c>
      <c r="L1358" t="s">
        <v>339</v>
      </c>
      <c r="M1358" s="126">
        <v>1244.0340000000001</v>
      </c>
      <c r="N1358" s="124">
        <v>6220.17</v>
      </c>
      <c r="O1358" t="s">
        <v>346</v>
      </c>
      <c r="P1358" t="s">
        <v>294</v>
      </c>
    </row>
    <row r="1359" spans="1:16" ht="15" customHeight="1" x14ac:dyDescent="0.25">
      <c r="A1359" s="123">
        <v>45944</v>
      </c>
      <c r="B1359" t="s">
        <v>386</v>
      </c>
      <c r="C1359" t="s">
        <v>387</v>
      </c>
      <c r="D1359" t="s">
        <v>223</v>
      </c>
      <c r="E1359" t="s">
        <v>236</v>
      </c>
      <c r="F1359" t="s">
        <v>183</v>
      </c>
      <c r="G1359" t="s">
        <v>1767</v>
      </c>
      <c r="H1359" s="77">
        <v>67</v>
      </c>
      <c r="I1359" s="124">
        <v>372.14</v>
      </c>
      <c r="J1359" s="124">
        <v>24933.49</v>
      </c>
      <c r="K1359" s="77">
        <v>45</v>
      </c>
      <c r="L1359" t="s">
        <v>345</v>
      </c>
      <c r="M1359" s="126">
        <v>4986.6980000000003</v>
      </c>
      <c r="N1359" s="124">
        <v>24933.49</v>
      </c>
      <c r="O1359" t="s">
        <v>346</v>
      </c>
      <c r="P1359" t="s">
        <v>294</v>
      </c>
    </row>
    <row r="1360" spans="1:16" ht="15" customHeight="1" x14ac:dyDescent="0.25">
      <c r="A1360" s="123">
        <v>45874</v>
      </c>
      <c r="B1360" t="s">
        <v>335</v>
      </c>
      <c r="C1360" t="s">
        <v>336</v>
      </c>
      <c r="D1360" t="s">
        <v>223</v>
      </c>
      <c r="E1360" t="s">
        <v>417</v>
      </c>
      <c r="F1360" t="s">
        <v>184</v>
      </c>
      <c r="G1360" t="s">
        <v>1768</v>
      </c>
      <c r="H1360" s="77">
        <v>57</v>
      </c>
      <c r="I1360" s="124">
        <v>33.25</v>
      </c>
      <c r="J1360" s="124">
        <v>1895.31</v>
      </c>
      <c r="K1360" s="77">
        <v>60</v>
      </c>
      <c r="L1360" t="s">
        <v>345</v>
      </c>
      <c r="M1360" s="126">
        <v>379.06200000000001</v>
      </c>
      <c r="N1360" s="124">
        <v>1895.31</v>
      </c>
      <c r="O1360" t="s">
        <v>346</v>
      </c>
      <c r="P1360" t="s">
        <v>294</v>
      </c>
    </row>
    <row r="1361" spans="1:16" ht="15" customHeight="1" x14ac:dyDescent="0.25">
      <c r="A1361" s="123">
        <v>45731</v>
      </c>
      <c r="B1361" t="s">
        <v>409</v>
      </c>
      <c r="C1361" t="s">
        <v>410</v>
      </c>
      <c r="D1361" t="s">
        <v>223</v>
      </c>
      <c r="E1361" t="s">
        <v>235</v>
      </c>
      <c r="F1361" t="s">
        <v>183</v>
      </c>
      <c r="G1361" t="s">
        <v>1769</v>
      </c>
      <c r="H1361" s="77">
        <v>65</v>
      </c>
      <c r="I1361" s="124">
        <v>331.83</v>
      </c>
      <c r="J1361" s="124">
        <v>21569.11</v>
      </c>
      <c r="K1361" s="77">
        <v>30</v>
      </c>
      <c r="L1361" t="s">
        <v>345</v>
      </c>
      <c r="M1361" s="126">
        <v>4313.8220000000001</v>
      </c>
      <c r="N1361" s="124">
        <v>21569.11</v>
      </c>
      <c r="O1361" t="s">
        <v>346</v>
      </c>
      <c r="P1361" t="s">
        <v>294</v>
      </c>
    </row>
    <row r="1362" spans="1:16" ht="15" customHeight="1" x14ac:dyDescent="0.25">
      <c r="A1362" s="123">
        <v>46018</v>
      </c>
      <c r="B1362" t="s">
        <v>341</v>
      </c>
      <c r="C1362" t="s">
        <v>342</v>
      </c>
      <c r="D1362" t="s">
        <v>223</v>
      </c>
      <c r="E1362" t="s">
        <v>396</v>
      </c>
      <c r="F1362" t="s">
        <v>184</v>
      </c>
      <c r="G1362" t="s">
        <v>1770</v>
      </c>
      <c r="H1362" s="77">
        <v>66</v>
      </c>
      <c r="I1362" s="124">
        <v>74.37</v>
      </c>
      <c r="J1362" s="124">
        <v>4908.49</v>
      </c>
      <c r="K1362" s="77">
        <v>60</v>
      </c>
      <c r="L1362" t="s">
        <v>339</v>
      </c>
      <c r="M1362" s="126">
        <v>981.69799999999998</v>
      </c>
      <c r="N1362" s="124">
        <v>4908.49</v>
      </c>
      <c r="O1362" t="s">
        <v>346</v>
      </c>
      <c r="P1362" t="s">
        <v>294</v>
      </c>
    </row>
    <row r="1363" spans="1:16" ht="15" customHeight="1" x14ac:dyDescent="0.25">
      <c r="A1363" s="123">
        <v>45900</v>
      </c>
      <c r="B1363" t="s">
        <v>406</v>
      </c>
      <c r="C1363" t="s">
        <v>407</v>
      </c>
      <c r="D1363" t="s">
        <v>225</v>
      </c>
      <c r="E1363" t="s">
        <v>360</v>
      </c>
      <c r="F1363" t="s">
        <v>180</v>
      </c>
      <c r="G1363" t="s">
        <v>1771</v>
      </c>
      <c r="H1363" s="77">
        <v>5</v>
      </c>
      <c r="I1363" s="124">
        <v>343.8</v>
      </c>
      <c r="J1363" s="124">
        <v>1719.02</v>
      </c>
      <c r="K1363" s="77">
        <v>60</v>
      </c>
      <c r="L1363" t="s">
        <v>339</v>
      </c>
      <c r="M1363" s="126">
        <v>343.80399999999997</v>
      </c>
      <c r="N1363" s="124">
        <v>1719.02</v>
      </c>
      <c r="O1363" t="s">
        <v>346</v>
      </c>
      <c r="P1363" t="s">
        <v>294</v>
      </c>
    </row>
    <row r="1364" spans="1:16" ht="15" customHeight="1" x14ac:dyDescent="0.25">
      <c r="A1364" s="123">
        <v>45966</v>
      </c>
      <c r="B1364" t="s">
        <v>398</v>
      </c>
      <c r="C1364" t="s">
        <v>399</v>
      </c>
      <c r="D1364" t="s">
        <v>227</v>
      </c>
      <c r="E1364" t="s">
        <v>376</v>
      </c>
      <c r="F1364" t="s">
        <v>182</v>
      </c>
      <c r="G1364" t="s">
        <v>1772</v>
      </c>
      <c r="H1364" s="77">
        <v>53</v>
      </c>
      <c r="I1364" s="124">
        <v>101.46</v>
      </c>
      <c r="J1364" s="124">
        <v>5377.28</v>
      </c>
      <c r="K1364" s="77">
        <v>30</v>
      </c>
      <c r="L1364" t="s">
        <v>339</v>
      </c>
      <c r="M1364" s="126">
        <v>1075.4559999999999</v>
      </c>
      <c r="N1364" s="124">
        <v>5377.28</v>
      </c>
      <c r="O1364" t="s">
        <v>340</v>
      </c>
      <c r="P1364" t="s">
        <v>294</v>
      </c>
    </row>
    <row r="1365" spans="1:16" ht="15" customHeight="1" x14ac:dyDescent="0.25">
      <c r="A1365" s="123">
        <v>45925</v>
      </c>
      <c r="B1365" t="s">
        <v>393</v>
      </c>
      <c r="C1365" t="s">
        <v>394</v>
      </c>
      <c r="D1365" t="s">
        <v>227</v>
      </c>
      <c r="E1365" t="s">
        <v>356</v>
      </c>
      <c r="F1365" t="s">
        <v>181</v>
      </c>
      <c r="G1365" t="s">
        <v>1773</v>
      </c>
      <c r="H1365" s="77">
        <v>20</v>
      </c>
      <c r="I1365" s="124">
        <v>128.82</v>
      </c>
      <c r="J1365" s="124">
        <v>2576.46</v>
      </c>
      <c r="K1365" s="77">
        <v>30</v>
      </c>
      <c r="L1365" t="s">
        <v>345</v>
      </c>
      <c r="M1365" s="126">
        <v>515.29200000000003</v>
      </c>
      <c r="N1365" s="124">
        <v>2576.46</v>
      </c>
      <c r="O1365" t="s">
        <v>340</v>
      </c>
      <c r="P1365" t="s">
        <v>294</v>
      </c>
    </row>
    <row r="1366" spans="1:16" ht="15" customHeight="1" x14ac:dyDescent="0.25">
      <c r="A1366" s="123">
        <v>45808</v>
      </c>
      <c r="B1366" t="s">
        <v>431</v>
      </c>
      <c r="C1366" t="s">
        <v>432</v>
      </c>
      <c r="D1366" t="s">
        <v>221</v>
      </c>
      <c r="E1366" t="s">
        <v>420</v>
      </c>
      <c r="F1366" t="s">
        <v>182</v>
      </c>
      <c r="G1366" t="s">
        <v>1774</v>
      </c>
      <c r="H1366" s="77">
        <v>63</v>
      </c>
      <c r="I1366" s="124">
        <v>183.46</v>
      </c>
      <c r="J1366" s="124">
        <v>11557.92</v>
      </c>
      <c r="K1366" s="77">
        <v>30</v>
      </c>
      <c r="L1366" t="s">
        <v>339</v>
      </c>
      <c r="M1366" s="126">
        <v>2311.5839999999998</v>
      </c>
      <c r="N1366" s="124">
        <v>11557.92</v>
      </c>
      <c r="O1366" t="s">
        <v>346</v>
      </c>
      <c r="P1366" t="s">
        <v>294</v>
      </c>
    </row>
    <row r="1367" spans="1:16" ht="15" customHeight="1" x14ac:dyDescent="0.25">
      <c r="A1367" s="123">
        <v>45814</v>
      </c>
      <c r="B1367" t="s">
        <v>370</v>
      </c>
      <c r="C1367" t="s">
        <v>371</v>
      </c>
      <c r="D1367" t="s">
        <v>227</v>
      </c>
      <c r="E1367" t="s">
        <v>235</v>
      </c>
      <c r="F1367" t="s">
        <v>183</v>
      </c>
      <c r="G1367" t="s">
        <v>1775</v>
      </c>
      <c r="H1367" s="77">
        <v>37</v>
      </c>
      <c r="I1367" s="124">
        <v>274.95</v>
      </c>
      <c r="J1367" s="124">
        <v>10173.17</v>
      </c>
      <c r="K1367" s="77">
        <v>30</v>
      </c>
      <c r="L1367" t="s">
        <v>339</v>
      </c>
      <c r="M1367" s="126">
        <v>2034.634</v>
      </c>
      <c r="N1367" s="124">
        <v>10173.17</v>
      </c>
      <c r="O1367" t="s">
        <v>346</v>
      </c>
      <c r="P1367" t="s">
        <v>294</v>
      </c>
    </row>
    <row r="1368" spans="1:16" ht="15" customHeight="1" x14ac:dyDescent="0.25">
      <c r="A1368" s="123">
        <v>45720</v>
      </c>
      <c r="B1368" t="s">
        <v>341</v>
      </c>
      <c r="C1368" t="s">
        <v>342</v>
      </c>
      <c r="D1368" t="s">
        <v>223</v>
      </c>
      <c r="E1368" t="s">
        <v>396</v>
      </c>
      <c r="F1368" t="s">
        <v>184</v>
      </c>
      <c r="G1368" t="s">
        <v>1776</v>
      </c>
      <c r="H1368" s="77">
        <v>71</v>
      </c>
      <c r="I1368" s="124">
        <v>73.88</v>
      </c>
      <c r="J1368" s="124">
        <v>5245.63</v>
      </c>
      <c r="K1368" s="77">
        <v>45</v>
      </c>
      <c r="L1368" t="s">
        <v>339</v>
      </c>
      <c r="M1368" s="126">
        <v>1049.126</v>
      </c>
      <c r="N1368" s="124">
        <v>5245.63</v>
      </c>
      <c r="O1368" t="s">
        <v>346</v>
      </c>
      <c r="P1368" t="s">
        <v>294</v>
      </c>
    </row>
    <row r="1369" spans="1:16" ht="15" customHeight="1" x14ac:dyDescent="0.25">
      <c r="A1369" s="123">
        <v>45951</v>
      </c>
      <c r="B1369" t="s">
        <v>358</v>
      </c>
      <c r="C1369" t="s">
        <v>359</v>
      </c>
      <c r="D1369" t="s">
        <v>225</v>
      </c>
      <c r="E1369" t="s">
        <v>234</v>
      </c>
      <c r="F1369" t="s">
        <v>183</v>
      </c>
      <c r="G1369" t="s">
        <v>1777</v>
      </c>
      <c r="H1369" s="77">
        <v>40</v>
      </c>
      <c r="I1369" s="124">
        <v>179.56</v>
      </c>
      <c r="J1369" s="124">
        <v>7182.23</v>
      </c>
      <c r="K1369" s="77">
        <v>60</v>
      </c>
      <c r="L1369" t="s">
        <v>345</v>
      </c>
      <c r="M1369" s="126">
        <v>1436.4459999999999</v>
      </c>
      <c r="N1369" s="124">
        <v>7182.23</v>
      </c>
      <c r="O1369" t="s">
        <v>346</v>
      </c>
      <c r="P1369" t="s">
        <v>294</v>
      </c>
    </row>
    <row r="1370" spans="1:16" ht="15" customHeight="1" x14ac:dyDescent="0.25">
      <c r="A1370" s="123">
        <v>45968</v>
      </c>
      <c r="B1370" t="s">
        <v>358</v>
      </c>
      <c r="C1370" t="s">
        <v>359</v>
      </c>
      <c r="D1370" t="s">
        <v>225</v>
      </c>
      <c r="E1370" t="s">
        <v>234</v>
      </c>
      <c r="F1370" t="s">
        <v>183</v>
      </c>
      <c r="G1370" t="s">
        <v>1778</v>
      </c>
      <c r="H1370" s="77">
        <v>17</v>
      </c>
      <c r="I1370" s="124">
        <v>235.09</v>
      </c>
      <c r="J1370" s="124">
        <v>3996.57</v>
      </c>
      <c r="K1370" s="77">
        <v>30</v>
      </c>
      <c r="L1370" t="s">
        <v>351</v>
      </c>
      <c r="M1370" s="126">
        <v>799.31399999999996</v>
      </c>
      <c r="N1370" s="124">
        <v>3996.57</v>
      </c>
      <c r="O1370" t="s">
        <v>346</v>
      </c>
      <c r="P1370" t="s">
        <v>294</v>
      </c>
    </row>
    <row r="1371" spans="1:16" ht="15" customHeight="1" x14ac:dyDescent="0.25">
      <c r="A1371" s="123">
        <v>45999</v>
      </c>
      <c r="B1371" t="s">
        <v>362</v>
      </c>
      <c r="C1371" t="s">
        <v>363</v>
      </c>
      <c r="D1371" t="s">
        <v>221</v>
      </c>
      <c r="E1371" t="s">
        <v>427</v>
      </c>
      <c r="F1371" t="s">
        <v>184</v>
      </c>
      <c r="G1371" t="s">
        <v>1779</v>
      </c>
      <c r="H1371" s="77">
        <v>58</v>
      </c>
      <c r="I1371" s="124">
        <v>46.1</v>
      </c>
      <c r="J1371" s="124">
        <v>2673.89</v>
      </c>
      <c r="K1371" s="77">
        <v>30</v>
      </c>
      <c r="L1371" t="s">
        <v>351</v>
      </c>
      <c r="M1371" s="126">
        <v>534.77800000000002</v>
      </c>
      <c r="N1371" s="124">
        <v>2673.89</v>
      </c>
      <c r="O1371" t="s">
        <v>346</v>
      </c>
      <c r="P1371" t="s">
        <v>294</v>
      </c>
    </row>
    <row r="1372" spans="1:16" ht="15" customHeight="1" x14ac:dyDescent="0.25">
      <c r="A1372" s="123">
        <v>45998</v>
      </c>
      <c r="B1372" t="s">
        <v>488</v>
      </c>
      <c r="C1372" t="s">
        <v>489</v>
      </c>
      <c r="D1372" t="s">
        <v>225</v>
      </c>
      <c r="E1372" t="s">
        <v>1780</v>
      </c>
      <c r="F1372" t="s">
        <v>178</v>
      </c>
      <c r="G1372" t="s">
        <v>1781</v>
      </c>
      <c r="H1372" s="77">
        <v>80</v>
      </c>
      <c r="I1372" s="124">
        <v>59.1</v>
      </c>
      <c r="J1372" s="124">
        <v>4728.17</v>
      </c>
      <c r="K1372" s="77">
        <v>45</v>
      </c>
      <c r="L1372" t="s">
        <v>345</v>
      </c>
      <c r="M1372" s="126">
        <v>945.63400000000001</v>
      </c>
      <c r="N1372" s="124">
        <v>4728.17</v>
      </c>
      <c r="O1372" t="s">
        <v>346</v>
      </c>
      <c r="P1372" t="s">
        <v>294</v>
      </c>
    </row>
    <row r="1373" spans="1:16" ht="15" customHeight="1" x14ac:dyDescent="0.25">
      <c r="A1373" s="123">
        <v>45934</v>
      </c>
      <c r="B1373" t="s">
        <v>362</v>
      </c>
      <c r="C1373" t="s">
        <v>363</v>
      </c>
      <c r="D1373" t="s">
        <v>221</v>
      </c>
      <c r="E1373" t="s">
        <v>234</v>
      </c>
      <c r="F1373" t="s">
        <v>183</v>
      </c>
      <c r="G1373" t="s">
        <v>1782</v>
      </c>
      <c r="H1373" s="77">
        <v>6</v>
      </c>
      <c r="I1373" s="124">
        <v>769.1</v>
      </c>
      <c r="J1373" s="124">
        <v>4614.6099999999997</v>
      </c>
      <c r="K1373" s="77">
        <v>60</v>
      </c>
      <c r="L1373" t="s">
        <v>345</v>
      </c>
      <c r="M1373" s="126">
        <v>922.92200000000003</v>
      </c>
      <c r="N1373" s="124">
        <v>4614.6099999999997</v>
      </c>
      <c r="O1373" t="s">
        <v>346</v>
      </c>
      <c r="P1373" t="s">
        <v>294</v>
      </c>
    </row>
    <row r="1374" spans="1:16" ht="15" customHeight="1" x14ac:dyDescent="0.25">
      <c r="A1374" s="123">
        <v>45703</v>
      </c>
      <c r="B1374" t="s">
        <v>409</v>
      </c>
      <c r="C1374" t="s">
        <v>410</v>
      </c>
      <c r="D1374" t="s">
        <v>223</v>
      </c>
      <c r="E1374" t="s">
        <v>403</v>
      </c>
      <c r="F1374" t="s">
        <v>181</v>
      </c>
      <c r="G1374" t="s">
        <v>1783</v>
      </c>
      <c r="H1374" s="77">
        <v>22</v>
      </c>
      <c r="I1374" s="124">
        <v>103.45</v>
      </c>
      <c r="J1374" s="124">
        <v>2275.89</v>
      </c>
      <c r="K1374" s="77">
        <v>60</v>
      </c>
      <c r="L1374" t="s">
        <v>339</v>
      </c>
      <c r="M1374" s="126">
        <v>455.178</v>
      </c>
      <c r="N1374" s="124">
        <v>2275.89</v>
      </c>
      <c r="O1374" t="s">
        <v>346</v>
      </c>
      <c r="P1374" t="s">
        <v>294</v>
      </c>
    </row>
    <row r="1375" spans="1:16" ht="15" customHeight="1" x14ac:dyDescent="0.25">
      <c r="A1375" s="123">
        <v>45988</v>
      </c>
      <c r="B1375" t="s">
        <v>358</v>
      </c>
      <c r="C1375" t="s">
        <v>359</v>
      </c>
      <c r="D1375" t="s">
        <v>225</v>
      </c>
      <c r="E1375" t="s">
        <v>403</v>
      </c>
      <c r="F1375" t="s">
        <v>181</v>
      </c>
      <c r="G1375" t="s">
        <v>1784</v>
      </c>
      <c r="H1375" s="77">
        <v>16</v>
      </c>
      <c r="I1375" s="124">
        <v>90.57</v>
      </c>
      <c r="J1375" s="124">
        <v>1449.19</v>
      </c>
      <c r="K1375" s="77">
        <v>60</v>
      </c>
      <c r="L1375" t="s">
        <v>351</v>
      </c>
      <c r="M1375" s="126">
        <v>289.83800000000002</v>
      </c>
      <c r="N1375" s="124">
        <v>1449.19</v>
      </c>
      <c r="O1375" t="s">
        <v>346</v>
      </c>
      <c r="P1375" t="s">
        <v>294</v>
      </c>
    </row>
    <row r="1376" spans="1:16" ht="15" customHeight="1" x14ac:dyDescent="0.25">
      <c r="A1376" s="123">
        <v>45935</v>
      </c>
      <c r="B1376" t="s">
        <v>390</v>
      </c>
      <c r="C1376" t="s">
        <v>391</v>
      </c>
      <c r="D1376" t="s">
        <v>221</v>
      </c>
      <c r="E1376" t="s">
        <v>352</v>
      </c>
      <c r="F1376" t="s">
        <v>180</v>
      </c>
      <c r="G1376" t="s">
        <v>1785</v>
      </c>
      <c r="H1376" s="77">
        <v>74</v>
      </c>
      <c r="I1376" s="124">
        <v>561.5</v>
      </c>
      <c r="J1376" s="124">
        <v>41550.699999999997</v>
      </c>
      <c r="K1376" s="77">
        <v>30</v>
      </c>
      <c r="L1376" t="s">
        <v>351</v>
      </c>
      <c r="M1376" s="126">
        <v>8310.14</v>
      </c>
      <c r="N1376" s="124">
        <v>41550.699999999997</v>
      </c>
      <c r="O1376" t="s">
        <v>346</v>
      </c>
      <c r="P1376" t="s">
        <v>294</v>
      </c>
    </row>
    <row r="1377" spans="1:16" ht="15" customHeight="1" x14ac:dyDescent="0.25">
      <c r="A1377" s="123">
        <v>45915</v>
      </c>
      <c r="B1377" t="s">
        <v>373</v>
      </c>
      <c r="C1377" t="s">
        <v>374</v>
      </c>
      <c r="D1377" t="s">
        <v>225</v>
      </c>
      <c r="E1377" t="s">
        <v>360</v>
      </c>
      <c r="F1377" t="s">
        <v>180</v>
      </c>
      <c r="G1377" t="s">
        <v>1786</v>
      </c>
      <c r="H1377" s="77">
        <v>3</v>
      </c>
      <c r="I1377" s="124">
        <v>222.81</v>
      </c>
      <c r="J1377" s="124">
        <v>668.44</v>
      </c>
      <c r="K1377" s="77">
        <v>30</v>
      </c>
      <c r="L1377" t="s">
        <v>351</v>
      </c>
      <c r="M1377" s="126">
        <v>133.68799999999999</v>
      </c>
      <c r="N1377" s="124">
        <v>668.44</v>
      </c>
      <c r="O1377" t="s">
        <v>346</v>
      </c>
      <c r="P1377" t="s">
        <v>294</v>
      </c>
    </row>
    <row r="1378" spans="1:16" ht="15" customHeight="1" x14ac:dyDescent="0.25">
      <c r="A1378" s="123">
        <v>45798</v>
      </c>
      <c r="B1378" t="s">
        <v>390</v>
      </c>
      <c r="C1378" t="s">
        <v>391</v>
      </c>
      <c r="D1378" t="s">
        <v>221</v>
      </c>
      <c r="E1378" t="s">
        <v>442</v>
      </c>
      <c r="F1378" t="s">
        <v>179</v>
      </c>
      <c r="G1378" t="s">
        <v>1787</v>
      </c>
      <c r="H1378" s="77">
        <v>27</v>
      </c>
      <c r="I1378" s="124">
        <v>124.58</v>
      </c>
      <c r="J1378" s="124">
        <v>3363.72</v>
      </c>
      <c r="K1378" s="77">
        <v>30</v>
      </c>
      <c r="L1378" t="s">
        <v>351</v>
      </c>
      <c r="M1378" s="126">
        <v>672.74400000000003</v>
      </c>
      <c r="N1378" s="124">
        <v>3363.72</v>
      </c>
      <c r="O1378" t="s">
        <v>340</v>
      </c>
      <c r="P1378" t="s">
        <v>294</v>
      </c>
    </row>
    <row r="1379" spans="1:16" ht="15" customHeight="1" x14ac:dyDescent="0.25">
      <c r="A1379" s="123">
        <v>45931</v>
      </c>
      <c r="B1379" t="s">
        <v>341</v>
      </c>
      <c r="C1379" t="s">
        <v>342</v>
      </c>
      <c r="D1379" t="s">
        <v>223</v>
      </c>
      <c r="E1379" t="s">
        <v>396</v>
      </c>
      <c r="F1379" t="s">
        <v>184</v>
      </c>
      <c r="G1379" t="s">
        <v>1788</v>
      </c>
      <c r="H1379" s="77">
        <v>78</v>
      </c>
      <c r="I1379" s="124">
        <v>132.88</v>
      </c>
      <c r="J1379" s="124">
        <v>10364.530000000001</v>
      </c>
      <c r="K1379" s="77">
        <v>45</v>
      </c>
      <c r="L1379" t="s">
        <v>345</v>
      </c>
      <c r="M1379" s="126">
        <v>2072.9059999999999</v>
      </c>
      <c r="N1379" s="124">
        <v>10364.530000000001</v>
      </c>
      <c r="O1379" t="s">
        <v>346</v>
      </c>
      <c r="P1379" t="s">
        <v>294</v>
      </c>
    </row>
    <row r="1380" spans="1:16" ht="15" customHeight="1" x14ac:dyDescent="0.25">
      <c r="A1380" s="123">
        <v>45669</v>
      </c>
      <c r="B1380" t="s">
        <v>370</v>
      </c>
      <c r="C1380" t="s">
        <v>371</v>
      </c>
      <c r="D1380" t="s">
        <v>227</v>
      </c>
      <c r="E1380" t="s">
        <v>496</v>
      </c>
      <c r="F1380" t="s">
        <v>177</v>
      </c>
      <c r="G1380" t="s">
        <v>1789</v>
      </c>
      <c r="H1380" s="77">
        <v>44</v>
      </c>
      <c r="I1380" s="124">
        <v>86</v>
      </c>
      <c r="J1380" s="124">
        <v>3784.21</v>
      </c>
      <c r="K1380" s="77">
        <v>45</v>
      </c>
      <c r="L1380" t="s">
        <v>339</v>
      </c>
      <c r="M1380" s="126">
        <v>756.84199999999998</v>
      </c>
      <c r="N1380" s="124">
        <v>3784.21</v>
      </c>
      <c r="O1380" t="s">
        <v>346</v>
      </c>
      <c r="P1380" t="s">
        <v>294</v>
      </c>
    </row>
    <row r="1381" spans="1:16" ht="15" customHeight="1" x14ac:dyDescent="0.25">
      <c r="A1381" s="123">
        <v>45820</v>
      </c>
      <c r="B1381" t="s">
        <v>401</v>
      </c>
      <c r="C1381" t="s">
        <v>402</v>
      </c>
      <c r="D1381" t="s">
        <v>221</v>
      </c>
      <c r="E1381" t="s">
        <v>440</v>
      </c>
      <c r="F1381" t="s">
        <v>177</v>
      </c>
      <c r="G1381" t="s">
        <v>1790</v>
      </c>
      <c r="H1381" s="77">
        <v>49</v>
      </c>
      <c r="I1381" s="124">
        <v>327.60000000000002</v>
      </c>
      <c r="J1381" s="124">
        <v>16052.46</v>
      </c>
      <c r="K1381" s="77">
        <v>45</v>
      </c>
      <c r="L1381" t="s">
        <v>339</v>
      </c>
      <c r="M1381" s="126">
        <v>3210.4920000000002</v>
      </c>
      <c r="N1381" s="124">
        <v>16052.46</v>
      </c>
      <c r="O1381" t="s">
        <v>346</v>
      </c>
      <c r="P1381" t="s">
        <v>294</v>
      </c>
    </row>
    <row r="1382" spans="1:16" ht="15" customHeight="1" x14ac:dyDescent="0.25">
      <c r="A1382" s="123">
        <v>45744</v>
      </c>
      <c r="B1382" t="s">
        <v>335</v>
      </c>
      <c r="C1382" t="s">
        <v>336</v>
      </c>
      <c r="D1382" t="s">
        <v>223</v>
      </c>
      <c r="E1382" t="s">
        <v>343</v>
      </c>
      <c r="F1382" t="s">
        <v>178</v>
      </c>
      <c r="G1382" t="s">
        <v>1791</v>
      </c>
      <c r="H1382" s="77">
        <v>37</v>
      </c>
      <c r="I1382" s="124">
        <v>94.37</v>
      </c>
      <c r="J1382" s="124">
        <v>3491.77</v>
      </c>
      <c r="K1382" s="77">
        <v>30</v>
      </c>
      <c r="L1382" t="s">
        <v>339</v>
      </c>
      <c r="M1382" s="126">
        <v>698.35400000000004</v>
      </c>
      <c r="N1382" s="124">
        <v>3491.77</v>
      </c>
      <c r="O1382" t="s">
        <v>346</v>
      </c>
      <c r="P1382" t="s">
        <v>294</v>
      </c>
    </row>
    <row r="1383" spans="1:16" ht="15" customHeight="1" x14ac:dyDescent="0.25">
      <c r="A1383" s="123">
        <v>45815</v>
      </c>
      <c r="B1383" t="s">
        <v>366</v>
      </c>
      <c r="C1383" t="s">
        <v>367</v>
      </c>
      <c r="D1383" t="s">
        <v>221</v>
      </c>
      <c r="E1383" t="s">
        <v>415</v>
      </c>
      <c r="F1383" t="s">
        <v>178</v>
      </c>
      <c r="G1383" t="s">
        <v>1792</v>
      </c>
      <c r="H1383" s="77">
        <v>53</v>
      </c>
      <c r="I1383" s="124">
        <v>49.7</v>
      </c>
      <c r="J1383" s="124">
        <v>2634.18</v>
      </c>
      <c r="K1383" s="77">
        <v>60</v>
      </c>
      <c r="L1383" t="s">
        <v>339</v>
      </c>
      <c r="M1383" s="126">
        <v>526.83600000000001</v>
      </c>
      <c r="N1383" s="124">
        <v>2634.18</v>
      </c>
      <c r="O1383" t="s">
        <v>340</v>
      </c>
      <c r="P1383" t="s">
        <v>294</v>
      </c>
    </row>
    <row r="1384" spans="1:16" ht="15" customHeight="1" x14ac:dyDescent="0.25">
      <c r="A1384" s="123">
        <v>45671</v>
      </c>
      <c r="B1384" t="s">
        <v>335</v>
      </c>
      <c r="C1384" t="s">
        <v>336</v>
      </c>
      <c r="D1384" t="s">
        <v>223</v>
      </c>
      <c r="E1384" t="s">
        <v>376</v>
      </c>
      <c r="F1384" t="s">
        <v>182</v>
      </c>
      <c r="G1384" t="s">
        <v>1793</v>
      </c>
      <c r="H1384" s="77">
        <v>8</v>
      </c>
      <c r="I1384" s="124">
        <v>311.19</v>
      </c>
      <c r="J1384" s="124">
        <v>2489.5</v>
      </c>
      <c r="K1384" s="77">
        <v>45</v>
      </c>
      <c r="L1384" t="s">
        <v>345</v>
      </c>
      <c r="M1384" s="126">
        <v>497.9</v>
      </c>
      <c r="N1384" s="124">
        <v>2489.5</v>
      </c>
      <c r="O1384" t="s">
        <v>340</v>
      </c>
      <c r="P1384" t="s">
        <v>294</v>
      </c>
    </row>
    <row r="1385" spans="1:16" ht="15" customHeight="1" x14ac:dyDescent="0.25">
      <c r="A1385" s="123">
        <v>45869</v>
      </c>
      <c r="B1385" t="s">
        <v>341</v>
      </c>
      <c r="C1385" t="s">
        <v>342</v>
      </c>
      <c r="D1385" t="s">
        <v>223</v>
      </c>
      <c r="E1385" t="s">
        <v>376</v>
      </c>
      <c r="F1385" t="s">
        <v>182</v>
      </c>
      <c r="G1385" t="s">
        <v>1794</v>
      </c>
      <c r="H1385" s="77">
        <v>42</v>
      </c>
      <c r="I1385" s="124">
        <v>68.08</v>
      </c>
      <c r="J1385" s="124">
        <v>2859.5</v>
      </c>
      <c r="K1385" s="77">
        <v>45</v>
      </c>
      <c r="L1385" t="s">
        <v>345</v>
      </c>
      <c r="M1385" s="126">
        <v>571.9</v>
      </c>
      <c r="N1385" s="124">
        <v>2859.5</v>
      </c>
      <c r="O1385" t="s">
        <v>340</v>
      </c>
      <c r="P1385" t="s">
        <v>294</v>
      </c>
    </row>
    <row r="1386" spans="1:16" ht="15" customHeight="1" x14ac:dyDescent="0.25">
      <c r="A1386" s="123">
        <v>45780</v>
      </c>
      <c r="B1386" t="s">
        <v>390</v>
      </c>
      <c r="C1386" t="s">
        <v>391</v>
      </c>
      <c r="D1386" t="s">
        <v>221</v>
      </c>
      <c r="E1386" t="s">
        <v>349</v>
      </c>
      <c r="F1386" t="s">
        <v>177</v>
      </c>
      <c r="G1386" t="s">
        <v>1795</v>
      </c>
      <c r="H1386" s="77">
        <v>77</v>
      </c>
      <c r="I1386" s="124">
        <v>180.48</v>
      </c>
      <c r="J1386" s="124">
        <v>13897.3</v>
      </c>
      <c r="K1386" s="77">
        <v>60</v>
      </c>
      <c r="L1386" t="s">
        <v>339</v>
      </c>
      <c r="M1386" s="126">
        <v>2779.46</v>
      </c>
      <c r="N1386" s="124">
        <v>13897.3</v>
      </c>
      <c r="O1386" t="s">
        <v>340</v>
      </c>
      <c r="P1386" t="s">
        <v>294</v>
      </c>
    </row>
    <row r="1387" spans="1:16" ht="15" customHeight="1" x14ac:dyDescent="0.25">
      <c r="A1387" s="123">
        <v>45795</v>
      </c>
      <c r="B1387" t="s">
        <v>401</v>
      </c>
      <c r="C1387" t="s">
        <v>402</v>
      </c>
      <c r="D1387" t="s">
        <v>221</v>
      </c>
      <c r="E1387" t="s">
        <v>235</v>
      </c>
      <c r="F1387" t="s">
        <v>183</v>
      </c>
      <c r="G1387" t="s">
        <v>1796</v>
      </c>
      <c r="H1387" s="77">
        <v>8</v>
      </c>
      <c r="I1387" s="124">
        <v>353.68</v>
      </c>
      <c r="J1387" s="124">
        <v>2829.44</v>
      </c>
      <c r="K1387" s="77">
        <v>45</v>
      </c>
      <c r="L1387" t="s">
        <v>345</v>
      </c>
      <c r="M1387" s="126">
        <v>565.88800000000003</v>
      </c>
      <c r="N1387" s="124">
        <v>2829.44</v>
      </c>
      <c r="O1387" t="s">
        <v>346</v>
      </c>
      <c r="P1387" t="s">
        <v>294</v>
      </c>
    </row>
    <row r="1388" spans="1:16" ht="15" customHeight="1" x14ac:dyDescent="0.25">
      <c r="A1388" s="123">
        <v>45905</v>
      </c>
      <c r="B1388" t="s">
        <v>347</v>
      </c>
      <c r="C1388" t="s">
        <v>348</v>
      </c>
      <c r="D1388" t="s">
        <v>223</v>
      </c>
      <c r="E1388" t="s">
        <v>235</v>
      </c>
      <c r="F1388" t="s">
        <v>183</v>
      </c>
      <c r="G1388" t="s">
        <v>1797</v>
      </c>
      <c r="H1388" s="77">
        <v>4</v>
      </c>
      <c r="I1388" s="124">
        <v>613.84</v>
      </c>
      <c r="J1388" s="124">
        <v>2455.37</v>
      </c>
      <c r="K1388" s="77">
        <v>45</v>
      </c>
      <c r="L1388" t="s">
        <v>351</v>
      </c>
      <c r="M1388" s="126">
        <v>491.07400000000001</v>
      </c>
      <c r="N1388" s="124">
        <v>2455.37</v>
      </c>
      <c r="O1388" t="s">
        <v>346</v>
      </c>
      <c r="P1388" t="s">
        <v>294</v>
      </c>
    </row>
    <row r="1389" spans="1:16" ht="15" customHeight="1" x14ac:dyDescent="0.25">
      <c r="A1389" s="123">
        <v>45941</v>
      </c>
      <c r="B1389" t="s">
        <v>431</v>
      </c>
      <c r="C1389" t="s">
        <v>432</v>
      </c>
      <c r="D1389" t="s">
        <v>221</v>
      </c>
      <c r="E1389" t="s">
        <v>496</v>
      </c>
      <c r="F1389" t="s">
        <v>177</v>
      </c>
      <c r="G1389" t="s">
        <v>1798</v>
      </c>
      <c r="H1389" s="77">
        <v>76</v>
      </c>
      <c r="I1389" s="124">
        <v>283.25</v>
      </c>
      <c r="J1389" s="124">
        <v>21526.85</v>
      </c>
      <c r="K1389" s="77">
        <v>60</v>
      </c>
      <c r="L1389" t="s">
        <v>339</v>
      </c>
      <c r="M1389" s="126">
        <v>4305.37</v>
      </c>
      <c r="N1389" s="124">
        <v>21526.85</v>
      </c>
      <c r="O1389" t="s">
        <v>346</v>
      </c>
      <c r="P1389" t="s">
        <v>294</v>
      </c>
    </row>
    <row r="1390" spans="1:16" ht="15" customHeight="1" x14ac:dyDescent="0.25">
      <c r="A1390" s="123">
        <v>45948</v>
      </c>
      <c r="B1390" t="s">
        <v>370</v>
      </c>
      <c r="C1390" t="s">
        <v>371</v>
      </c>
      <c r="D1390" t="s">
        <v>227</v>
      </c>
      <c r="E1390" t="s">
        <v>381</v>
      </c>
      <c r="F1390" t="s">
        <v>179</v>
      </c>
      <c r="G1390" t="s">
        <v>1799</v>
      </c>
      <c r="H1390" s="77">
        <v>53</v>
      </c>
      <c r="I1390" s="124">
        <v>183.2</v>
      </c>
      <c r="J1390" s="124">
        <v>9709.41</v>
      </c>
      <c r="K1390" s="77">
        <v>45</v>
      </c>
      <c r="L1390" t="s">
        <v>339</v>
      </c>
      <c r="M1390" s="126">
        <v>1941.8820000000001</v>
      </c>
      <c r="N1390" s="124">
        <v>9709.41</v>
      </c>
      <c r="O1390" t="s">
        <v>346</v>
      </c>
      <c r="P1390" t="s">
        <v>294</v>
      </c>
    </row>
    <row r="1391" spans="1:16" ht="15" customHeight="1" x14ac:dyDescent="0.25">
      <c r="A1391" s="123">
        <v>45849</v>
      </c>
      <c r="B1391" t="s">
        <v>373</v>
      </c>
      <c r="C1391" t="s">
        <v>374</v>
      </c>
      <c r="D1391" t="s">
        <v>225</v>
      </c>
      <c r="E1391" t="s">
        <v>423</v>
      </c>
      <c r="F1391" t="s">
        <v>180</v>
      </c>
      <c r="G1391" t="s">
        <v>1800</v>
      </c>
      <c r="H1391" s="77">
        <v>70</v>
      </c>
      <c r="I1391" s="124">
        <v>165.19</v>
      </c>
      <c r="J1391" s="124">
        <v>11563.12</v>
      </c>
      <c r="K1391" s="77">
        <v>30</v>
      </c>
      <c r="L1391" t="s">
        <v>339</v>
      </c>
      <c r="M1391" s="126">
        <v>2312.6239999999998</v>
      </c>
      <c r="N1391" s="124">
        <v>11563.12</v>
      </c>
      <c r="O1391" t="s">
        <v>346</v>
      </c>
      <c r="P1391" t="s">
        <v>294</v>
      </c>
    </row>
    <row r="1392" spans="1:16" ht="15" customHeight="1" x14ac:dyDescent="0.25">
      <c r="A1392" s="123">
        <v>45889</v>
      </c>
      <c r="B1392" t="s">
        <v>488</v>
      </c>
      <c r="C1392" t="s">
        <v>489</v>
      </c>
      <c r="D1392" t="s">
        <v>225</v>
      </c>
      <c r="E1392" t="s">
        <v>236</v>
      </c>
      <c r="F1392" t="s">
        <v>183</v>
      </c>
      <c r="G1392" t="s">
        <v>1801</v>
      </c>
      <c r="H1392" s="77">
        <v>6</v>
      </c>
      <c r="I1392" s="124">
        <v>386.36</v>
      </c>
      <c r="J1392" s="124">
        <v>2318.15</v>
      </c>
      <c r="K1392" s="77">
        <v>30</v>
      </c>
      <c r="L1392" t="s">
        <v>345</v>
      </c>
      <c r="M1392" s="126">
        <v>463.63</v>
      </c>
      <c r="N1392" s="124">
        <v>2318.15</v>
      </c>
      <c r="O1392" t="s">
        <v>346</v>
      </c>
      <c r="P1392" t="s">
        <v>294</v>
      </c>
    </row>
    <row r="1393" spans="1:16" ht="15" customHeight="1" x14ac:dyDescent="0.25">
      <c r="A1393" s="123">
        <v>45743</v>
      </c>
      <c r="B1393" t="s">
        <v>386</v>
      </c>
      <c r="C1393" t="s">
        <v>387</v>
      </c>
      <c r="D1393" t="s">
        <v>223</v>
      </c>
      <c r="E1393" t="s">
        <v>403</v>
      </c>
      <c r="F1393" t="s">
        <v>181</v>
      </c>
      <c r="G1393" t="s">
        <v>1802</v>
      </c>
      <c r="H1393" s="77">
        <v>1</v>
      </c>
      <c r="I1393" s="124">
        <v>151.55000000000001</v>
      </c>
      <c r="J1393" s="124">
        <v>151.55000000000001</v>
      </c>
      <c r="K1393" s="77">
        <v>30</v>
      </c>
      <c r="L1393" t="s">
        <v>345</v>
      </c>
      <c r="M1393" s="126">
        <v>30.31</v>
      </c>
      <c r="N1393" s="124">
        <v>151.55000000000001</v>
      </c>
      <c r="O1393" t="s">
        <v>346</v>
      </c>
      <c r="P1393" t="s">
        <v>294</v>
      </c>
    </row>
    <row r="1394" spans="1:16" ht="15" customHeight="1" x14ac:dyDescent="0.25">
      <c r="A1394" s="123">
        <v>45852</v>
      </c>
      <c r="B1394" t="s">
        <v>398</v>
      </c>
      <c r="C1394" t="s">
        <v>399</v>
      </c>
      <c r="D1394" t="s">
        <v>227</v>
      </c>
      <c r="E1394" t="s">
        <v>403</v>
      </c>
      <c r="F1394" t="s">
        <v>181</v>
      </c>
      <c r="G1394" t="s">
        <v>1803</v>
      </c>
      <c r="H1394" s="77">
        <v>45</v>
      </c>
      <c r="I1394" s="124">
        <v>665.8</v>
      </c>
      <c r="J1394" s="124">
        <v>29961.040000000001</v>
      </c>
      <c r="K1394" s="77">
        <v>60</v>
      </c>
      <c r="L1394" t="s">
        <v>339</v>
      </c>
      <c r="M1394" s="126">
        <v>5992.2079999999996</v>
      </c>
      <c r="N1394" s="124">
        <v>29961.040000000001</v>
      </c>
      <c r="O1394" t="s">
        <v>346</v>
      </c>
      <c r="P1394" t="s">
        <v>294</v>
      </c>
    </row>
    <row r="1395" spans="1:16" ht="15" customHeight="1" x14ac:dyDescent="0.25">
      <c r="A1395" s="123">
        <v>45740</v>
      </c>
      <c r="B1395" t="s">
        <v>409</v>
      </c>
      <c r="C1395" t="s">
        <v>410</v>
      </c>
      <c r="D1395" t="s">
        <v>223</v>
      </c>
      <c r="E1395" t="s">
        <v>356</v>
      </c>
      <c r="F1395" t="s">
        <v>181</v>
      </c>
      <c r="G1395" t="s">
        <v>1804</v>
      </c>
      <c r="H1395" s="77">
        <v>69</v>
      </c>
      <c r="I1395" s="124">
        <v>237.16</v>
      </c>
      <c r="J1395" s="124">
        <v>16363.83</v>
      </c>
      <c r="K1395" s="77">
        <v>60</v>
      </c>
      <c r="L1395" t="s">
        <v>339</v>
      </c>
      <c r="M1395" s="126">
        <v>3272.7660000000001</v>
      </c>
      <c r="N1395" s="124">
        <v>16363.83</v>
      </c>
      <c r="O1395" t="s">
        <v>340</v>
      </c>
      <c r="P1395" t="s">
        <v>294</v>
      </c>
    </row>
    <row r="1396" spans="1:16" ht="15" customHeight="1" x14ac:dyDescent="0.25">
      <c r="A1396" s="123">
        <v>46015</v>
      </c>
      <c r="B1396" t="s">
        <v>390</v>
      </c>
      <c r="C1396" t="s">
        <v>391</v>
      </c>
      <c r="D1396" t="s">
        <v>221</v>
      </c>
      <c r="E1396" t="s">
        <v>368</v>
      </c>
      <c r="F1396" t="s">
        <v>178</v>
      </c>
      <c r="G1396" t="s">
        <v>1805</v>
      </c>
      <c r="H1396" s="77">
        <v>16</v>
      </c>
      <c r="I1396" s="124">
        <v>53.17</v>
      </c>
      <c r="J1396" s="124">
        <v>850.69</v>
      </c>
      <c r="K1396" s="77">
        <v>30</v>
      </c>
      <c r="L1396" t="s">
        <v>351</v>
      </c>
      <c r="M1396" s="126">
        <v>170.13800000000001</v>
      </c>
      <c r="N1396" s="124">
        <v>850.69</v>
      </c>
      <c r="O1396" t="s">
        <v>346</v>
      </c>
      <c r="P1396" t="s">
        <v>294</v>
      </c>
    </row>
    <row r="1397" spans="1:16" ht="15" customHeight="1" x14ac:dyDescent="0.25">
      <c r="A1397" s="123">
        <v>45765</v>
      </c>
      <c r="B1397" t="s">
        <v>370</v>
      </c>
      <c r="C1397" t="s">
        <v>371</v>
      </c>
      <c r="D1397" t="s">
        <v>227</v>
      </c>
      <c r="E1397" t="s">
        <v>437</v>
      </c>
      <c r="F1397" t="s">
        <v>181</v>
      </c>
      <c r="G1397" t="s">
        <v>1806</v>
      </c>
      <c r="H1397" s="77">
        <v>79</v>
      </c>
      <c r="I1397" s="124">
        <v>243.52</v>
      </c>
      <c r="J1397" s="124">
        <v>19238.13</v>
      </c>
      <c r="K1397" s="77">
        <v>60</v>
      </c>
      <c r="L1397" t="s">
        <v>345</v>
      </c>
      <c r="M1397" s="126">
        <v>3847.6260000000002</v>
      </c>
      <c r="N1397" s="124">
        <v>19238.13</v>
      </c>
      <c r="O1397" t="s">
        <v>346</v>
      </c>
      <c r="P1397" t="s">
        <v>294</v>
      </c>
    </row>
    <row r="1398" spans="1:16" ht="15" customHeight="1" x14ac:dyDescent="0.25">
      <c r="A1398" s="123">
        <v>45791</v>
      </c>
      <c r="B1398" t="s">
        <v>354</v>
      </c>
      <c r="C1398" t="s">
        <v>355</v>
      </c>
      <c r="D1398" t="s">
        <v>227</v>
      </c>
      <c r="E1398" t="s">
        <v>364</v>
      </c>
      <c r="F1398" t="s">
        <v>182</v>
      </c>
      <c r="G1398" t="s">
        <v>1807</v>
      </c>
      <c r="H1398" s="77">
        <v>58</v>
      </c>
      <c r="I1398" s="124">
        <v>45.28</v>
      </c>
      <c r="J1398" s="124">
        <v>2626.48</v>
      </c>
      <c r="K1398" s="77">
        <v>45</v>
      </c>
      <c r="L1398" t="s">
        <v>339</v>
      </c>
      <c r="M1398" s="126">
        <v>525.29600000000005</v>
      </c>
      <c r="N1398" s="124">
        <v>2626.48</v>
      </c>
      <c r="O1398" t="s">
        <v>346</v>
      </c>
      <c r="P1398" t="s">
        <v>294</v>
      </c>
    </row>
    <row r="1399" spans="1:16" ht="15" customHeight="1" x14ac:dyDescent="0.25">
      <c r="A1399" s="123">
        <v>45765</v>
      </c>
      <c r="B1399" t="s">
        <v>378</v>
      </c>
      <c r="C1399" t="s">
        <v>379</v>
      </c>
      <c r="D1399" t="s">
        <v>227</v>
      </c>
      <c r="E1399" t="s">
        <v>420</v>
      </c>
      <c r="F1399" t="s">
        <v>182</v>
      </c>
      <c r="G1399" t="s">
        <v>1808</v>
      </c>
      <c r="H1399" s="77">
        <v>59</v>
      </c>
      <c r="I1399" s="124">
        <v>55.67</v>
      </c>
      <c r="J1399" s="124">
        <v>3284.69</v>
      </c>
      <c r="K1399" s="77">
        <v>60</v>
      </c>
      <c r="L1399" t="s">
        <v>345</v>
      </c>
      <c r="M1399" s="126">
        <v>656.93799999999999</v>
      </c>
      <c r="N1399" s="124">
        <v>3284.69</v>
      </c>
      <c r="O1399" t="s">
        <v>346</v>
      </c>
      <c r="P1399" t="s">
        <v>294</v>
      </c>
    </row>
    <row r="1400" spans="1:16" ht="15" customHeight="1" x14ac:dyDescent="0.25">
      <c r="A1400" s="123">
        <v>45659</v>
      </c>
      <c r="B1400" t="s">
        <v>341</v>
      </c>
      <c r="C1400" t="s">
        <v>342</v>
      </c>
      <c r="D1400" t="s">
        <v>223</v>
      </c>
      <c r="E1400" t="s">
        <v>412</v>
      </c>
      <c r="F1400" t="s">
        <v>179</v>
      </c>
      <c r="G1400" t="s">
        <v>1809</v>
      </c>
      <c r="H1400" s="77">
        <v>78</v>
      </c>
      <c r="I1400" s="124">
        <v>348.34</v>
      </c>
      <c r="J1400" s="124">
        <v>27170.67</v>
      </c>
      <c r="K1400" s="77">
        <v>45</v>
      </c>
      <c r="L1400" t="s">
        <v>339</v>
      </c>
      <c r="M1400" s="126">
        <v>5434.134</v>
      </c>
      <c r="N1400" s="124">
        <v>27170.67</v>
      </c>
      <c r="O1400" t="s">
        <v>346</v>
      </c>
      <c r="P1400" t="s">
        <v>294</v>
      </c>
    </row>
    <row r="1401" spans="1:16" ht="15" customHeight="1" x14ac:dyDescent="0.25">
      <c r="A1401" s="123">
        <v>45942</v>
      </c>
      <c r="B1401" t="s">
        <v>362</v>
      </c>
      <c r="C1401" t="s">
        <v>363</v>
      </c>
      <c r="D1401" t="s">
        <v>221</v>
      </c>
      <c r="E1401" t="s">
        <v>381</v>
      </c>
      <c r="F1401" t="s">
        <v>179</v>
      </c>
      <c r="G1401" t="s">
        <v>1810</v>
      </c>
      <c r="H1401" s="77">
        <v>63</v>
      </c>
      <c r="I1401" s="124">
        <v>125.42</v>
      </c>
      <c r="J1401" s="124">
        <v>7901.44</v>
      </c>
      <c r="K1401" s="77">
        <v>45</v>
      </c>
      <c r="L1401" t="s">
        <v>351</v>
      </c>
      <c r="M1401" s="126">
        <v>1580.288</v>
      </c>
      <c r="N1401" s="124">
        <v>7901.44</v>
      </c>
      <c r="O1401" t="s">
        <v>346</v>
      </c>
      <c r="P1401" t="s">
        <v>294</v>
      </c>
    </row>
    <row r="1402" spans="1:16" ht="15" customHeight="1" x14ac:dyDescent="0.25">
      <c r="A1402" s="123">
        <v>45673</v>
      </c>
      <c r="B1402" t="s">
        <v>390</v>
      </c>
      <c r="C1402" t="s">
        <v>391</v>
      </c>
      <c r="D1402" t="s">
        <v>221</v>
      </c>
      <c r="E1402" t="s">
        <v>343</v>
      </c>
      <c r="F1402" t="s">
        <v>178</v>
      </c>
      <c r="G1402" t="s">
        <v>1811</v>
      </c>
      <c r="H1402" s="77">
        <v>57</v>
      </c>
      <c r="I1402" s="124">
        <v>36.549999999999997</v>
      </c>
      <c r="J1402" s="124">
        <v>2083.15</v>
      </c>
      <c r="K1402" s="77">
        <v>60</v>
      </c>
      <c r="L1402" t="s">
        <v>339</v>
      </c>
      <c r="M1402" s="126">
        <v>416.63</v>
      </c>
      <c r="N1402" s="124">
        <v>2083.15</v>
      </c>
      <c r="O1402" t="s">
        <v>346</v>
      </c>
      <c r="P1402" t="s">
        <v>294</v>
      </c>
    </row>
    <row r="1403" spans="1:16" ht="15" customHeight="1" x14ac:dyDescent="0.25">
      <c r="A1403" s="123">
        <v>45841</v>
      </c>
      <c r="B1403" t="s">
        <v>366</v>
      </c>
      <c r="C1403" t="s">
        <v>367</v>
      </c>
      <c r="D1403" t="s">
        <v>221</v>
      </c>
      <c r="E1403" t="s">
        <v>236</v>
      </c>
      <c r="F1403" t="s">
        <v>183</v>
      </c>
      <c r="G1403" t="s">
        <v>1812</v>
      </c>
      <c r="H1403" s="77">
        <v>50</v>
      </c>
      <c r="I1403" s="124">
        <v>403</v>
      </c>
      <c r="J1403" s="124">
        <v>20150.099999999999</v>
      </c>
      <c r="K1403" s="77">
        <v>30</v>
      </c>
      <c r="L1403" t="s">
        <v>351</v>
      </c>
      <c r="M1403" s="126">
        <v>4030.02</v>
      </c>
      <c r="N1403" s="124">
        <v>20150.099999999999</v>
      </c>
      <c r="O1403" t="s">
        <v>346</v>
      </c>
      <c r="P1403" t="s">
        <v>294</v>
      </c>
    </row>
    <row r="1404" spans="1:16" ht="15" customHeight="1" x14ac:dyDescent="0.25">
      <c r="A1404" s="123">
        <v>45847</v>
      </c>
      <c r="B1404" t="s">
        <v>390</v>
      </c>
      <c r="C1404" t="s">
        <v>391</v>
      </c>
      <c r="D1404" t="s">
        <v>221</v>
      </c>
      <c r="E1404" t="s">
        <v>368</v>
      </c>
      <c r="F1404" t="s">
        <v>178</v>
      </c>
      <c r="G1404" t="s">
        <v>1813</v>
      </c>
      <c r="H1404" s="77">
        <v>25</v>
      </c>
      <c r="I1404" s="124">
        <v>124.78</v>
      </c>
      <c r="J1404" s="124">
        <v>3119.41</v>
      </c>
      <c r="K1404" s="77">
        <v>45</v>
      </c>
      <c r="L1404" t="s">
        <v>339</v>
      </c>
      <c r="M1404" s="126">
        <v>623.88199999999995</v>
      </c>
      <c r="N1404" s="124">
        <v>3119.41</v>
      </c>
      <c r="O1404" t="s">
        <v>346</v>
      </c>
      <c r="P1404" t="s">
        <v>294</v>
      </c>
    </row>
    <row r="1405" spans="1:16" ht="15" customHeight="1" x14ac:dyDescent="0.25">
      <c r="A1405" s="123">
        <v>46006</v>
      </c>
      <c r="B1405" t="s">
        <v>390</v>
      </c>
      <c r="C1405" t="s">
        <v>391</v>
      </c>
      <c r="D1405" t="s">
        <v>221</v>
      </c>
      <c r="E1405" t="s">
        <v>496</v>
      </c>
      <c r="F1405" t="s">
        <v>177</v>
      </c>
      <c r="G1405" t="s">
        <v>1814</v>
      </c>
      <c r="H1405" s="77">
        <v>46</v>
      </c>
      <c r="I1405" s="124">
        <v>178.2</v>
      </c>
      <c r="J1405" s="124">
        <v>8197.2800000000007</v>
      </c>
      <c r="K1405" s="77">
        <v>30</v>
      </c>
      <c r="L1405" t="s">
        <v>339</v>
      </c>
      <c r="M1405" s="126">
        <v>1639.4559999999999</v>
      </c>
      <c r="N1405" s="124">
        <v>8197.2800000000007</v>
      </c>
      <c r="O1405" t="s">
        <v>346</v>
      </c>
      <c r="P1405" t="s">
        <v>294</v>
      </c>
    </row>
    <row r="1406" spans="1:16" ht="15" customHeight="1" x14ac:dyDescent="0.25">
      <c r="A1406" s="123">
        <v>45771</v>
      </c>
      <c r="B1406" t="s">
        <v>373</v>
      </c>
      <c r="C1406" t="s">
        <v>374</v>
      </c>
      <c r="D1406" t="s">
        <v>225</v>
      </c>
      <c r="E1406" t="s">
        <v>403</v>
      </c>
      <c r="F1406" t="s">
        <v>181</v>
      </c>
      <c r="G1406" t="s">
        <v>1815</v>
      </c>
      <c r="H1406" s="77">
        <v>30</v>
      </c>
      <c r="I1406" s="124">
        <v>380.49</v>
      </c>
      <c r="J1406" s="124">
        <v>11414.63</v>
      </c>
      <c r="K1406" s="77">
        <v>45</v>
      </c>
      <c r="L1406" t="s">
        <v>345</v>
      </c>
      <c r="M1406" s="126">
        <v>2282.9259999999999</v>
      </c>
      <c r="N1406" s="124">
        <v>11414.63</v>
      </c>
      <c r="O1406" t="s">
        <v>346</v>
      </c>
      <c r="P1406" t="s">
        <v>294</v>
      </c>
    </row>
    <row r="1407" spans="1:16" ht="15" customHeight="1" x14ac:dyDescent="0.25">
      <c r="A1407" s="123">
        <v>46018</v>
      </c>
      <c r="B1407" t="s">
        <v>370</v>
      </c>
      <c r="C1407" t="s">
        <v>371</v>
      </c>
      <c r="D1407" t="s">
        <v>227</v>
      </c>
      <c r="E1407" t="s">
        <v>437</v>
      </c>
      <c r="F1407" t="s">
        <v>181</v>
      </c>
      <c r="G1407" t="s">
        <v>1816</v>
      </c>
      <c r="H1407" s="77">
        <v>78</v>
      </c>
      <c r="I1407" s="124">
        <v>145.1</v>
      </c>
      <c r="J1407" s="124">
        <v>11317.43</v>
      </c>
      <c r="K1407" s="77">
        <v>30</v>
      </c>
      <c r="L1407" t="s">
        <v>339</v>
      </c>
      <c r="M1407" s="126">
        <v>2263.4859999999999</v>
      </c>
      <c r="N1407" s="124">
        <v>11317.43</v>
      </c>
      <c r="O1407" t="s">
        <v>346</v>
      </c>
      <c r="P1407" t="s">
        <v>294</v>
      </c>
    </row>
    <row r="1408" spans="1:16" ht="15" customHeight="1" x14ac:dyDescent="0.25">
      <c r="A1408" s="123">
        <v>45800</v>
      </c>
      <c r="B1408" t="s">
        <v>362</v>
      </c>
      <c r="C1408" t="s">
        <v>363</v>
      </c>
      <c r="D1408" t="s">
        <v>221</v>
      </c>
      <c r="E1408" t="s">
        <v>235</v>
      </c>
      <c r="F1408" t="s">
        <v>183</v>
      </c>
      <c r="G1408" t="s">
        <v>1817</v>
      </c>
      <c r="H1408" s="77">
        <v>73</v>
      </c>
      <c r="I1408" s="124">
        <v>137.25</v>
      </c>
      <c r="J1408" s="124">
        <v>10019.07</v>
      </c>
      <c r="K1408" s="77">
        <v>60</v>
      </c>
      <c r="L1408" t="s">
        <v>345</v>
      </c>
      <c r="M1408" s="126">
        <v>2003.8140000000001</v>
      </c>
      <c r="N1408" s="124">
        <v>10019.07</v>
      </c>
      <c r="O1408" t="s">
        <v>346</v>
      </c>
      <c r="P1408" t="s">
        <v>294</v>
      </c>
    </row>
    <row r="1409" spans="1:16" ht="15" customHeight="1" x14ac:dyDescent="0.25">
      <c r="A1409" s="123">
        <v>45947</v>
      </c>
      <c r="B1409" t="s">
        <v>366</v>
      </c>
      <c r="C1409" t="s">
        <v>367</v>
      </c>
      <c r="D1409" t="s">
        <v>221</v>
      </c>
      <c r="E1409" t="s">
        <v>352</v>
      </c>
      <c r="F1409" t="s">
        <v>180</v>
      </c>
      <c r="G1409" t="s">
        <v>1818</v>
      </c>
      <c r="H1409" s="77">
        <v>78</v>
      </c>
      <c r="I1409" s="124">
        <v>570.89</v>
      </c>
      <c r="J1409" s="124">
        <v>44529.33</v>
      </c>
      <c r="K1409" s="77">
        <v>60</v>
      </c>
      <c r="L1409" t="s">
        <v>339</v>
      </c>
      <c r="M1409" s="126">
        <v>8905.866</v>
      </c>
      <c r="N1409" s="124">
        <v>44529.33</v>
      </c>
      <c r="O1409" t="s">
        <v>346</v>
      </c>
      <c r="P1409" t="s">
        <v>294</v>
      </c>
    </row>
    <row r="1410" spans="1:16" ht="15" customHeight="1" x14ac:dyDescent="0.25">
      <c r="A1410" s="123">
        <v>45691</v>
      </c>
      <c r="B1410" t="s">
        <v>362</v>
      </c>
      <c r="C1410" t="s">
        <v>363</v>
      </c>
      <c r="D1410" t="s">
        <v>221</v>
      </c>
      <c r="E1410" t="s">
        <v>412</v>
      </c>
      <c r="F1410" t="s">
        <v>179</v>
      </c>
      <c r="G1410" t="s">
        <v>1819</v>
      </c>
      <c r="H1410" s="77">
        <v>17</v>
      </c>
      <c r="I1410" s="124">
        <v>150.72999999999999</v>
      </c>
      <c r="J1410" s="124">
        <v>2562.39</v>
      </c>
      <c r="K1410" s="77">
        <v>45</v>
      </c>
      <c r="L1410" t="s">
        <v>351</v>
      </c>
      <c r="M1410" s="126">
        <v>512.47799999999995</v>
      </c>
      <c r="N1410" s="124">
        <v>2562.39</v>
      </c>
      <c r="O1410" t="s">
        <v>346</v>
      </c>
      <c r="P1410" t="s">
        <v>294</v>
      </c>
    </row>
    <row r="1411" spans="1:16" ht="15" customHeight="1" x14ac:dyDescent="0.25">
      <c r="A1411" s="123">
        <v>46005</v>
      </c>
      <c r="B1411" t="s">
        <v>370</v>
      </c>
      <c r="C1411" t="s">
        <v>371</v>
      </c>
      <c r="D1411" t="s">
        <v>227</v>
      </c>
      <c r="E1411" t="s">
        <v>356</v>
      </c>
      <c r="F1411" t="s">
        <v>181</v>
      </c>
      <c r="G1411" t="s">
        <v>1820</v>
      </c>
      <c r="H1411" s="77">
        <v>3</v>
      </c>
      <c r="I1411" s="124">
        <v>191.65</v>
      </c>
      <c r="J1411" s="124">
        <v>574.95000000000005</v>
      </c>
      <c r="K1411" s="77">
        <v>60</v>
      </c>
      <c r="L1411" t="s">
        <v>351</v>
      </c>
      <c r="M1411" s="126">
        <v>114.99</v>
      </c>
      <c r="N1411" s="124">
        <v>574.95000000000005</v>
      </c>
      <c r="O1411" t="s">
        <v>340</v>
      </c>
      <c r="P1411" t="s">
        <v>294</v>
      </c>
    </row>
    <row r="1412" spans="1:16" ht="15" customHeight="1" x14ac:dyDescent="0.25">
      <c r="A1412" s="123">
        <v>45944</v>
      </c>
      <c r="B1412" t="s">
        <v>393</v>
      </c>
      <c r="C1412" t="s">
        <v>394</v>
      </c>
      <c r="D1412" t="s">
        <v>227</v>
      </c>
      <c r="E1412" t="s">
        <v>403</v>
      </c>
      <c r="F1412" t="s">
        <v>181</v>
      </c>
      <c r="G1412" t="s">
        <v>1821</v>
      </c>
      <c r="H1412" s="77">
        <v>59</v>
      </c>
      <c r="I1412" s="124">
        <v>456.75</v>
      </c>
      <c r="J1412" s="124">
        <v>26948.2</v>
      </c>
      <c r="K1412" s="77">
        <v>30</v>
      </c>
      <c r="L1412" t="s">
        <v>345</v>
      </c>
      <c r="M1412" s="126">
        <v>5389.64</v>
      </c>
      <c r="N1412" s="124">
        <v>26948.2</v>
      </c>
      <c r="O1412" t="s">
        <v>346</v>
      </c>
      <c r="P1412" t="s">
        <v>294</v>
      </c>
    </row>
    <row r="1413" spans="1:16" ht="15" customHeight="1" x14ac:dyDescent="0.25">
      <c r="A1413" s="123">
        <v>45879</v>
      </c>
      <c r="B1413" t="s">
        <v>347</v>
      </c>
      <c r="C1413" t="s">
        <v>348</v>
      </c>
      <c r="D1413" t="s">
        <v>223</v>
      </c>
      <c r="E1413" t="s">
        <v>496</v>
      </c>
      <c r="F1413" t="s">
        <v>177</v>
      </c>
      <c r="G1413" t="s">
        <v>1822</v>
      </c>
      <c r="H1413" s="77">
        <v>53</v>
      </c>
      <c r="I1413" s="124">
        <v>162.94999999999999</v>
      </c>
      <c r="J1413" s="124">
        <v>8636.1299999999992</v>
      </c>
      <c r="K1413" s="77">
        <v>45</v>
      </c>
      <c r="L1413" t="s">
        <v>339</v>
      </c>
      <c r="M1413" s="126">
        <v>1727.2260000000001</v>
      </c>
      <c r="N1413" s="124">
        <v>8636.1299999999992</v>
      </c>
      <c r="O1413" t="s">
        <v>346</v>
      </c>
      <c r="P1413" t="s">
        <v>294</v>
      </c>
    </row>
    <row r="1414" spans="1:16" ht="15" customHeight="1" x14ac:dyDescent="0.25">
      <c r="A1414" s="123">
        <v>45843</v>
      </c>
      <c r="B1414" t="s">
        <v>378</v>
      </c>
      <c r="C1414" t="s">
        <v>379</v>
      </c>
      <c r="D1414" t="s">
        <v>227</v>
      </c>
      <c r="E1414" t="s">
        <v>427</v>
      </c>
      <c r="F1414" t="s">
        <v>184</v>
      </c>
      <c r="G1414" t="s">
        <v>1823</v>
      </c>
      <c r="H1414" s="77">
        <v>67</v>
      </c>
      <c r="I1414" s="124">
        <v>96.37</v>
      </c>
      <c r="J1414" s="124">
        <v>6456.99</v>
      </c>
      <c r="K1414" s="77">
        <v>30</v>
      </c>
      <c r="L1414" t="s">
        <v>351</v>
      </c>
      <c r="M1414" s="126">
        <v>1291.3979999999999</v>
      </c>
      <c r="N1414" s="124">
        <v>6456.99</v>
      </c>
      <c r="O1414" t="s">
        <v>346</v>
      </c>
      <c r="P1414" t="s">
        <v>294</v>
      </c>
    </row>
    <row r="1415" spans="1:16" ht="15" customHeight="1" x14ac:dyDescent="0.25">
      <c r="A1415" s="123">
        <v>45873</v>
      </c>
      <c r="B1415" t="s">
        <v>393</v>
      </c>
      <c r="C1415" t="s">
        <v>394</v>
      </c>
      <c r="D1415" t="s">
        <v>227</v>
      </c>
      <c r="E1415" t="s">
        <v>496</v>
      </c>
      <c r="F1415" t="s">
        <v>177</v>
      </c>
      <c r="G1415" t="s">
        <v>1824</v>
      </c>
      <c r="H1415" s="77">
        <v>69</v>
      </c>
      <c r="I1415" s="124">
        <v>394.75</v>
      </c>
      <c r="J1415" s="124">
        <v>27237.49</v>
      </c>
      <c r="K1415" s="77">
        <v>45</v>
      </c>
      <c r="L1415" t="s">
        <v>345</v>
      </c>
      <c r="M1415" s="126">
        <v>5447.4979999999996</v>
      </c>
      <c r="N1415" s="124">
        <v>27237.49</v>
      </c>
      <c r="O1415" t="s">
        <v>346</v>
      </c>
      <c r="P1415" t="s">
        <v>294</v>
      </c>
    </row>
    <row r="1416" spans="1:16" ht="15" customHeight="1" x14ac:dyDescent="0.25">
      <c r="A1416" s="123">
        <v>45829</v>
      </c>
      <c r="B1416" t="s">
        <v>393</v>
      </c>
      <c r="C1416" t="s">
        <v>394</v>
      </c>
      <c r="D1416" t="s">
        <v>227</v>
      </c>
      <c r="E1416" t="s">
        <v>235</v>
      </c>
      <c r="F1416" t="s">
        <v>183</v>
      </c>
      <c r="G1416" t="s">
        <v>1825</v>
      </c>
      <c r="H1416" s="77">
        <v>11</v>
      </c>
      <c r="I1416" s="124">
        <v>210.58</v>
      </c>
      <c r="J1416" s="124">
        <v>2316.34</v>
      </c>
      <c r="K1416" s="77">
        <v>60</v>
      </c>
      <c r="L1416" t="s">
        <v>339</v>
      </c>
      <c r="M1416" s="126">
        <v>463.26799999999997</v>
      </c>
      <c r="N1416" s="124">
        <v>2316.34</v>
      </c>
      <c r="O1416" t="s">
        <v>346</v>
      </c>
      <c r="P1416" t="s">
        <v>294</v>
      </c>
    </row>
    <row r="1417" spans="1:16" ht="15" customHeight="1" x14ac:dyDescent="0.25">
      <c r="A1417" s="123">
        <v>45874</v>
      </c>
      <c r="B1417" t="s">
        <v>362</v>
      </c>
      <c r="C1417" t="s">
        <v>363</v>
      </c>
      <c r="D1417" t="s">
        <v>221</v>
      </c>
      <c r="E1417" t="s">
        <v>352</v>
      </c>
      <c r="F1417" t="s">
        <v>180</v>
      </c>
      <c r="G1417" t="s">
        <v>1826</v>
      </c>
      <c r="H1417" s="77">
        <v>10</v>
      </c>
      <c r="I1417" s="124">
        <v>416.45</v>
      </c>
      <c r="J1417" s="124">
        <v>4164.53</v>
      </c>
      <c r="K1417" s="77">
        <v>30</v>
      </c>
      <c r="L1417" t="s">
        <v>339</v>
      </c>
      <c r="M1417" s="126">
        <v>832.90599999999995</v>
      </c>
      <c r="N1417" s="124">
        <v>4164.53</v>
      </c>
      <c r="O1417" t="s">
        <v>346</v>
      </c>
      <c r="P1417" t="s">
        <v>294</v>
      </c>
    </row>
    <row r="1418" spans="1:16" ht="15" customHeight="1" x14ac:dyDescent="0.25">
      <c r="A1418" s="123">
        <v>45690</v>
      </c>
      <c r="B1418" t="s">
        <v>401</v>
      </c>
      <c r="C1418" t="s">
        <v>402</v>
      </c>
      <c r="D1418" t="s">
        <v>221</v>
      </c>
      <c r="E1418" t="s">
        <v>420</v>
      </c>
      <c r="F1418" t="s">
        <v>182</v>
      </c>
      <c r="G1418" t="s">
        <v>1827</v>
      </c>
      <c r="H1418" s="77">
        <v>13</v>
      </c>
      <c r="I1418" s="124">
        <v>98.03</v>
      </c>
      <c r="J1418" s="124">
        <v>1274.3399999999999</v>
      </c>
      <c r="K1418" s="77">
        <v>30</v>
      </c>
      <c r="L1418" t="s">
        <v>345</v>
      </c>
      <c r="M1418" s="126">
        <v>254.86799999999999</v>
      </c>
      <c r="N1418" s="124">
        <v>1274.3399999999999</v>
      </c>
      <c r="O1418" t="s">
        <v>346</v>
      </c>
      <c r="P1418" t="s">
        <v>294</v>
      </c>
    </row>
    <row r="1419" spans="1:16" ht="15" customHeight="1" x14ac:dyDescent="0.25">
      <c r="A1419" s="123">
        <v>45978</v>
      </c>
      <c r="B1419" t="s">
        <v>373</v>
      </c>
      <c r="C1419" t="s">
        <v>374</v>
      </c>
      <c r="D1419" t="s">
        <v>225</v>
      </c>
      <c r="E1419" t="s">
        <v>440</v>
      </c>
      <c r="F1419" t="s">
        <v>177</v>
      </c>
      <c r="G1419" t="s">
        <v>1828</v>
      </c>
      <c r="H1419" s="77">
        <v>43</v>
      </c>
      <c r="I1419" s="124">
        <v>139.1</v>
      </c>
      <c r="J1419" s="124">
        <v>5981.45</v>
      </c>
      <c r="K1419" s="77">
        <v>45</v>
      </c>
      <c r="L1419" t="s">
        <v>339</v>
      </c>
      <c r="M1419" s="126">
        <v>1196.29</v>
      </c>
      <c r="N1419" s="124">
        <v>5981.45</v>
      </c>
      <c r="O1419" t="s">
        <v>346</v>
      </c>
      <c r="P1419" t="s">
        <v>294</v>
      </c>
    </row>
    <row r="1420" spans="1:16" ht="15" customHeight="1" x14ac:dyDescent="0.25">
      <c r="A1420" s="123">
        <v>45832</v>
      </c>
      <c r="B1420" t="s">
        <v>431</v>
      </c>
      <c r="C1420" t="s">
        <v>432</v>
      </c>
      <c r="D1420" t="s">
        <v>221</v>
      </c>
      <c r="E1420" t="s">
        <v>396</v>
      </c>
      <c r="F1420" t="s">
        <v>184</v>
      </c>
      <c r="G1420" t="s">
        <v>1829</v>
      </c>
      <c r="H1420" s="77">
        <v>7</v>
      </c>
      <c r="I1420" s="124">
        <v>173.84</v>
      </c>
      <c r="J1420" s="124">
        <v>1216.8900000000001</v>
      </c>
      <c r="K1420" s="77">
        <v>45</v>
      </c>
      <c r="L1420" t="s">
        <v>351</v>
      </c>
      <c r="M1420" s="126">
        <v>243.37799999999999</v>
      </c>
      <c r="N1420" s="124">
        <v>1216.8900000000001</v>
      </c>
      <c r="O1420" t="s">
        <v>346</v>
      </c>
      <c r="P1420" t="s">
        <v>294</v>
      </c>
    </row>
    <row r="1421" spans="1:16" ht="15" customHeight="1" x14ac:dyDescent="0.25">
      <c r="A1421" s="123">
        <v>45975</v>
      </c>
      <c r="B1421" t="s">
        <v>378</v>
      </c>
      <c r="C1421" t="s">
        <v>379</v>
      </c>
      <c r="D1421" t="s">
        <v>227</v>
      </c>
      <c r="E1421" t="s">
        <v>343</v>
      </c>
      <c r="F1421" t="s">
        <v>178</v>
      </c>
      <c r="G1421" t="s">
        <v>1830</v>
      </c>
      <c r="H1421" s="77">
        <v>57</v>
      </c>
      <c r="I1421" s="124">
        <v>85.94</v>
      </c>
      <c r="J1421" s="124">
        <v>4898.8100000000004</v>
      </c>
      <c r="K1421" s="77">
        <v>30</v>
      </c>
      <c r="L1421" t="s">
        <v>351</v>
      </c>
      <c r="M1421" s="126">
        <v>979.76199999999994</v>
      </c>
      <c r="N1421" s="124">
        <v>4898.8100000000004</v>
      </c>
      <c r="O1421" t="s">
        <v>346</v>
      </c>
      <c r="P1421" t="s">
        <v>294</v>
      </c>
    </row>
    <row r="1422" spans="1:16" ht="15" customHeight="1" x14ac:dyDescent="0.25">
      <c r="A1422" s="123">
        <v>45689</v>
      </c>
      <c r="B1422" t="s">
        <v>409</v>
      </c>
      <c r="C1422" t="s">
        <v>410</v>
      </c>
      <c r="D1422" t="s">
        <v>223</v>
      </c>
      <c r="E1422" t="s">
        <v>415</v>
      </c>
      <c r="F1422" t="s">
        <v>178</v>
      </c>
      <c r="G1422" t="s">
        <v>1831</v>
      </c>
      <c r="H1422" s="77">
        <v>5</v>
      </c>
      <c r="I1422" s="124">
        <v>87.4</v>
      </c>
      <c r="J1422" s="124">
        <v>436.98</v>
      </c>
      <c r="K1422" s="77">
        <v>45</v>
      </c>
      <c r="L1422" t="s">
        <v>345</v>
      </c>
      <c r="M1422" s="126">
        <v>87.396000000000001</v>
      </c>
      <c r="N1422" s="124">
        <v>436.98</v>
      </c>
      <c r="O1422" t="s">
        <v>340</v>
      </c>
      <c r="P1422" t="s">
        <v>294</v>
      </c>
    </row>
    <row r="1423" spans="1:16" ht="15" customHeight="1" x14ac:dyDescent="0.25">
      <c r="A1423" s="123">
        <v>45689</v>
      </c>
      <c r="B1423" t="s">
        <v>354</v>
      </c>
      <c r="C1423" t="s">
        <v>355</v>
      </c>
      <c r="D1423" t="s">
        <v>227</v>
      </c>
      <c r="E1423" t="s">
        <v>415</v>
      </c>
      <c r="F1423" t="s">
        <v>178</v>
      </c>
      <c r="G1423" t="s">
        <v>1832</v>
      </c>
      <c r="H1423" s="77">
        <v>57</v>
      </c>
      <c r="I1423" s="124">
        <v>117.25</v>
      </c>
      <c r="J1423" s="124">
        <v>6682.97</v>
      </c>
      <c r="K1423" s="77">
        <v>30</v>
      </c>
      <c r="L1423" t="s">
        <v>345</v>
      </c>
      <c r="M1423" s="126">
        <v>1336.5940000000001</v>
      </c>
      <c r="N1423" s="124">
        <v>6682.97</v>
      </c>
      <c r="O1423" t="s">
        <v>340</v>
      </c>
      <c r="P1423" t="s">
        <v>294</v>
      </c>
    </row>
    <row r="1424" spans="1:16" ht="15" customHeight="1" x14ac:dyDescent="0.25">
      <c r="A1424" s="123">
        <v>45710</v>
      </c>
      <c r="B1424" t="s">
        <v>362</v>
      </c>
      <c r="C1424" t="s">
        <v>363</v>
      </c>
      <c r="D1424" t="s">
        <v>221</v>
      </c>
      <c r="E1424" t="s">
        <v>235</v>
      </c>
      <c r="F1424" t="s">
        <v>183</v>
      </c>
      <c r="G1424" t="s">
        <v>1833</v>
      </c>
      <c r="H1424" s="77">
        <v>8</v>
      </c>
      <c r="I1424" s="124">
        <v>245.44</v>
      </c>
      <c r="J1424" s="124">
        <v>1963.53</v>
      </c>
      <c r="K1424" s="77">
        <v>60</v>
      </c>
      <c r="L1424" t="s">
        <v>339</v>
      </c>
      <c r="M1424" s="126">
        <v>392.70600000000002</v>
      </c>
      <c r="N1424" s="124">
        <v>1963.53</v>
      </c>
      <c r="O1424" t="s">
        <v>346</v>
      </c>
      <c r="P1424" t="s">
        <v>294</v>
      </c>
    </row>
    <row r="1425" spans="1:16" ht="15" customHeight="1" x14ac:dyDescent="0.25">
      <c r="A1425" s="123">
        <v>45707</v>
      </c>
      <c r="B1425" t="s">
        <v>354</v>
      </c>
      <c r="C1425" t="s">
        <v>355</v>
      </c>
      <c r="D1425" t="s">
        <v>227</v>
      </c>
      <c r="E1425" t="s">
        <v>234</v>
      </c>
      <c r="F1425" t="s">
        <v>183</v>
      </c>
      <c r="G1425" t="s">
        <v>1834</v>
      </c>
      <c r="H1425" s="77">
        <v>80</v>
      </c>
      <c r="I1425" s="124">
        <v>189.09</v>
      </c>
      <c r="J1425" s="124">
        <v>15127.11</v>
      </c>
      <c r="K1425" s="77">
        <v>45</v>
      </c>
      <c r="L1425" t="s">
        <v>339</v>
      </c>
      <c r="M1425" s="126">
        <v>3025.422</v>
      </c>
      <c r="N1425" s="124">
        <v>15127.11</v>
      </c>
      <c r="O1425" t="s">
        <v>346</v>
      </c>
      <c r="P1425" t="s">
        <v>294</v>
      </c>
    </row>
    <row r="1426" spans="1:16" ht="15" customHeight="1" x14ac:dyDescent="0.25">
      <c r="A1426" s="123">
        <v>45854</v>
      </c>
      <c r="B1426" t="s">
        <v>341</v>
      </c>
      <c r="C1426" t="s">
        <v>342</v>
      </c>
      <c r="D1426" t="s">
        <v>223</v>
      </c>
      <c r="E1426" t="s">
        <v>496</v>
      </c>
      <c r="F1426" t="s">
        <v>177</v>
      </c>
      <c r="G1426" t="s">
        <v>1835</v>
      </c>
      <c r="H1426" s="77">
        <v>60</v>
      </c>
      <c r="I1426" s="124">
        <v>67.55</v>
      </c>
      <c r="J1426" s="124">
        <v>4052.91</v>
      </c>
      <c r="K1426" s="77">
        <v>45</v>
      </c>
      <c r="L1426" t="s">
        <v>351</v>
      </c>
      <c r="M1426" s="126">
        <v>810.58199999999999</v>
      </c>
      <c r="N1426" s="124">
        <v>4052.91</v>
      </c>
      <c r="O1426" t="s">
        <v>346</v>
      </c>
      <c r="P1426" t="s">
        <v>294</v>
      </c>
    </row>
    <row r="1427" spans="1:16" ht="15" customHeight="1" x14ac:dyDescent="0.25">
      <c r="A1427" s="123">
        <v>45991</v>
      </c>
      <c r="B1427" t="s">
        <v>393</v>
      </c>
      <c r="C1427" t="s">
        <v>394</v>
      </c>
      <c r="D1427" t="s">
        <v>227</v>
      </c>
      <c r="E1427" t="s">
        <v>368</v>
      </c>
      <c r="F1427" t="s">
        <v>178</v>
      </c>
      <c r="G1427" t="s">
        <v>1836</v>
      </c>
      <c r="H1427" s="77">
        <v>4</v>
      </c>
      <c r="I1427" s="124">
        <v>22.04</v>
      </c>
      <c r="J1427" s="124">
        <v>88.16</v>
      </c>
      <c r="K1427" s="77">
        <v>45</v>
      </c>
      <c r="L1427" t="s">
        <v>351</v>
      </c>
      <c r="M1427" s="126">
        <v>17.632000000000001</v>
      </c>
      <c r="N1427" s="124">
        <v>88.16</v>
      </c>
      <c r="O1427" t="s">
        <v>346</v>
      </c>
      <c r="P1427" t="s">
        <v>294</v>
      </c>
    </row>
    <row r="1428" spans="1:16" ht="15" customHeight="1" x14ac:dyDescent="0.25">
      <c r="A1428" s="123">
        <v>45710</v>
      </c>
      <c r="B1428" t="s">
        <v>401</v>
      </c>
      <c r="C1428" t="s">
        <v>402</v>
      </c>
      <c r="D1428" t="s">
        <v>221</v>
      </c>
      <c r="E1428" t="s">
        <v>423</v>
      </c>
      <c r="F1428" t="s">
        <v>180</v>
      </c>
      <c r="G1428" t="s">
        <v>1837</v>
      </c>
      <c r="H1428" s="77">
        <v>2</v>
      </c>
      <c r="I1428" s="124">
        <v>774.62</v>
      </c>
      <c r="J1428" s="124">
        <v>1549.24</v>
      </c>
      <c r="K1428" s="77">
        <v>60</v>
      </c>
      <c r="L1428" t="s">
        <v>351</v>
      </c>
      <c r="M1428" s="126">
        <v>309.84800000000001</v>
      </c>
      <c r="N1428" s="124">
        <v>1549.24</v>
      </c>
      <c r="O1428" t="s">
        <v>346</v>
      </c>
      <c r="P1428" t="s">
        <v>294</v>
      </c>
    </row>
    <row r="1429" spans="1:16" ht="15" customHeight="1" x14ac:dyDescent="0.25">
      <c r="A1429" s="123">
        <v>45722</v>
      </c>
      <c r="B1429" t="s">
        <v>406</v>
      </c>
      <c r="C1429" t="s">
        <v>407</v>
      </c>
      <c r="D1429" t="s">
        <v>225</v>
      </c>
      <c r="E1429" t="s">
        <v>352</v>
      </c>
      <c r="F1429" t="s">
        <v>180</v>
      </c>
      <c r="G1429" t="s">
        <v>1838</v>
      </c>
      <c r="H1429" s="77">
        <v>66</v>
      </c>
      <c r="I1429" s="124">
        <v>136.28</v>
      </c>
      <c r="J1429" s="124">
        <v>8994.34</v>
      </c>
      <c r="K1429" s="77">
        <v>45</v>
      </c>
      <c r="L1429" t="s">
        <v>345</v>
      </c>
      <c r="M1429" s="126">
        <v>1798.8679999999999</v>
      </c>
      <c r="N1429" s="124">
        <v>8994.34</v>
      </c>
      <c r="O1429" t="s">
        <v>346</v>
      </c>
      <c r="P1429" t="s">
        <v>294</v>
      </c>
    </row>
    <row r="1430" spans="1:16" ht="15" customHeight="1" x14ac:dyDescent="0.25">
      <c r="A1430" s="123">
        <v>45975</v>
      </c>
      <c r="B1430" t="s">
        <v>409</v>
      </c>
      <c r="C1430" t="s">
        <v>410</v>
      </c>
      <c r="D1430" t="s">
        <v>223</v>
      </c>
      <c r="E1430" t="s">
        <v>417</v>
      </c>
      <c r="F1430" t="s">
        <v>184</v>
      </c>
      <c r="G1430" t="s">
        <v>1839</v>
      </c>
      <c r="H1430" s="77">
        <v>57</v>
      </c>
      <c r="I1430" s="124">
        <v>66.41</v>
      </c>
      <c r="J1430" s="124">
        <v>3785.18</v>
      </c>
      <c r="K1430" s="77">
        <v>30</v>
      </c>
      <c r="L1430" t="s">
        <v>339</v>
      </c>
      <c r="M1430" s="126">
        <v>757.03599999999994</v>
      </c>
      <c r="N1430" s="124">
        <v>3785.18</v>
      </c>
      <c r="O1430" t="s">
        <v>346</v>
      </c>
      <c r="P1430" t="s">
        <v>294</v>
      </c>
    </row>
    <row r="1431" spans="1:16" ht="15" customHeight="1" x14ac:dyDescent="0.25">
      <c r="A1431" s="123">
        <v>45723</v>
      </c>
      <c r="B1431" t="s">
        <v>398</v>
      </c>
      <c r="C1431" t="s">
        <v>399</v>
      </c>
      <c r="D1431" t="s">
        <v>227</v>
      </c>
      <c r="E1431" t="s">
        <v>349</v>
      </c>
      <c r="F1431" t="s">
        <v>177</v>
      </c>
      <c r="G1431" t="s">
        <v>1840</v>
      </c>
      <c r="H1431" s="77">
        <v>40</v>
      </c>
      <c r="I1431" s="124">
        <v>103.05</v>
      </c>
      <c r="J1431" s="124">
        <v>4122.12</v>
      </c>
      <c r="K1431" s="77">
        <v>60</v>
      </c>
      <c r="L1431" t="s">
        <v>345</v>
      </c>
      <c r="M1431" s="126">
        <v>824.42399999999998</v>
      </c>
      <c r="N1431" s="124">
        <v>4122.12</v>
      </c>
      <c r="O1431" t="s">
        <v>340</v>
      </c>
      <c r="P1431" t="s">
        <v>294</v>
      </c>
    </row>
    <row r="1432" spans="1:16" ht="15" customHeight="1" x14ac:dyDescent="0.25">
      <c r="A1432" s="123">
        <v>45956</v>
      </c>
      <c r="B1432" t="s">
        <v>390</v>
      </c>
      <c r="C1432" t="s">
        <v>391</v>
      </c>
      <c r="D1432" t="s">
        <v>221</v>
      </c>
      <c r="E1432" t="s">
        <v>420</v>
      </c>
      <c r="F1432" t="s">
        <v>182</v>
      </c>
      <c r="G1432" t="s">
        <v>1841</v>
      </c>
      <c r="H1432" s="77">
        <v>70</v>
      </c>
      <c r="I1432" s="124">
        <v>112.5</v>
      </c>
      <c r="J1432" s="124">
        <v>7874.98</v>
      </c>
      <c r="K1432" s="77">
        <v>30</v>
      </c>
      <c r="L1432" t="s">
        <v>339</v>
      </c>
      <c r="M1432" s="126">
        <v>1574.9960000000001</v>
      </c>
      <c r="N1432" s="124">
        <v>7874.98</v>
      </c>
      <c r="O1432" t="s">
        <v>346</v>
      </c>
      <c r="P1432" t="s">
        <v>294</v>
      </c>
    </row>
    <row r="1433" spans="1:16" ht="15" customHeight="1" x14ac:dyDescent="0.25">
      <c r="A1433" s="123">
        <v>45833</v>
      </c>
      <c r="B1433" t="s">
        <v>386</v>
      </c>
      <c r="C1433" t="s">
        <v>387</v>
      </c>
      <c r="D1433" t="s">
        <v>223</v>
      </c>
      <c r="E1433" t="s">
        <v>403</v>
      </c>
      <c r="F1433" t="s">
        <v>181</v>
      </c>
      <c r="G1433" t="s">
        <v>1842</v>
      </c>
      <c r="H1433" s="77">
        <v>38</v>
      </c>
      <c r="I1433" s="124">
        <v>344.57</v>
      </c>
      <c r="J1433" s="124">
        <v>13093.47</v>
      </c>
      <c r="K1433" s="77">
        <v>45</v>
      </c>
      <c r="L1433" t="s">
        <v>339</v>
      </c>
      <c r="M1433" s="126">
        <v>2618.694</v>
      </c>
      <c r="N1433" s="124">
        <v>13093.47</v>
      </c>
      <c r="O1433" t="s">
        <v>346</v>
      </c>
      <c r="P1433" t="s">
        <v>294</v>
      </c>
    </row>
    <row r="1434" spans="1:16" ht="15" customHeight="1" x14ac:dyDescent="0.25">
      <c r="A1434" s="123">
        <v>45779</v>
      </c>
      <c r="B1434" t="s">
        <v>354</v>
      </c>
      <c r="C1434" t="s">
        <v>355</v>
      </c>
      <c r="D1434" t="s">
        <v>227</v>
      </c>
      <c r="E1434" t="s">
        <v>442</v>
      </c>
      <c r="F1434" t="s">
        <v>179</v>
      </c>
      <c r="G1434" t="s">
        <v>1843</v>
      </c>
      <c r="H1434" s="77">
        <v>65</v>
      </c>
      <c r="I1434" s="124">
        <v>288.94</v>
      </c>
      <c r="J1434" s="124">
        <v>18781.07</v>
      </c>
      <c r="K1434" s="77">
        <v>60</v>
      </c>
      <c r="L1434" t="s">
        <v>339</v>
      </c>
      <c r="M1434" s="126">
        <v>3756.2139999999999</v>
      </c>
      <c r="N1434" s="124">
        <v>18781.07</v>
      </c>
      <c r="O1434" t="s">
        <v>340</v>
      </c>
      <c r="P1434" t="s">
        <v>294</v>
      </c>
    </row>
    <row r="1435" spans="1:16" ht="15" customHeight="1" x14ac:dyDescent="0.25">
      <c r="A1435" s="123">
        <v>45760</v>
      </c>
      <c r="B1435" t="s">
        <v>431</v>
      </c>
      <c r="C1435" t="s">
        <v>432</v>
      </c>
      <c r="D1435" t="s">
        <v>221</v>
      </c>
      <c r="E1435" t="s">
        <v>376</v>
      </c>
      <c r="F1435" t="s">
        <v>182</v>
      </c>
      <c r="G1435" t="s">
        <v>1844</v>
      </c>
      <c r="H1435" s="77">
        <v>26</v>
      </c>
      <c r="I1435" s="124">
        <v>68.94</v>
      </c>
      <c r="J1435" s="124">
        <v>1792.35</v>
      </c>
      <c r="K1435" s="77">
        <v>30</v>
      </c>
      <c r="L1435" t="s">
        <v>345</v>
      </c>
      <c r="M1435" s="126">
        <v>358.47</v>
      </c>
      <c r="N1435" s="124">
        <v>1792.35</v>
      </c>
      <c r="O1435" t="s">
        <v>340</v>
      </c>
      <c r="P1435" t="s">
        <v>294</v>
      </c>
    </row>
    <row r="1436" spans="1:16" ht="15" customHeight="1" x14ac:dyDescent="0.25">
      <c r="A1436" s="123">
        <v>46012</v>
      </c>
      <c r="B1436" t="s">
        <v>358</v>
      </c>
      <c r="C1436" t="s">
        <v>359</v>
      </c>
      <c r="D1436" t="s">
        <v>225</v>
      </c>
      <c r="E1436" t="s">
        <v>417</v>
      </c>
      <c r="F1436" t="s">
        <v>184</v>
      </c>
      <c r="G1436" t="s">
        <v>1845</v>
      </c>
      <c r="H1436" s="77">
        <v>60</v>
      </c>
      <c r="I1436" s="124">
        <v>68.41</v>
      </c>
      <c r="J1436" s="124">
        <v>4104.8100000000004</v>
      </c>
      <c r="K1436" s="77">
        <v>60</v>
      </c>
      <c r="L1436" t="s">
        <v>351</v>
      </c>
      <c r="M1436" s="126">
        <v>820.96199999999999</v>
      </c>
      <c r="N1436" s="124">
        <v>4104.8100000000004</v>
      </c>
      <c r="O1436" t="s">
        <v>346</v>
      </c>
      <c r="P1436" t="s">
        <v>294</v>
      </c>
    </row>
    <row r="1437" spans="1:16" ht="15" customHeight="1" x14ac:dyDescent="0.25">
      <c r="A1437" s="123">
        <v>45811</v>
      </c>
      <c r="B1437" t="s">
        <v>335</v>
      </c>
      <c r="C1437" t="s">
        <v>336</v>
      </c>
      <c r="D1437" t="s">
        <v>223</v>
      </c>
      <c r="E1437" t="s">
        <v>364</v>
      </c>
      <c r="F1437" t="s">
        <v>182</v>
      </c>
      <c r="G1437" t="s">
        <v>1846</v>
      </c>
      <c r="H1437" s="77">
        <v>54</v>
      </c>
      <c r="I1437" s="124">
        <v>110.97</v>
      </c>
      <c r="J1437" s="124">
        <v>5992.6</v>
      </c>
      <c r="K1437" s="77">
        <v>45</v>
      </c>
      <c r="L1437" t="s">
        <v>339</v>
      </c>
      <c r="M1437" s="126">
        <v>1198.52</v>
      </c>
      <c r="N1437" s="124">
        <v>5992.6</v>
      </c>
      <c r="O1437" t="s">
        <v>346</v>
      </c>
      <c r="P1437" t="s">
        <v>294</v>
      </c>
    </row>
    <row r="1438" spans="1:16" ht="15" customHeight="1" x14ac:dyDescent="0.25">
      <c r="A1438" s="123">
        <v>45911</v>
      </c>
      <c r="B1438" t="s">
        <v>347</v>
      </c>
      <c r="C1438" t="s">
        <v>348</v>
      </c>
      <c r="D1438" t="s">
        <v>223</v>
      </c>
      <c r="E1438" t="s">
        <v>396</v>
      </c>
      <c r="F1438" t="s">
        <v>184</v>
      </c>
      <c r="G1438" t="s">
        <v>1847</v>
      </c>
      <c r="H1438" s="77">
        <v>29</v>
      </c>
      <c r="I1438" s="124">
        <v>65.41</v>
      </c>
      <c r="J1438" s="124">
        <v>1896.95</v>
      </c>
      <c r="K1438" s="77">
        <v>30</v>
      </c>
      <c r="L1438" t="s">
        <v>351</v>
      </c>
      <c r="M1438" s="126">
        <v>379.39</v>
      </c>
      <c r="N1438" s="124">
        <v>1896.95</v>
      </c>
      <c r="O1438" t="s">
        <v>346</v>
      </c>
      <c r="P1438" t="s">
        <v>294</v>
      </c>
    </row>
    <row r="1439" spans="1:16" ht="15" customHeight="1" x14ac:dyDescent="0.25">
      <c r="A1439" s="123">
        <v>45977</v>
      </c>
      <c r="B1439" t="s">
        <v>370</v>
      </c>
      <c r="C1439" t="s">
        <v>371</v>
      </c>
      <c r="D1439" t="s">
        <v>227</v>
      </c>
      <c r="E1439" t="s">
        <v>360</v>
      </c>
      <c r="F1439" t="s">
        <v>180</v>
      </c>
      <c r="G1439" t="s">
        <v>1848</v>
      </c>
      <c r="H1439" s="77">
        <v>28</v>
      </c>
      <c r="I1439" s="124">
        <v>605.16</v>
      </c>
      <c r="J1439" s="124">
        <v>16944.62</v>
      </c>
      <c r="K1439" s="77">
        <v>30</v>
      </c>
      <c r="L1439" t="s">
        <v>345</v>
      </c>
      <c r="M1439" s="126">
        <v>3388.924</v>
      </c>
      <c r="N1439" s="124">
        <v>16944.62</v>
      </c>
      <c r="O1439" t="s">
        <v>346</v>
      </c>
      <c r="P1439" t="s">
        <v>294</v>
      </c>
    </row>
    <row r="1440" spans="1:16" ht="15" customHeight="1" x14ac:dyDescent="0.25">
      <c r="A1440" s="123">
        <v>45850</v>
      </c>
      <c r="B1440" t="s">
        <v>386</v>
      </c>
      <c r="C1440" t="s">
        <v>387</v>
      </c>
      <c r="D1440" t="s">
        <v>223</v>
      </c>
      <c r="E1440" t="s">
        <v>364</v>
      </c>
      <c r="F1440" t="s">
        <v>182</v>
      </c>
      <c r="G1440" t="s">
        <v>1849</v>
      </c>
      <c r="H1440" s="77">
        <v>27</v>
      </c>
      <c r="I1440" s="124">
        <v>124.45</v>
      </c>
      <c r="J1440" s="124">
        <v>3360.18</v>
      </c>
      <c r="K1440" s="77">
        <v>45</v>
      </c>
      <c r="L1440" t="s">
        <v>339</v>
      </c>
      <c r="M1440" s="126">
        <v>672.03599999999994</v>
      </c>
      <c r="N1440" s="124">
        <v>3360.18</v>
      </c>
      <c r="O1440" t="s">
        <v>346</v>
      </c>
      <c r="P1440" t="s">
        <v>294</v>
      </c>
    </row>
    <row r="1441" spans="1:16" ht="15" customHeight="1" x14ac:dyDescent="0.25">
      <c r="A1441" s="123">
        <v>45695</v>
      </c>
      <c r="B1441" t="s">
        <v>383</v>
      </c>
      <c r="C1441" t="s">
        <v>384</v>
      </c>
      <c r="D1441" t="s">
        <v>225</v>
      </c>
      <c r="E1441" t="s">
        <v>376</v>
      </c>
      <c r="F1441" t="s">
        <v>182</v>
      </c>
      <c r="G1441" t="s">
        <v>1850</v>
      </c>
      <c r="H1441" s="77">
        <v>46</v>
      </c>
      <c r="I1441" s="124">
        <v>142.32</v>
      </c>
      <c r="J1441" s="124">
        <v>6546.6</v>
      </c>
      <c r="K1441" s="77">
        <v>30</v>
      </c>
      <c r="L1441" t="s">
        <v>351</v>
      </c>
      <c r="M1441" s="126">
        <v>1309.32</v>
      </c>
      <c r="N1441" s="124">
        <v>6546.6</v>
      </c>
      <c r="O1441" t="s">
        <v>340</v>
      </c>
      <c r="P1441" t="s">
        <v>294</v>
      </c>
    </row>
    <row r="1442" spans="1:16" ht="15" customHeight="1" x14ac:dyDescent="0.25">
      <c r="A1442" s="123">
        <v>45883</v>
      </c>
      <c r="B1442" t="s">
        <v>383</v>
      </c>
      <c r="C1442" t="s">
        <v>384</v>
      </c>
      <c r="D1442" t="s">
        <v>225</v>
      </c>
      <c r="E1442" t="s">
        <v>381</v>
      </c>
      <c r="F1442" t="s">
        <v>179</v>
      </c>
      <c r="G1442" t="s">
        <v>1851</v>
      </c>
      <c r="H1442" s="77">
        <v>25</v>
      </c>
      <c r="I1442" s="124">
        <v>259.18</v>
      </c>
      <c r="J1442" s="124">
        <v>6479.62</v>
      </c>
      <c r="K1442" s="77">
        <v>60</v>
      </c>
      <c r="L1442" t="s">
        <v>351</v>
      </c>
      <c r="M1442" s="126">
        <v>1295.924</v>
      </c>
      <c r="N1442" s="124">
        <v>6479.62</v>
      </c>
      <c r="O1442" t="s">
        <v>346</v>
      </c>
      <c r="P1442" t="s">
        <v>294</v>
      </c>
    </row>
    <row r="1443" spans="1:16" ht="15" customHeight="1" x14ac:dyDescent="0.25">
      <c r="A1443" s="123">
        <v>45759</v>
      </c>
      <c r="B1443" t="s">
        <v>354</v>
      </c>
      <c r="C1443" t="s">
        <v>355</v>
      </c>
      <c r="D1443" t="s">
        <v>227</v>
      </c>
      <c r="E1443" t="s">
        <v>349</v>
      </c>
      <c r="F1443" t="s">
        <v>177</v>
      </c>
      <c r="G1443" t="s">
        <v>1852</v>
      </c>
      <c r="H1443" s="77">
        <v>26</v>
      </c>
      <c r="I1443" s="124">
        <v>228.81</v>
      </c>
      <c r="J1443" s="124">
        <v>5949.12</v>
      </c>
      <c r="K1443" s="77">
        <v>45</v>
      </c>
      <c r="L1443" t="s">
        <v>339</v>
      </c>
      <c r="M1443" s="126">
        <v>1189.8240000000001</v>
      </c>
      <c r="N1443" s="124">
        <v>5949.12</v>
      </c>
      <c r="O1443" t="s">
        <v>340</v>
      </c>
      <c r="P1443" t="s">
        <v>294</v>
      </c>
    </row>
    <row r="1444" spans="1:16" ht="15" customHeight="1" x14ac:dyDescent="0.25">
      <c r="A1444" s="123">
        <v>45747</v>
      </c>
      <c r="B1444" t="s">
        <v>390</v>
      </c>
      <c r="C1444" t="s">
        <v>391</v>
      </c>
      <c r="D1444" t="s">
        <v>221</v>
      </c>
      <c r="E1444" t="s">
        <v>403</v>
      </c>
      <c r="F1444" t="s">
        <v>181</v>
      </c>
      <c r="G1444" t="s">
        <v>1853</v>
      </c>
      <c r="H1444" s="77">
        <v>44</v>
      </c>
      <c r="I1444" s="124">
        <v>243.03</v>
      </c>
      <c r="J1444" s="124">
        <v>10693.37</v>
      </c>
      <c r="K1444" s="77">
        <v>60</v>
      </c>
      <c r="L1444" t="s">
        <v>339</v>
      </c>
      <c r="M1444" s="126">
        <v>2138.674</v>
      </c>
      <c r="N1444" s="124">
        <v>10693.37</v>
      </c>
      <c r="O1444" t="s">
        <v>346</v>
      </c>
      <c r="P1444" t="s">
        <v>294</v>
      </c>
    </row>
    <row r="1445" spans="1:16" ht="15" customHeight="1" x14ac:dyDescent="0.25">
      <c r="A1445" s="123">
        <v>45748</v>
      </c>
      <c r="B1445" t="s">
        <v>335</v>
      </c>
      <c r="C1445" t="s">
        <v>336</v>
      </c>
      <c r="D1445" t="s">
        <v>223</v>
      </c>
      <c r="E1445" t="s">
        <v>423</v>
      </c>
      <c r="F1445" t="s">
        <v>180</v>
      </c>
      <c r="G1445" t="s">
        <v>1854</v>
      </c>
      <c r="H1445" s="77">
        <v>34</v>
      </c>
      <c r="I1445" s="124">
        <v>122.51</v>
      </c>
      <c r="J1445" s="124">
        <v>4165.38</v>
      </c>
      <c r="K1445" s="77">
        <v>30</v>
      </c>
      <c r="L1445" t="s">
        <v>339</v>
      </c>
      <c r="M1445" s="126">
        <v>833.07600000000002</v>
      </c>
      <c r="N1445" s="124">
        <v>4165.38</v>
      </c>
      <c r="O1445" t="s">
        <v>346</v>
      </c>
      <c r="P1445" t="s">
        <v>294</v>
      </c>
    </row>
    <row r="1446" spans="1:16" ht="15" customHeight="1" x14ac:dyDescent="0.25">
      <c r="A1446" s="123">
        <v>45993</v>
      </c>
      <c r="B1446" t="s">
        <v>401</v>
      </c>
      <c r="C1446" t="s">
        <v>402</v>
      </c>
      <c r="D1446" t="s">
        <v>221</v>
      </c>
      <c r="E1446" t="s">
        <v>381</v>
      </c>
      <c r="F1446" t="s">
        <v>179</v>
      </c>
      <c r="G1446" t="s">
        <v>1855</v>
      </c>
      <c r="H1446" s="77">
        <v>15</v>
      </c>
      <c r="I1446" s="124">
        <v>224.26</v>
      </c>
      <c r="J1446" s="124">
        <v>3363.83</v>
      </c>
      <c r="K1446" s="77">
        <v>45</v>
      </c>
      <c r="L1446" t="s">
        <v>339</v>
      </c>
      <c r="M1446" s="126">
        <v>672.76599999999996</v>
      </c>
      <c r="N1446" s="124">
        <v>3363.83</v>
      </c>
      <c r="O1446" t="s">
        <v>346</v>
      </c>
      <c r="P1446" t="s">
        <v>294</v>
      </c>
    </row>
    <row r="1447" spans="1:16" ht="15" customHeight="1" x14ac:dyDescent="0.25">
      <c r="A1447" s="123">
        <v>45847</v>
      </c>
      <c r="B1447" t="s">
        <v>393</v>
      </c>
      <c r="C1447" t="s">
        <v>394</v>
      </c>
      <c r="D1447" t="s">
        <v>227</v>
      </c>
      <c r="E1447" t="s">
        <v>396</v>
      </c>
      <c r="F1447" t="s">
        <v>184</v>
      </c>
      <c r="G1447" t="s">
        <v>1856</v>
      </c>
      <c r="H1447" s="77">
        <v>48</v>
      </c>
      <c r="I1447" s="124">
        <v>52.42</v>
      </c>
      <c r="J1447" s="124">
        <v>2516.04</v>
      </c>
      <c r="K1447" s="77">
        <v>60</v>
      </c>
      <c r="L1447" t="s">
        <v>339</v>
      </c>
      <c r="M1447" s="126">
        <v>503.20800000000003</v>
      </c>
      <c r="N1447" s="124">
        <v>2516.04</v>
      </c>
      <c r="O1447" t="s">
        <v>346</v>
      </c>
      <c r="P1447" t="s">
        <v>294</v>
      </c>
    </row>
    <row r="1448" spans="1:16" ht="15" customHeight="1" x14ac:dyDescent="0.25">
      <c r="A1448" s="123">
        <v>45691</v>
      </c>
      <c r="B1448" t="s">
        <v>390</v>
      </c>
      <c r="C1448" t="s">
        <v>391</v>
      </c>
      <c r="D1448" t="s">
        <v>221</v>
      </c>
      <c r="E1448" t="s">
        <v>236</v>
      </c>
      <c r="F1448" t="s">
        <v>183</v>
      </c>
      <c r="G1448" t="s">
        <v>1857</v>
      </c>
      <c r="H1448" s="77">
        <v>16</v>
      </c>
      <c r="I1448" s="124">
        <v>224.31</v>
      </c>
      <c r="J1448" s="124">
        <v>3589.01</v>
      </c>
      <c r="K1448" s="77">
        <v>30</v>
      </c>
      <c r="L1448" t="s">
        <v>339</v>
      </c>
      <c r="M1448" s="126">
        <v>717.80200000000002</v>
      </c>
      <c r="N1448" s="124">
        <v>3589.01</v>
      </c>
      <c r="O1448" t="s">
        <v>346</v>
      </c>
      <c r="P1448" t="s">
        <v>294</v>
      </c>
    </row>
    <row r="1449" spans="1:16" ht="15" customHeight="1" x14ac:dyDescent="0.25">
      <c r="A1449" s="123">
        <v>45851</v>
      </c>
      <c r="B1449" t="s">
        <v>393</v>
      </c>
      <c r="C1449" t="s">
        <v>394</v>
      </c>
      <c r="D1449" t="s">
        <v>227</v>
      </c>
      <c r="E1449" t="s">
        <v>352</v>
      </c>
      <c r="F1449" t="s">
        <v>180</v>
      </c>
      <c r="G1449" t="s">
        <v>1858</v>
      </c>
      <c r="H1449" s="77">
        <v>48</v>
      </c>
      <c r="I1449" s="124">
        <v>345.14</v>
      </c>
      <c r="J1449" s="124">
        <v>16566.900000000001</v>
      </c>
      <c r="K1449" s="77">
        <v>45</v>
      </c>
      <c r="L1449" t="s">
        <v>351</v>
      </c>
      <c r="M1449" s="126">
        <v>3313.38</v>
      </c>
      <c r="N1449" s="124">
        <v>16566.900000000001</v>
      </c>
      <c r="O1449" t="s">
        <v>346</v>
      </c>
      <c r="P1449" t="s">
        <v>294</v>
      </c>
    </row>
    <row r="1450" spans="1:16" ht="15" customHeight="1" x14ac:dyDescent="0.25">
      <c r="A1450" s="123">
        <v>45973</v>
      </c>
      <c r="B1450" t="s">
        <v>341</v>
      </c>
      <c r="C1450" t="s">
        <v>342</v>
      </c>
      <c r="D1450" t="s">
        <v>223</v>
      </c>
      <c r="E1450" t="s">
        <v>423</v>
      </c>
      <c r="F1450" t="s">
        <v>180</v>
      </c>
      <c r="G1450" t="s">
        <v>1859</v>
      </c>
      <c r="H1450" s="77">
        <v>76</v>
      </c>
      <c r="I1450" s="124">
        <v>493.99</v>
      </c>
      <c r="J1450" s="124">
        <v>37543.29</v>
      </c>
      <c r="K1450" s="77">
        <v>30</v>
      </c>
      <c r="L1450" t="s">
        <v>351</v>
      </c>
      <c r="M1450" s="126">
        <v>7508.6580000000004</v>
      </c>
      <c r="N1450" s="124">
        <v>37543.29</v>
      </c>
      <c r="O1450" t="s">
        <v>346</v>
      </c>
      <c r="P1450" t="s">
        <v>294</v>
      </c>
    </row>
    <row r="1451" spans="1:16" ht="15" customHeight="1" x14ac:dyDescent="0.25">
      <c r="A1451" s="123">
        <v>45784</v>
      </c>
      <c r="B1451" t="s">
        <v>370</v>
      </c>
      <c r="C1451" t="s">
        <v>371</v>
      </c>
      <c r="D1451" t="s">
        <v>227</v>
      </c>
      <c r="E1451" t="s">
        <v>381</v>
      </c>
      <c r="F1451" t="s">
        <v>179</v>
      </c>
      <c r="G1451" t="s">
        <v>1860</v>
      </c>
      <c r="H1451" s="77">
        <v>7</v>
      </c>
      <c r="I1451" s="124">
        <v>182.12</v>
      </c>
      <c r="J1451" s="124">
        <v>1274.83</v>
      </c>
      <c r="K1451" s="77">
        <v>60</v>
      </c>
      <c r="L1451" t="s">
        <v>345</v>
      </c>
      <c r="M1451" s="126">
        <v>254.96600000000001</v>
      </c>
      <c r="N1451" s="124">
        <v>1274.83</v>
      </c>
      <c r="O1451" t="s">
        <v>346</v>
      </c>
      <c r="P1451" t="s">
        <v>294</v>
      </c>
    </row>
    <row r="1452" spans="1:16" ht="15" customHeight="1" x14ac:dyDescent="0.25">
      <c r="A1452" s="123">
        <v>45699</v>
      </c>
      <c r="B1452" t="s">
        <v>383</v>
      </c>
      <c r="C1452" t="s">
        <v>384</v>
      </c>
      <c r="D1452" t="s">
        <v>225</v>
      </c>
      <c r="E1452" t="s">
        <v>396</v>
      </c>
      <c r="F1452" t="s">
        <v>184</v>
      </c>
      <c r="G1452" t="s">
        <v>1861</v>
      </c>
      <c r="H1452" s="77">
        <v>61</v>
      </c>
      <c r="I1452" s="124">
        <v>88.89</v>
      </c>
      <c r="J1452" s="124">
        <v>5422</v>
      </c>
      <c r="K1452" s="77">
        <v>60</v>
      </c>
      <c r="L1452" t="s">
        <v>351</v>
      </c>
      <c r="M1452" s="126">
        <v>1084.4000000000001</v>
      </c>
      <c r="N1452" s="124">
        <v>5422</v>
      </c>
      <c r="O1452" t="s">
        <v>346</v>
      </c>
      <c r="P1452" t="s">
        <v>294</v>
      </c>
    </row>
    <row r="1453" spans="1:16" ht="15" customHeight="1" x14ac:dyDescent="0.25">
      <c r="A1453" s="123">
        <v>45856</v>
      </c>
      <c r="B1453" t="s">
        <v>393</v>
      </c>
      <c r="C1453" t="s">
        <v>394</v>
      </c>
      <c r="D1453" t="s">
        <v>227</v>
      </c>
      <c r="E1453" t="s">
        <v>412</v>
      </c>
      <c r="F1453" t="s">
        <v>179</v>
      </c>
      <c r="G1453" t="s">
        <v>1862</v>
      </c>
      <c r="H1453" s="77">
        <v>66</v>
      </c>
      <c r="I1453" s="124">
        <v>459.06</v>
      </c>
      <c r="J1453" s="124">
        <v>30297.78</v>
      </c>
      <c r="K1453" s="77">
        <v>45</v>
      </c>
      <c r="L1453" t="s">
        <v>345</v>
      </c>
      <c r="M1453" s="126">
        <v>6059.5559999999996</v>
      </c>
      <c r="N1453" s="124">
        <v>30297.78</v>
      </c>
      <c r="O1453" t="s">
        <v>346</v>
      </c>
      <c r="P1453" t="s">
        <v>294</v>
      </c>
    </row>
    <row r="1454" spans="1:16" ht="15" customHeight="1" x14ac:dyDescent="0.25">
      <c r="A1454" s="123">
        <v>45822</v>
      </c>
      <c r="B1454" t="s">
        <v>370</v>
      </c>
      <c r="C1454" t="s">
        <v>371</v>
      </c>
      <c r="D1454" t="s">
        <v>227</v>
      </c>
      <c r="E1454" t="s">
        <v>396</v>
      </c>
      <c r="F1454" t="s">
        <v>184</v>
      </c>
      <c r="G1454" t="s">
        <v>1863</v>
      </c>
      <c r="H1454" s="77">
        <v>48</v>
      </c>
      <c r="I1454" s="124">
        <v>85.62</v>
      </c>
      <c r="J1454" s="124">
        <v>4109.6899999999996</v>
      </c>
      <c r="K1454" s="77">
        <v>60</v>
      </c>
      <c r="L1454" t="s">
        <v>351</v>
      </c>
      <c r="M1454" s="126">
        <v>821.93799999999999</v>
      </c>
      <c r="N1454" s="124">
        <v>4109.6899999999996</v>
      </c>
      <c r="O1454" t="s">
        <v>346</v>
      </c>
      <c r="P1454" t="s">
        <v>294</v>
      </c>
    </row>
    <row r="1455" spans="1:16" ht="15" customHeight="1" x14ac:dyDescent="0.25">
      <c r="A1455" s="123">
        <v>45795</v>
      </c>
      <c r="B1455" t="s">
        <v>401</v>
      </c>
      <c r="C1455" t="s">
        <v>402</v>
      </c>
      <c r="D1455" t="s">
        <v>221</v>
      </c>
      <c r="E1455" t="s">
        <v>427</v>
      </c>
      <c r="F1455" t="s">
        <v>184</v>
      </c>
      <c r="G1455" t="s">
        <v>1864</v>
      </c>
      <c r="H1455" s="77">
        <v>75</v>
      </c>
      <c r="I1455" s="124">
        <v>313.69</v>
      </c>
      <c r="J1455" s="124">
        <v>23526.95</v>
      </c>
      <c r="K1455" s="77">
        <v>45</v>
      </c>
      <c r="L1455" t="s">
        <v>351</v>
      </c>
      <c r="M1455" s="126">
        <v>4705.3900000000003</v>
      </c>
      <c r="N1455" s="124">
        <v>23526.95</v>
      </c>
      <c r="O1455" t="s">
        <v>346</v>
      </c>
      <c r="P1455" t="s">
        <v>294</v>
      </c>
    </row>
    <row r="1456" spans="1:16" ht="15" customHeight="1" x14ac:dyDescent="0.25">
      <c r="A1456" s="123">
        <v>45770</v>
      </c>
      <c r="B1456" t="s">
        <v>431</v>
      </c>
      <c r="C1456" t="s">
        <v>432</v>
      </c>
      <c r="D1456" t="s">
        <v>221</v>
      </c>
      <c r="E1456" t="s">
        <v>349</v>
      </c>
      <c r="F1456" t="s">
        <v>177</v>
      </c>
      <c r="G1456" t="s">
        <v>1865</v>
      </c>
      <c r="H1456" s="77">
        <v>26</v>
      </c>
      <c r="I1456" s="124">
        <v>163.78</v>
      </c>
      <c r="J1456" s="124">
        <v>4258.2700000000004</v>
      </c>
      <c r="K1456" s="77">
        <v>45</v>
      </c>
      <c r="L1456" t="s">
        <v>339</v>
      </c>
      <c r="M1456" s="126">
        <v>851.654</v>
      </c>
      <c r="N1456" s="124">
        <v>4258.2700000000004</v>
      </c>
      <c r="O1456" t="s">
        <v>340</v>
      </c>
      <c r="P1456" t="s">
        <v>294</v>
      </c>
    </row>
    <row r="1457" spans="1:16" ht="15" customHeight="1" x14ac:dyDescent="0.25">
      <c r="A1457" s="123">
        <v>45875</v>
      </c>
      <c r="B1457" t="s">
        <v>488</v>
      </c>
      <c r="C1457" t="s">
        <v>489</v>
      </c>
      <c r="D1457" t="s">
        <v>225</v>
      </c>
      <c r="E1457" t="s">
        <v>360</v>
      </c>
      <c r="F1457" t="s">
        <v>180</v>
      </c>
      <c r="G1457" t="s">
        <v>1866</v>
      </c>
      <c r="H1457" s="77">
        <v>49</v>
      </c>
      <c r="I1457" s="124">
        <v>94.92</v>
      </c>
      <c r="J1457" s="124">
        <v>4651.1099999999997</v>
      </c>
      <c r="K1457" s="77">
        <v>60</v>
      </c>
      <c r="L1457" t="s">
        <v>339</v>
      </c>
      <c r="M1457" s="126">
        <v>930.22199999999998</v>
      </c>
      <c r="N1457" s="124">
        <v>4651.1099999999997</v>
      </c>
      <c r="O1457" t="s">
        <v>346</v>
      </c>
      <c r="P1457" t="s">
        <v>294</v>
      </c>
    </row>
    <row r="1458" spans="1:16" ht="15" customHeight="1" x14ac:dyDescent="0.25">
      <c r="A1458" s="123">
        <v>45701</v>
      </c>
      <c r="B1458" t="s">
        <v>378</v>
      </c>
      <c r="C1458" t="s">
        <v>379</v>
      </c>
      <c r="D1458" t="s">
        <v>227</v>
      </c>
      <c r="E1458" t="s">
        <v>403</v>
      </c>
      <c r="F1458" t="s">
        <v>181</v>
      </c>
      <c r="G1458" t="s">
        <v>1867</v>
      </c>
      <c r="H1458" s="77">
        <v>18</v>
      </c>
      <c r="I1458" s="124">
        <v>332.94</v>
      </c>
      <c r="J1458" s="124">
        <v>5992.94</v>
      </c>
      <c r="K1458" s="77">
        <v>30</v>
      </c>
      <c r="L1458" t="s">
        <v>345</v>
      </c>
      <c r="M1458" s="126">
        <v>1198.588</v>
      </c>
      <c r="N1458" s="124">
        <v>5992.94</v>
      </c>
      <c r="O1458" t="s">
        <v>346</v>
      </c>
      <c r="P1458" t="s">
        <v>294</v>
      </c>
    </row>
    <row r="1459" spans="1:16" ht="15" customHeight="1" x14ac:dyDescent="0.25">
      <c r="A1459" s="123">
        <v>45956</v>
      </c>
      <c r="B1459" t="s">
        <v>386</v>
      </c>
      <c r="C1459" t="s">
        <v>387</v>
      </c>
      <c r="D1459" t="s">
        <v>223</v>
      </c>
      <c r="E1459" t="s">
        <v>376</v>
      </c>
      <c r="F1459" t="s">
        <v>182</v>
      </c>
      <c r="G1459" t="s">
        <v>1868</v>
      </c>
      <c r="H1459" s="77">
        <v>6</v>
      </c>
      <c r="I1459" s="124">
        <v>117.16</v>
      </c>
      <c r="J1459" s="124">
        <v>702.94</v>
      </c>
      <c r="K1459" s="77">
        <v>45</v>
      </c>
      <c r="L1459" t="s">
        <v>351</v>
      </c>
      <c r="M1459" s="126">
        <v>140.58799999999999</v>
      </c>
      <c r="N1459" s="124">
        <v>702.94</v>
      </c>
      <c r="O1459" t="s">
        <v>340</v>
      </c>
      <c r="P1459" t="s">
        <v>294</v>
      </c>
    </row>
    <row r="1460" spans="1:16" ht="15" customHeight="1" x14ac:dyDescent="0.25">
      <c r="A1460" s="123">
        <v>45888</v>
      </c>
      <c r="B1460" t="s">
        <v>362</v>
      </c>
      <c r="C1460" t="s">
        <v>363</v>
      </c>
      <c r="D1460" t="s">
        <v>221</v>
      </c>
      <c r="E1460" t="s">
        <v>420</v>
      </c>
      <c r="F1460" t="s">
        <v>182</v>
      </c>
      <c r="G1460" t="s">
        <v>1869</v>
      </c>
      <c r="H1460" s="77">
        <v>60</v>
      </c>
      <c r="I1460" s="124">
        <v>193.11</v>
      </c>
      <c r="J1460" s="124">
        <v>11586.38</v>
      </c>
      <c r="K1460" s="77">
        <v>45</v>
      </c>
      <c r="L1460" t="s">
        <v>345</v>
      </c>
      <c r="M1460" s="126">
        <v>2317.2759999999998</v>
      </c>
      <c r="N1460" s="124">
        <v>11586.38</v>
      </c>
      <c r="O1460" t="s">
        <v>346</v>
      </c>
      <c r="P1460" t="s">
        <v>294</v>
      </c>
    </row>
    <row r="1461" spans="1:16" ht="15" customHeight="1" x14ac:dyDescent="0.25">
      <c r="A1461" s="123">
        <v>45797</v>
      </c>
      <c r="B1461" t="s">
        <v>347</v>
      </c>
      <c r="C1461" t="s">
        <v>348</v>
      </c>
      <c r="D1461" t="s">
        <v>223</v>
      </c>
      <c r="E1461" t="s">
        <v>427</v>
      </c>
      <c r="F1461" t="s">
        <v>184</v>
      </c>
      <c r="G1461" t="s">
        <v>1870</v>
      </c>
      <c r="H1461" s="77">
        <v>49</v>
      </c>
      <c r="I1461" s="124">
        <v>108.61</v>
      </c>
      <c r="J1461" s="124">
        <v>5321.75</v>
      </c>
      <c r="K1461" s="77">
        <v>30</v>
      </c>
      <c r="L1461" t="s">
        <v>339</v>
      </c>
      <c r="M1461" s="126">
        <v>1064.3499999999999</v>
      </c>
      <c r="N1461" s="124">
        <v>5321.75</v>
      </c>
      <c r="O1461" t="s">
        <v>346</v>
      </c>
      <c r="P1461" t="s">
        <v>294</v>
      </c>
    </row>
    <row r="1462" spans="1:16" ht="15" customHeight="1" x14ac:dyDescent="0.25">
      <c r="A1462" s="123">
        <v>45988</v>
      </c>
      <c r="B1462" t="s">
        <v>370</v>
      </c>
      <c r="C1462" t="s">
        <v>371</v>
      </c>
      <c r="D1462" t="s">
        <v>227</v>
      </c>
      <c r="E1462" t="s">
        <v>360</v>
      </c>
      <c r="F1462" t="s">
        <v>180</v>
      </c>
      <c r="G1462" t="s">
        <v>1871</v>
      </c>
      <c r="H1462" s="77">
        <v>10</v>
      </c>
      <c r="I1462" s="124">
        <v>231.67</v>
      </c>
      <c r="J1462" s="124">
        <v>2316.69</v>
      </c>
      <c r="K1462" s="77">
        <v>45</v>
      </c>
      <c r="L1462" t="s">
        <v>339</v>
      </c>
      <c r="M1462" s="126">
        <v>463.33800000000002</v>
      </c>
      <c r="N1462" s="124">
        <v>2316.69</v>
      </c>
      <c r="O1462" t="s">
        <v>346</v>
      </c>
      <c r="P1462" t="s">
        <v>294</v>
      </c>
    </row>
    <row r="1463" spans="1:16" ht="15" customHeight="1" x14ac:dyDescent="0.25">
      <c r="A1463" s="123">
        <v>45774</v>
      </c>
      <c r="B1463" t="s">
        <v>370</v>
      </c>
      <c r="C1463" t="s">
        <v>371</v>
      </c>
      <c r="D1463" t="s">
        <v>227</v>
      </c>
      <c r="E1463" t="s">
        <v>368</v>
      </c>
      <c r="F1463" t="s">
        <v>178</v>
      </c>
      <c r="G1463" t="s">
        <v>1872</v>
      </c>
      <c r="H1463" s="77">
        <v>13</v>
      </c>
      <c r="I1463" s="124">
        <v>33.15</v>
      </c>
      <c r="J1463" s="124">
        <v>430.94</v>
      </c>
      <c r="K1463" s="77">
        <v>30</v>
      </c>
      <c r="L1463" t="s">
        <v>339</v>
      </c>
      <c r="M1463" s="126">
        <v>86.188000000000002</v>
      </c>
      <c r="N1463" s="124">
        <v>430.94</v>
      </c>
      <c r="O1463" t="s">
        <v>346</v>
      </c>
      <c r="P1463" t="s">
        <v>294</v>
      </c>
    </row>
    <row r="1464" spans="1:16" ht="15" customHeight="1" x14ac:dyDescent="0.25">
      <c r="A1464" s="123">
        <v>45760</v>
      </c>
      <c r="B1464" t="s">
        <v>370</v>
      </c>
      <c r="C1464" t="s">
        <v>371</v>
      </c>
      <c r="D1464" t="s">
        <v>227</v>
      </c>
      <c r="E1464" t="s">
        <v>440</v>
      </c>
      <c r="F1464" t="s">
        <v>177</v>
      </c>
      <c r="G1464" t="s">
        <v>1873</v>
      </c>
      <c r="H1464" s="77">
        <v>43</v>
      </c>
      <c r="I1464" s="124">
        <v>106.97</v>
      </c>
      <c r="J1464" s="124">
        <v>4599.62</v>
      </c>
      <c r="K1464" s="77">
        <v>30</v>
      </c>
      <c r="L1464" t="s">
        <v>351</v>
      </c>
      <c r="M1464" s="126">
        <v>919.92399999999998</v>
      </c>
      <c r="N1464" s="124">
        <v>4599.62</v>
      </c>
      <c r="O1464" t="s">
        <v>346</v>
      </c>
      <c r="P1464" t="s">
        <v>294</v>
      </c>
    </row>
    <row r="1465" spans="1:16" ht="15" customHeight="1" x14ac:dyDescent="0.25">
      <c r="A1465" s="123">
        <v>46007</v>
      </c>
      <c r="B1465" t="s">
        <v>386</v>
      </c>
      <c r="C1465" t="s">
        <v>387</v>
      </c>
      <c r="D1465" t="s">
        <v>223</v>
      </c>
      <c r="E1465" t="s">
        <v>437</v>
      </c>
      <c r="F1465" t="s">
        <v>181</v>
      </c>
      <c r="G1465" t="s">
        <v>1874</v>
      </c>
      <c r="H1465" s="77">
        <v>36</v>
      </c>
      <c r="I1465" s="124">
        <v>137.81</v>
      </c>
      <c r="J1465" s="124">
        <v>4960.99</v>
      </c>
      <c r="K1465" s="77">
        <v>30</v>
      </c>
      <c r="L1465" t="s">
        <v>351</v>
      </c>
      <c r="M1465" s="126">
        <v>992.19799999999998</v>
      </c>
      <c r="N1465" s="124">
        <v>4960.99</v>
      </c>
      <c r="O1465" t="s">
        <v>346</v>
      </c>
      <c r="P1465" t="s">
        <v>294</v>
      </c>
    </row>
    <row r="1466" spans="1:16" ht="15" customHeight="1" x14ac:dyDescent="0.25">
      <c r="A1466" s="123">
        <v>45936</v>
      </c>
      <c r="B1466" t="s">
        <v>386</v>
      </c>
      <c r="C1466" t="s">
        <v>387</v>
      </c>
      <c r="D1466" t="s">
        <v>223</v>
      </c>
      <c r="E1466" t="s">
        <v>412</v>
      </c>
      <c r="F1466" t="s">
        <v>179</v>
      </c>
      <c r="G1466" t="s">
        <v>1875</v>
      </c>
      <c r="H1466" s="77">
        <v>34</v>
      </c>
      <c r="I1466" s="124">
        <v>130.80000000000001</v>
      </c>
      <c r="J1466" s="124">
        <v>4447.2</v>
      </c>
      <c r="K1466" s="77">
        <v>30</v>
      </c>
      <c r="L1466" t="s">
        <v>345</v>
      </c>
      <c r="M1466" s="126">
        <v>889.44</v>
      </c>
      <c r="N1466" s="124">
        <v>4447.2</v>
      </c>
      <c r="O1466" t="s">
        <v>346</v>
      </c>
      <c r="P1466" t="s">
        <v>294</v>
      </c>
    </row>
    <row r="1467" spans="1:16" ht="15" customHeight="1" x14ac:dyDescent="0.25">
      <c r="A1467" s="123">
        <v>45865</v>
      </c>
      <c r="B1467" t="s">
        <v>383</v>
      </c>
      <c r="C1467" t="s">
        <v>384</v>
      </c>
      <c r="D1467" t="s">
        <v>225</v>
      </c>
      <c r="E1467" t="s">
        <v>420</v>
      </c>
      <c r="F1467" t="s">
        <v>182</v>
      </c>
      <c r="G1467" t="s">
        <v>1876</v>
      </c>
      <c r="H1467" s="77">
        <v>75</v>
      </c>
      <c r="I1467" s="124">
        <v>131.31</v>
      </c>
      <c r="J1467" s="124">
        <v>9848.59</v>
      </c>
      <c r="K1467" s="77">
        <v>60</v>
      </c>
      <c r="L1467" t="s">
        <v>339</v>
      </c>
      <c r="M1467" s="126">
        <v>1969.7180000000001</v>
      </c>
      <c r="N1467" s="124">
        <v>9848.59</v>
      </c>
      <c r="O1467" t="s">
        <v>346</v>
      </c>
      <c r="P1467" t="s">
        <v>294</v>
      </c>
    </row>
    <row r="1468" spans="1:16" ht="15" customHeight="1" x14ac:dyDescent="0.25">
      <c r="A1468" s="123">
        <v>45774</v>
      </c>
      <c r="B1468" t="s">
        <v>341</v>
      </c>
      <c r="C1468" t="s">
        <v>342</v>
      </c>
      <c r="D1468" t="s">
        <v>223</v>
      </c>
      <c r="E1468" t="s">
        <v>381</v>
      </c>
      <c r="F1468" t="s">
        <v>179</v>
      </c>
      <c r="G1468" t="s">
        <v>1877</v>
      </c>
      <c r="H1468" s="77">
        <v>30</v>
      </c>
      <c r="I1468" s="124">
        <v>450.97</v>
      </c>
      <c r="J1468" s="124">
        <v>13529.15</v>
      </c>
      <c r="K1468" s="77">
        <v>60</v>
      </c>
      <c r="L1468" t="s">
        <v>351</v>
      </c>
      <c r="M1468" s="126">
        <v>2705.83</v>
      </c>
      <c r="N1468" s="124">
        <v>13529.15</v>
      </c>
      <c r="O1468" t="s">
        <v>346</v>
      </c>
      <c r="P1468" t="s">
        <v>294</v>
      </c>
    </row>
    <row r="1469" spans="1:16" ht="15" customHeight="1" x14ac:dyDescent="0.25">
      <c r="A1469" s="123">
        <v>45922</v>
      </c>
      <c r="B1469" t="s">
        <v>398</v>
      </c>
      <c r="C1469" t="s">
        <v>399</v>
      </c>
      <c r="D1469" t="s">
        <v>227</v>
      </c>
      <c r="E1469" t="s">
        <v>396</v>
      </c>
      <c r="F1469" t="s">
        <v>184</v>
      </c>
      <c r="G1469" t="s">
        <v>1878</v>
      </c>
      <c r="H1469" s="77">
        <v>76</v>
      </c>
      <c r="I1469" s="124">
        <v>93.18</v>
      </c>
      <c r="J1469" s="124">
        <v>7081.85</v>
      </c>
      <c r="K1469" s="77">
        <v>60</v>
      </c>
      <c r="L1469" t="s">
        <v>345</v>
      </c>
      <c r="M1469" s="126">
        <v>1416.37</v>
      </c>
      <c r="N1469" s="124">
        <v>7081.85</v>
      </c>
      <c r="O1469" t="s">
        <v>346</v>
      </c>
      <c r="P1469" t="s">
        <v>294</v>
      </c>
    </row>
    <row r="1470" spans="1:16" ht="15" customHeight="1" x14ac:dyDescent="0.25">
      <c r="A1470" s="123">
        <v>45701</v>
      </c>
      <c r="B1470" t="s">
        <v>370</v>
      </c>
      <c r="C1470" t="s">
        <v>371</v>
      </c>
      <c r="D1470" t="s">
        <v>227</v>
      </c>
      <c r="E1470" t="s">
        <v>427</v>
      </c>
      <c r="F1470" t="s">
        <v>184</v>
      </c>
      <c r="G1470" t="s">
        <v>1879</v>
      </c>
      <c r="H1470" s="77">
        <v>41</v>
      </c>
      <c r="I1470" s="124">
        <v>38.85</v>
      </c>
      <c r="J1470" s="124">
        <v>1592.92</v>
      </c>
      <c r="K1470" s="77">
        <v>30</v>
      </c>
      <c r="L1470" t="s">
        <v>345</v>
      </c>
      <c r="M1470" s="126">
        <v>318.584</v>
      </c>
      <c r="N1470" s="124">
        <v>1592.92</v>
      </c>
      <c r="O1470" t="s">
        <v>346</v>
      </c>
      <c r="P1470" t="s">
        <v>294</v>
      </c>
    </row>
    <row r="1471" spans="1:16" ht="15" customHeight="1" x14ac:dyDescent="0.25">
      <c r="A1471" s="123">
        <v>45882</v>
      </c>
      <c r="B1471" t="s">
        <v>398</v>
      </c>
      <c r="C1471" t="s">
        <v>399</v>
      </c>
      <c r="D1471" t="s">
        <v>227</v>
      </c>
      <c r="E1471" t="s">
        <v>235</v>
      </c>
      <c r="F1471" t="s">
        <v>183</v>
      </c>
      <c r="G1471" t="s">
        <v>1880</v>
      </c>
      <c r="H1471" s="77">
        <v>58</v>
      </c>
      <c r="I1471" s="124">
        <v>383.11</v>
      </c>
      <c r="J1471" s="124">
        <v>22220.2</v>
      </c>
      <c r="K1471" s="77">
        <v>60</v>
      </c>
      <c r="L1471" t="s">
        <v>339</v>
      </c>
      <c r="M1471" s="126">
        <v>4444.04</v>
      </c>
      <c r="N1471" s="124">
        <v>22220.2</v>
      </c>
      <c r="O1471" t="s">
        <v>346</v>
      </c>
      <c r="P1471" t="s">
        <v>294</v>
      </c>
    </row>
    <row r="1472" spans="1:16" ht="15" customHeight="1" x14ac:dyDescent="0.25">
      <c r="A1472" s="123">
        <v>45723</v>
      </c>
      <c r="B1472" t="s">
        <v>488</v>
      </c>
      <c r="C1472" t="s">
        <v>489</v>
      </c>
      <c r="D1472" t="s">
        <v>225</v>
      </c>
      <c r="E1472" t="s">
        <v>412</v>
      </c>
      <c r="F1472" t="s">
        <v>179</v>
      </c>
      <c r="G1472" t="s">
        <v>1881</v>
      </c>
      <c r="H1472" s="77">
        <v>40</v>
      </c>
      <c r="I1472" s="124">
        <v>347.62</v>
      </c>
      <c r="J1472" s="124">
        <v>13904.72</v>
      </c>
      <c r="K1472" s="77">
        <v>60</v>
      </c>
      <c r="L1472" t="s">
        <v>339</v>
      </c>
      <c r="M1472" s="126">
        <v>2780.944</v>
      </c>
      <c r="N1472" s="124">
        <v>13904.72</v>
      </c>
      <c r="O1472" t="s">
        <v>346</v>
      </c>
      <c r="P1472" t="s">
        <v>294</v>
      </c>
    </row>
    <row r="1473" spans="1:16" ht="15" customHeight="1" x14ac:dyDescent="0.25">
      <c r="A1473" s="123">
        <v>45773</v>
      </c>
      <c r="B1473" t="s">
        <v>406</v>
      </c>
      <c r="C1473" t="s">
        <v>407</v>
      </c>
      <c r="D1473" t="s">
        <v>225</v>
      </c>
      <c r="E1473" t="s">
        <v>420</v>
      </c>
      <c r="F1473" t="s">
        <v>182</v>
      </c>
      <c r="G1473" t="s">
        <v>1882</v>
      </c>
      <c r="H1473" s="77">
        <v>54</v>
      </c>
      <c r="I1473" s="124">
        <v>67.930000000000007</v>
      </c>
      <c r="J1473" s="124">
        <v>3668.29</v>
      </c>
      <c r="K1473" s="77">
        <v>45</v>
      </c>
      <c r="L1473" t="s">
        <v>351</v>
      </c>
      <c r="M1473" s="126">
        <v>733.65800000000002</v>
      </c>
      <c r="N1473" s="124">
        <v>3668.29</v>
      </c>
      <c r="O1473" t="s">
        <v>346</v>
      </c>
      <c r="P1473" t="s">
        <v>294</v>
      </c>
    </row>
    <row r="1474" spans="1:16" ht="15" customHeight="1" x14ac:dyDescent="0.25">
      <c r="A1474" s="123">
        <v>45933</v>
      </c>
      <c r="B1474" t="s">
        <v>354</v>
      </c>
      <c r="C1474" t="s">
        <v>355</v>
      </c>
      <c r="D1474" t="s">
        <v>227</v>
      </c>
      <c r="E1474" t="s">
        <v>236</v>
      </c>
      <c r="F1474" t="s">
        <v>183</v>
      </c>
      <c r="G1474" t="s">
        <v>1883</v>
      </c>
      <c r="H1474" s="77">
        <v>39</v>
      </c>
      <c r="I1474" s="124">
        <v>278.68</v>
      </c>
      <c r="J1474" s="124">
        <v>10868.62</v>
      </c>
      <c r="K1474" s="77">
        <v>45</v>
      </c>
      <c r="L1474" t="s">
        <v>351</v>
      </c>
      <c r="M1474" s="126">
        <v>2173.7240000000002</v>
      </c>
      <c r="N1474" s="124">
        <v>10868.62</v>
      </c>
      <c r="O1474" t="s">
        <v>346</v>
      </c>
      <c r="P1474" t="s">
        <v>294</v>
      </c>
    </row>
    <row r="1475" spans="1:16" ht="15" customHeight="1" x14ac:dyDescent="0.25">
      <c r="A1475" s="123">
        <v>45736</v>
      </c>
      <c r="B1475" t="s">
        <v>335</v>
      </c>
      <c r="C1475" t="s">
        <v>336</v>
      </c>
      <c r="D1475" t="s">
        <v>223</v>
      </c>
      <c r="E1475" t="s">
        <v>349</v>
      </c>
      <c r="F1475" t="s">
        <v>177</v>
      </c>
      <c r="G1475" t="s">
        <v>1884</v>
      </c>
      <c r="H1475" s="77">
        <v>43</v>
      </c>
      <c r="I1475" s="124">
        <v>120.97</v>
      </c>
      <c r="J1475" s="124">
        <v>5201.8500000000004</v>
      </c>
      <c r="K1475" s="77">
        <v>60</v>
      </c>
      <c r="L1475" t="s">
        <v>351</v>
      </c>
      <c r="M1475" s="126">
        <v>1040.3699999999999</v>
      </c>
      <c r="N1475" s="124">
        <v>5201.8500000000004</v>
      </c>
      <c r="O1475" t="s">
        <v>340</v>
      </c>
      <c r="P1475" t="s">
        <v>294</v>
      </c>
    </row>
    <row r="1476" spans="1:16" ht="15" customHeight="1" x14ac:dyDescent="0.25">
      <c r="A1476" s="123">
        <v>45762</v>
      </c>
      <c r="B1476" t="s">
        <v>370</v>
      </c>
      <c r="C1476" t="s">
        <v>371</v>
      </c>
      <c r="D1476" t="s">
        <v>227</v>
      </c>
      <c r="E1476" t="s">
        <v>234</v>
      </c>
      <c r="F1476" t="s">
        <v>183</v>
      </c>
      <c r="G1476" t="s">
        <v>1885</v>
      </c>
      <c r="H1476" s="77">
        <v>51</v>
      </c>
      <c r="I1476" s="124">
        <v>194.82</v>
      </c>
      <c r="J1476" s="124">
        <v>9935.94</v>
      </c>
      <c r="K1476" s="77">
        <v>30</v>
      </c>
      <c r="L1476" t="s">
        <v>351</v>
      </c>
      <c r="M1476" s="126">
        <v>1987.1880000000001</v>
      </c>
      <c r="N1476" s="124">
        <v>9935.94</v>
      </c>
      <c r="O1476" t="s">
        <v>346</v>
      </c>
      <c r="P1476" t="s">
        <v>294</v>
      </c>
    </row>
    <row r="1477" spans="1:16" ht="15" customHeight="1" x14ac:dyDescent="0.25">
      <c r="A1477" s="123">
        <v>45713</v>
      </c>
      <c r="B1477" t="s">
        <v>358</v>
      </c>
      <c r="C1477" t="s">
        <v>359</v>
      </c>
      <c r="D1477" t="s">
        <v>225</v>
      </c>
      <c r="E1477" t="s">
        <v>360</v>
      </c>
      <c r="F1477" t="s">
        <v>180</v>
      </c>
      <c r="G1477" t="s">
        <v>1886</v>
      </c>
      <c r="H1477" s="77">
        <v>43</v>
      </c>
      <c r="I1477" s="124">
        <v>357.1</v>
      </c>
      <c r="J1477" s="124">
        <v>15355.29</v>
      </c>
      <c r="K1477" s="77">
        <v>60</v>
      </c>
      <c r="L1477" t="s">
        <v>345</v>
      </c>
      <c r="M1477" s="126">
        <v>3071.058</v>
      </c>
      <c r="N1477" s="124">
        <v>15355.29</v>
      </c>
      <c r="O1477" t="s">
        <v>346</v>
      </c>
      <c r="P1477" t="s">
        <v>294</v>
      </c>
    </row>
    <row r="1478" spans="1:16" ht="15" customHeight="1" x14ac:dyDescent="0.25">
      <c r="A1478" s="123">
        <v>45745</v>
      </c>
      <c r="B1478" t="s">
        <v>366</v>
      </c>
      <c r="C1478" t="s">
        <v>367</v>
      </c>
      <c r="D1478" t="s">
        <v>221</v>
      </c>
      <c r="E1478" t="s">
        <v>356</v>
      </c>
      <c r="F1478" t="s">
        <v>181</v>
      </c>
      <c r="G1478" t="s">
        <v>1887</v>
      </c>
      <c r="H1478" s="77">
        <v>14</v>
      </c>
      <c r="I1478" s="124">
        <v>205.84</v>
      </c>
      <c r="J1478" s="124">
        <v>2881.78</v>
      </c>
      <c r="K1478" s="77">
        <v>60</v>
      </c>
      <c r="L1478" t="s">
        <v>351</v>
      </c>
      <c r="M1478" s="126">
        <v>576.35599999999999</v>
      </c>
      <c r="N1478" s="124">
        <v>2881.78</v>
      </c>
      <c r="O1478" t="s">
        <v>340</v>
      </c>
      <c r="P1478" t="s">
        <v>294</v>
      </c>
    </row>
    <row r="1479" spans="1:16" ht="15" customHeight="1" x14ac:dyDescent="0.25">
      <c r="A1479" s="123">
        <v>45966</v>
      </c>
      <c r="B1479" t="s">
        <v>358</v>
      </c>
      <c r="C1479" t="s">
        <v>359</v>
      </c>
      <c r="D1479" t="s">
        <v>225</v>
      </c>
      <c r="E1479" t="s">
        <v>440</v>
      </c>
      <c r="F1479" t="s">
        <v>177</v>
      </c>
      <c r="G1479" t="s">
        <v>1888</v>
      </c>
      <c r="H1479" s="77">
        <v>63</v>
      </c>
      <c r="I1479" s="124">
        <v>151.13999999999999</v>
      </c>
      <c r="J1479" s="124">
        <v>9522.09</v>
      </c>
      <c r="K1479" s="77">
        <v>30</v>
      </c>
      <c r="L1479" t="s">
        <v>339</v>
      </c>
      <c r="M1479" s="126">
        <v>1904.4179999999999</v>
      </c>
      <c r="N1479" s="124">
        <v>9522.09</v>
      </c>
      <c r="O1479" t="s">
        <v>346</v>
      </c>
      <c r="P1479" t="s">
        <v>294</v>
      </c>
    </row>
    <row r="1480" spans="1:16" ht="15" customHeight="1" x14ac:dyDescent="0.25">
      <c r="A1480" s="123">
        <v>45803</v>
      </c>
      <c r="B1480" t="s">
        <v>378</v>
      </c>
      <c r="C1480" t="s">
        <v>379</v>
      </c>
      <c r="D1480" t="s">
        <v>227</v>
      </c>
      <c r="E1480" t="s">
        <v>368</v>
      </c>
      <c r="F1480" t="s">
        <v>178</v>
      </c>
      <c r="G1480" t="s">
        <v>1889</v>
      </c>
      <c r="H1480" s="77">
        <v>27</v>
      </c>
      <c r="I1480" s="124">
        <v>39.9</v>
      </c>
      <c r="J1480" s="124">
        <v>1077.18</v>
      </c>
      <c r="K1480" s="77">
        <v>30</v>
      </c>
      <c r="L1480" t="s">
        <v>345</v>
      </c>
      <c r="M1480" s="126">
        <v>215.43600000000001</v>
      </c>
      <c r="N1480" s="124">
        <v>1077.18</v>
      </c>
      <c r="O1480" t="s">
        <v>346</v>
      </c>
      <c r="P1480" t="s">
        <v>294</v>
      </c>
    </row>
    <row r="1481" spans="1:16" ht="15" customHeight="1" x14ac:dyDescent="0.25">
      <c r="A1481" s="123">
        <v>45687</v>
      </c>
      <c r="B1481" t="s">
        <v>358</v>
      </c>
      <c r="C1481" t="s">
        <v>359</v>
      </c>
      <c r="D1481" t="s">
        <v>225</v>
      </c>
      <c r="E1481" t="s">
        <v>368</v>
      </c>
      <c r="F1481" t="s">
        <v>178</v>
      </c>
      <c r="G1481" t="s">
        <v>1890</v>
      </c>
      <c r="H1481" s="77">
        <v>48</v>
      </c>
      <c r="I1481" s="124">
        <v>51.1</v>
      </c>
      <c r="J1481" s="124">
        <v>2452.8000000000002</v>
      </c>
      <c r="K1481" s="77">
        <v>60</v>
      </c>
      <c r="L1481" t="s">
        <v>339</v>
      </c>
      <c r="M1481" s="126">
        <v>490.56</v>
      </c>
      <c r="N1481" s="124">
        <v>2452.8000000000002</v>
      </c>
      <c r="O1481" t="s">
        <v>346</v>
      </c>
      <c r="P1481" t="s">
        <v>294</v>
      </c>
    </row>
    <row r="1482" spans="1:16" ht="15" customHeight="1" x14ac:dyDescent="0.25">
      <c r="A1482" s="123">
        <v>45858</v>
      </c>
      <c r="B1482" t="s">
        <v>386</v>
      </c>
      <c r="C1482" t="s">
        <v>387</v>
      </c>
      <c r="D1482" t="s">
        <v>223</v>
      </c>
      <c r="E1482" t="s">
        <v>420</v>
      </c>
      <c r="F1482" t="s">
        <v>182</v>
      </c>
      <c r="G1482" t="s">
        <v>1891</v>
      </c>
      <c r="H1482" s="77">
        <v>21</v>
      </c>
      <c r="I1482" s="124">
        <v>141.34</v>
      </c>
      <c r="J1482" s="124">
        <v>2968.19</v>
      </c>
      <c r="K1482" s="77">
        <v>30</v>
      </c>
      <c r="L1482" t="s">
        <v>339</v>
      </c>
      <c r="M1482" s="126">
        <v>593.63800000000003</v>
      </c>
      <c r="N1482" s="124">
        <v>2968.19</v>
      </c>
      <c r="O1482" t="s">
        <v>346</v>
      </c>
      <c r="P1482" t="s">
        <v>294</v>
      </c>
    </row>
    <row r="1483" spans="1:16" ht="15" customHeight="1" x14ac:dyDescent="0.25">
      <c r="A1483" s="123">
        <v>45693</v>
      </c>
      <c r="B1483" t="s">
        <v>383</v>
      </c>
      <c r="C1483" t="s">
        <v>384</v>
      </c>
      <c r="D1483" t="s">
        <v>225</v>
      </c>
      <c r="E1483" t="s">
        <v>234</v>
      </c>
      <c r="F1483" t="s">
        <v>183</v>
      </c>
      <c r="G1483" t="s">
        <v>1892</v>
      </c>
      <c r="H1483" s="77">
        <v>50</v>
      </c>
      <c r="I1483" s="124">
        <v>244.38</v>
      </c>
      <c r="J1483" s="124">
        <v>12219</v>
      </c>
      <c r="K1483" s="77">
        <v>30</v>
      </c>
      <c r="L1483" t="s">
        <v>339</v>
      </c>
      <c r="M1483" s="126">
        <v>2443.8000000000002</v>
      </c>
      <c r="N1483" s="124">
        <v>12219</v>
      </c>
      <c r="O1483" t="s">
        <v>346</v>
      </c>
      <c r="P1483" t="s">
        <v>294</v>
      </c>
    </row>
    <row r="1484" spans="1:16" ht="15" customHeight="1" x14ac:dyDescent="0.25">
      <c r="A1484" s="123">
        <v>46021</v>
      </c>
      <c r="B1484" t="s">
        <v>383</v>
      </c>
      <c r="C1484" t="s">
        <v>384</v>
      </c>
      <c r="D1484" t="s">
        <v>225</v>
      </c>
      <c r="E1484" t="s">
        <v>437</v>
      </c>
      <c r="F1484" t="s">
        <v>181</v>
      </c>
      <c r="G1484" t="s">
        <v>1893</v>
      </c>
      <c r="H1484" s="77">
        <v>61</v>
      </c>
      <c r="I1484" s="124">
        <v>568.76</v>
      </c>
      <c r="J1484" s="124">
        <v>34694.33</v>
      </c>
      <c r="K1484" s="77">
        <v>30</v>
      </c>
      <c r="L1484" t="s">
        <v>351</v>
      </c>
      <c r="M1484" s="126">
        <v>6938.866</v>
      </c>
      <c r="N1484" s="124">
        <v>34694.33</v>
      </c>
      <c r="O1484" t="s">
        <v>346</v>
      </c>
      <c r="P1484" t="s">
        <v>294</v>
      </c>
    </row>
    <row r="1485" spans="1:16" ht="15" customHeight="1" x14ac:dyDescent="0.25">
      <c r="A1485" s="123">
        <v>45761</v>
      </c>
      <c r="B1485" t="s">
        <v>488</v>
      </c>
      <c r="C1485" t="s">
        <v>489</v>
      </c>
      <c r="D1485" t="s">
        <v>225</v>
      </c>
      <c r="E1485" t="s">
        <v>403</v>
      </c>
      <c r="F1485" t="s">
        <v>181</v>
      </c>
      <c r="G1485" t="s">
        <v>1894</v>
      </c>
      <c r="H1485" s="77">
        <v>65</v>
      </c>
      <c r="I1485" s="124">
        <v>176.59</v>
      </c>
      <c r="J1485" s="124">
        <v>11478.32</v>
      </c>
      <c r="K1485" s="77">
        <v>60</v>
      </c>
      <c r="L1485" t="s">
        <v>351</v>
      </c>
      <c r="M1485" s="126">
        <v>2295.6640000000002</v>
      </c>
      <c r="N1485" s="124">
        <v>11478.32</v>
      </c>
      <c r="O1485" t="s">
        <v>346</v>
      </c>
      <c r="P1485" t="s">
        <v>294</v>
      </c>
    </row>
    <row r="1486" spans="1:16" ht="15" customHeight="1" x14ac:dyDescent="0.25">
      <c r="A1486" s="123">
        <v>45661</v>
      </c>
      <c r="B1486" t="s">
        <v>347</v>
      </c>
      <c r="C1486" t="s">
        <v>348</v>
      </c>
      <c r="D1486" t="s">
        <v>223</v>
      </c>
      <c r="E1486" t="s">
        <v>356</v>
      </c>
      <c r="F1486" t="s">
        <v>181</v>
      </c>
      <c r="G1486" t="s">
        <v>1895</v>
      </c>
      <c r="H1486" s="77">
        <v>19</v>
      </c>
      <c r="I1486" s="124">
        <v>248.94</v>
      </c>
      <c r="J1486" s="124">
        <v>4729.82</v>
      </c>
      <c r="K1486" s="77">
        <v>45</v>
      </c>
      <c r="L1486" t="s">
        <v>339</v>
      </c>
      <c r="M1486" s="126">
        <v>945.96400000000006</v>
      </c>
      <c r="N1486" s="124">
        <v>4729.82</v>
      </c>
      <c r="O1486" t="s">
        <v>340</v>
      </c>
      <c r="P1486" t="s">
        <v>294</v>
      </c>
    </row>
    <row r="1487" spans="1:16" ht="15" customHeight="1" x14ac:dyDescent="0.25">
      <c r="A1487" s="123">
        <v>45826</v>
      </c>
      <c r="B1487" t="s">
        <v>347</v>
      </c>
      <c r="C1487" t="s">
        <v>348</v>
      </c>
      <c r="D1487" t="s">
        <v>223</v>
      </c>
      <c r="E1487" t="s">
        <v>352</v>
      </c>
      <c r="F1487" t="s">
        <v>180</v>
      </c>
      <c r="G1487" t="s">
        <v>1896</v>
      </c>
      <c r="H1487" s="77">
        <v>73</v>
      </c>
      <c r="I1487" s="124">
        <v>417.54</v>
      </c>
      <c r="J1487" s="124">
        <v>30480.59</v>
      </c>
      <c r="K1487" s="77">
        <v>45</v>
      </c>
      <c r="L1487" t="s">
        <v>345</v>
      </c>
      <c r="M1487" s="126">
        <v>6096.1180000000004</v>
      </c>
      <c r="N1487" s="124">
        <v>30480.59</v>
      </c>
      <c r="O1487" t="s">
        <v>346</v>
      </c>
      <c r="P1487" t="s">
        <v>294</v>
      </c>
    </row>
    <row r="1488" spans="1:16" ht="15" customHeight="1" x14ac:dyDescent="0.25">
      <c r="A1488" s="123">
        <v>45704</v>
      </c>
      <c r="B1488" t="s">
        <v>358</v>
      </c>
      <c r="C1488" t="s">
        <v>359</v>
      </c>
      <c r="D1488" t="s">
        <v>225</v>
      </c>
      <c r="E1488" t="s">
        <v>440</v>
      </c>
      <c r="F1488" t="s">
        <v>177</v>
      </c>
      <c r="G1488" t="s">
        <v>1897</v>
      </c>
      <c r="H1488" s="77">
        <v>37</v>
      </c>
      <c r="I1488" s="124">
        <v>55</v>
      </c>
      <c r="J1488" s="124">
        <v>2035.12</v>
      </c>
      <c r="K1488" s="77">
        <v>60</v>
      </c>
      <c r="L1488" t="s">
        <v>345</v>
      </c>
      <c r="M1488" s="126">
        <v>407.024</v>
      </c>
      <c r="N1488" s="124">
        <v>2035.12</v>
      </c>
      <c r="O1488" t="s">
        <v>346</v>
      </c>
      <c r="P1488" t="s">
        <v>294</v>
      </c>
    </row>
    <row r="1489" spans="1:16" ht="15" customHeight="1" x14ac:dyDescent="0.25">
      <c r="A1489" s="123">
        <v>45971</v>
      </c>
      <c r="B1489" t="s">
        <v>390</v>
      </c>
      <c r="C1489" t="s">
        <v>391</v>
      </c>
      <c r="D1489" t="s">
        <v>221</v>
      </c>
      <c r="E1489" t="s">
        <v>437</v>
      </c>
      <c r="F1489" t="s">
        <v>181</v>
      </c>
      <c r="G1489" t="s">
        <v>1898</v>
      </c>
      <c r="H1489" s="77">
        <v>23</v>
      </c>
      <c r="I1489" s="124">
        <v>83.53</v>
      </c>
      <c r="J1489" s="124">
        <v>1921.15</v>
      </c>
      <c r="K1489" s="77">
        <v>45</v>
      </c>
      <c r="L1489" t="s">
        <v>339</v>
      </c>
      <c r="M1489" s="126">
        <v>384.23</v>
      </c>
      <c r="N1489" s="124">
        <v>1921.15</v>
      </c>
      <c r="O1489" t="s">
        <v>346</v>
      </c>
      <c r="P1489" t="s">
        <v>294</v>
      </c>
    </row>
    <row r="1490" spans="1:16" ht="15" customHeight="1" x14ac:dyDescent="0.25">
      <c r="A1490" s="123">
        <v>45854</v>
      </c>
      <c r="B1490" t="s">
        <v>488</v>
      </c>
      <c r="C1490" t="s">
        <v>489</v>
      </c>
      <c r="D1490" t="s">
        <v>225</v>
      </c>
      <c r="E1490" t="s">
        <v>234</v>
      </c>
      <c r="F1490" t="s">
        <v>183</v>
      </c>
      <c r="G1490" t="s">
        <v>1899</v>
      </c>
      <c r="H1490" s="77">
        <v>24</v>
      </c>
      <c r="I1490" s="124">
        <v>129.63</v>
      </c>
      <c r="J1490" s="124">
        <v>3111.08</v>
      </c>
      <c r="K1490" s="77">
        <v>60</v>
      </c>
      <c r="L1490" t="s">
        <v>351</v>
      </c>
      <c r="M1490" s="126">
        <v>622.21600000000001</v>
      </c>
      <c r="N1490" s="124">
        <v>3111.08</v>
      </c>
      <c r="O1490" t="s">
        <v>346</v>
      </c>
      <c r="P1490" t="s">
        <v>294</v>
      </c>
    </row>
    <row r="1491" spans="1:16" ht="15" customHeight="1" x14ac:dyDescent="0.25">
      <c r="A1491" s="123">
        <v>45680</v>
      </c>
      <c r="B1491" t="s">
        <v>341</v>
      </c>
      <c r="C1491" t="s">
        <v>342</v>
      </c>
      <c r="D1491" t="s">
        <v>223</v>
      </c>
      <c r="E1491" t="s">
        <v>236</v>
      </c>
      <c r="F1491" t="s">
        <v>183</v>
      </c>
      <c r="G1491" t="s">
        <v>1900</v>
      </c>
      <c r="H1491" s="77">
        <v>31</v>
      </c>
      <c r="I1491" s="124">
        <v>600.76</v>
      </c>
      <c r="J1491" s="124">
        <v>18623.71</v>
      </c>
      <c r="K1491" s="77">
        <v>30</v>
      </c>
      <c r="L1491" t="s">
        <v>345</v>
      </c>
      <c r="M1491" s="126">
        <v>3724.7420000000002</v>
      </c>
      <c r="N1491" s="124">
        <v>18623.71</v>
      </c>
      <c r="O1491" t="s">
        <v>346</v>
      </c>
      <c r="P1491" t="s">
        <v>294</v>
      </c>
    </row>
    <row r="1492" spans="1:16" ht="15" customHeight="1" x14ac:dyDescent="0.25">
      <c r="A1492" s="123">
        <v>45692</v>
      </c>
      <c r="B1492" t="s">
        <v>488</v>
      </c>
      <c r="C1492" t="s">
        <v>489</v>
      </c>
      <c r="D1492" t="s">
        <v>225</v>
      </c>
      <c r="E1492" t="s">
        <v>403</v>
      </c>
      <c r="F1492" t="s">
        <v>181</v>
      </c>
      <c r="G1492" t="s">
        <v>1901</v>
      </c>
      <c r="H1492" s="77">
        <v>28</v>
      </c>
      <c r="I1492" s="124">
        <v>162.41</v>
      </c>
      <c r="J1492" s="124">
        <v>4547.3999999999996</v>
      </c>
      <c r="K1492" s="77">
        <v>45</v>
      </c>
      <c r="L1492" t="s">
        <v>345</v>
      </c>
      <c r="M1492" s="126">
        <v>909.48</v>
      </c>
      <c r="N1492" s="124">
        <v>4547.3999999999996</v>
      </c>
      <c r="O1492" t="s">
        <v>346</v>
      </c>
      <c r="P1492" t="s">
        <v>294</v>
      </c>
    </row>
    <row r="1493" spans="1:16" ht="15" customHeight="1" x14ac:dyDescent="0.25">
      <c r="A1493" s="123">
        <v>45697</v>
      </c>
      <c r="B1493" t="s">
        <v>393</v>
      </c>
      <c r="C1493" t="s">
        <v>394</v>
      </c>
      <c r="D1493" t="s">
        <v>227</v>
      </c>
      <c r="E1493" t="s">
        <v>368</v>
      </c>
      <c r="F1493" t="s">
        <v>178</v>
      </c>
      <c r="G1493" t="s">
        <v>1902</v>
      </c>
      <c r="H1493" s="77">
        <v>14</v>
      </c>
      <c r="I1493" s="124">
        <v>265.44</v>
      </c>
      <c r="J1493" s="124">
        <v>3716.19</v>
      </c>
      <c r="K1493" s="77">
        <v>60</v>
      </c>
      <c r="L1493" t="s">
        <v>345</v>
      </c>
      <c r="M1493" s="126">
        <v>743.23800000000006</v>
      </c>
      <c r="N1493" s="124">
        <v>3716.19</v>
      </c>
      <c r="O1493" t="s">
        <v>346</v>
      </c>
      <c r="P1493" t="s">
        <v>294</v>
      </c>
    </row>
    <row r="1494" spans="1:16" ht="15" customHeight="1" x14ac:dyDescent="0.25">
      <c r="A1494" s="123">
        <v>45787</v>
      </c>
      <c r="B1494" t="s">
        <v>341</v>
      </c>
      <c r="C1494" t="s">
        <v>342</v>
      </c>
      <c r="D1494" t="s">
        <v>223</v>
      </c>
      <c r="E1494" t="s">
        <v>396</v>
      </c>
      <c r="F1494" t="s">
        <v>184</v>
      </c>
      <c r="G1494" t="s">
        <v>1903</v>
      </c>
      <c r="H1494" s="77">
        <v>27</v>
      </c>
      <c r="I1494" s="124">
        <v>54.99</v>
      </c>
      <c r="J1494" s="124">
        <v>1484.73</v>
      </c>
      <c r="K1494" s="77">
        <v>60</v>
      </c>
      <c r="L1494" t="s">
        <v>339</v>
      </c>
      <c r="M1494" s="126">
        <v>296.94600000000003</v>
      </c>
      <c r="N1494" s="124">
        <v>1484.73</v>
      </c>
      <c r="O1494" t="s">
        <v>346</v>
      </c>
      <c r="P1494" t="s">
        <v>294</v>
      </c>
    </row>
    <row r="1495" spans="1:16" ht="15" customHeight="1" x14ac:dyDescent="0.25">
      <c r="A1495" s="123">
        <v>45985</v>
      </c>
      <c r="B1495" t="s">
        <v>401</v>
      </c>
      <c r="C1495" t="s">
        <v>402</v>
      </c>
      <c r="D1495" t="s">
        <v>221</v>
      </c>
      <c r="E1495" t="s">
        <v>349</v>
      </c>
      <c r="F1495" t="s">
        <v>177</v>
      </c>
      <c r="G1495" t="s">
        <v>1904</v>
      </c>
      <c r="H1495" s="77">
        <v>60</v>
      </c>
      <c r="I1495" s="124">
        <v>132.82</v>
      </c>
      <c r="J1495" s="124">
        <v>7969.2</v>
      </c>
      <c r="K1495" s="77">
        <v>45</v>
      </c>
      <c r="L1495" t="s">
        <v>345</v>
      </c>
      <c r="M1495" s="126">
        <v>1593.84</v>
      </c>
      <c r="N1495" s="124">
        <v>7969.2</v>
      </c>
      <c r="O1495" t="s">
        <v>340</v>
      </c>
      <c r="P1495" t="s">
        <v>294</v>
      </c>
    </row>
    <row r="1496" spans="1:16" ht="15" customHeight="1" x14ac:dyDescent="0.25">
      <c r="A1496" s="123">
        <v>45861</v>
      </c>
      <c r="B1496" t="s">
        <v>393</v>
      </c>
      <c r="C1496" t="s">
        <v>394</v>
      </c>
      <c r="D1496" t="s">
        <v>227</v>
      </c>
      <c r="E1496" t="s">
        <v>235</v>
      </c>
      <c r="F1496" t="s">
        <v>183</v>
      </c>
      <c r="G1496" t="s">
        <v>1905</v>
      </c>
      <c r="H1496" s="77">
        <v>5</v>
      </c>
      <c r="I1496" s="124">
        <v>700.6</v>
      </c>
      <c r="J1496" s="124">
        <v>3503.02</v>
      </c>
      <c r="K1496" s="77">
        <v>30</v>
      </c>
      <c r="L1496" t="s">
        <v>345</v>
      </c>
      <c r="M1496" s="126">
        <v>700.60400000000004</v>
      </c>
      <c r="N1496" s="124">
        <v>3503.02</v>
      </c>
      <c r="O1496" t="s">
        <v>346</v>
      </c>
      <c r="P1496" t="s">
        <v>294</v>
      </c>
    </row>
    <row r="1497" spans="1:16" ht="15" customHeight="1" x14ac:dyDescent="0.25">
      <c r="A1497" s="123">
        <v>46001</v>
      </c>
      <c r="B1497" t="s">
        <v>383</v>
      </c>
      <c r="C1497" t="s">
        <v>384</v>
      </c>
      <c r="D1497" t="s">
        <v>225</v>
      </c>
      <c r="E1497" t="s">
        <v>381</v>
      </c>
      <c r="F1497" t="s">
        <v>179</v>
      </c>
      <c r="G1497" t="s">
        <v>1906</v>
      </c>
      <c r="H1497" s="77">
        <v>60</v>
      </c>
      <c r="I1497" s="124">
        <v>542.57000000000005</v>
      </c>
      <c r="J1497" s="124">
        <v>32553.9</v>
      </c>
      <c r="K1497" s="77">
        <v>45</v>
      </c>
      <c r="L1497" t="s">
        <v>345</v>
      </c>
      <c r="M1497" s="126">
        <v>6510.78</v>
      </c>
      <c r="N1497" s="124">
        <v>32553.9</v>
      </c>
      <c r="O1497" t="s">
        <v>346</v>
      </c>
      <c r="P1497" t="s">
        <v>294</v>
      </c>
    </row>
    <row r="1498" spans="1:16" ht="15" customHeight="1" x14ac:dyDescent="0.25">
      <c r="A1498" s="123">
        <v>45994</v>
      </c>
      <c r="B1498" t="s">
        <v>390</v>
      </c>
      <c r="C1498" t="s">
        <v>391</v>
      </c>
      <c r="D1498" t="s">
        <v>221</v>
      </c>
      <c r="E1498" t="s">
        <v>343</v>
      </c>
      <c r="F1498" t="s">
        <v>178</v>
      </c>
      <c r="G1498" t="s">
        <v>1907</v>
      </c>
      <c r="H1498" s="77">
        <v>32</v>
      </c>
      <c r="I1498" s="124">
        <v>201.99</v>
      </c>
      <c r="J1498" s="124">
        <v>6463.65</v>
      </c>
      <c r="K1498" s="77">
        <v>60</v>
      </c>
      <c r="L1498" t="s">
        <v>345</v>
      </c>
      <c r="M1498" s="126">
        <v>1292.73</v>
      </c>
      <c r="N1498" s="124">
        <v>6463.65</v>
      </c>
      <c r="O1498" t="s">
        <v>346</v>
      </c>
      <c r="P1498" t="s">
        <v>294</v>
      </c>
    </row>
    <row r="1499" spans="1:16" ht="15" customHeight="1" x14ac:dyDescent="0.25">
      <c r="A1499" s="123">
        <v>45740</v>
      </c>
      <c r="B1499" t="s">
        <v>358</v>
      </c>
      <c r="C1499" t="s">
        <v>359</v>
      </c>
      <c r="D1499" t="s">
        <v>225</v>
      </c>
      <c r="E1499" t="s">
        <v>427</v>
      </c>
      <c r="F1499" t="s">
        <v>184</v>
      </c>
      <c r="G1499" t="s">
        <v>1908</v>
      </c>
      <c r="H1499" s="77">
        <v>22</v>
      </c>
      <c r="I1499" s="124">
        <v>145.78</v>
      </c>
      <c r="J1499" s="124">
        <v>3207.13</v>
      </c>
      <c r="K1499" s="77">
        <v>30</v>
      </c>
      <c r="L1499" t="s">
        <v>351</v>
      </c>
      <c r="M1499" s="126">
        <v>641.42600000000004</v>
      </c>
      <c r="N1499" s="124">
        <v>3207.13</v>
      </c>
      <c r="O1499" t="s">
        <v>346</v>
      </c>
      <c r="P1499" t="s">
        <v>294</v>
      </c>
    </row>
    <row r="1500" spans="1:16" ht="15" customHeight="1" x14ac:dyDescent="0.25">
      <c r="A1500" s="123">
        <v>45721</v>
      </c>
      <c r="B1500" t="s">
        <v>409</v>
      </c>
      <c r="C1500" t="s">
        <v>410</v>
      </c>
      <c r="D1500" t="s">
        <v>223</v>
      </c>
      <c r="E1500" t="s">
        <v>381</v>
      </c>
      <c r="F1500" t="s">
        <v>179</v>
      </c>
      <c r="G1500" t="s">
        <v>1909</v>
      </c>
      <c r="H1500" s="77">
        <v>69</v>
      </c>
      <c r="I1500" s="124">
        <v>316.14</v>
      </c>
      <c r="J1500" s="124">
        <v>21813.79</v>
      </c>
      <c r="K1500" s="77">
        <v>60</v>
      </c>
      <c r="L1500" t="s">
        <v>345</v>
      </c>
      <c r="M1500" s="126">
        <v>4362.7579999999998</v>
      </c>
      <c r="N1500" s="124">
        <v>21813.79</v>
      </c>
      <c r="O1500" t="s">
        <v>346</v>
      </c>
      <c r="P1500" t="s">
        <v>294</v>
      </c>
    </row>
    <row r="1501" spans="1:16" ht="15" customHeight="1" x14ac:dyDescent="0.25">
      <c r="A1501" s="123">
        <v>45663</v>
      </c>
      <c r="B1501" t="s">
        <v>366</v>
      </c>
      <c r="C1501" t="s">
        <v>367</v>
      </c>
      <c r="D1501" t="s">
        <v>221</v>
      </c>
      <c r="E1501" t="s">
        <v>343</v>
      </c>
      <c r="F1501" t="s">
        <v>178</v>
      </c>
      <c r="G1501" t="s">
        <v>1910</v>
      </c>
      <c r="H1501" s="77">
        <v>35</v>
      </c>
      <c r="I1501" s="124">
        <v>90.04</v>
      </c>
      <c r="J1501" s="124">
        <v>3151.47</v>
      </c>
      <c r="K1501" s="77">
        <v>30</v>
      </c>
      <c r="L1501" t="s">
        <v>345</v>
      </c>
      <c r="M1501" s="126">
        <v>630.29399999999998</v>
      </c>
      <c r="N1501" s="124">
        <v>3151.47</v>
      </c>
      <c r="O1501" t="s">
        <v>346</v>
      </c>
      <c r="P1501" t="s">
        <v>294</v>
      </c>
    </row>
    <row r="1502" spans="1:16" ht="15" customHeight="1" x14ac:dyDescent="0.25">
      <c r="A1502" s="123">
        <v>45675</v>
      </c>
      <c r="B1502" t="s">
        <v>386</v>
      </c>
      <c r="C1502" t="s">
        <v>387</v>
      </c>
      <c r="D1502" t="s">
        <v>223</v>
      </c>
      <c r="E1502" t="s">
        <v>442</v>
      </c>
      <c r="F1502" t="s">
        <v>179</v>
      </c>
      <c r="G1502" t="s">
        <v>1911</v>
      </c>
      <c r="H1502" s="77">
        <v>69</v>
      </c>
      <c r="I1502" s="124">
        <v>276.18</v>
      </c>
      <c r="J1502" s="124">
        <v>19056.47</v>
      </c>
      <c r="K1502" s="77">
        <v>30</v>
      </c>
      <c r="L1502" t="s">
        <v>345</v>
      </c>
      <c r="M1502" s="126">
        <v>3811.2939999999999</v>
      </c>
      <c r="N1502" s="124">
        <v>19056.47</v>
      </c>
      <c r="O1502" t="s">
        <v>340</v>
      </c>
      <c r="P1502" t="s">
        <v>294</v>
      </c>
    </row>
    <row r="1503" spans="1:16" ht="15" customHeight="1" x14ac:dyDescent="0.25">
      <c r="A1503" s="123">
        <v>45925</v>
      </c>
      <c r="B1503" t="s">
        <v>347</v>
      </c>
      <c r="C1503" t="s">
        <v>348</v>
      </c>
      <c r="D1503" t="s">
        <v>223</v>
      </c>
      <c r="E1503" t="s">
        <v>440</v>
      </c>
      <c r="F1503" t="s">
        <v>177</v>
      </c>
      <c r="G1503" t="s">
        <v>1912</v>
      </c>
      <c r="H1503" s="77">
        <v>14</v>
      </c>
      <c r="I1503" s="124">
        <v>88.62</v>
      </c>
      <c r="J1503" s="124">
        <v>1240.6600000000001</v>
      </c>
      <c r="K1503" s="77">
        <v>45</v>
      </c>
      <c r="L1503" t="s">
        <v>351</v>
      </c>
      <c r="M1503" s="126">
        <v>248.13200000000001</v>
      </c>
      <c r="N1503" s="124">
        <v>1240.6600000000001</v>
      </c>
      <c r="O1503" t="s">
        <v>346</v>
      </c>
      <c r="P1503" t="s">
        <v>294</v>
      </c>
    </row>
    <row r="1504" spans="1:16" ht="15" customHeight="1" x14ac:dyDescent="0.25">
      <c r="A1504" s="123">
        <v>45964</v>
      </c>
      <c r="B1504" t="s">
        <v>378</v>
      </c>
      <c r="C1504" t="s">
        <v>379</v>
      </c>
      <c r="D1504" t="s">
        <v>227</v>
      </c>
      <c r="E1504" t="s">
        <v>396</v>
      </c>
      <c r="F1504" t="s">
        <v>184</v>
      </c>
      <c r="G1504" t="s">
        <v>1913</v>
      </c>
      <c r="H1504" s="77">
        <v>1</v>
      </c>
      <c r="I1504" s="124">
        <v>47.82</v>
      </c>
      <c r="J1504" s="124">
        <v>47.82</v>
      </c>
      <c r="K1504" s="77">
        <v>30</v>
      </c>
      <c r="L1504" t="s">
        <v>345</v>
      </c>
      <c r="M1504" s="126">
        <v>9.5640000000000001</v>
      </c>
      <c r="N1504" s="124">
        <v>47.82</v>
      </c>
      <c r="O1504" t="s">
        <v>346</v>
      </c>
      <c r="P1504" t="s">
        <v>294</v>
      </c>
    </row>
    <row r="1505" spans="1:16" ht="15" customHeight="1" x14ac:dyDescent="0.25">
      <c r="A1505" s="123">
        <v>45780</v>
      </c>
      <c r="B1505" t="s">
        <v>383</v>
      </c>
      <c r="C1505" t="s">
        <v>384</v>
      </c>
      <c r="D1505" t="s">
        <v>225</v>
      </c>
      <c r="E1505" t="s">
        <v>360</v>
      </c>
      <c r="F1505" t="s">
        <v>180</v>
      </c>
      <c r="G1505" t="s">
        <v>1914</v>
      </c>
      <c r="H1505" s="77">
        <v>26</v>
      </c>
      <c r="I1505" s="124">
        <v>249.54</v>
      </c>
      <c r="J1505" s="124">
        <v>6487.95</v>
      </c>
      <c r="K1505" s="77">
        <v>30</v>
      </c>
      <c r="L1505" t="s">
        <v>339</v>
      </c>
      <c r="M1505" s="126">
        <v>1297.5899999999999</v>
      </c>
      <c r="N1505" s="124">
        <v>6487.95</v>
      </c>
      <c r="O1505" t="s">
        <v>346</v>
      </c>
      <c r="P1505" t="s">
        <v>294</v>
      </c>
    </row>
    <row r="1506" spans="1:16" ht="15" customHeight="1" x14ac:dyDescent="0.25">
      <c r="A1506" s="123">
        <v>45830</v>
      </c>
      <c r="B1506" t="s">
        <v>398</v>
      </c>
      <c r="C1506" t="s">
        <v>399</v>
      </c>
      <c r="D1506" t="s">
        <v>227</v>
      </c>
      <c r="E1506" t="s">
        <v>349</v>
      </c>
      <c r="F1506" t="s">
        <v>177</v>
      </c>
      <c r="G1506" t="s">
        <v>1915</v>
      </c>
      <c r="H1506" s="77">
        <v>25</v>
      </c>
      <c r="I1506" s="124">
        <v>109.28</v>
      </c>
      <c r="J1506" s="124">
        <v>2731.94</v>
      </c>
      <c r="K1506" s="77">
        <v>60</v>
      </c>
      <c r="L1506" t="s">
        <v>351</v>
      </c>
      <c r="M1506" s="126">
        <v>546.38800000000003</v>
      </c>
      <c r="N1506" s="124">
        <v>2731.94</v>
      </c>
      <c r="O1506" t="s">
        <v>340</v>
      </c>
      <c r="P1506" t="s">
        <v>294</v>
      </c>
    </row>
    <row r="1507" spans="1:16" ht="15" customHeight="1" x14ac:dyDescent="0.25">
      <c r="A1507" s="123">
        <v>45998</v>
      </c>
      <c r="B1507" t="s">
        <v>366</v>
      </c>
      <c r="C1507" t="s">
        <v>367</v>
      </c>
      <c r="D1507" t="s">
        <v>221</v>
      </c>
      <c r="E1507" t="s">
        <v>423</v>
      </c>
      <c r="F1507" t="s">
        <v>180</v>
      </c>
      <c r="G1507" t="s">
        <v>1916</v>
      </c>
      <c r="H1507" s="77">
        <v>22</v>
      </c>
      <c r="I1507" s="124">
        <v>194.84</v>
      </c>
      <c r="J1507" s="124">
        <v>4286.51</v>
      </c>
      <c r="K1507" s="77">
        <v>60</v>
      </c>
      <c r="L1507" t="s">
        <v>339</v>
      </c>
      <c r="M1507" s="126">
        <v>857.30200000000002</v>
      </c>
      <c r="N1507" s="124">
        <v>4286.51</v>
      </c>
      <c r="O1507" t="s">
        <v>346</v>
      </c>
      <c r="P1507" t="s">
        <v>294</v>
      </c>
    </row>
    <row r="1508" spans="1:16" ht="15" customHeight="1" x14ac:dyDescent="0.25">
      <c r="A1508" s="123">
        <v>45713</v>
      </c>
      <c r="B1508" t="s">
        <v>366</v>
      </c>
      <c r="C1508" t="s">
        <v>367</v>
      </c>
      <c r="D1508" t="s">
        <v>221</v>
      </c>
      <c r="E1508" t="s">
        <v>236</v>
      </c>
      <c r="F1508" t="s">
        <v>183</v>
      </c>
      <c r="G1508" t="s">
        <v>1917</v>
      </c>
      <c r="H1508" s="77">
        <v>42</v>
      </c>
      <c r="I1508" s="124">
        <v>440.01</v>
      </c>
      <c r="J1508" s="124">
        <v>18480.39</v>
      </c>
      <c r="K1508" s="77">
        <v>45</v>
      </c>
      <c r="L1508" t="s">
        <v>351</v>
      </c>
      <c r="M1508" s="126">
        <v>3696.078</v>
      </c>
      <c r="N1508" s="124">
        <v>18480.39</v>
      </c>
      <c r="O1508" t="s">
        <v>346</v>
      </c>
      <c r="P1508" t="s">
        <v>294</v>
      </c>
    </row>
    <row r="1509" spans="1:16" ht="15" customHeight="1" x14ac:dyDescent="0.25">
      <c r="A1509" s="123">
        <v>45764</v>
      </c>
      <c r="B1509" t="s">
        <v>358</v>
      </c>
      <c r="C1509" t="s">
        <v>359</v>
      </c>
      <c r="D1509" t="s">
        <v>225</v>
      </c>
      <c r="E1509" t="s">
        <v>1918</v>
      </c>
      <c r="F1509" t="s">
        <v>180</v>
      </c>
      <c r="G1509" t="s">
        <v>1919</v>
      </c>
      <c r="H1509" s="77">
        <v>70</v>
      </c>
      <c r="I1509" s="124">
        <v>422.79</v>
      </c>
      <c r="J1509" s="124">
        <v>29595.39</v>
      </c>
      <c r="K1509" s="77">
        <v>45</v>
      </c>
      <c r="L1509" t="s">
        <v>345</v>
      </c>
      <c r="M1509" s="126">
        <v>5919.0780000000004</v>
      </c>
      <c r="N1509" s="124">
        <v>29595.39</v>
      </c>
      <c r="O1509" t="s">
        <v>346</v>
      </c>
      <c r="P1509" t="s">
        <v>294</v>
      </c>
    </row>
    <row r="1510" spans="1:16" ht="15" customHeight="1" x14ac:dyDescent="0.25">
      <c r="A1510" s="123">
        <v>45712</v>
      </c>
      <c r="B1510" t="s">
        <v>390</v>
      </c>
      <c r="C1510" t="s">
        <v>391</v>
      </c>
      <c r="D1510" t="s">
        <v>221</v>
      </c>
      <c r="E1510" t="s">
        <v>423</v>
      </c>
      <c r="F1510" t="s">
        <v>180</v>
      </c>
      <c r="G1510" t="s">
        <v>1920</v>
      </c>
      <c r="H1510" s="77">
        <v>46</v>
      </c>
      <c r="I1510" s="124">
        <v>262.45999999999998</v>
      </c>
      <c r="J1510" s="124">
        <v>12072.99</v>
      </c>
      <c r="K1510" s="77">
        <v>45</v>
      </c>
      <c r="L1510" t="s">
        <v>339</v>
      </c>
      <c r="M1510" s="126">
        <v>2414.598</v>
      </c>
      <c r="N1510" s="124">
        <v>12072.99</v>
      </c>
      <c r="O1510" t="s">
        <v>346</v>
      </c>
      <c r="P1510" t="s">
        <v>294</v>
      </c>
    </row>
    <row r="1511" spans="1:16" ht="15" customHeight="1" x14ac:dyDescent="0.25">
      <c r="A1511" s="123">
        <v>45819</v>
      </c>
      <c r="B1511" t="s">
        <v>335</v>
      </c>
      <c r="C1511" t="s">
        <v>336</v>
      </c>
      <c r="D1511" t="s">
        <v>223</v>
      </c>
      <c r="E1511" t="s">
        <v>236</v>
      </c>
      <c r="F1511" t="s">
        <v>183</v>
      </c>
      <c r="G1511" t="s">
        <v>1921</v>
      </c>
      <c r="H1511" s="77">
        <v>2</v>
      </c>
      <c r="I1511" s="124">
        <v>676.16</v>
      </c>
      <c r="J1511" s="124">
        <v>1352.31</v>
      </c>
      <c r="K1511" s="77">
        <v>45</v>
      </c>
      <c r="L1511" t="s">
        <v>339</v>
      </c>
      <c r="M1511" s="126">
        <v>270.46199999999999</v>
      </c>
      <c r="N1511" s="124">
        <v>1352.31</v>
      </c>
      <c r="O1511" t="s">
        <v>346</v>
      </c>
      <c r="P1511" t="s">
        <v>294</v>
      </c>
    </row>
    <row r="1512" spans="1:16" ht="15" customHeight="1" x14ac:dyDescent="0.25">
      <c r="A1512" s="123">
        <v>45994</v>
      </c>
      <c r="B1512" t="s">
        <v>354</v>
      </c>
      <c r="C1512" t="s">
        <v>355</v>
      </c>
      <c r="D1512" t="s">
        <v>227</v>
      </c>
      <c r="E1512" t="s">
        <v>423</v>
      </c>
      <c r="F1512" t="s">
        <v>180</v>
      </c>
      <c r="G1512" t="s">
        <v>1922</v>
      </c>
      <c r="H1512" s="77">
        <v>36</v>
      </c>
      <c r="I1512" s="124">
        <v>133.41999999999999</v>
      </c>
      <c r="J1512" s="124">
        <v>4803.26</v>
      </c>
      <c r="K1512" s="77">
        <v>60</v>
      </c>
      <c r="L1512" t="s">
        <v>351</v>
      </c>
      <c r="M1512" s="126">
        <v>960.65200000000004</v>
      </c>
      <c r="N1512" s="124">
        <v>4803.26</v>
      </c>
      <c r="O1512" t="s">
        <v>346</v>
      </c>
      <c r="P1512" t="s">
        <v>294</v>
      </c>
    </row>
    <row r="1513" spans="1:16" ht="15" customHeight="1" x14ac:dyDescent="0.25">
      <c r="A1513" s="123">
        <v>45769</v>
      </c>
      <c r="B1513" t="s">
        <v>406</v>
      </c>
      <c r="C1513" t="s">
        <v>407</v>
      </c>
      <c r="D1513" t="s">
        <v>225</v>
      </c>
      <c r="E1513" t="s">
        <v>349</v>
      </c>
      <c r="F1513" t="s">
        <v>177</v>
      </c>
      <c r="G1513" t="s">
        <v>1923</v>
      </c>
      <c r="H1513" s="77">
        <v>53</v>
      </c>
      <c r="I1513" s="124">
        <v>107.88</v>
      </c>
      <c r="J1513" s="124">
        <v>5717.41</v>
      </c>
      <c r="K1513" s="77">
        <v>45</v>
      </c>
      <c r="L1513" t="s">
        <v>351</v>
      </c>
      <c r="M1513" s="126">
        <v>1143.482</v>
      </c>
      <c r="N1513" s="124">
        <v>5717.41</v>
      </c>
      <c r="O1513" t="s">
        <v>340</v>
      </c>
      <c r="P1513" t="s">
        <v>294</v>
      </c>
    </row>
    <row r="1514" spans="1:16" ht="15" customHeight="1" x14ac:dyDescent="0.25">
      <c r="A1514" s="123">
        <v>45932</v>
      </c>
      <c r="B1514" t="s">
        <v>358</v>
      </c>
      <c r="C1514" t="s">
        <v>359</v>
      </c>
      <c r="D1514" t="s">
        <v>225</v>
      </c>
      <c r="E1514" t="s">
        <v>343</v>
      </c>
      <c r="F1514" t="s">
        <v>178</v>
      </c>
      <c r="G1514" t="s">
        <v>1924</v>
      </c>
      <c r="H1514" s="77">
        <v>73</v>
      </c>
      <c r="I1514" s="124">
        <v>43.82</v>
      </c>
      <c r="J1514" s="124">
        <v>3199</v>
      </c>
      <c r="K1514" s="77">
        <v>30</v>
      </c>
      <c r="L1514" t="s">
        <v>345</v>
      </c>
      <c r="M1514" s="126">
        <v>639.79999999999995</v>
      </c>
      <c r="N1514" s="124">
        <v>3199</v>
      </c>
      <c r="O1514" t="s">
        <v>346</v>
      </c>
      <c r="P1514" t="s">
        <v>294</v>
      </c>
    </row>
    <row r="1515" spans="1:16" ht="15" customHeight="1" x14ac:dyDescent="0.25">
      <c r="A1515" s="123">
        <v>46014</v>
      </c>
      <c r="B1515" t="s">
        <v>383</v>
      </c>
      <c r="C1515" t="s">
        <v>384</v>
      </c>
      <c r="D1515" t="s">
        <v>225</v>
      </c>
      <c r="E1515" t="s">
        <v>364</v>
      </c>
      <c r="F1515" t="s">
        <v>182</v>
      </c>
      <c r="G1515" t="s">
        <v>1925</v>
      </c>
      <c r="H1515" s="77">
        <v>50</v>
      </c>
      <c r="I1515" s="124">
        <v>34.03</v>
      </c>
      <c r="J1515" s="124">
        <v>1701.57</v>
      </c>
      <c r="K1515" s="77">
        <v>60</v>
      </c>
      <c r="L1515" t="s">
        <v>351</v>
      </c>
      <c r="M1515" s="126">
        <v>340.31400000000002</v>
      </c>
      <c r="N1515" s="124">
        <v>1701.57</v>
      </c>
      <c r="O1515" t="s">
        <v>346</v>
      </c>
      <c r="P1515" t="s">
        <v>294</v>
      </c>
    </row>
    <row r="1516" spans="1:16" ht="15" customHeight="1" x14ac:dyDescent="0.25">
      <c r="A1516" s="123">
        <v>45983</v>
      </c>
      <c r="B1516" t="s">
        <v>341</v>
      </c>
      <c r="C1516" t="s">
        <v>342</v>
      </c>
      <c r="D1516" t="s">
        <v>223</v>
      </c>
      <c r="E1516" t="s">
        <v>376</v>
      </c>
      <c r="F1516" t="s">
        <v>182</v>
      </c>
      <c r="G1516" t="s">
        <v>1926</v>
      </c>
      <c r="H1516" s="77">
        <v>41</v>
      </c>
      <c r="I1516" s="124">
        <v>90.78</v>
      </c>
      <c r="J1516" s="124">
        <v>3721.84</v>
      </c>
      <c r="K1516" s="77">
        <v>60</v>
      </c>
      <c r="L1516" t="s">
        <v>345</v>
      </c>
      <c r="M1516" s="126">
        <v>744.36800000000005</v>
      </c>
      <c r="N1516" s="124">
        <v>3721.84</v>
      </c>
      <c r="O1516" t="s">
        <v>340</v>
      </c>
      <c r="P1516" t="s">
        <v>294</v>
      </c>
    </row>
    <row r="1517" spans="1:16" ht="15" customHeight="1" x14ac:dyDescent="0.25">
      <c r="A1517" s="123">
        <v>45969</v>
      </c>
      <c r="B1517" t="s">
        <v>406</v>
      </c>
      <c r="C1517" t="s">
        <v>407</v>
      </c>
      <c r="D1517" t="s">
        <v>225</v>
      </c>
      <c r="E1517" t="s">
        <v>376</v>
      </c>
      <c r="F1517" t="s">
        <v>182</v>
      </c>
      <c r="G1517" t="s">
        <v>1927</v>
      </c>
      <c r="H1517" s="77">
        <v>75</v>
      </c>
      <c r="I1517" s="124">
        <v>88.85</v>
      </c>
      <c r="J1517" s="124">
        <v>6663.52</v>
      </c>
      <c r="K1517" s="77">
        <v>45</v>
      </c>
      <c r="L1517" t="s">
        <v>345</v>
      </c>
      <c r="M1517" s="126">
        <v>1332.704</v>
      </c>
      <c r="N1517" s="124">
        <v>6663.52</v>
      </c>
      <c r="O1517" t="s">
        <v>340</v>
      </c>
      <c r="P1517" t="s">
        <v>294</v>
      </c>
    </row>
    <row r="1518" spans="1:16" ht="15" customHeight="1" x14ac:dyDescent="0.25">
      <c r="A1518" s="123">
        <v>45958</v>
      </c>
      <c r="B1518" t="s">
        <v>362</v>
      </c>
      <c r="C1518" t="s">
        <v>363</v>
      </c>
      <c r="D1518" t="s">
        <v>221</v>
      </c>
      <c r="E1518" t="s">
        <v>352</v>
      </c>
      <c r="F1518" t="s">
        <v>180</v>
      </c>
      <c r="G1518" t="s">
        <v>1928</v>
      </c>
      <c r="H1518" s="77">
        <v>2</v>
      </c>
      <c r="I1518" s="124">
        <v>574.71</v>
      </c>
      <c r="J1518" s="124">
        <v>1149.4100000000001</v>
      </c>
      <c r="K1518" s="77">
        <v>30</v>
      </c>
      <c r="L1518" t="s">
        <v>339</v>
      </c>
      <c r="M1518" s="126">
        <v>229.88200000000001</v>
      </c>
      <c r="N1518" s="124">
        <v>1149.4100000000001</v>
      </c>
      <c r="O1518" t="s">
        <v>346</v>
      </c>
      <c r="P1518" t="s">
        <v>294</v>
      </c>
    </row>
    <row r="1519" spans="1:16" ht="15" customHeight="1" x14ac:dyDescent="0.25">
      <c r="A1519" s="123">
        <v>45779</v>
      </c>
      <c r="B1519" t="s">
        <v>378</v>
      </c>
      <c r="C1519" t="s">
        <v>379</v>
      </c>
      <c r="D1519" t="s">
        <v>227</v>
      </c>
      <c r="E1519" t="s">
        <v>368</v>
      </c>
      <c r="F1519" t="s">
        <v>178</v>
      </c>
      <c r="G1519" t="s">
        <v>1929</v>
      </c>
      <c r="H1519" s="77">
        <v>55</v>
      </c>
      <c r="I1519" s="124">
        <v>91.96</v>
      </c>
      <c r="J1519" s="124">
        <v>5057.7</v>
      </c>
      <c r="K1519" s="77">
        <v>30</v>
      </c>
      <c r="L1519" t="s">
        <v>351</v>
      </c>
      <c r="M1519" s="126">
        <v>1011.54</v>
      </c>
      <c r="N1519" s="124">
        <v>5057.7</v>
      </c>
      <c r="O1519" t="s">
        <v>346</v>
      </c>
      <c r="P1519" t="s">
        <v>294</v>
      </c>
    </row>
    <row r="1520" spans="1:16" ht="15" customHeight="1" x14ac:dyDescent="0.25">
      <c r="A1520" s="123">
        <v>45849</v>
      </c>
      <c r="B1520" t="s">
        <v>406</v>
      </c>
      <c r="C1520" t="s">
        <v>407</v>
      </c>
      <c r="D1520" t="s">
        <v>225</v>
      </c>
      <c r="E1520" t="s">
        <v>349</v>
      </c>
      <c r="F1520" t="s">
        <v>177</v>
      </c>
      <c r="G1520" t="s">
        <v>1930</v>
      </c>
      <c r="H1520" s="77">
        <v>64</v>
      </c>
      <c r="I1520" s="124">
        <v>68.319999999999993</v>
      </c>
      <c r="J1520" s="124">
        <v>4372.42</v>
      </c>
      <c r="K1520" s="77">
        <v>45</v>
      </c>
      <c r="L1520" t="s">
        <v>339</v>
      </c>
      <c r="M1520" s="126">
        <v>874.48400000000004</v>
      </c>
      <c r="N1520" s="124">
        <v>4372.42</v>
      </c>
      <c r="O1520" t="s">
        <v>340</v>
      </c>
      <c r="P1520" t="s">
        <v>294</v>
      </c>
    </row>
    <row r="1521" spans="1:16" ht="15" customHeight="1" x14ac:dyDescent="0.25">
      <c r="A1521" s="123">
        <v>45986</v>
      </c>
      <c r="B1521" t="s">
        <v>431</v>
      </c>
      <c r="C1521" t="s">
        <v>432</v>
      </c>
      <c r="D1521" t="s">
        <v>221</v>
      </c>
      <c r="E1521" t="s">
        <v>235</v>
      </c>
      <c r="F1521" t="s">
        <v>183</v>
      </c>
      <c r="G1521" t="s">
        <v>1931</v>
      </c>
      <c r="H1521" s="77">
        <v>5</v>
      </c>
      <c r="I1521" s="124">
        <v>831.75</v>
      </c>
      <c r="J1521" s="124">
        <v>4158.76</v>
      </c>
      <c r="K1521" s="77">
        <v>30</v>
      </c>
      <c r="L1521" t="s">
        <v>351</v>
      </c>
      <c r="M1521" s="126">
        <v>831.75199999999995</v>
      </c>
      <c r="N1521" s="124">
        <v>4158.76</v>
      </c>
      <c r="O1521" t="s">
        <v>346</v>
      </c>
      <c r="P1521" t="s">
        <v>294</v>
      </c>
    </row>
    <row r="1522" spans="1:16" ht="15" customHeight="1" x14ac:dyDescent="0.25">
      <c r="A1522" s="123">
        <v>45826</v>
      </c>
      <c r="B1522" t="s">
        <v>347</v>
      </c>
      <c r="C1522" t="s">
        <v>348</v>
      </c>
      <c r="D1522" t="s">
        <v>223</v>
      </c>
      <c r="E1522" t="s">
        <v>417</v>
      </c>
      <c r="F1522" t="s">
        <v>184</v>
      </c>
      <c r="G1522" t="s">
        <v>1932</v>
      </c>
      <c r="H1522" s="77">
        <v>18</v>
      </c>
      <c r="I1522" s="124">
        <v>146.80000000000001</v>
      </c>
      <c r="J1522" s="124">
        <v>2642.36</v>
      </c>
      <c r="K1522" s="77">
        <v>45</v>
      </c>
      <c r="L1522" t="s">
        <v>345</v>
      </c>
      <c r="M1522" s="126">
        <v>528.47199999999998</v>
      </c>
      <c r="N1522" s="124">
        <v>2642.36</v>
      </c>
      <c r="O1522" t="s">
        <v>346</v>
      </c>
      <c r="P1522" t="s">
        <v>294</v>
      </c>
    </row>
    <row r="1523" spans="1:16" ht="15" customHeight="1" x14ac:dyDescent="0.25">
      <c r="A1523" s="123">
        <v>45870</v>
      </c>
      <c r="B1523" t="s">
        <v>406</v>
      </c>
      <c r="C1523" t="s">
        <v>407</v>
      </c>
      <c r="D1523" t="s">
        <v>225</v>
      </c>
      <c r="E1523" t="s">
        <v>440</v>
      </c>
      <c r="F1523" t="s">
        <v>177</v>
      </c>
      <c r="G1523" t="s">
        <v>1933</v>
      </c>
      <c r="H1523" s="77">
        <v>37</v>
      </c>
      <c r="I1523" s="124">
        <v>165.28</v>
      </c>
      <c r="J1523" s="124">
        <v>6115.39</v>
      </c>
      <c r="K1523" s="77">
        <v>30</v>
      </c>
      <c r="L1523" t="s">
        <v>339</v>
      </c>
      <c r="M1523" s="126">
        <v>1223.078</v>
      </c>
      <c r="N1523" s="124">
        <v>6115.39</v>
      </c>
      <c r="O1523" t="s">
        <v>346</v>
      </c>
      <c r="P1523" t="s">
        <v>294</v>
      </c>
    </row>
    <row r="1524" spans="1:16" ht="15" customHeight="1" x14ac:dyDescent="0.25">
      <c r="A1524" s="123">
        <v>45782</v>
      </c>
      <c r="B1524" t="s">
        <v>370</v>
      </c>
      <c r="C1524" t="s">
        <v>371</v>
      </c>
      <c r="D1524" t="s">
        <v>227</v>
      </c>
      <c r="E1524" t="s">
        <v>420</v>
      </c>
      <c r="F1524" t="s">
        <v>182</v>
      </c>
      <c r="G1524" t="s">
        <v>1934</v>
      </c>
      <c r="H1524" s="77">
        <v>27</v>
      </c>
      <c r="I1524" s="124">
        <v>83.87</v>
      </c>
      <c r="J1524" s="124">
        <v>2264.59</v>
      </c>
      <c r="K1524" s="77">
        <v>60</v>
      </c>
      <c r="L1524" t="s">
        <v>339</v>
      </c>
      <c r="M1524" s="126">
        <v>452.91800000000001</v>
      </c>
      <c r="N1524" s="124">
        <v>2264.59</v>
      </c>
      <c r="O1524" t="s">
        <v>346</v>
      </c>
      <c r="P1524" t="s">
        <v>294</v>
      </c>
    </row>
    <row r="1525" spans="1:16" ht="15" customHeight="1" x14ac:dyDescent="0.25">
      <c r="A1525" s="123">
        <v>46014</v>
      </c>
      <c r="B1525" t="s">
        <v>409</v>
      </c>
      <c r="C1525" t="s">
        <v>410</v>
      </c>
      <c r="D1525" t="s">
        <v>223</v>
      </c>
      <c r="E1525" t="s">
        <v>352</v>
      </c>
      <c r="F1525" t="s">
        <v>180</v>
      </c>
      <c r="G1525" t="s">
        <v>1935</v>
      </c>
      <c r="H1525" s="77">
        <v>29</v>
      </c>
      <c r="I1525" s="124">
        <v>147.49</v>
      </c>
      <c r="J1525" s="124">
        <v>4277.25</v>
      </c>
      <c r="K1525" s="77">
        <v>60</v>
      </c>
      <c r="L1525" t="s">
        <v>345</v>
      </c>
      <c r="M1525" s="126">
        <v>855.45</v>
      </c>
      <c r="N1525" s="124">
        <v>4277.25</v>
      </c>
      <c r="O1525" t="s">
        <v>346</v>
      </c>
      <c r="P1525" t="s">
        <v>294</v>
      </c>
    </row>
    <row r="1526" spans="1:16" ht="15" customHeight="1" x14ac:dyDescent="0.25">
      <c r="A1526" s="123">
        <v>45884</v>
      </c>
      <c r="B1526" t="s">
        <v>409</v>
      </c>
      <c r="C1526" t="s">
        <v>410</v>
      </c>
      <c r="D1526" t="s">
        <v>223</v>
      </c>
      <c r="E1526" t="s">
        <v>376</v>
      </c>
      <c r="F1526" t="s">
        <v>182</v>
      </c>
      <c r="G1526" t="s">
        <v>1936</v>
      </c>
      <c r="H1526" s="77">
        <v>1</v>
      </c>
      <c r="I1526" s="124">
        <v>77.41</v>
      </c>
      <c r="J1526" s="124">
        <v>77.41</v>
      </c>
      <c r="K1526" s="77">
        <v>30</v>
      </c>
      <c r="L1526" t="s">
        <v>345</v>
      </c>
      <c r="M1526" s="126">
        <v>15.481999999999999</v>
      </c>
      <c r="N1526" s="124">
        <v>77.41</v>
      </c>
      <c r="O1526" t="s">
        <v>340</v>
      </c>
      <c r="P1526" t="s">
        <v>294</v>
      </c>
    </row>
    <row r="1527" spans="1:16" ht="15" customHeight="1" x14ac:dyDescent="0.25">
      <c r="A1527" s="123">
        <v>45982</v>
      </c>
      <c r="B1527" t="s">
        <v>362</v>
      </c>
      <c r="C1527" t="s">
        <v>363</v>
      </c>
      <c r="D1527" t="s">
        <v>221</v>
      </c>
      <c r="E1527" t="s">
        <v>423</v>
      </c>
      <c r="F1527" t="s">
        <v>180</v>
      </c>
      <c r="G1527" t="s">
        <v>1937</v>
      </c>
      <c r="H1527" s="77">
        <v>19</v>
      </c>
      <c r="I1527" s="124">
        <v>454.99</v>
      </c>
      <c r="J1527" s="124">
        <v>8644.7900000000009</v>
      </c>
      <c r="K1527" s="77">
        <v>30</v>
      </c>
      <c r="L1527" t="s">
        <v>339</v>
      </c>
      <c r="M1527" s="126">
        <v>1728.9580000000001</v>
      </c>
      <c r="N1527" s="124">
        <v>8644.7900000000009</v>
      </c>
      <c r="O1527" t="s">
        <v>346</v>
      </c>
      <c r="P1527" t="s">
        <v>294</v>
      </c>
    </row>
    <row r="1528" spans="1:16" ht="15" customHeight="1" x14ac:dyDescent="0.25">
      <c r="A1528" s="123">
        <v>45939</v>
      </c>
      <c r="B1528" t="s">
        <v>409</v>
      </c>
      <c r="C1528" t="s">
        <v>410</v>
      </c>
      <c r="D1528" t="s">
        <v>223</v>
      </c>
      <c r="E1528" t="s">
        <v>412</v>
      </c>
      <c r="F1528" t="s">
        <v>179</v>
      </c>
      <c r="G1528" t="s">
        <v>1938</v>
      </c>
      <c r="H1528" s="77">
        <v>27</v>
      </c>
      <c r="I1528" s="124">
        <v>507.49</v>
      </c>
      <c r="J1528" s="124">
        <v>13702.26</v>
      </c>
      <c r="K1528" s="77">
        <v>30</v>
      </c>
      <c r="L1528" t="s">
        <v>351</v>
      </c>
      <c r="M1528" s="126">
        <v>2740.4520000000002</v>
      </c>
      <c r="N1528" s="124">
        <v>13702.26</v>
      </c>
      <c r="O1528" t="s">
        <v>346</v>
      </c>
      <c r="P1528" t="s">
        <v>294</v>
      </c>
    </row>
    <row r="1529" spans="1:16" ht="15" customHeight="1" x14ac:dyDescent="0.25">
      <c r="A1529" s="123">
        <v>45897</v>
      </c>
      <c r="B1529" t="s">
        <v>335</v>
      </c>
      <c r="C1529" t="s">
        <v>336</v>
      </c>
      <c r="D1529" t="s">
        <v>223</v>
      </c>
      <c r="E1529" t="s">
        <v>236</v>
      </c>
      <c r="F1529" t="s">
        <v>183</v>
      </c>
      <c r="G1529" t="s">
        <v>1939</v>
      </c>
      <c r="H1529" s="77">
        <v>40</v>
      </c>
      <c r="I1529" s="124">
        <v>701.04</v>
      </c>
      <c r="J1529" s="124">
        <v>28041.64</v>
      </c>
      <c r="K1529" s="77">
        <v>30</v>
      </c>
      <c r="L1529" t="s">
        <v>351</v>
      </c>
      <c r="M1529" s="126">
        <v>5608.3280000000004</v>
      </c>
      <c r="N1529" s="124">
        <v>28041.64</v>
      </c>
      <c r="O1529" t="s">
        <v>346</v>
      </c>
      <c r="P1529" t="s">
        <v>294</v>
      </c>
    </row>
    <row r="1530" spans="1:16" ht="15" customHeight="1" x14ac:dyDescent="0.25">
      <c r="A1530" s="123">
        <v>45748</v>
      </c>
      <c r="B1530" t="s">
        <v>390</v>
      </c>
      <c r="C1530" t="s">
        <v>391</v>
      </c>
      <c r="D1530" t="s">
        <v>221</v>
      </c>
      <c r="E1530" t="s">
        <v>360</v>
      </c>
      <c r="F1530" t="s">
        <v>180</v>
      </c>
      <c r="G1530" t="s">
        <v>1940</v>
      </c>
      <c r="H1530" s="77">
        <v>78</v>
      </c>
      <c r="I1530" s="124">
        <v>191.06</v>
      </c>
      <c r="J1530" s="124">
        <v>14902.77</v>
      </c>
      <c r="K1530" s="77">
        <v>30</v>
      </c>
      <c r="L1530" t="s">
        <v>345</v>
      </c>
      <c r="M1530" s="126">
        <v>2980.5540000000001</v>
      </c>
      <c r="N1530" s="124">
        <v>14902.77</v>
      </c>
      <c r="O1530" t="s">
        <v>346</v>
      </c>
      <c r="P1530" t="s">
        <v>294</v>
      </c>
    </row>
    <row r="1531" spans="1:16" ht="15" customHeight="1" x14ac:dyDescent="0.25">
      <c r="A1531" s="123">
        <v>45761</v>
      </c>
      <c r="B1531" t="s">
        <v>347</v>
      </c>
      <c r="C1531" t="s">
        <v>348</v>
      </c>
      <c r="D1531" t="s">
        <v>223</v>
      </c>
      <c r="E1531" t="s">
        <v>417</v>
      </c>
      <c r="F1531" t="s">
        <v>184</v>
      </c>
      <c r="G1531" t="s">
        <v>1941</v>
      </c>
      <c r="H1531" s="77">
        <v>35</v>
      </c>
      <c r="I1531" s="124">
        <v>40.520000000000003</v>
      </c>
      <c r="J1531" s="124">
        <v>1418.06</v>
      </c>
      <c r="K1531" s="77">
        <v>45</v>
      </c>
      <c r="L1531" t="s">
        <v>339</v>
      </c>
      <c r="M1531" s="126">
        <v>283.61200000000002</v>
      </c>
      <c r="N1531" s="124">
        <v>1418.06</v>
      </c>
      <c r="O1531" t="s">
        <v>346</v>
      </c>
      <c r="P1531" t="s">
        <v>294</v>
      </c>
    </row>
    <row r="1532" spans="1:16" ht="15" customHeight="1" x14ac:dyDescent="0.25">
      <c r="A1532" s="123">
        <v>45743</v>
      </c>
      <c r="B1532" t="s">
        <v>341</v>
      </c>
      <c r="C1532" t="s">
        <v>342</v>
      </c>
      <c r="D1532" t="s">
        <v>223</v>
      </c>
      <c r="E1532" t="s">
        <v>234</v>
      </c>
      <c r="F1532" t="s">
        <v>183</v>
      </c>
      <c r="G1532" t="s">
        <v>1942</v>
      </c>
      <c r="H1532" s="77">
        <v>61</v>
      </c>
      <c r="I1532" s="124">
        <v>324.17</v>
      </c>
      <c r="J1532" s="124">
        <v>19774.41</v>
      </c>
      <c r="K1532" s="77">
        <v>45</v>
      </c>
      <c r="L1532" t="s">
        <v>345</v>
      </c>
      <c r="M1532" s="126">
        <v>3954.8820000000001</v>
      </c>
      <c r="N1532" s="124">
        <v>19774.41</v>
      </c>
      <c r="O1532" t="s">
        <v>346</v>
      </c>
      <c r="P1532" t="s">
        <v>294</v>
      </c>
    </row>
    <row r="1533" spans="1:16" ht="15" customHeight="1" x14ac:dyDescent="0.25">
      <c r="A1533" s="123">
        <v>45904</v>
      </c>
      <c r="B1533" t="s">
        <v>393</v>
      </c>
      <c r="C1533" t="s">
        <v>394</v>
      </c>
      <c r="D1533" t="s">
        <v>227</v>
      </c>
      <c r="E1533" t="s">
        <v>235</v>
      </c>
      <c r="F1533" t="s">
        <v>183</v>
      </c>
      <c r="G1533" t="s">
        <v>1943</v>
      </c>
      <c r="H1533" s="77">
        <v>3</v>
      </c>
      <c r="I1533" s="124">
        <v>113.42</v>
      </c>
      <c r="J1533" s="124">
        <v>340.27</v>
      </c>
      <c r="K1533" s="77">
        <v>45</v>
      </c>
      <c r="L1533" t="s">
        <v>345</v>
      </c>
      <c r="M1533" s="126">
        <v>68.054000000000002</v>
      </c>
      <c r="N1533" s="124">
        <v>340.27</v>
      </c>
      <c r="O1533" t="s">
        <v>346</v>
      </c>
      <c r="P1533" t="s">
        <v>294</v>
      </c>
    </row>
    <row r="1534" spans="1:16" ht="15" customHeight="1" x14ac:dyDescent="0.25">
      <c r="A1534" s="123">
        <v>45933</v>
      </c>
      <c r="B1534" t="s">
        <v>398</v>
      </c>
      <c r="C1534" t="s">
        <v>399</v>
      </c>
      <c r="D1534" t="s">
        <v>227</v>
      </c>
      <c r="E1534" t="s">
        <v>403</v>
      </c>
      <c r="F1534" t="s">
        <v>181</v>
      </c>
      <c r="G1534" t="s">
        <v>1944</v>
      </c>
      <c r="H1534" s="77">
        <v>20</v>
      </c>
      <c r="I1534" s="124">
        <v>262.79000000000002</v>
      </c>
      <c r="J1534" s="124">
        <v>5255.88</v>
      </c>
      <c r="K1534" s="77">
        <v>60</v>
      </c>
      <c r="L1534" t="s">
        <v>351</v>
      </c>
      <c r="M1534" s="126">
        <v>1051.1759999999999</v>
      </c>
      <c r="N1534" s="124">
        <v>5255.88</v>
      </c>
      <c r="O1534" t="s">
        <v>346</v>
      </c>
      <c r="P1534" t="s">
        <v>294</v>
      </c>
    </row>
    <row r="1535" spans="1:16" ht="15" customHeight="1" x14ac:dyDescent="0.25">
      <c r="A1535" s="123">
        <v>45895</v>
      </c>
      <c r="B1535" t="s">
        <v>370</v>
      </c>
      <c r="C1535" t="s">
        <v>371</v>
      </c>
      <c r="D1535" t="s">
        <v>227</v>
      </c>
      <c r="E1535" t="s">
        <v>437</v>
      </c>
      <c r="F1535" t="s">
        <v>181</v>
      </c>
      <c r="G1535" t="s">
        <v>1945</v>
      </c>
      <c r="H1535" s="77">
        <v>40</v>
      </c>
      <c r="I1535" s="124">
        <v>202.85</v>
      </c>
      <c r="J1535" s="124">
        <v>8113.83</v>
      </c>
      <c r="K1535" s="77">
        <v>45</v>
      </c>
      <c r="L1535" t="s">
        <v>345</v>
      </c>
      <c r="M1535" s="126">
        <v>1622.7660000000001</v>
      </c>
      <c r="N1535" s="124">
        <v>8113.83</v>
      </c>
      <c r="O1535" t="s">
        <v>346</v>
      </c>
      <c r="P1535" t="s">
        <v>294</v>
      </c>
    </row>
    <row r="1536" spans="1:16" ht="15" customHeight="1" x14ac:dyDescent="0.25">
      <c r="A1536" s="123">
        <v>45828</v>
      </c>
      <c r="B1536" t="s">
        <v>373</v>
      </c>
      <c r="C1536" t="s">
        <v>374</v>
      </c>
      <c r="D1536" t="s">
        <v>225</v>
      </c>
      <c r="E1536" t="s">
        <v>396</v>
      </c>
      <c r="F1536" t="s">
        <v>184</v>
      </c>
      <c r="G1536" t="s">
        <v>1946</v>
      </c>
      <c r="H1536" s="77">
        <v>18</v>
      </c>
      <c r="I1536" s="124">
        <v>58.04</v>
      </c>
      <c r="J1536" s="124">
        <v>1044.76</v>
      </c>
      <c r="K1536" s="77">
        <v>60</v>
      </c>
      <c r="L1536" t="s">
        <v>345</v>
      </c>
      <c r="M1536" s="126">
        <v>208.952</v>
      </c>
      <c r="N1536" s="124">
        <v>1044.76</v>
      </c>
      <c r="O1536" t="s">
        <v>346</v>
      </c>
      <c r="P1536" t="s">
        <v>294</v>
      </c>
    </row>
    <row r="1537" spans="1:16" ht="15" customHeight="1" x14ac:dyDescent="0.25">
      <c r="A1537" s="123">
        <v>45660</v>
      </c>
      <c r="B1537" t="s">
        <v>366</v>
      </c>
      <c r="C1537" t="s">
        <v>367</v>
      </c>
      <c r="D1537" t="s">
        <v>221</v>
      </c>
      <c r="E1537" t="s">
        <v>442</v>
      </c>
      <c r="F1537" t="s">
        <v>179</v>
      </c>
      <c r="G1537" t="s">
        <v>1947</v>
      </c>
      <c r="H1537" s="77">
        <v>2</v>
      </c>
      <c r="I1537" s="124">
        <v>74.88</v>
      </c>
      <c r="J1537" s="124">
        <v>149.76</v>
      </c>
      <c r="K1537" s="77">
        <v>60</v>
      </c>
      <c r="L1537" t="s">
        <v>351</v>
      </c>
      <c r="M1537" s="126">
        <v>29.952000000000002</v>
      </c>
      <c r="N1537" s="124">
        <v>149.76</v>
      </c>
      <c r="O1537" t="s">
        <v>340</v>
      </c>
      <c r="P1537" t="s">
        <v>294</v>
      </c>
    </row>
    <row r="1538" spans="1:16" ht="15" customHeight="1" x14ac:dyDescent="0.25">
      <c r="A1538" s="123">
        <v>45865</v>
      </c>
      <c r="B1538" t="s">
        <v>383</v>
      </c>
      <c r="C1538" t="s">
        <v>384</v>
      </c>
      <c r="D1538" t="s">
        <v>225</v>
      </c>
      <c r="E1538" t="s">
        <v>420</v>
      </c>
      <c r="F1538" t="s">
        <v>182</v>
      </c>
      <c r="G1538" t="s">
        <v>1948</v>
      </c>
      <c r="H1538" s="77">
        <v>54</v>
      </c>
      <c r="I1538" s="124">
        <v>126.01</v>
      </c>
      <c r="J1538" s="124">
        <v>6804.51</v>
      </c>
      <c r="K1538" s="77">
        <v>45</v>
      </c>
      <c r="L1538" t="s">
        <v>351</v>
      </c>
      <c r="M1538" s="126">
        <v>1360.902</v>
      </c>
      <c r="N1538" s="124">
        <v>6804.51</v>
      </c>
      <c r="O1538" t="s">
        <v>346</v>
      </c>
      <c r="P1538" t="s">
        <v>294</v>
      </c>
    </row>
    <row r="1539" spans="1:16" ht="15" customHeight="1" x14ac:dyDescent="0.25">
      <c r="A1539" s="123">
        <v>45815</v>
      </c>
      <c r="B1539" t="s">
        <v>431</v>
      </c>
      <c r="C1539" t="s">
        <v>432</v>
      </c>
      <c r="D1539" t="s">
        <v>221</v>
      </c>
      <c r="E1539" t="s">
        <v>234</v>
      </c>
      <c r="F1539" t="s">
        <v>183</v>
      </c>
      <c r="G1539" t="s">
        <v>1949</v>
      </c>
      <c r="H1539" s="77">
        <v>76</v>
      </c>
      <c r="I1539" s="124">
        <v>223.81</v>
      </c>
      <c r="J1539" s="124">
        <v>17009.55</v>
      </c>
      <c r="K1539" s="77">
        <v>30</v>
      </c>
      <c r="L1539" t="s">
        <v>345</v>
      </c>
      <c r="M1539" s="126">
        <v>3401.91</v>
      </c>
      <c r="N1539" s="124">
        <v>17009.55</v>
      </c>
      <c r="O1539" t="s">
        <v>346</v>
      </c>
      <c r="P1539" t="s">
        <v>294</v>
      </c>
    </row>
    <row r="1540" spans="1:16" ht="15" customHeight="1" x14ac:dyDescent="0.25">
      <c r="A1540" s="123">
        <v>45947</v>
      </c>
      <c r="B1540" t="s">
        <v>383</v>
      </c>
      <c r="C1540" t="s">
        <v>384</v>
      </c>
      <c r="D1540" t="s">
        <v>225</v>
      </c>
      <c r="E1540" t="s">
        <v>368</v>
      </c>
      <c r="F1540" t="s">
        <v>178</v>
      </c>
      <c r="G1540" t="s">
        <v>1950</v>
      </c>
      <c r="H1540" s="77">
        <v>21</v>
      </c>
      <c r="I1540" s="124">
        <v>34.159999999999997</v>
      </c>
      <c r="J1540" s="124">
        <v>717.27</v>
      </c>
      <c r="K1540" s="77">
        <v>30</v>
      </c>
      <c r="L1540" t="s">
        <v>345</v>
      </c>
      <c r="M1540" s="126">
        <v>143.45400000000001</v>
      </c>
      <c r="N1540" s="124">
        <v>717.27</v>
      </c>
      <c r="O1540" t="s">
        <v>346</v>
      </c>
      <c r="P1540" t="s">
        <v>294</v>
      </c>
    </row>
    <row r="1541" spans="1:16" ht="15" customHeight="1" x14ac:dyDescent="0.25">
      <c r="A1541" s="123">
        <v>46021</v>
      </c>
      <c r="B1541" t="s">
        <v>370</v>
      </c>
      <c r="C1541" t="s">
        <v>371</v>
      </c>
      <c r="D1541" t="s">
        <v>227</v>
      </c>
      <c r="E1541" t="s">
        <v>364</v>
      </c>
      <c r="F1541" t="s">
        <v>182</v>
      </c>
      <c r="G1541" t="s">
        <v>1951</v>
      </c>
      <c r="H1541" s="77">
        <v>63</v>
      </c>
      <c r="I1541" s="124">
        <v>19.57</v>
      </c>
      <c r="J1541" s="124">
        <v>1233.08</v>
      </c>
      <c r="K1541" s="77">
        <v>60</v>
      </c>
      <c r="L1541" t="s">
        <v>351</v>
      </c>
      <c r="M1541" s="126">
        <v>246.61600000000001</v>
      </c>
      <c r="N1541" s="124">
        <v>1233.08</v>
      </c>
      <c r="O1541" t="s">
        <v>346</v>
      </c>
      <c r="P1541" t="s">
        <v>294</v>
      </c>
    </row>
    <row r="1542" spans="1:16" ht="15" customHeight="1" x14ac:dyDescent="0.25">
      <c r="A1542" s="123">
        <v>45855</v>
      </c>
      <c r="B1542" t="s">
        <v>401</v>
      </c>
      <c r="C1542" t="s">
        <v>402</v>
      </c>
      <c r="D1542" t="s">
        <v>221</v>
      </c>
      <c r="E1542" t="s">
        <v>440</v>
      </c>
      <c r="F1542" t="s">
        <v>177</v>
      </c>
      <c r="G1542" t="s">
        <v>1952</v>
      </c>
      <c r="H1542" s="77">
        <v>55</v>
      </c>
      <c r="I1542" s="124">
        <v>118.2</v>
      </c>
      <c r="J1542" s="124">
        <v>6500.87</v>
      </c>
      <c r="K1542" s="77">
        <v>60</v>
      </c>
      <c r="L1542" t="s">
        <v>339</v>
      </c>
      <c r="M1542" s="126">
        <v>1300.174</v>
      </c>
      <c r="N1542" s="124">
        <v>6500.87</v>
      </c>
      <c r="O1542" t="s">
        <v>346</v>
      </c>
      <c r="P1542" t="s">
        <v>294</v>
      </c>
    </row>
    <row r="1543" spans="1:16" ht="15" customHeight="1" x14ac:dyDescent="0.25">
      <c r="A1543" s="123">
        <v>45843</v>
      </c>
      <c r="B1543" t="s">
        <v>401</v>
      </c>
      <c r="C1543" t="s">
        <v>402</v>
      </c>
      <c r="D1543" t="s">
        <v>221</v>
      </c>
      <c r="E1543" t="s">
        <v>396</v>
      </c>
      <c r="F1543" t="s">
        <v>184</v>
      </c>
      <c r="G1543" t="s">
        <v>1953</v>
      </c>
      <c r="H1543" s="77">
        <v>4</v>
      </c>
      <c r="I1543" s="124">
        <v>198.79</v>
      </c>
      <c r="J1543" s="124">
        <v>795.14</v>
      </c>
      <c r="K1543" s="77">
        <v>60</v>
      </c>
      <c r="L1543" t="s">
        <v>351</v>
      </c>
      <c r="M1543" s="126">
        <v>159.02799999999999</v>
      </c>
      <c r="N1543" s="124">
        <v>795.14</v>
      </c>
      <c r="O1543" t="s">
        <v>346</v>
      </c>
      <c r="P1543" t="s">
        <v>294</v>
      </c>
    </row>
    <row r="1544" spans="1:16" ht="15" customHeight="1" x14ac:dyDescent="0.25">
      <c r="A1544" s="123">
        <v>45967</v>
      </c>
      <c r="B1544" t="s">
        <v>354</v>
      </c>
      <c r="C1544" t="s">
        <v>355</v>
      </c>
      <c r="D1544" t="s">
        <v>227</v>
      </c>
      <c r="E1544" t="s">
        <v>381</v>
      </c>
      <c r="F1544" t="s">
        <v>179</v>
      </c>
      <c r="G1544" t="s">
        <v>1954</v>
      </c>
      <c r="H1544" s="77">
        <v>59</v>
      </c>
      <c r="I1544" s="124">
        <v>448.83</v>
      </c>
      <c r="J1544" s="124">
        <v>26481.11</v>
      </c>
      <c r="K1544" s="77">
        <v>60</v>
      </c>
      <c r="L1544" t="s">
        <v>339</v>
      </c>
      <c r="M1544" s="126">
        <v>5296.2219999999998</v>
      </c>
      <c r="N1544" s="124">
        <v>26481.11</v>
      </c>
      <c r="O1544" t="s">
        <v>346</v>
      </c>
      <c r="P1544" t="s">
        <v>294</v>
      </c>
    </row>
    <row r="1545" spans="1:16" ht="15" customHeight="1" x14ac:dyDescent="0.25">
      <c r="A1545" s="123">
        <v>45954</v>
      </c>
      <c r="B1545" t="s">
        <v>347</v>
      </c>
      <c r="C1545" t="s">
        <v>348</v>
      </c>
      <c r="D1545" t="s">
        <v>223</v>
      </c>
      <c r="E1545" t="s">
        <v>352</v>
      </c>
      <c r="F1545" t="s">
        <v>180</v>
      </c>
      <c r="G1545" t="s">
        <v>1955</v>
      </c>
      <c r="H1545" s="77">
        <v>21</v>
      </c>
      <c r="I1545" s="124">
        <v>194.43</v>
      </c>
      <c r="J1545" s="124">
        <v>4082.97</v>
      </c>
      <c r="K1545" s="77">
        <v>30</v>
      </c>
      <c r="L1545" t="s">
        <v>339</v>
      </c>
      <c r="M1545" s="126">
        <v>816.59400000000005</v>
      </c>
      <c r="N1545" s="124">
        <v>4082.97</v>
      </c>
      <c r="O1545" t="s">
        <v>346</v>
      </c>
      <c r="P1545" t="s">
        <v>294</v>
      </c>
    </row>
    <row r="1546" spans="1:16" ht="15" customHeight="1" x14ac:dyDescent="0.25">
      <c r="A1546" s="123">
        <v>46019</v>
      </c>
      <c r="B1546" t="s">
        <v>347</v>
      </c>
      <c r="C1546" t="s">
        <v>348</v>
      </c>
      <c r="D1546" t="s">
        <v>223</v>
      </c>
      <c r="E1546" t="s">
        <v>234</v>
      </c>
      <c r="F1546" t="s">
        <v>183</v>
      </c>
      <c r="G1546" t="s">
        <v>1956</v>
      </c>
      <c r="H1546" s="77">
        <v>76</v>
      </c>
      <c r="I1546" s="124">
        <v>215.41</v>
      </c>
      <c r="J1546" s="124">
        <v>16371.53</v>
      </c>
      <c r="K1546" s="77">
        <v>30</v>
      </c>
      <c r="L1546" t="s">
        <v>351</v>
      </c>
      <c r="M1546" s="126">
        <v>3274.306</v>
      </c>
      <c r="N1546" s="124">
        <v>16371.53</v>
      </c>
      <c r="O1546" t="s">
        <v>346</v>
      </c>
      <c r="P1546" t="s">
        <v>294</v>
      </c>
    </row>
    <row r="1547" spans="1:16" ht="15" customHeight="1" x14ac:dyDescent="0.25">
      <c r="A1547" s="123">
        <v>45876</v>
      </c>
      <c r="B1547" t="s">
        <v>401</v>
      </c>
      <c r="C1547" t="s">
        <v>402</v>
      </c>
      <c r="D1547" t="s">
        <v>221</v>
      </c>
      <c r="E1547" t="s">
        <v>235</v>
      </c>
      <c r="F1547" t="s">
        <v>183</v>
      </c>
      <c r="G1547" t="s">
        <v>1957</v>
      </c>
      <c r="H1547" s="77">
        <v>33</v>
      </c>
      <c r="I1547" s="124">
        <v>388.23</v>
      </c>
      <c r="J1547" s="124">
        <v>12811.72</v>
      </c>
      <c r="K1547" s="77">
        <v>60</v>
      </c>
      <c r="L1547" t="s">
        <v>345</v>
      </c>
      <c r="M1547" s="126">
        <v>2562.3440000000001</v>
      </c>
      <c r="N1547" s="124">
        <v>12811.72</v>
      </c>
      <c r="O1547" t="s">
        <v>346</v>
      </c>
      <c r="P1547" t="s">
        <v>294</v>
      </c>
    </row>
    <row r="1548" spans="1:16" ht="15" customHeight="1" x14ac:dyDescent="0.25">
      <c r="A1548" s="123">
        <v>45815</v>
      </c>
      <c r="B1548" t="s">
        <v>431</v>
      </c>
      <c r="C1548" t="s">
        <v>432</v>
      </c>
      <c r="D1548" t="s">
        <v>221</v>
      </c>
      <c r="E1548" t="s">
        <v>236</v>
      </c>
      <c r="F1548" t="s">
        <v>183</v>
      </c>
      <c r="G1548" t="s">
        <v>1958</v>
      </c>
      <c r="H1548" s="77">
        <v>53</v>
      </c>
      <c r="I1548" s="124">
        <v>173.24</v>
      </c>
      <c r="J1548" s="124">
        <v>9181.65</v>
      </c>
      <c r="K1548" s="77">
        <v>60</v>
      </c>
      <c r="L1548" t="s">
        <v>339</v>
      </c>
      <c r="M1548" s="126">
        <v>1836.33</v>
      </c>
      <c r="N1548" s="124">
        <v>9181.65</v>
      </c>
      <c r="O1548" t="s">
        <v>346</v>
      </c>
      <c r="P1548" t="s">
        <v>294</v>
      </c>
    </row>
    <row r="1549" spans="1:16" ht="15" customHeight="1" x14ac:dyDescent="0.25">
      <c r="A1549" s="123">
        <v>45795</v>
      </c>
      <c r="B1549" t="s">
        <v>409</v>
      </c>
      <c r="C1549" t="s">
        <v>410</v>
      </c>
      <c r="D1549" t="s">
        <v>223</v>
      </c>
      <c r="E1549" t="s">
        <v>376</v>
      </c>
      <c r="F1549" t="s">
        <v>182</v>
      </c>
      <c r="G1549" t="s">
        <v>1959</v>
      </c>
      <c r="H1549" s="77">
        <v>27</v>
      </c>
      <c r="I1549" s="124">
        <v>112.15</v>
      </c>
      <c r="J1549" s="124">
        <v>3028.13</v>
      </c>
      <c r="K1549" s="77">
        <v>60</v>
      </c>
      <c r="L1549" t="s">
        <v>345</v>
      </c>
      <c r="M1549" s="126">
        <v>605.62599999999998</v>
      </c>
      <c r="N1549" s="124">
        <v>3028.13</v>
      </c>
      <c r="O1549" t="s">
        <v>340</v>
      </c>
      <c r="P1549" t="s">
        <v>294</v>
      </c>
    </row>
    <row r="1550" spans="1:16" ht="15" customHeight="1" x14ac:dyDescent="0.25">
      <c r="A1550" s="123">
        <v>45744</v>
      </c>
      <c r="B1550" t="s">
        <v>409</v>
      </c>
      <c r="C1550" t="s">
        <v>410</v>
      </c>
      <c r="D1550" t="s">
        <v>223</v>
      </c>
      <c r="E1550" t="s">
        <v>356</v>
      </c>
      <c r="F1550" t="s">
        <v>181</v>
      </c>
      <c r="G1550" t="s">
        <v>1960</v>
      </c>
      <c r="H1550" s="77">
        <v>63</v>
      </c>
      <c r="I1550" s="124">
        <v>335.28</v>
      </c>
      <c r="J1550" s="124">
        <v>21122.76</v>
      </c>
      <c r="K1550" s="77">
        <v>30</v>
      </c>
      <c r="L1550" t="s">
        <v>339</v>
      </c>
      <c r="M1550" s="126">
        <v>4224.5519999999997</v>
      </c>
      <c r="N1550" s="124">
        <v>21122.76</v>
      </c>
      <c r="O1550" t="s">
        <v>340</v>
      </c>
      <c r="P1550" t="s">
        <v>294</v>
      </c>
    </row>
    <row r="1551" spans="1:16" ht="15" customHeight="1" x14ac:dyDescent="0.25">
      <c r="A1551" s="123">
        <v>45871</v>
      </c>
      <c r="B1551" t="s">
        <v>366</v>
      </c>
      <c r="C1551" t="s">
        <v>367</v>
      </c>
      <c r="D1551" t="s">
        <v>221</v>
      </c>
      <c r="E1551" t="s">
        <v>236</v>
      </c>
      <c r="F1551" t="s">
        <v>183</v>
      </c>
      <c r="G1551" t="s">
        <v>1961</v>
      </c>
      <c r="H1551" s="77">
        <v>37</v>
      </c>
      <c r="I1551" s="124">
        <v>589.1</v>
      </c>
      <c r="J1551" s="124">
        <v>21796.7</v>
      </c>
      <c r="K1551" s="77">
        <v>60</v>
      </c>
      <c r="L1551" t="s">
        <v>345</v>
      </c>
      <c r="M1551" s="126">
        <v>4359.34</v>
      </c>
      <c r="N1551" s="124">
        <v>21796.7</v>
      </c>
      <c r="O1551" t="s">
        <v>346</v>
      </c>
      <c r="P1551" t="s">
        <v>294</v>
      </c>
    </row>
    <row r="1552" spans="1:16" ht="15" customHeight="1" x14ac:dyDescent="0.25">
      <c r="A1552" s="123">
        <v>45753</v>
      </c>
      <c r="B1552" t="s">
        <v>347</v>
      </c>
      <c r="C1552" t="s">
        <v>348</v>
      </c>
      <c r="D1552" t="s">
        <v>223</v>
      </c>
      <c r="E1552" t="s">
        <v>381</v>
      </c>
      <c r="F1552" t="s">
        <v>179</v>
      </c>
      <c r="G1552" t="s">
        <v>1962</v>
      </c>
      <c r="H1552" s="77">
        <v>18</v>
      </c>
      <c r="I1552" s="124">
        <v>170.35</v>
      </c>
      <c r="J1552" s="124">
        <v>3066.35</v>
      </c>
      <c r="K1552" s="77">
        <v>30</v>
      </c>
      <c r="L1552" t="s">
        <v>345</v>
      </c>
      <c r="M1552" s="126">
        <v>613.27</v>
      </c>
      <c r="N1552" s="124">
        <v>3066.35</v>
      </c>
      <c r="O1552" t="s">
        <v>346</v>
      </c>
      <c r="P1552" t="s">
        <v>294</v>
      </c>
    </row>
    <row r="1553" spans="1:16" ht="15" customHeight="1" x14ac:dyDescent="0.25">
      <c r="A1553" s="123">
        <v>45948</v>
      </c>
      <c r="B1553" t="s">
        <v>341</v>
      </c>
      <c r="C1553" t="s">
        <v>342</v>
      </c>
      <c r="D1553" t="s">
        <v>223</v>
      </c>
      <c r="E1553" t="s">
        <v>368</v>
      </c>
      <c r="F1553" t="s">
        <v>178</v>
      </c>
      <c r="G1553" t="s">
        <v>1963</v>
      </c>
      <c r="H1553" s="77">
        <v>28</v>
      </c>
      <c r="I1553" s="124">
        <v>58.11</v>
      </c>
      <c r="J1553" s="124">
        <v>1627.13</v>
      </c>
      <c r="K1553" s="77">
        <v>30</v>
      </c>
      <c r="L1553" t="s">
        <v>339</v>
      </c>
      <c r="M1553" s="126">
        <v>325.42599999999999</v>
      </c>
      <c r="N1553" s="124">
        <v>1627.13</v>
      </c>
      <c r="O1553" t="s">
        <v>346</v>
      </c>
      <c r="P1553" t="s">
        <v>294</v>
      </c>
    </row>
    <row r="1554" spans="1:16" ht="15" customHeight="1" x14ac:dyDescent="0.25">
      <c r="A1554" s="123">
        <v>45790</v>
      </c>
      <c r="B1554" t="s">
        <v>386</v>
      </c>
      <c r="C1554" t="s">
        <v>387</v>
      </c>
      <c r="D1554" t="s">
        <v>223</v>
      </c>
      <c r="E1554" t="s">
        <v>442</v>
      </c>
      <c r="F1554" t="s">
        <v>179</v>
      </c>
      <c r="G1554" t="s">
        <v>1964</v>
      </c>
      <c r="H1554" s="77">
        <v>53</v>
      </c>
      <c r="I1554" s="124">
        <v>111.06</v>
      </c>
      <c r="J1554" s="124">
        <v>5886.16</v>
      </c>
      <c r="K1554" s="77">
        <v>45</v>
      </c>
      <c r="L1554" t="s">
        <v>351</v>
      </c>
      <c r="M1554" s="126">
        <v>1177.232</v>
      </c>
      <c r="N1554" s="124">
        <v>5886.16</v>
      </c>
      <c r="O1554" t="s">
        <v>340</v>
      </c>
      <c r="P1554" t="s">
        <v>294</v>
      </c>
    </row>
    <row r="1555" spans="1:16" ht="15" customHeight="1" x14ac:dyDescent="0.25">
      <c r="A1555" s="123">
        <v>45743</v>
      </c>
      <c r="B1555" t="s">
        <v>373</v>
      </c>
      <c r="C1555" t="s">
        <v>374</v>
      </c>
      <c r="D1555" t="s">
        <v>225</v>
      </c>
      <c r="E1555" t="s">
        <v>343</v>
      </c>
      <c r="F1555" t="s">
        <v>178</v>
      </c>
      <c r="G1555" t="s">
        <v>1965</v>
      </c>
      <c r="H1555" s="77">
        <v>11</v>
      </c>
      <c r="I1555" s="124">
        <v>41.25</v>
      </c>
      <c r="J1555" s="124">
        <v>453.73</v>
      </c>
      <c r="K1555" s="77">
        <v>45</v>
      </c>
      <c r="L1555" t="s">
        <v>339</v>
      </c>
      <c r="M1555" s="126">
        <v>90.745999999999995</v>
      </c>
      <c r="N1555" s="124">
        <v>453.73</v>
      </c>
      <c r="O1555" t="s">
        <v>346</v>
      </c>
      <c r="P1555" t="s">
        <v>294</v>
      </c>
    </row>
    <row r="1556" spans="1:16" ht="15" customHeight="1" x14ac:dyDescent="0.25">
      <c r="A1556" s="123">
        <v>45690</v>
      </c>
      <c r="B1556" t="s">
        <v>390</v>
      </c>
      <c r="C1556" t="s">
        <v>391</v>
      </c>
      <c r="D1556" t="s">
        <v>221</v>
      </c>
      <c r="E1556" t="s">
        <v>368</v>
      </c>
      <c r="F1556" t="s">
        <v>178</v>
      </c>
      <c r="G1556" t="s">
        <v>1966</v>
      </c>
      <c r="H1556" s="77">
        <v>44</v>
      </c>
      <c r="I1556" s="124">
        <v>57.39</v>
      </c>
      <c r="J1556" s="124">
        <v>2525.04</v>
      </c>
      <c r="K1556" s="77">
        <v>30</v>
      </c>
      <c r="L1556" t="s">
        <v>351</v>
      </c>
      <c r="M1556" s="126">
        <v>505.00799999999998</v>
      </c>
      <c r="N1556" s="124">
        <v>2525.04</v>
      </c>
      <c r="O1556" t="s">
        <v>346</v>
      </c>
      <c r="P1556" t="s">
        <v>294</v>
      </c>
    </row>
    <row r="1557" spans="1:16" ht="15" customHeight="1" x14ac:dyDescent="0.25">
      <c r="A1557" s="123">
        <v>46002</v>
      </c>
      <c r="B1557" t="s">
        <v>362</v>
      </c>
      <c r="C1557" t="s">
        <v>363</v>
      </c>
      <c r="D1557" t="s">
        <v>221</v>
      </c>
      <c r="E1557" t="s">
        <v>427</v>
      </c>
      <c r="F1557" t="s">
        <v>184</v>
      </c>
      <c r="G1557" t="s">
        <v>1967</v>
      </c>
      <c r="H1557" s="77">
        <v>13</v>
      </c>
      <c r="I1557" s="124">
        <v>91.79</v>
      </c>
      <c r="J1557" s="124">
        <v>1193.31</v>
      </c>
      <c r="K1557" s="77">
        <v>30</v>
      </c>
      <c r="L1557" t="s">
        <v>339</v>
      </c>
      <c r="M1557" s="126">
        <v>238.66200000000001</v>
      </c>
      <c r="N1557" s="124">
        <v>1193.31</v>
      </c>
      <c r="O1557" t="s">
        <v>346</v>
      </c>
      <c r="P1557" t="s">
        <v>294</v>
      </c>
    </row>
    <row r="1558" spans="1:16" ht="15" customHeight="1" x14ac:dyDescent="0.25">
      <c r="A1558" s="123">
        <v>45956</v>
      </c>
      <c r="B1558" t="s">
        <v>373</v>
      </c>
      <c r="C1558" t="s">
        <v>374</v>
      </c>
      <c r="D1558" t="s">
        <v>225</v>
      </c>
      <c r="E1558" t="s">
        <v>440</v>
      </c>
      <c r="F1558" t="s">
        <v>177</v>
      </c>
      <c r="G1558" t="s">
        <v>1968</v>
      </c>
      <c r="H1558" s="77">
        <v>6</v>
      </c>
      <c r="I1558" s="124">
        <v>198.34</v>
      </c>
      <c r="J1558" s="124">
        <v>1190.02</v>
      </c>
      <c r="K1558" s="77">
        <v>30</v>
      </c>
      <c r="L1558" t="s">
        <v>339</v>
      </c>
      <c r="M1558" s="126">
        <v>238.00399999999999</v>
      </c>
      <c r="N1558" s="124">
        <v>1190.02</v>
      </c>
      <c r="O1558" t="s">
        <v>346</v>
      </c>
      <c r="P1558" t="s">
        <v>294</v>
      </c>
    </row>
    <row r="1559" spans="1:16" ht="15" customHeight="1" x14ac:dyDescent="0.25">
      <c r="A1559" s="123">
        <v>45966</v>
      </c>
      <c r="B1559" t="s">
        <v>393</v>
      </c>
      <c r="C1559" t="s">
        <v>394</v>
      </c>
      <c r="D1559" t="s">
        <v>227</v>
      </c>
      <c r="E1559" t="s">
        <v>496</v>
      </c>
      <c r="F1559" t="s">
        <v>177</v>
      </c>
      <c r="G1559" t="s">
        <v>1969</v>
      </c>
      <c r="H1559" s="77">
        <v>67</v>
      </c>
      <c r="I1559" s="124">
        <v>77.150000000000006</v>
      </c>
      <c r="J1559" s="124">
        <v>5169.01</v>
      </c>
      <c r="K1559" s="77">
        <v>45</v>
      </c>
      <c r="L1559" t="s">
        <v>345</v>
      </c>
      <c r="M1559" s="126">
        <v>1033.8019999999999</v>
      </c>
      <c r="N1559" s="124">
        <v>5169.01</v>
      </c>
      <c r="O1559" t="s">
        <v>346</v>
      </c>
      <c r="P1559" t="s">
        <v>294</v>
      </c>
    </row>
    <row r="1560" spans="1:16" ht="15" customHeight="1" x14ac:dyDescent="0.25">
      <c r="A1560" s="123">
        <v>45877</v>
      </c>
      <c r="B1560" t="s">
        <v>341</v>
      </c>
      <c r="C1560" t="s">
        <v>342</v>
      </c>
      <c r="D1560" t="s">
        <v>223</v>
      </c>
      <c r="E1560" t="s">
        <v>364</v>
      </c>
      <c r="F1560" t="s">
        <v>182</v>
      </c>
      <c r="G1560" t="s">
        <v>1970</v>
      </c>
      <c r="H1560" s="77">
        <v>44</v>
      </c>
      <c r="I1560" s="124">
        <v>215.91</v>
      </c>
      <c r="J1560" s="124">
        <v>9499.98</v>
      </c>
      <c r="K1560" s="77">
        <v>45</v>
      </c>
      <c r="L1560" t="s">
        <v>351</v>
      </c>
      <c r="M1560" s="126">
        <v>1899.9960000000001</v>
      </c>
      <c r="N1560" s="124">
        <v>9499.98</v>
      </c>
      <c r="O1560" t="s">
        <v>346</v>
      </c>
      <c r="P1560" t="s">
        <v>294</v>
      </c>
    </row>
    <row r="1561" spans="1:16" ht="15" customHeight="1" x14ac:dyDescent="0.25">
      <c r="A1561" s="123">
        <v>45842</v>
      </c>
      <c r="B1561" t="s">
        <v>390</v>
      </c>
      <c r="C1561" t="s">
        <v>391</v>
      </c>
      <c r="D1561" t="s">
        <v>221</v>
      </c>
      <c r="E1561" t="s">
        <v>376</v>
      </c>
      <c r="F1561" t="s">
        <v>182</v>
      </c>
      <c r="G1561" t="s">
        <v>1971</v>
      </c>
      <c r="H1561" s="77">
        <v>52</v>
      </c>
      <c r="I1561" s="124">
        <v>81.84</v>
      </c>
      <c r="J1561" s="124">
        <v>4255.6499999999996</v>
      </c>
      <c r="K1561" s="77">
        <v>45</v>
      </c>
      <c r="L1561" t="s">
        <v>351</v>
      </c>
      <c r="M1561" s="126">
        <v>851.13</v>
      </c>
      <c r="N1561" s="124">
        <v>4255.6499999999996</v>
      </c>
      <c r="O1561" t="s">
        <v>340</v>
      </c>
      <c r="P1561" t="s">
        <v>294</v>
      </c>
    </row>
    <row r="1562" spans="1:16" ht="15" customHeight="1" x14ac:dyDescent="0.25">
      <c r="A1562" s="123">
        <v>45709</v>
      </c>
      <c r="B1562" t="s">
        <v>362</v>
      </c>
      <c r="C1562" t="s">
        <v>363</v>
      </c>
      <c r="D1562" t="s">
        <v>221</v>
      </c>
      <c r="E1562" t="s">
        <v>420</v>
      </c>
      <c r="F1562" t="s">
        <v>182</v>
      </c>
      <c r="G1562" t="s">
        <v>1972</v>
      </c>
      <c r="H1562" s="77">
        <v>1</v>
      </c>
      <c r="I1562" s="124">
        <v>93.89</v>
      </c>
      <c r="J1562" s="124">
        <v>93.89</v>
      </c>
      <c r="K1562" s="77">
        <v>45</v>
      </c>
      <c r="L1562" t="s">
        <v>351</v>
      </c>
      <c r="M1562" s="126">
        <v>18.777999999999999</v>
      </c>
      <c r="N1562" s="124">
        <v>93.89</v>
      </c>
      <c r="O1562" t="s">
        <v>346</v>
      </c>
      <c r="P1562" t="s">
        <v>294</v>
      </c>
    </row>
    <row r="1563" spans="1:16" ht="15" customHeight="1" x14ac:dyDescent="0.25">
      <c r="A1563" s="123">
        <v>45966</v>
      </c>
      <c r="B1563" t="s">
        <v>383</v>
      </c>
      <c r="C1563" t="s">
        <v>384</v>
      </c>
      <c r="D1563" t="s">
        <v>225</v>
      </c>
      <c r="E1563" t="s">
        <v>442</v>
      </c>
      <c r="F1563" t="s">
        <v>179</v>
      </c>
      <c r="G1563" t="s">
        <v>1973</v>
      </c>
      <c r="H1563" s="77">
        <v>16</v>
      </c>
      <c r="I1563" s="124">
        <v>119.34</v>
      </c>
      <c r="J1563" s="124">
        <v>1909.47</v>
      </c>
      <c r="K1563" s="77">
        <v>60</v>
      </c>
      <c r="L1563" t="s">
        <v>345</v>
      </c>
      <c r="M1563" s="126">
        <v>381.89400000000001</v>
      </c>
      <c r="N1563" s="124">
        <v>1909.47</v>
      </c>
      <c r="O1563" t="s">
        <v>340</v>
      </c>
      <c r="P1563" t="s">
        <v>294</v>
      </c>
    </row>
    <row r="1564" spans="1:16" ht="15" customHeight="1" x14ac:dyDescent="0.25">
      <c r="A1564" s="123">
        <v>45889</v>
      </c>
      <c r="B1564" t="s">
        <v>347</v>
      </c>
      <c r="C1564" t="s">
        <v>348</v>
      </c>
      <c r="D1564" t="s">
        <v>223</v>
      </c>
      <c r="E1564" t="s">
        <v>360</v>
      </c>
      <c r="F1564" t="s">
        <v>180</v>
      </c>
      <c r="G1564" t="s">
        <v>1974</v>
      </c>
      <c r="H1564" s="77">
        <v>80</v>
      </c>
      <c r="I1564" s="124">
        <v>65.900000000000006</v>
      </c>
      <c r="J1564" s="124">
        <v>5271.95</v>
      </c>
      <c r="K1564" s="77">
        <v>60</v>
      </c>
      <c r="L1564" t="s">
        <v>351</v>
      </c>
      <c r="M1564" s="126">
        <v>1054.3900000000001</v>
      </c>
      <c r="N1564" s="124">
        <v>5271.95</v>
      </c>
      <c r="O1564" t="s">
        <v>346</v>
      </c>
      <c r="P1564" t="s">
        <v>294</v>
      </c>
    </row>
    <row r="1565" spans="1:16" ht="15" customHeight="1" x14ac:dyDescent="0.25">
      <c r="A1565" s="123">
        <v>45754</v>
      </c>
      <c r="B1565" t="s">
        <v>386</v>
      </c>
      <c r="C1565" t="s">
        <v>387</v>
      </c>
      <c r="D1565" t="s">
        <v>223</v>
      </c>
      <c r="E1565" t="s">
        <v>236</v>
      </c>
      <c r="F1565" t="s">
        <v>183</v>
      </c>
      <c r="G1565" t="s">
        <v>1975</v>
      </c>
      <c r="H1565" s="77">
        <v>1</v>
      </c>
      <c r="I1565" s="124">
        <v>487.85</v>
      </c>
      <c r="J1565" s="124">
        <v>487.85</v>
      </c>
      <c r="K1565" s="77">
        <v>60</v>
      </c>
      <c r="L1565" t="s">
        <v>345</v>
      </c>
      <c r="M1565" s="126">
        <v>97.57</v>
      </c>
      <c r="N1565" s="124">
        <v>487.85</v>
      </c>
      <c r="O1565" t="s">
        <v>346</v>
      </c>
      <c r="P1565" t="s">
        <v>294</v>
      </c>
    </row>
    <row r="1566" spans="1:16" ht="15" customHeight="1" x14ac:dyDescent="0.25">
      <c r="A1566" s="123">
        <v>45824</v>
      </c>
      <c r="B1566" t="s">
        <v>366</v>
      </c>
      <c r="C1566" t="s">
        <v>367</v>
      </c>
      <c r="D1566" t="s">
        <v>221</v>
      </c>
      <c r="E1566" t="s">
        <v>376</v>
      </c>
      <c r="F1566" t="s">
        <v>182</v>
      </c>
      <c r="G1566" t="s">
        <v>1976</v>
      </c>
      <c r="H1566" s="77">
        <v>57</v>
      </c>
      <c r="I1566" s="124">
        <v>142.47</v>
      </c>
      <c r="J1566" s="124">
        <v>8120.87</v>
      </c>
      <c r="K1566" s="77">
        <v>30</v>
      </c>
      <c r="L1566" t="s">
        <v>351</v>
      </c>
      <c r="M1566" s="126">
        <v>1624.174</v>
      </c>
      <c r="N1566" s="124">
        <v>8120.87</v>
      </c>
      <c r="O1566" t="s">
        <v>340</v>
      </c>
      <c r="P1566" t="s">
        <v>294</v>
      </c>
    </row>
    <row r="1567" spans="1:16" ht="15" customHeight="1" x14ac:dyDescent="0.25">
      <c r="A1567" s="123">
        <v>45971</v>
      </c>
      <c r="B1567" t="s">
        <v>431</v>
      </c>
      <c r="C1567" t="s">
        <v>432</v>
      </c>
      <c r="D1567" t="s">
        <v>221</v>
      </c>
      <c r="E1567" t="s">
        <v>236</v>
      </c>
      <c r="F1567" t="s">
        <v>183</v>
      </c>
      <c r="G1567" t="s">
        <v>1977</v>
      </c>
      <c r="H1567" s="77">
        <v>11</v>
      </c>
      <c r="I1567" s="124">
        <v>256.99</v>
      </c>
      <c r="J1567" s="124">
        <v>2826.93</v>
      </c>
      <c r="K1567" s="77">
        <v>45</v>
      </c>
      <c r="L1567" t="s">
        <v>345</v>
      </c>
      <c r="M1567" s="126">
        <v>565.38599999999997</v>
      </c>
      <c r="N1567" s="124">
        <v>2826.93</v>
      </c>
      <c r="O1567" t="s">
        <v>346</v>
      </c>
      <c r="P1567" t="s">
        <v>294</v>
      </c>
    </row>
    <row r="1568" spans="1:16" ht="15" customHeight="1" x14ac:dyDescent="0.25">
      <c r="A1568" s="123">
        <v>45855</v>
      </c>
      <c r="B1568" t="s">
        <v>383</v>
      </c>
      <c r="C1568" t="s">
        <v>384</v>
      </c>
      <c r="D1568" t="s">
        <v>225</v>
      </c>
      <c r="E1568" t="s">
        <v>343</v>
      </c>
      <c r="F1568" t="s">
        <v>178</v>
      </c>
      <c r="G1568" t="s">
        <v>1978</v>
      </c>
      <c r="H1568" s="77">
        <v>38</v>
      </c>
      <c r="I1568" s="124">
        <v>67.44</v>
      </c>
      <c r="J1568" s="124">
        <v>2562.6999999999998</v>
      </c>
      <c r="K1568" s="77">
        <v>60</v>
      </c>
      <c r="L1568" t="s">
        <v>339</v>
      </c>
      <c r="M1568" s="126">
        <v>512.54</v>
      </c>
      <c r="N1568" s="124">
        <v>2562.6999999999998</v>
      </c>
      <c r="O1568" t="s">
        <v>346</v>
      </c>
      <c r="P1568" t="s">
        <v>294</v>
      </c>
    </row>
    <row r="1569" spans="1:16" ht="15" customHeight="1" x14ac:dyDescent="0.25">
      <c r="A1569" s="123">
        <v>45950</v>
      </c>
      <c r="B1569" t="s">
        <v>409</v>
      </c>
      <c r="C1569" t="s">
        <v>410</v>
      </c>
      <c r="D1569" t="s">
        <v>223</v>
      </c>
      <c r="E1569" t="s">
        <v>412</v>
      </c>
      <c r="F1569" t="s">
        <v>179</v>
      </c>
      <c r="G1569" t="s">
        <v>1979</v>
      </c>
      <c r="H1569" s="77">
        <v>65</v>
      </c>
      <c r="I1569" s="124">
        <v>239.06</v>
      </c>
      <c r="J1569" s="124">
        <v>15539.04</v>
      </c>
      <c r="K1569" s="77">
        <v>30</v>
      </c>
      <c r="L1569" t="s">
        <v>339</v>
      </c>
      <c r="M1569" s="126">
        <v>3107.808</v>
      </c>
      <c r="N1569" s="124">
        <v>15539.04</v>
      </c>
      <c r="O1569" t="s">
        <v>346</v>
      </c>
      <c r="P1569" t="s">
        <v>294</v>
      </c>
    </row>
    <row r="1570" spans="1:16" ht="15" customHeight="1" x14ac:dyDescent="0.25">
      <c r="A1570" s="123">
        <v>46002</v>
      </c>
      <c r="B1570" t="s">
        <v>370</v>
      </c>
      <c r="C1570" t="s">
        <v>371</v>
      </c>
      <c r="D1570" t="s">
        <v>227</v>
      </c>
      <c r="E1570" t="s">
        <v>368</v>
      </c>
      <c r="F1570" t="s">
        <v>178</v>
      </c>
      <c r="G1570" t="s">
        <v>1980</v>
      </c>
      <c r="H1570" s="77">
        <v>71</v>
      </c>
      <c r="I1570" s="124">
        <v>27.52</v>
      </c>
      <c r="J1570" s="124">
        <v>1954.06</v>
      </c>
      <c r="K1570" s="77">
        <v>45</v>
      </c>
      <c r="L1570" t="s">
        <v>339</v>
      </c>
      <c r="M1570" s="126">
        <v>390.81200000000001</v>
      </c>
      <c r="N1570" s="124">
        <v>1954.06</v>
      </c>
      <c r="O1570" t="s">
        <v>346</v>
      </c>
      <c r="P1570" t="s">
        <v>294</v>
      </c>
    </row>
    <row r="1571" spans="1:16" ht="15" customHeight="1" x14ac:dyDescent="0.25">
      <c r="A1571" s="123">
        <v>45997</v>
      </c>
      <c r="B1571" t="s">
        <v>378</v>
      </c>
      <c r="C1571" t="s">
        <v>379</v>
      </c>
      <c r="D1571" t="s">
        <v>227</v>
      </c>
      <c r="E1571" t="s">
        <v>368</v>
      </c>
      <c r="F1571" t="s">
        <v>178</v>
      </c>
      <c r="G1571" t="s">
        <v>1981</v>
      </c>
      <c r="H1571" s="77">
        <v>70</v>
      </c>
      <c r="I1571" s="124">
        <v>48.59</v>
      </c>
      <c r="J1571" s="124">
        <v>3401.27</v>
      </c>
      <c r="K1571" s="77">
        <v>30</v>
      </c>
      <c r="L1571" t="s">
        <v>339</v>
      </c>
      <c r="M1571" s="126">
        <v>680.25400000000002</v>
      </c>
      <c r="N1571" s="124">
        <v>3401.27</v>
      </c>
      <c r="O1571" t="s">
        <v>346</v>
      </c>
      <c r="P1571" t="s">
        <v>294</v>
      </c>
    </row>
    <row r="1572" spans="1:16" ht="15" customHeight="1" x14ac:dyDescent="0.25">
      <c r="A1572" s="123">
        <v>46016</v>
      </c>
      <c r="B1572" t="s">
        <v>393</v>
      </c>
      <c r="C1572" t="s">
        <v>394</v>
      </c>
      <c r="D1572" t="s">
        <v>227</v>
      </c>
      <c r="E1572" t="s">
        <v>412</v>
      </c>
      <c r="F1572" t="s">
        <v>179</v>
      </c>
      <c r="G1572" t="s">
        <v>1982</v>
      </c>
      <c r="H1572" s="77">
        <v>12</v>
      </c>
      <c r="I1572" s="124">
        <v>278.61</v>
      </c>
      <c r="J1572" s="124">
        <v>3343.28</v>
      </c>
      <c r="K1572" s="77">
        <v>30</v>
      </c>
      <c r="L1572" t="s">
        <v>345</v>
      </c>
      <c r="M1572" s="126">
        <v>668.65599999999995</v>
      </c>
      <c r="N1572" s="124">
        <v>3343.28</v>
      </c>
      <c r="O1572" t="s">
        <v>346</v>
      </c>
      <c r="P1572" t="s">
        <v>294</v>
      </c>
    </row>
    <row r="1573" spans="1:16" ht="15" customHeight="1" x14ac:dyDescent="0.25">
      <c r="A1573" s="123">
        <v>45825</v>
      </c>
      <c r="B1573" t="s">
        <v>341</v>
      </c>
      <c r="C1573" t="s">
        <v>342</v>
      </c>
      <c r="D1573" t="s">
        <v>223</v>
      </c>
      <c r="E1573" t="s">
        <v>349</v>
      </c>
      <c r="F1573" t="s">
        <v>177</v>
      </c>
      <c r="G1573" t="s">
        <v>1983</v>
      </c>
      <c r="H1573" s="77">
        <v>50</v>
      </c>
      <c r="I1573" s="124">
        <v>60.2</v>
      </c>
      <c r="J1573" s="124">
        <v>3009.88</v>
      </c>
      <c r="K1573" s="77">
        <v>45</v>
      </c>
      <c r="L1573" t="s">
        <v>339</v>
      </c>
      <c r="M1573" s="126">
        <v>601.976</v>
      </c>
      <c r="N1573" s="124">
        <v>3009.88</v>
      </c>
      <c r="O1573" t="s">
        <v>340</v>
      </c>
      <c r="P1573" t="s">
        <v>294</v>
      </c>
    </row>
    <row r="1574" spans="1:16" ht="15" customHeight="1" x14ac:dyDescent="0.25">
      <c r="A1574" s="123">
        <v>45901</v>
      </c>
      <c r="B1574" t="s">
        <v>378</v>
      </c>
      <c r="C1574" t="s">
        <v>379</v>
      </c>
      <c r="D1574" t="s">
        <v>227</v>
      </c>
      <c r="E1574" t="s">
        <v>403</v>
      </c>
      <c r="F1574" t="s">
        <v>181</v>
      </c>
      <c r="G1574" t="s">
        <v>1984</v>
      </c>
      <c r="H1574" s="77">
        <v>16</v>
      </c>
      <c r="I1574" s="124">
        <v>258.55</v>
      </c>
      <c r="J1574" s="124">
        <v>4136.78</v>
      </c>
      <c r="K1574" s="77">
        <v>60</v>
      </c>
      <c r="L1574" t="s">
        <v>339</v>
      </c>
      <c r="M1574" s="126">
        <v>827.35599999999999</v>
      </c>
      <c r="N1574" s="124">
        <v>4136.78</v>
      </c>
      <c r="O1574" t="s">
        <v>346</v>
      </c>
      <c r="P1574" t="s">
        <v>294</v>
      </c>
    </row>
    <row r="1575" spans="1:16" ht="15" customHeight="1" x14ac:dyDescent="0.25">
      <c r="A1575" s="123">
        <v>46012</v>
      </c>
      <c r="B1575" t="s">
        <v>378</v>
      </c>
      <c r="C1575" t="s">
        <v>379</v>
      </c>
      <c r="D1575" t="s">
        <v>227</v>
      </c>
      <c r="E1575" t="s">
        <v>396</v>
      </c>
      <c r="F1575" t="s">
        <v>184</v>
      </c>
      <c r="G1575" t="s">
        <v>1985</v>
      </c>
      <c r="H1575" s="77">
        <v>43</v>
      </c>
      <c r="I1575" s="124">
        <v>35.57</v>
      </c>
      <c r="J1575" s="124">
        <v>1529.3</v>
      </c>
      <c r="K1575" s="77">
        <v>30</v>
      </c>
      <c r="L1575" t="s">
        <v>351</v>
      </c>
      <c r="M1575" s="126">
        <v>305.86</v>
      </c>
      <c r="N1575" s="124">
        <v>1529.3</v>
      </c>
      <c r="O1575" t="s">
        <v>346</v>
      </c>
      <c r="P1575" t="s">
        <v>294</v>
      </c>
    </row>
    <row r="1576" spans="1:16" ht="15" customHeight="1" x14ac:dyDescent="0.25">
      <c r="A1576" s="123">
        <v>45833</v>
      </c>
      <c r="B1576" t="s">
        <v>378</v>
      </c>
      <c r="C1576" t="s">
        <v>379</v>
      </c>
      <c r="D1576" t="s">
        <v>227</v>
      </c>
      <c r="E1576" t="s">
        <v>343</v>
      </c>
      <c r="F1576" t="s">
        <v>178</v>
      </c>
      <c r="G1576" t="s">
        <v>1986</v>
      </c>
      <c r="H1576" s="77">
        <v>49</v>
      </c>
      <c r="I1576" s="124">
        <v>84.01</v>
      </c>
      <c r="J1576" s="124">
        <v>4116.4399999999996</v>
      </c>
      <c r="K1576" s="77">
        <v>60</v>
      </c>
      <c r="L1576" t="s">
        <v>351</v>
      </c>
      <c r="M1576" s="126">
        <v>823.28800000000001</v>
      </c>
      <c r="N1576" s="124">
        <v>4116.4399999999996</v>
      </c>
      <c r="O1576" t="s">
        <v>346</v>
      </c>
      <c r="P1576" t="s">
        <v>294</v>
      </c>
    </row>
    <row r="1577" spans="1:16" ht="15" customHeight="1" x14ac:dyDescent="0.25">
      <c r="A1577" s="123">
        <v>45986</v>
      </c>
      <c r="B1577" t="s">
        <v>358</v>
      </c>
      <c r="C1577" t="s">
        <v>359</v>
      </c>
      <c r="D1577" t="s">
        <v>225</v>
      </c>
      <c r="E1577" t="s">
        <v>236</v>
      </c>
      <c r="F1577" t="s">
        <v>183</v>
      </c>
      <c r="G1577" t="s">
        <v>1987</v>
      </c>
      <c r="H1577" s="77">
        <v>72</v>
      </c>
      <c r="I1577" s="124">
        <v>294.18</v>
      </c>
      <c r="J1577" s="124">
        <v>21180.7</v>
      </c>
      <c r="K1577" s="77">
        <v>45</v>
      </c>
      <c r="L1577" t="s">
        <v>339</v>
      </c>
      <c r="M1577" s="126">
        <v>4236.1400000000003</v>
      </c>
      <c r="N1577" s="124">
        <v>21180.7</v>
      </c>
      <c r="O1577" t="s">
        <v>346</v>
      </c>
      <c r="P1577" t="s">
        <v>294</v>
      </c>
    </row>
    <row r="1578" spans="1:16" ht="15" customHeight="1" x14ac:dyDescent="0.25">
      <c r="A1578" s="123">
        <v>45806</v>
      </c>
      <c r="B1578" t="s">
        <v>393</v>
      </c>
      <c r="C1578" t="s">
        <v>394</v>
      </c>
      <c r="D1578" t="s">
        <v>227</v>
      </c>
      <c r="E1578" t="s">
        <v>356</v>
      </c>
      <c r="F1578" t="s">
        <v>181</v>
      </c>
      <c r="G1578" t="s">
        <v>1988</v>
      </c>
      <c r="H1578" s="77">
        <v>12</v>
      </c>
      <c r="I1578" s="124">
        <v>90.5</v>
      </c>
      <c r="J1578" s="124">
        <v>1085.95</v>
      </c>
      <c r="K1578" s="77">
        <v>30</v>
      </c>
      <c r="L1578" t="s">
        <v>339</v>
      </c>
      <c r="M1578" s="126">
        <v>217.19</v>
      </c>
      <c r="N1578" s="124">
        <v>1085.95</v>
      </c>
      <c r="O1578" t="s">
        <v>340</v>
      </c>
      <c r="P1578" t="s">
        <v>294</v>
      </c>
    </row>
    <row r="1579" spans="1:16" ht="15" customHeight="1" x14ac:dyDescent="0.25">
      <c r="A1579" s="123">
        <v>45717</v>
      </c>
      <c r="B1579" t="s">
        <v>354</v>
      </c>
      <c r="C1579" t="s">
        <v>355</v>
      </c>
      <c r="D1579" t="s">
        <v>227</v>
      </c>
      <c r="E1579" t="s">
        <v>352</v>
      </c>
      <c r="F1579" t="s">
        <v>180</v>
      </c>
      <c r="G1579" t="s">
        <v>1989</v>
      </c>
      <c r="H1579" s="77">
        <v>74</v>
      </c>
      <c r="I1579" s="124">
        <v>474.41</v>
      </c>
      <c r="J1579" s="124">
        <v>35106.19</v>
      </c>
      <c r="K1579" s="77">
        <v>45</v>
      </c>
      <c r="L1579" t="s">
        <v>339</v>
      </c>
      <c r="M1579" s="126">
        <v>7021.2380000000003</v>
      </c>
      <c r="N1579" s="124">
        <v>35106.19</v>
      </c>
      <c r="O1579" t="s">
        <v>346</v>
      </c>
      <c r="P1579" t="s">
        <v>294</v>
      </c>
    </row>
    <row r="1580" spans="1:16" ht="15" customHeight="1" x14ac:dyDescent="0.25">
      <c r="A1580" s="123">
        <v>45658</v>
      </c>
      <c r="B1580" t="s">
        <v>401</v>
      </c>
      <c r="C1580" t="s">
        <v>402</v>
      </c>
      <c r="D1580" t="s">
        <v>221</v>
      </c>
      <c r="E1580" t="s">
        <v>236</v>
      </c>
      <c r="F1580" t="s">
        <v>183</v>
      </c>
      <c r="G1580" t="s">
        <v>1990</v>
      </c>
      <c r="H1580" s="77">
        <v>40</v>
      </c>
      <c r="I1580" s="124">
        <v>200.29</v>
      </c>
      <c r="J1580" s="124">
        <v>8011.53</v>
      </c>
      <c r="K1580" s="77">
        <v>30</v>
      </c>
      <c r="L1580" t="s">
        <v>351</v>
      </c>
      <c r="M1580" s="126">
        <v>1602.306</v>
      </c>
      <c r="N1580" s="124">
        <v>8011.53</v>
      </c>
      <c r="O1580" t="s">
        <v>346</v>
      </c>
      <c r="P1580" t="s">
        <v>294</v>
      </c>
    </row>
    <row r="1581" spans="1:16" ht="15" customHeight="1" x14ac:dyDescent="0.25">
      <c r="A1581" s="123">
        <v>45874</v>
      </c>
      <c r="B1581" t="s">
        <v>341</v>
      </c>
      <c r="C1581" t="s">
        <v>342</v>
      </c>
      <c r="D1581" t="s">
        <v>223</v>
      </c>
      <c r="E1581" t="s">
        <v>360</v>
      </c>
      <c r="F1581" t="s">
        <v>180</v>
      </c>
      <c r="G1581" t="s">
        <v>1991</v>
      </c>
      <c r="H1581" s="77">
        <v>41</v>
      </c>
      <c r="I1581" s="124">
        <v>160.1</v>
      </c>
      <c r="J1581" s="124">
        <v>6564.25</v>
      </c>
      <c r="K1581" s="77">
        <v>45</v>
      </c>
      <c r="L1581" t="s">
        <v>351</v>
      </c>
      <c r="M1581" s="126">
        <v>1312.85</v>
      </c>
      <c r="N1581" s="124">
        <v>6564.25</v>
      </c>
      <c r="O1581" t="s">
        <v>346</v>
      </c>
      <c r="P1581" t="s">
        <v>294</v>
      </c>
    </row>
    <row r="1582" spans="1:16" ht="15" customHeight="1" x14ac:dyDescent="0.25">
      <c r="A1582" s="123">
        <v>45860</v>
      </c>
      <c r="B1582" t="s">
        <v>406</v>
      </c>
      <c r="C1582" t="s">
        <v>407</v>
      </c>
      <c r="D1582" t="s">
        <v>225</v>
      </c>
      <c r="E1582" t="s">
        <v>423</v>
      </c>
      <c r="F1582" t="s">
        <v>180</v>
      </c>
      <c r="G1582" t="s">
        <v>1992</v>
      </c>
      <c r="H1582" s="77">
        <v>2</v>
      </c>
      <c r="I1582" s="124">
        <v>279.16000000000003</v>
      </c>
      <c r="J1582" s="124">
        <v>558.30999999999995</v>
      </c>
      <c r="K1582" s="77">
        <v>60</v>
      </c>
      <c r="L1582" t="s">
        <v>345</v>
      </c>
      <c r="M1582" s="126">
        <v>111.66200000000001</v>
      </c>
      <c r="N1582" s="124">
        <v>558.30999999999995</v>
      </c>
      <c r="O1582" t="s">
        <v>346</v>
      </c>
      <c r="P1582" t="s">
        <v>294</v>
      </c>
    </row>
    <row r="1583" spans="1:16" ht="15" customHeight="1" x14ac:dyDescent="0.25">
      <c r="A1583" s="123">
        <v>45770</v>
      </c>
      <c r="B1583" t="s">
        <v>393</v>
      </c>
      <c r="C1583" t="s">
        <v>394</v>
      </c>
      <c r="D1583" t="s">
        <v>227</v>
      </c>
      <c r="E1583" t="s">
        <v>381</v>
      </c>
      <c r="F1583" t="s">
        <v>179</v>
      </c>
      <c r="G1583" t="s">
        <v>1993</v>
      </c>
      <c r="H1583" s="77">
        <v>64</v>
      </c>
      <c r="I1583" s="124">
        <v>338.56</v>
      </c>
      <c r="J1583" s="124">
        <v>21667.97</v>
      </c>
      <c r="K1583" s="77">
        <v>60</v>
      </c>
      <c r="L1583" t="s">
        <v>345</v>
      </c>
      <c r="M1583" s="126">
        <v>4333.5940000000001</v>
      </c>
      <c r="N1583" s="124">
        <v>21667.97</v>
      </c>
      <c r="O1583" t="s">
        <v>346</v>
      </c>
      <c r="P1583" t="s">
        <v>294</v>
      </c>
    </row>
    <row r="1584" spans="1:16" ht="15" customHeight="1" x14ac:dyDescent="0.25">
      <c r="A1584" s="123">
        <v>45998</v>
      </c>
      <c r="B1584" t="s">
        <v>373</v>
      </c>
      <c r="C1584" t="s">
        <v>374</v>
      </c>
      <c r="D1584" t="s">
        <v>225</v>
      </c>
      <c r="E1584" t="s">
        <v>356</v>
      </c>
      <c r="F1584" t="s">
        <v>181</v>
      </c>
      <c r="G1584" t="s">
        <v>1994</v>
      </c>
      <c r="H1584" s="77">
        <v>5</v>
      </c>
      <c r="I1584" s="124">
        <v>125.83</v>
      </c>
      <c r="J1584" s="124">
        <v>629.15</v>
      </c>
      <c r="K1584" s="77">
        <v>60</v>
      </c>
      <c r="L1584" t="s">
        <v>345</v>
      </c>
      <c r="M1584" s="126">
        <v>125.83</v>
      </c>
      <c r="N1584" s="124">
        <v>629.15</v>
      </c>
      <c r="O1584" t="s">
        <v>340</v>
      </c>
      <c r="P1584" t="s">
        <v>294</v>
      </c>
    </row>
    <row r="1585" spans="1:16" ht="15" customHeight="1" x14ac:dyDescent="0.25">
      <c r="A1585" s="123">
        <v>46019</v>
      </c>
      <c r="B1585" t="s">
        <v>386</v>
      </c>
      <c r="C1585" t="s">
        <v>387</v>
      </c>
      <c r="D1585" t="s">
        <v>223</v>
      </c>
      <c r="E1585" t="s">
        <v>368</v>
      </c>
      <c r="F1585" t="s">
        <v>178</v>
      </c>
      <c r="G1585" t="s">
        <v>1995</v>
      </c>
      <c r="H1585" s="77">
        <v>74</v>
      </c>
      <c r="I1585" s="124">
        <v>67.239999999999995</v>
      </c>
      <c r="J1585" s="124">
        <v>4975.97</v>
      </c>
      <c r="K1585" s="77">
        <v>45</v>
      </c>
      <c r="L1585" t="s">
        <v>351</v>
      </c>
      <c r="M1585" s="126">
        <v>995.19399999999996</v>
      </c>
      <c r="N1585" s="124">
        <v>4975.97</v>
      </c>
      <c r="O1585" t="s">
        <v>346</v>
      </c>
      <c r="P1585" t="s">
        <v>294</v>
      </c>
    </row>
    <row r="1586" spans="1:16" ht="15" customHeight="1" x14ac:dyDescent="0.25">
      <c r="A1586" s="123">
        <v>46018</v>
      </c>
      <c r="B1586" t="s">
        <v>393</v>
      </c>
      <c r="C1586" t="s">
        <v>394</v>
      </c>
      <c r="D1586" t="s">
        <v>227</v>
      </c>
      <c r="E1586" t="s">
        <v>427</v>
      </c>
      <c r="F1586" t="s">
        <v>184</v>
      </c>
      <c r="G1586" t="s">
        <v>1996</v>
      </c>
      <c r="H1586" s="77">
        <v>49</v>
      </c>
      <c r="I1586" s="124">
        <v>94.95</v>
      </c>
      <c r="J1586" s="124">
        <v>4652.49</v>
      </c>
      <c r="K1586" s="77">
        <v>30</v>
      </c>
      <c r="L1586" t="s">
        <v>345</v>
      </c>
      <c r="M1586" s="126">
        <v>930.49800000000005</v>
      </c>
      <c r="N1586" s="124">
        <v>4652.49</v>
      </c>
      <c r="O1586" t="s">
        <v>346</v>
      </c>
      <c r="P1586" t="s">
        <v>294</v>
      </c>
    </row>
    <row r="1587" spans="1:16" ht="15" customHeight="1" x14ac:dyDescent="0.25">
      <c r="A1587" s="123">
        <v>45773</v>
      </c>
      <c r="B1587" t="s">
        <v>378</v>
      </c>
      <c r="C1587" t="s">
        <v>379</v>
      </c>
      <c r="D1587" t="s">
        <v>227</v>
      </c>
      <c r="E1587" t="s">
        <v>352</v>
      </c>
      <c r="F1587" t="s">
        <v>180</v>
      </c>
      <c r="G1587" t="s">
        <v>1997</v>
      </c>
      <c r="H1587" s="77">
        <v>7</v>
      </c>
      <c r="I1587" s="124">
        <v>366.01</v>
      </c>
      <c r="J1587" s="124">
        <v>2562.09</v>
      </c>
      <c r="K1587" s="77">
        <v>30</v>
      </c>
      <c r="L1587" t="s">
        <v>345</v>
      </c>
      <c r="M1587" s="126">
        <v>512.41800000000001</v>
      </c>
      <c r="N1587" s="124">
        <v>2562.09</v>
      </c>
      <c r="O1587" t="s">
        <v>346</v>
      </c>
      <c r="P1587" t="s">
        <v>294</v>
      </c>
    </row>
    <row r="1588" spans="1:16" ht="15" customHeight="1" x14ac:dyDescent="0.25">
      <c r="A1588" s="123">
        <v>45995</v>
      </c>
      <c r="B1588" t="s">
        <v>393</v>
      </c>
      <c r="C1588" t="s">
        <v>394</v>
      </c>
      <c r="D1588" t="s">
        <v>227</v>
      </c>
      <c r="E1588" t="s">
        <v>234</v>
      </c>
      <c r="F1588" t="s">
        <v>183</v>
      </c>
      <c r="G1588" t="s">
        <v>1998</v>
      </c>
      <c r="H1588" s="77">
        <v>21</v>
      </c>
      <c r="I1588" s="124">
        <v>330.57</v>
      </c>
      <c r="J1588" s="124">
        <v>6942.02</v>
      </c>
      <c r="K1588" s="77">
        <v>30</v>
      </c>
      <c r="L1588" t="s">
        <v>351</v>
      </c>
      <c r="M1588" s="126">
        <v>1388.404</v>
      </c>
      <c r="N1588" s="124">
        <v>6942.02</v>
      </c>
      <c r="O1588" t="s">
        <v>346</v>
      </c>
      <c r="P1588" t="s">
        <v>294</v>
      </c>
    </row>
    <row r="1589" spans="1:16" ht="15" customHeight="1" x14ac:dyDescent="0.25">
      <c r="A1589" s="123">
        <v>46005</v>
      </c>
      <c r="B1589" t="s">
        <v>393</v>
      </c>
      <c r="C1589" t="s">
        <v>394</v>
      </c>
      <c r="D1589" t="s">
        <v>227</v>
      </c>
      <c r="E1589" t="s">
        <v>420</v>
      </c>
      <c r="F1589" t="s">
        <v>182</v>
      </c>
      <c r="G1589" t="s">
        <v>1999</v>
      </c>
      <c r="H1589" s="77">
        <v>61</v>
      </c>
      <c r="I1589" s="124">
        <v>77.63</v>
      </c>
      <c r="J1589" s="124">
        <v>4735.7</v>
      </c>
      <c r="K1589" s="77">
        <v>45</v>
      </c>
      <c r="L1589" t="s">
        <v>345</v>
      </c>
      <c r="M1589" s="126">
        <v>947.14</v>
      </c>
      <c r="N1589" s="124">
        <v>4735.7</v>
      </c>
      <c r="O1589" t="s">
        <v>346</v>
      </c>
      <c r="P1589" t="s">
        <v>294</v>
      </c>
    </row>
    <row r="1590" spans="1:16" ht="15" customHeight="1" x14ac:dyDescent="0.25">
      <c r="A1590" s="123">
        <v>45802</v>
      </c>
      <c r="B1590" t="s">
        <v>406</v>
      </c>
      <c r="C1590" t="s">
        <v>407</v>
      </c>
      <c r="D1590" t="s">
        <v>225</v>
      </c>
      <c r="E1590" t="s">
        <v>343</v>
      </c>
      <c r="F1590" t="s">
        <v>178</v>
      </c>
      <c r="G1590" t="s">
        <v>2000</v>
      </c>
      <c r="H1590" s="77">
        <v>37</v>
      </c>
      <c r="I1590" s="124">
        <v>41.23</v>
      </c>
      <c r="J1590" s="124">
        <v>1525.58</v>
      </c>
      <c r="K1590" s="77">
        <v>60</v>
      </c>
      <c r="L1590" t="s">
        <v>339</v>
      </c>
      <c r="M1590" s="126">
        <v>305.11599999999999</v>
      </c>
      <c r="N1590" s="124">
        <v>1525.58</v>
      </c>
      <c r="O1590" t="s">
        <v>346</v>
      </c>
      <c r="P1590" t="s">
        <v>294</v>
      </c>
    </row>
    <row r="1591" spans="1:16" ht="15" customHeight="1" x14ac:dyDescent="0.25">
      <c r="A1591" s="123">
        <v>45725</v>
      </c>
      <c r="B1591" t="s">
        <v>354</v>
      </c>
      <c r="C1591" t="s">
        <v>355</v>
      </c>
      <c r="D1591" t="s">
        <v>227</v>
      </c>
      <c r="E1591" t="s">
        <v>235</v>
      </c>
      <c r="F1591" t="s">
        <v>183</v>
      </c>
      <c r="G1591" t="s">
        <v>2001</v>
      </c>
      <c r="H1591" s="77">
        <v>42</v>
      </c>
      <c r="I1591" s="124">
        <v>314.56</v>
      </c>
      <c r="J1591" s="124">
        <v>13211.35</v>
      </c>
      <c r="K1591" s="77">
        <v>60</v>
      </c>
      <c r="L1591" t="s">
        <v>339</v>
      </c>
      <c r="M1591" s="126">
        <v>2642.27</v>
      </c>
      <c r="N1591" s="124">
        <v>13211.35</v>
      </c>
      <c r="O1591" t="s">
        <v>346</v>
      </c>
      <c r="P1591" t="s">
        <v>294</v>
      </c>
    </row>
    <row r="1592" spans="1:16" ht="15" customHeight="1" x14ac:dyDescent="0.25">
      <c r="A1592" s="123">
        <v>45993</v>
      </c>
      <c r="B1592" t="s">
        <v>362</v>
      </c>
      <c r="C1592" t="s">
        <v>363</v>
      </c>
      <c r="D1592" t="s">
        <v>221</v>
      </c>
      <c r="E1592" t="s">
        <v>437</v>
      </c>
      <c r="F1592" t="s">
        <v>181</v>
      </c>
      <c r="G1592" t="s">
        <v>2002</v>
      </c>
      <c r="H1592" s="77">
        <v>21</v>
      </c>
      <c r="I1592" s="124">
        <v>121.99</v>
      </c>
      <c r="J1592" s="124">
        <v>2561.8200000000002</v>
      </c>
      <c r="K1592" s="77">
        <v>60</v>
      </c>
      <c r="L1592" t="s">
        <v>339</v>
      </c>
      <c r="M1592" s="126">
        <v>512.36400000000003</v>
      </c>
      <c r="N1592" s="124">
        <v>2561.8200000000002</v>
      </c>
      <c r="O1592" t="s">
        <v>346</v>
      </c>
      <c r="P1592" t="s">
        <v>294</v>
      </c>
    </row>
    <row r="1593" spans="1:16" ht="15" customHeight="1" x14ac:dyDescent="0.25">
      <c r="A1593" s="123">
        <v>45732</v>
      </c>
      <c r="B1593" t="s">
        <v>347</v>
      </c>
      <c r="C1593" t="s">
        <v>348</v>
      </c>
      <c r="D1593" t="s">
        <v>223</v>
      </c>
      <c r="E1593" t="s">
        <v>427</v>
      </c>
      <c r="F1593" t="s">
        <v>184</v>
      </c>
      <c r="G1593" t="s">
        <v>2003</v>
      </c>
      <c r="H1593" s="77">
        <v>27</v>
      </c>
      <c r="I1593" s="124">
        <v>15.04</v>
      </c>
      <c r="J1593" s="124">
        <v>406.09</v>
      </c>
      <c r="K1593" s="77">
        <v>30</v>
      </c>
      <c r="L1593" t="s">
        <v>351</v>
      </c>
      <c r="M1593" s="126">
        <v>81.218000000000004</v>
      </c>
      <c r="N1593" s="124">
        <v>406.09</v>
      </c>
      <c r="O1593" t="s">
        <v>346</v>
      </c>
      <c r="P1593" t="s">
        <v>294</v>
      </c>
    </row>
    <row r="1594" spans="1:16" ht="15" customHeight="1" x14ac:dyDescent="0.25">
      <c r="A1594" s="123">
        <v>45952</v>
      </c>
      <c r="B1594" t="s">
        <v>386</v>
      </c>
      <c r="C1594" t="s">
        <v>387</v>
      </c>
      <c r="D1594" t="s">
        <v>223</v>
      </c>
      <c r="E1594" t="s">
        <v>496</v>
      </c>
      <c r="F1594" t="s">
        <v>177</v>
      </c>
      <c r="G1594" t="s">
        <v>2004</v>
      </c>
      <c r="H1594" s="77">
        <v>14</v>
      </c>
      <c r="I1594" s="124">
        <v>152.57</v>
      </c>
      <c r="J1594" s="124">
        <v>2135.9299999999998</v>
      </c>
      <c r="K1594" s="77">
        <v>60</v>
      </c>
      <c r="L1594" t="s">
        <v>339</v>
      </c>
      <c r="M1594" s="126">
        <v>427.18599999999998</v>
      </c>
      <c r="N1594" s="124">
        <v>2135.9299999999998</v>
      </c>
      <c r="O1594" t="s">
        <v>346</v>
      </c>
      <c r="P1594" t="s">
        <v>294</v>
      </c>
    </row>
    <row r="1595" spans="1:16" ht="15" customHeight="1" x14ac:dyDescent="0.25">
      <c r="A1595" s="123">
        <v>45744</v>
      </c>
      <c r="B1595" t="s">
        <v>488</v>
      </c>
      <c r="C1595" t="s">
        <v>489</v>
      </c>
      <c r="D1595" t="s">
        <v>225</v>
      </c>
      <c r="E1595" t="s">
        <v>236</v>
      </c>
      <c r="F1595" t="s">
        <v>183</v>
      </c>
      <c r="G1595" t="s">
        <v>2005</v>
      </c>
      <c r="H1595" s="77">
        <v>8</v>
      </c>
      <c r="I1595" s="124">
        <v>493.22</v>
      </c>
      <c r="J1595" s="124">
        <v>3945.73</v>
      </c>
      <c r="K1595" s="77">
        <v>30</v>
      </c>
      <c r="L1595" t="s">
        <v>345</v>
      </c>
      <c r="M1595" s="126">
        <v>789.14599999999996</v>
      </c>
      <c r="N1595" s="124">
        <v>3945.73</v>
      </c>
      <c r="O1595" t="s">
        <v>346</v>
      </c>
      <c r="P1595" t="s">
        <v>294</v>
      </c>
    </row>
    <row r="1596" spans="1:16" ht="15" customHeight="1" x14ac:dyDescent="0.25">
      <c r="A1596" s="123">
        <v>45718</v>
      </c>
      <c r="B1596" t="s">
        <v>383</v>
      </c>
      <c r="C1596" t="s">
        <v>384</v>
      </c>
      <c r="D1596" t="s">
        <v>225</v>
      </c>
      <c r="E1596" t="s">
        <v>442</v>
      </c>
      <c r="F1596" t="s">
        <v>179</v>
      </c>
      <c r="G1596" t="s">
        <v>2006</v>
      </c>
      <c r="H1596" s="77">
        <v>66</v>
      </c>
      <c r="I1596" s="124">
        <v>49.07</v>
      </c>
      <c r="J1596" s="124">
        <v>3238.93</v>
      </c>
      <c r="K1596" s="77">
        <v>60</v>
      </c>
      <c r="L1596" t="s">
        <v>345</v>
      </c>
      <c r="M1596" s="126">
        <v>647.78599999999994</v>
      </c>
      <c r="N1596" s="124">
        <v>3238.93</v>
      </c>
      <c r="O1596" t="s">
        <v>340</v>
      </c>
      <c r="P1596" t="s">
        <v>294</v>
      </c>
    </row>
    <row r="1597" spans="1:16" ht="15" customHeight="1" x14ac:dyDescent="0.25">
      <c r="A1597" s="123">
        <v>45979</v>
      </c>
      <c r="B1597" t="s">
        <v>335</v>
      </c>
      <c r="C1597" t="s">
        <v>336</v>
      </c>
      <c r="D1597" t="s">
        <v>223</v>
      </c>
      <c r="E1597" t="s">
        <v>235</v>
      </c>
      <c r="F1597" t="s">
        <v>183</v>
      </c>
      <c r="G1597" t="s">
        <v>2007</v>
      </c>
      <c r="H1597" s="77">
        <v>52</v>
      </c>
      <c r="I1597" s="124">
        <v>172.16</v>
      </c>
      <c r="J1597" s="124">
        <v>8952.3799999999992</v>
      </c>
      <c r="K1597" s="77">
        <v>30</v>
      </c>
      <c r="L1597" t="s">
        <v>339</v>
      </c>
      <c r="M1597" s="126">
        <v>1790.4760000000001</v>
      </c>
      <c r="N1597" s="124">
        <v>8952.3799999999992</v>
      </c>
      <c r="O1597" t="s">
        <v>346</v>
      </c>
      <c r="P1597" t="s">
        <v>294</v>
      </c>
    </row>
    <row r="1598" spans="1:16" ht="15" customHeight="1" x14ac:dyDescent="0.25">
      <c r="A1598" s="123">
        <v>45908</v>
      </c>
      <c r="B1598" t="s">
        <v>335</v>
      </c>
      <c r="C1598" t="s">
        <v>336</v>
      </c>
      <c r="D1598" t="s">
        <v>223</v>
      </c>
      <c r="E1598" t="s">
        <v>360</v>
      </c>
      <c r="F1598" t="s">
        <v>180</v>
      </c>
      <c r="G1598" t="s">
        <v>2008</v>
      </c>
      <c r="H1598" s="77">
        <v>39</v>
      </c>
      <c r="I1598" s="124">
        <v>351.42</v>
      </c>
      <c r="J1598" s="124">
        <v>13705.57</v>
      </c>
      <c r="K1598" s="77">
        <v>60</v>
      </c>
      <c r="L1598" t="s">
        <v>351</v>
      </c>
      <c r="M1598" s="126">
        <v>2741.114</v>
      </c>
      <c r="N1598" s="124">
        <v>13705.57</v>
      </c>
      <c r="O1598" t="s">
        <v>346</v>
      </c>
      <c r="P1598" t="s">
        <v>294</v>
      </c>
    </row>
    <row r="1599" spans="1:16" ht="15" customHeight="1" x14ac:dyDescent="0.25">
      <c r="A1599" s="123">
        <v>46001</v>
      </c>
      <c r="B1599" t="s">
        <v>341</v>
      </c>
      <c r="C1599" t="s">
        <v>342</v>
      </c>
      <c r="D1599" t="s">
        <v>223</v>
      </c>
      <c r="E1599" t="s">
        <v>236</v>
      </c>
      <c r="F1599" t="s">
        <v>183</v>
      </c>
      <c r="G1599" t="s">
        <v>2009</v>
      </c>
      <c r="H1599" s="77">
        <v>12</v>
      </c>
      <c r="I1599" s="124">
        <v>930.2</v>
      </c>
      <c r="J1599" s="124">
        <v>11162.46</v>
      </c>
      <c r="K1599" s="77">
        <v>45</v>
      </c>
      <c r="L1599" t="s">
        <v>351</v>
      </c>
      <c r="M1599" s="126">
        <v>2232.4920000000002</v>
      </c>
      <c r="N1599" s="124">
        <v>11162.46</v>
      </c>
      <c r="O1599" t="s">
        <v>346</v>
      </c>
      <c r="P1599" t="s">
        <v>294</v>
      </c>
    </row>
    <row r="1600" spans="1:16" ht="15" customHeight="1" x14ac:dyDescent="0.25">
      <c r="A1600" s="123">
        <v>45992</v>
      </c>
      <c r="B1600" t="s">
        <v>358</v>
      </c>
      <c r="C1600" t="s">
        <v>359</v>
      </c>
      <c r="D1600" t="s">
        <v>225</v>
      </c>
      <c r="E1600" t="s">
        <v>403</v>
      </c>
      <c r="F1600" t="s">
        <v>181</v>
      </c>
      <c r="G1600" t="s">
        <v>2010</v>
      </c>
      <c r="H1600" s="77">
        <v>57</v>
      </c>
      <c r="I1600" s="124">
        <v>222.53</v>
      </c>
      <c r="J1600" s="124">
        <v>12684.24</v>
      </c>
      <c r="K1600" s="77">
        <v>45</v>
      </c>
      <c r="L1600" t="s">
        <v>339</v>
      </c>
      <c r="M1600" s="126">
        <v>2536.848</v>
      </c>
      <c r="N1600" s="124">
        <v>12684.24</v>
      </c>
      <c r="O1600" t="s">
        <v>346</v>
      </c>
      <c r="P1600" t="s">
        <v>294</v>
      </c>
    </row>
    <row r="1601" spans="1:16" ht="15" customHeight="1" x14ac:dyDescent="0.25">
      <c r="A1601" s="123">
        <v>45720</v>
      </c>
      <c r="B1601" t="s">
        <v>335</v>
      </c>
      <c r="C1601" t="s">
        <v>336</v>
      </c>
      <c r="D1601" t="s">
        <v>223</v>
      </c>
      <c r="E1601" t="s">
        <v>415</v>
      </c>
      <c r="F1601" t="s">
        <v>178</v>
      </c>
      <c r="G1601" t="s">
        <v>2011</v>
      </c>
      <c r="H1601" s="77">
        <v>63</v>
      </c>
      <c r="I1601" s="124">
        <v>43.55</v>
      </c>
      <c r="J1601" s="124">
        <v>2743.86</v>
      </c>
      <c r="K1601" s="77">
        <v>60</v>
      </c>
      <c r="L1601" t="s">
        <v>351</v>
      </c>
      <c r="M1601" s="126">
        <v>548.77200000000005</v>
      </c>
      <c r="N1601" s="124">
        <v>2743.86</v>
      </c>
      <c r="O1601" t="s">
        <v>340</v>
      </c>
      <c r="P1601" t="s">
        <v>294</v>
      </c>
    </row>
    <row r="1602" spans="1:16" ht="15" customHeight="1" x14ac:dyDescent="0.25">
      <c r="A1602" s="123">
        <v>45958</v>
      </c>
      <c r="B1602" t="s">
        <v>354</v>
      </c>
      <c r="C1602" t="s">
        <v>355</v>
      </c>
      <c r="D1602" t="s">
        <v>227</v>
      </c>
      <c r="E1602" t="s">
        <v>423</v>
      </c>
      <c r="F1602" t="s">
        <v>180</v>
      </c>
      <c r="G1602" t="s">
        <v>2012</v>
      </c>
      <c r="H1602" s="77">
        <v>74</v>
      </c>
      <c r="I1602" s="124">
        <v>226.08</v>
      </c>
      <c r="J1602" s="124">
        <v>16729.57</v>
      </c>
      <c r="K1602" s="77">
        <v>60</v>
      </c>
      <c r="L1602" t="s">
        <v>345</v>
      </c>
      <c r="M1602" s="126">
        <v>3345.9140000000002</v>
      </c>
      <c r="N1602" s="124">
        <v>16729.57</v>
      </c>
      <c r="O1602" t="s">
        <v>346</v>
      </c>
      <c r="P1602" t="s">
        <v>294</v>
      </c>
    </row>
    <row r="1603" spans="1:16" ht="15" customHeight="1" x14ac:dyDescent="0.25">
      <c r="A1603" s="123">
        <v>45750</v>
      </c>
      <c r="B1603" t="s">
        <v>383</v>
      </c>
      <c r="C1603" t="s">
        <v>384</v>
      </c>
      <c r="D1603" t="s">
        <v>225</v>
      </c>
      <c r="E1603" t="s">
        <v>343</v>
      </c>
      <c r="F1603" t="s">
        <v>178</v>
      </c>
      <c r="G1603" t="s">
        <v>2013</v>
      </c>
      <c r="H1603" s="77">
        <v>50</v>
      </c>
      <c r="I1603" s="124">
        <v>138.46</v>
      </c>
      <c r="J1603" s="124">
        <v>6922.92</v>
      </c>
      <c r="K1603" s="77">
        <v>45</v>
      </c>
      <c r="L1603" t="s">
        <v>351</v>
      </c>
      <c r="M1603" s="126">
        <v>1384.5840000000001</v>
      </c>
      <c r="N1603" s="124">
        <v>6922.92</v>
      </c>
      <c r="O1603" t="s">
        <v>346</v>
      </c>
      <c r="P1603" t="s">
        <v>294</v>
      </c>
    </row>
    <row r="1604" spans="1:16" ht="15" customHeight="1" x14ac:dyDescent="0.25">
      <c r="A1604" s="123">
        <v>45950</v>
      </c>
      <c r="B1604" t="s">
        <v>335</v>
      </c>
      <c r="C1604" t="s">
        <v>336</v>
      </c>
      <c r="D1604" t="s">
        <v>223</v>
      </c>
      <c r="E1604" t="s">
        <v>234</v>
      </c>
      <c r="F1604" t="s">
        <v>183</v>
      </c>
      <c r="G1604" t="s">
        <v>2014</v>
      </c>
      <c r="H1604" s="77">
        <v>17</v>
      </c>
      <c r="I1604" s="124">
        <v>210.29</v>
      </c>
      <c r="J1604" s="124">
        <v>3574.98</v>
      </c>
      <c r="K1604" s="77">
        <v>30</v>
      </c>
      <c r="L1604" t="s">
        <v>345</v>
      </c>
      <c r="M1604" s="126">
        <v>714.99599999999998</v>
      </c>
      <c r="N1604" s="124">
        <v>3574.98</v>
      </c>
      <c r="O1604" t="s">
        <v>346</v>
      </c>
      <c r="P1604" t="s">
        <v>294</v>
      </c>
    </row>
    <row r="1605" spans="1:16" ht="15" customHeight="1" x14ac:dyDescent="0.25">
      <c r="A1605" s="123">
        <v>46016</v>
      </c>
      <c r="B1605" t="s">
        <v>341</v>
      </c>
      <c r="C1605" t="s">
        <v>342</v>
      </c>
      <c r="D1605" t="s">
        <v>223</v>
      </c>
      <c r="E1605" t="s">
        <v>381</v>
      </c>
      <c r="F1605" t="s">
        <v>179</v>
      </c>
      <c r="G1605" t="s">
        <v>2015</v>
      </c>
      <c r="H1605" s="77">
        <v>3</v>
      </c>
      <c r="I1605" s="124">
        <v>115.98</v>
      </c>
      <c r="J1605" s="124">
        <v>347.93</v>
      </c>
      <c r="K1605" s="77">
        <v>45</v>
      </c>
      <c r="L1605" t="s">
        <v>351</v>
      </c>
      <c r="M1605" s="126">
        <v>69.585999999999999</v>
      </c>
      <c r="N1605" s="124">
        <v>347.93</v>
      </c>
      <c r="O1605" t="s">
        <v>346</v>
      </c>
      <c r="P1605" t="s">
        <v>294</v>
      </c>
    </row>
    <row r="1606" spans="1:16" ht="15" customHeight="1" x14ac:dyDescent="0.25">
      <c r="A1606" s="123">
        <v>45923</v>
      </c>
      <c r="B1606" t="s">
        <v>347</v>
      </c>
      <c r="C1606" t="s">
        <v>348</v>
      </c>
      <c r="D1606" t="s">
        <v>223</v>
      </c>
      <c r="E1606" t="s">
        <v>396</v>
      </c>
      <c r="F1606" t="s">
        <v>184</v>
      </c>
      <c r="G1606" t="s">
        <v>2016</v>
      </c>
      <c r="H1606" s="77">
        <v>75</v>
      </c>
      <c r="I1606" s="124">
        <v>57.51</v>
      </c>
      <c r="J1606" s="124">
        <v>4313.34</v>
      </c>
      <c r="K1606" s="77">
        <v>60</v>
      </c>
      <c r="L1606" t="s">
        <v>351</v>
      </c>
      <c r="M1606" s="126">
        <v>862.66800000000001</v>
      </c>
      <c r="N1606" s="124">
        <v>4313.34</v>
      </c>
      <c r="O1606" t="s">
        <v>346</v>
      </c>
      <c r="P1606" t="s">
        <v>294</v>
      </c>
    </row>
    <row r="1607" spans="1:16" ht="15" customHeight="1" x14ac:dyDescent="0.25">
      <c r="A1607" s="123">
        <v>45995</v>
      </c>
      <c r="B1607" t="s">
        <v>354</v>
      </c>
      <c r="C1607" t="s">
        <v>355</v>
      </c>
      <c r="D1607" t="s">
        <v>227</v>
      </c>
      <c r="E1607" t="s">
        <v>415</v>
      </c>
      <c r="F1607" t="s">
        <v>178</v>
      </c>
      <c r="G1607" t="s">
        <v>2017</v>
      </c>
      <c r="H1607" s="77">
        <v>16</v>
      </c>
      <c r="I1607" s="124">
        <v>38.479999999999997</v>
      </c>
      <c r="J1607" s="124">
        <v>615.63</v>
      </c>
      <c r="K1607" s="77">
        <v>30</v>
      </c>
      <c r="L1607" t="s">
        <v>351</v>
      </c>
      <c r="M1607" s="126">
        <v>123.126</v>
      </c>
      <c r="N1607" s="124">
        <v>615.63</v>
      </c>
      <c r="O1607" t="s">
        <v>340</v>
      </c>
      <c r="P1607" t="s">
        <v>294</v>
      </c>
    </row>
    <row r="1608" spans="1:16" ht="15" customHeight="1" x14ac:dyDescent="0.25">
      <c r="A1608" s="123">
        <v>45942</v>
      </c>
      <c r="B1608" t="s">
        <v>488</v>
      </c>
      <c r="C1608" t="s">
        <v>489</v>
      </c>
      <c r="D1608" t="s">
        <v>225</v>
      </c>
      <c r="E1608" t="s">
        <v>442</v>
      </c>
      <c r="F1608" t="s">
        <v>179</v>
      </c>
      <c r="G1608" t="s">
        <v>2018</v>
      </c>
      <c r="H1608" s="77">
        <v>58</v>
      </c>
      <c r="I1608" s="124">
        <v>192.56</v>
      </c>
      <c r="J1608" s="124">
        <v>11168.68</v>
      </c>
      <c r="K1608" s="77">
        <v>45</v>
      </c>
      <c r="L1608" t="s">
        <v>339</v>
      </c>
      <c r="M1608" s="126">
        <v>2233.7359999999999</v>
      </c>
      <c r="N1608" s="124">
        <v>11168.68</v>
      </c>
      <c r="O1608" t="s">
        <v>340</v>
      </c>
      <c r="P1608" t="s">
        <v>294</v>
      </c>
    </row>
    <row r="1609" spans="1:16" ht="15" customHeight="1" x14ac:dyDescent="0.25">
      <c r="A1609" s="123">
        <v>45763</v>
      </c>
      <c r="B1609" t="s">
        <v>378</v>
      </c>
      <c r="C1609" t="s">
        <v>379</v>
      </c>
      <c r="D1609" t="s">
        <v>227</v>
      </c>
      <c r="E1609" t="s">
        <v>412</v>
      </c>
      <c r="F1609" t="s">
        <v>179</v>
      </c>
      <c r="G1609" t="s">
        <v>2019</v>
      </c>
      <c r="H1609" s="77">
        <v>21</v>
      </c>
      <c r="I1609" s="124">
        <v>439.89</v>
      </c>
      <c r="J1609" s="124">
        <v>9237.74</v>
      </c>
      <c r="K1609" s="77">
        <v>30</v>
      </c>
      <c r="L1609" t="s">
        <v>351</v>
      </c>
      <c r="M1609" s="126">
        <v>1847.548</v>
      </c>
      <c r="N1609" s="124">
        <v>9237.74</v>
      </c>
      <c r="O1609" t="s">
        <v>346</v>
      </c>
      <c r="P1609" t="s">
        <v>294</v>
      </c>
    </row>
    <row r="1610" spans="1:16" ht="15" customHeight="1" x14ac:dyDescent="0.25">
      <c r="A1610" s="123">
        <v>45721</v>
      </c>
      <c r="B1610" t="s">
        <v>488</v>
      </c>
      <c r="C1610" t="s">
        <v>489</v>
      </c>
      <c r="D1610" t="s">
        <v>225</v>
      </c>
      <c r="E1610" t="s">
        <v>349</v>
      </c>
      <c r="F1610" t="s">
        <v>177</v>
      </c>
      <c r="G1610" t="s">
        <v>2020</v>
      </c>
      <c r="H1610" s="77">
        <v>65</v>
      </c>
      <c r="I1610" s="124">
        <v>143.34</v>
      </c>
      <c r="J1610" s="124">
        <v>9316.7800000000007</v>
      </c>
      <c r="K1610" s="77">
        <v>45</v>
      </c>
      <c r="L1610" t="s">
        <v>345</v>
      </c>
      <c r="M1610" s="126">
        <v>1863.356</v>
      </c>
      <c r="N1610" s="124">
        <v>9316.7800000000007</v>
      </c>
      <c r="O1610" t="s">
        <v>340</v>
      </c>
      <c r="P1610" t="s">
        <v>294</v>
      </c>
    </row>
    <row r="1611" spans="1:16" ht="15" customHeight="1" x14ac:dyDescent="0.25">
      <c r="A1611" s="123">
        <v>45994</v>
      </c>
      <c r="B1611" t="s">
        <v>378</v>
      </c>
      <c r="C1611" t="s">
        <v>379</v>
      </c>
      <c r="D1611" t="s">
        <v>227</v>
      </c>
      <c r="E1611" t="s">
        <v>381</v>
      </c>
      <c r="F1611" t="s">
        <v>179</v>
      </c>
      <c r="G1611" t="s">
        <v>2021</v>
      </c>
      <c r="H1611" s="77">
        <v>1</v>
      </c>
      <c r="I1611" s="124">
        <v>156.66999999999999</v>
      </c>
      <c r="J1611" s="124">
        <v>156.66999999999999</v>
      </c>
      <c r="K1611" s="77">
        <v>30</v>
      </c>
      <c r="L1611" t="s">
        <v>345</v>
      </c>
      <c r="M1611" s="126">
        <v>31.334</v>
      </c>
      <c r="N1611" s="124">
        <v>156.66999999999999</v>
      </c>
      <c r="O1611" t="s">
        <v>346</v>
      </c>
      <c r="P1611" t="s">
        <v>294</v>
      </c>
    </row>
    <row r="1612" spans="1:16" ht="15" customHeight="1" x14ac:dyDescent="0.25">
      <c r="A1612" s="123">
        <v>45931</v>
      </c>
      <c r="B1612" t="s">
        <v>386</v>
      </c>
      <c r="C1612" t="s">
        <v>387</v>
      </c>
      <c r="D1612" t="s">
        <v>223</v>
      </c>
      <c r="E1612" t="s">
        <v>403</v>
      </c>
      <c r="F1612" t="s">
        <v>181</v>
      </c>
      <c r="G1612" t="s">
        <v>2022</v>
      </c>
      <c r="H1612" s="77">
        <v>57</v>
      </c>
      <c r="I1612" s="124">
        <v>187.38</v>
      </c>
      <c r="J1612" s="124">
        <v>10680.58</v>
      </c>
      <c r="K1612" s="77">
        <v>30</v>
      </c>
      <c r="L1612" t="s">
        <v>351</v>
      </c>
      <c r="M1612" s="126">
        <v>2136.116</v>
      </c>
      <c r="N1612" s="124">
        <v>10680.58</v>
      </c>
      <c r="O1612" t="s">
        <v>346</v>
      </c>
      <c r="P1612" t="s">
        <v>294</v>
      </c>
    </row>
    <row r="1613" spans="1:16" ht="15" customHeight="1" x14ac:dyDescent="0.25">
      <c r="A1613" s="123">
        <v>45838</v>
      </c>
      <c r="B1613" t="s">
        <v>401</v>
      </c>
      <c r="C1613" t="s">
        <v>402</v>
      </c>
      <c r="D1613" t="s">
        <v>221</v>
      </c>
      <c r="E1613" t="s">
        <v>364</v>
      </c>
      <c r="F1613" t="s">
        <v>182</v>
      </c>
      <c r="G1613" t="s">
        <v>2023</v>
      </c>
      <c r="H1613" s="77">
        <v>78</v>
      </c>
      <c r="I1613" s="124">
        <v>40.21</v>
      </c>
      <c r="J1613" s="124">
        <v>3136.4</v>
      </c>
      <c r="K1613" s="77">
        <v>60</v>
      </c>
      <c r="L1613" t="s">
        <v>351</v>
      </c>
      <c r="M1613" s="126">
        <v>627.28</v>
      </c>
      <c r="N1613" s="124">
        <v>3136.4</v>
      </c>
      <c r="O1613" t="s">
        <v>346</v>
      </c>
      <c r="P1613" t="s">
        <v>294</v>
      </c>
    </row>
    <row r="1614" spans="1:16" ht="15" customHeight="1" x14ac:dyDescent="0.25">
      <c r="A1614" s="123">
        <v>45680</v>
      </c>
      <c r="B1614" t="s">
        <v>341</v>
      </c>
      <c r="C1614" t="s">
        <v>342</v>
      </c>
      <c r="D1614" t="s">
        <v>223</v>
      </c>
      <c r="E1614" t="s">
        <v>343</v>
      </c>
      <c r="F1614" t="s">
        <v>178</v>
      </c>
      <c r="G1614" t="s">
        <v>2024</v>
      </c>
      <c r="H1614" s="77">
        <v>31</v>
      </c>
      <c r="I1614" s="124">
        <v>105.65</v>
      </c>
      <c r="J1614" s="124">
        <v>3275.04</v>
      </c>
      <c r="K1614" s="77">
        <v>30</v>
      </c>
      <c r="L1614" t="s">
        <v>339</v>
      </c>
      <c r="M1614" s="126">
        <v>655.00800000000004</v>
      </c>
      <c r="N1614" s="124">
        <v>3275.04</v>
      </c>
      <c r="O1614" t="s">
        <v>346</v>
      </c>
      <c r="P1614" t="s">
        <v>294</v>
      </c>
    </row>
    <row r="1615" spans="1:16" ht="15" customHeight="1" x14ac:dyDescent="0.25">
      <c r="A1615" s="123">
        <v>45726</v>
      </c>
      <c r="B1615" t="s">
        <v>406</v>
      </c>
      <c r="C1615" t="s">
        <v>407</v>
      </c>
      <c r="D1615" t="s">
        <v>225</v>
      </c>
      <c r="E1615" t="s">
        <v>356</v>
      </c>
      <c r="F1615" t="s">
        <v>181</v>
      </c>
      <c r="G1615" t="s">
        <v>2025</v>
      </c>
      <c r="H1615" s="77">
        <v>78</v>
      </c>
      <c r="I1615" s="124">
        <v>210.78</v>
      </c>
      <c r="J1615" s="124">
        <v>16440.88</v>
      </c>
      <c r="K1615" s="77">
        <v>60</v>
      </c>
      <c r="L1615" t="s">
        <v>339</v>
      </c>
      <c r="M1615" s="126">
        <v>3288.1759999999999</v>
      </c>
      <c r="N1615" s="124">
        <v>16440.88</v>
      </c>
      <c r="O1615" t="s">
        <v>340</v>
      </c>
      <c r="P1615" t="s">
        <v>294</v>
      </c>
    </row>
    <row r="1616" spans="1:16" ht="15" customHeight="1" x14ac:dyDescent="0.25">
      <c r="A1616" s="123">
        <v>45723</v>
      </c>
      <c r="B1616" t="s">
        <v>366</v>
      </c>
      <c r="C1616" t="s">
        <v>367</v>
      </c>
      <c r="D1616" t="s">
        <v>221</v>
      </c>
      <c r="E1616" t="s">
        <v>420</v>
      </c>
      <c r="F1616" t="s">
        <v>182</v>
      </c>
      <c r="G1616" t="s">
        <v>2026</v>
      </c>
      <c r="H1616" s="77">
        <v>80</v>
      </c>
      <c r="I1616" s="124">
        <v>86.02</v>
      </c>
      <c r="J1616" s="124">
        <v>6881.83</v>
      </c>
      <c r="K1616" s="77">
        <v>45</v>
      </c>
      <c r="L1616" t="s">
        <v>339</v>
      </c>
      <c r="M1616" s="126">
        <v>1376.366</v>
      </c>
      <c r="N1616" s="124">
        <v>6881.83</v>
      </c>
      <c r="O1616" t="s">
        <v>346</v>
      </c>
      <c r="P1616" t="s">
        <v>294</v>
      </c>
    </row>
    <row r="1617" spans="1:16" ht="15" customHeight="1" x14ac:dyDescent="0.25">
      <c r="A1617" s="123">
        <v>45853</v>
      </c>
      <c r="B1617" t="s">
        <v>362</v>
      </c>
      <c r="C1617" t="s">
        <v>363</v>
      </c>
      <c r="D1617" t="s">
        <v>221</v>
      </c>
      <c r="E1617" t="s">
        <v>437</v>
      </c>
      <c r="F1617" t="s">
        <v>181</v>
      </c>
      <c r="G1617" t="s">
        <v>2027</v>
      </c>
      <c r="H1617" s="77">
        <v>21</v>
      </c>
      <c r="I1617" s="124">
        <v>1273.9000000000001</v>
      </c>
      <c r="J1617" s="124">
        <v>26751.86</v>
      </c>
      <c r="K1617" s="77">
        <v>45</v>
      </c>
      <c r="L1617" t="s">
        <v>345</v>
      </c>
      <c r="M1617" s="126">
        <v>5350.3720000000003</v>
      </c>
      <c r="N1617" s="124">
        <v>26751.86</v>
      </c>
      <c r="O1617" t="s">
        <v>346</v>
      </c>
      <c r="P1617" t="s">
        <v>294</v>
      </c>
    </row>
    <row r="1618" spans="1:16" ht="15" customHeight="1" x14ac:dyDescent="0.25">
      <c r="A1618" s="123">
        <v>45875</v>
      </c>
      <c r="B1618" t="s">
        <v>488</v>
      </c>
      <c r="C1618" t="s">
        <v>489</v>
      </c>
      <c r="D1618" t="s">
        <v>225</v>
      </c>
      <c r="E1618" t="s">
        <v>403</v>
      </c>
      <c r="F1618" t="s">
        <v>181</v>
      </c>
      <c r="G1618" t="s">
        <v>2028</v>
      </c>
      <c r="H1618" s="77">
        <v>19</v>
      </c>
      <c r="I1618" s="124">
        <v>259.29000000000002</v>
      </c>
      <c r="J1618" s="124">
        <v>4926.4799999999996</v>
      </c>
      <c r="K1618" s="77">
        <v>60</v>
      </c>
      <c r="L1618" t="s">
        <v>339</v>
      </c>
      <c r="M1618" s="126">
        <v>985.29600000000005</v>
      </c>
      <c r="N1618" s="124">
        <v>4926.4799999999996</v>
      </c>
      <c r="O1618" t="s">
        <v>346</v>
      </c>
      <c r="P1618" t="s">
        <v>294</v>
      </c>
    </row>
    <row r="1619" spans="1:16" ht="15" customHeight="1" x14ac:dyDescent="0.25">
      <c r="A1619" s="123">
        <v>46014</v>
      </c>
      <c r="B1619" t="s">
        <v>383</v>
      </c>
      <c r="C1619" t="s">
        <v>384</v>
      </c>
      <c r="D1619" t="s">
        <v>225</v>
      </c>
      <c r="E1619" t="s">
        <v>403</v>
      </c>
      <c r="F1619" t="s">
        <v>181</v>
      </c>
      <c r="G1619" t="s">
        <v>2029</v>
      </c>
      <c r="H1619" s="77">
        <v>25</v>
      </c>
      <c r="I1619" s="124">
        <v>145.5</v>
      </c>
      <c r="J1619" s="124">
        <v>3637.38</v>
      </c>
      <c r="K1619" s="77">
        <v>60</v>
      </c>
      <c r="L1619" t="s">
        <v>345</v>
      </c>
      <c r="M1619" s="126">
        <v>727.476</v>
      </c>
      <c r="N1619" s="124">
        <v>3637.38</v>
      </c>
      <c r="O1619" t="s">
        <v>346</v>
      </c>
      <c r="P1619" t="s">
        <v>294</v>
      </c>
    </row>
    <row r="1620" spans="1:16" ht="15" customHeight="1" x14ac:dyDescent="0.25">
      <c r="A1620" s="123">
        <v>45736</v>
      </c>
      <c r="B1620" t="s">
        <v>431</v>
      </c>
      <c r="C1620" t="s">
        <v>432</v>
      </c>
      <c r="D1620" t="s">
        <v>221</v>
      </c>
      <c r="E1620" t="s">
        <v>381</v>
      </c>
      <c r="F1620" t="s">
        <v>179</v>
      </c>
      <c r="G1620" t="s">
        <v>2030</v>
      </c>
      <c r="H1620" s="77">
        <v>41</v>
      </c>
      <c r="I1620" s="124">
        <v>142.37</v>
      </c>
      <c r="J1620" s="124">
        <v>5837.35</v>
      </c>
      <c r="K1620" s="77">
        <v>45</v>
      </c>
      <c r="L1620" t="s">
        <v>345</v>
      </c>
      <c r="M1620" s="126">
        <v>1167.47</v>
      </c>
      <c r="N1620" s="124">
        <v>5837.35</v>
      </c>
      <c r="O1620" t="s">
        <v>346</v>
      </c>
      <c r="P1620" t="s">
        <v>294</v>
      </c>
    </row>
    <row r="1621" spans="1:16" ht="15" customHeight="1" x14ac:dyDescent="0.25">
      <c r="A1621" s="123">
        <v>45796</v>
      </c>
      <c r="B1621" t="s">
        <v>409</v>
      </c>
      <c r="C1621" t="s">
        <v>410</v>
      </c>
      <c r="D1621" t="s">
        <v>223</v>
      </c>
      <c r="E1621" t="s">
        <v>423</v>
      </c>
      <c r="F1621" t="s">
        <v>180</v>
      </c>
      <c r="G1621" t="s">
        <v>2031</v>
      </c>
      <c r="H1621" s="77">
        <v>16</v>
      </c>
      <c r="I1621" s="124">
        <v>470.18</v>
      </c>
      <c r="J1621" s="124">
        <v>7522.81</v>
      </c>
      <c r="K1621" s="77">
        <v>60</v>
      </c>
      <c r="L1621" t="s">
        <v>339</v>
      </c>
      <c r="M1621" s="126">
        <v>1504.5619999999999</v>
      </c>
      <c r="N1621" s="124">
        <v>7522.81</v>
      </c>
      <c r="O1621" t="s">
        <v>346</v>
      </c>
      <c r="P1621" t="s">
        <v>294</v>
      </c>
    </row>
    <row r="1622" spans="1:16" ht="15" customHeight="1" x14ac:dyDescent="0.25">
      <c r="A1622" s="123">
        <v>45826</v>
      </c>
      <c r="B1622" t="s">
        <v>378</v>
      </c>
      <c r="C1622" t="s">
        <v>379</v>
      </c>
      <c r="D1622" t="s">
        <v>227</v>
      </c>
      <c r="E1622" t="s">
        <v>235</v>
      </c>
      <c r="F1622" t="s">
        <v>183</v>
      </c>
      <c r="G1622" t="s">
        <v>2032</v>
      </c>
      <c r="H1622" s="77">
        <v>12</v>
      </c>
      <c r="I1622" s="124">
        <v>319.27999999999997</v>
      </c>
      <c r="J1622" s="124">
        <v>3831.41</v>
      </c>
      <c r="K1622" s="77">
        <v>45</v>
      </c>
      <c r="L1622" t="s">
        <v>345</v>
      </c>
      <c r="M1622" s="126">
        <v>766.28200000000004</v>
      </c>
      <c r="N1622" s="124">
        <v>3831.41</v>
      </c>
      <c r="O1622" t="s">
        <v>346</v>
      </c>
      <c r="P1622" t="s">
        <v>294</v>
      </c>
    </row>
    <row r="1623" spans="1:16" ht="15" customHeight="1" x14ac:dyDescent="0.25">
      <c r="A1623" s="123">
        <v>45798</v>
      </c>
      <c r="B1623" t="s">
        <v>431</v>
      </c>
      <c r="C1623" t="s">
        <v>432</v>
      </c>
      <c r="D1623" t="s">
        <v>221</v>
      </c>
      <c r="E1623" t="s">
        <v>442</v>
      </c>
      <c r="F1623" t="s">
        <v>179</v>
      </c>
      <c r="G1623" t="s">
        <v>2033</v>
      </c>
      <c r="H1623" s="77">
        <v>2</v>
      </c>
      <c r="I1623" s="124">
        <v>81.61</v>
      </c>
      <c r="J1623" s="124">
        <v>163.21</v>
      </c>
      <c r="K1623" s="77">
        <v>30</v>
      </c>
      <c r="L1623" t="s">
        <v>345</v>
      </c>
      <c r="M1623" s="126">
        <v>32.642000000000003</v>
      </c>
      <c r="N1623" s="124">
        <v>163.21</v>
      </c>
      <c r="O1623" t="s">
        <v>340</v>
      </c>
      <c r="P1623" t="s">
        <v>294</v>
      </c>
    </row>
    <row r="1624" spans="1:16" ht="15" customHeight="1" x14ac:dyDescent="0.25">
      <c r="A1624" s="123">
        <v>45721</v>
      </c>
      <c r="B1624" t="s">
        <v>370</v>
      </c>
      <c r="C1624" t="s">
        <v>371</v>
      </c>
      <c r="D1624" t="s">
        <v>227</v>
      </c>
      <c r="E1624" t="s">
        <v>235</v>
      </c>
      <c r="F1624" t="s">
        <v>183</v>
      </c>
      <c r="G1624" t="s">
        <v>2034</v>
      </c>
      <c r="H1624" s="77">
        <v>23</v>
      </c>
      <c r="I1624" s="124">
        <v>497.38</v>
      </c>
      <c r="J1624" s="124">
        <v>11439.79</v>
      </c>
      <c r="K1624" s="77">
        <v>60</v>
      </c>
      <c r="L1624" t="s">
        <v>351</v>
      </c>
      <c r="M1624" s="126">
        <v>2287.9580000000001</v>
      </c>
      <c r="N1624" s="124">
        <v>11439.79</v>
      </c>
      <c r="O1624" t="s">
        <v>346</v>
      </c>
      <c r="P1624" t="s">
        <v>294</v>
      </c>
    </row>
    <row r="1625" spans="1:16" ht="15" customHeight="1" x14ac:dyDescent="0.25">
      <c r="A1625" s="123">
        <v>45928</v>
      </c>
      <c r="B1625" t="s">
        <v>335</v>
      </c>
      <c r="C1625" t="s">
        <v>336</v>
      </c>
      <c r="D1625" t="s">
        <v>223</v>
      </c>
      <c r="E1625" t="s">
        <v>396</v>
      </c>
      <c r="F1625" t="s">
        <v>184</v>
      </c>
      <c r="G1625" t="s">
        <v>2035</v>
      </c>
      <c r="H1625" s="77">
        <v>45</v>
      </c>
      <c r="I1625" s="124">
        <v>51.94</v>
      </c>
      <c r="J1625" s="124">
        <v>2337.11</v>
      </c>
      <c r="K1625" s="77">
        <v>60</v>
      </c>
      <c r="L1625" t="s">
        <v>351</v>
      </c>
      <c r="M1625" s="126">
        <v>467.42200000000003</v>
      </c>
      <c r="N1625" s="124">
        <v>2337.11</v>
      </c>
      <c r="O1625" t="s">
        <v>346</v>
      </c>
      <c r="P1625" t="s">
        <v>294</v>
      </c>
    </row>
    <row r="1626" spans="1:16" ht="15" customHeight="1" x14ac:dyDescent="0.25">
      <c r="A1626" s="123">
        <v>45708</v>
      </c>
      <c r="B1626" t="s">
        <v>335</v>
      </c>
      <c r="C1626" t="s">
        <v>336</v>
      </c>
      <c r="D1626" t="s">
        <v>223</v>
      </c>
      <c r="E1626" t="s">
        <v>403</v>
      </c>
      <c r="F1626" t="s">
        <v>181</v>
      </c>
      <c r="G1626" t="s">
        <v>2036</v>
      </c>
      <c r="H1626" s="77">
        <v>7</v>
      </c>
      <c r="I1626" s="124">
        <v>616.42999999999995</v>
      </c>
      <c r="J1626" s="124">
        <v>4315</v>
      </c>
      <c r="K1626" s="77">
        <v>30</v>
      </c>
      <c r="L1626" t="s">
        <v>345</v>
      </c>
      <c r="M1626" s="126">
        <v>863</v>
      </c>
      <c r="N1626" s="124">
        <v>4315</v>
      </c>
      <c r="O1626" t="s">
        <v>346</v>
      </c>
      <c r="P1626" t="s">
        <v>294</v>
      </c>
    </row>
    <row r="1627" spans="1:16" ht="15" customHeight="1" x14ac:dyDescent="0.25">
      <c r="A1627" s="123">
        <v>45834</v>
      </c>
      <c r="B1627" t="s">
        <v>390</v>
      </c>
      <c r="C1627" t="s">
        <v>391</v>
      </c>
      <c r="D1627" t="s">
        <v>221</v>
      </c>
      <c r="E1627" t="s">
        <v>235</v>
      </c>
      <c r="F1627" t="s">
        <v>183</v>
      </c>
      <c r="G1627" t="s">
        <v>2037</v>
      </c>
      <c r="H1627" s="77">
        <v>69</v>
      </c>
      <c r="I1627" s="124">
        <v>543.38</v>
      </c>
      <c r="J1627" s="124">
        <v>37493.22</v>
      </c>
      <c r="K1627" s="77">
        <v>60</v>
      </c>
      <c r="L1627" t="s">
        <v>351</v>
      </c>
      <c r="M1627" s="126">
        <v>7498.6440000000002</v>
      </c>
      <c r="N1627" s="124">
        <v>37493.22</v>
      </c>
      <c r="O1627" t="s">
        <v>346</v>
      </c>
      <c r="P1627" t="s">
        <v>294</v>
      </c>
    </row>
    <row r="1628" spans="1:16" ht="15" customHeight="1" x14ac:dyDescent="0.25">
      <c r="A1628" s="123">
        <v>45723</v>
      </c>
      <c r="B1628" t="s">
        <v>401</v>
      </c>
      <c r="C1628" t="s">
        <v>402</v>
      </c>
      <c r="D1628" t="s">
        <v>221</v>
      </c>
      <c r="E1628" t="s">
        <v>417</v>
      </c>
      <c r="F1628" t="s">
        <v>184</v>
      </c>
      <c r="G1628" t="s">
        <v>2038</v>
      </c>
      <c r="H1628" s="77">
        <v>34</v>
      </c>
      <c r="I1628" s="124">
        <v>58.64</v>
      </c>
      <c r="J1628" s="124">
        <v>1993.85</v>
      </c>
      <c r="K1628" s="77">
        <v>30</v>
      </c>
      <c r="L1628" t="s">
        <v>351</v>
      </c>
      <c r="M1628" s="126">
        <v>398.77</v>
      </c>
      <c r="N1628" s="124">
        <v>1993.85</v>
      </c>
      <c r="O1628" t="s">
        <v>346</v>
      </c>
      <c r="P1628" t="s">
        <v>294</v>
      </c>
    </row>
    <row r="1629" spans="1:16" ht="15" customHeight="1" x14ac:dyDescent="0.25">
      <c r="A1629" s="123">
        <v>45722</v>
      </c>
      <c r="B1629" t="s">
        <v>431</v>
      </c>
      <c r="C1629" t="s">
        <v>432</v>
      </c>
      <c r="D1629" t="s">
        <v>221</v>
      </c>
      <c r="E1629" t="s">
        <v>412</v>
      </c>
      <c r="F1629" t="s">
        <v>179</v>
      </c>
      <c r="G1629" t="s">
        <v>2039</v>
      </c>
      <c r="H1629" s="77">
        <v>19</v>
      </c>
      <c r="I1629" s="124">
        <v>364.13</v>
      </c>
      <c r="J1629" s="124">
        <v>6918.5</v>
      </c>
      <c r="K1629" s="77">
        <v>45</v>
      </c>
      <c r="L1629" t="s">
        <v>351</v>
      </c>
      <c r="M1629" s="126">
        <v>1383.7</v>
      </c>
      <c r="N1629" s="124">
        <v>6918.5</v>
      </c>
      <c r="O1629" t="s">
        <v>346</v>
      </c>
      <c r="P1629" t="s">
        <v>294</v>
      </c>
    </row>
    <row r="1630" spans="1:16" ht="15" customHeight="1" x14ac:dyDescent="0.25">
      <c r="A1630" s="123">
        <v>45985</v>
      </c>
      <c r="B1630" t="s">
        <v>335</v>
      </c>
      <c r="C1630" t="s">
        <v>336</v>
      </c>
      <c r="D1630" t="s">
        <v>223</v>
      </c>
      <c r="E1630" t="s">
        <v>356</v>
      </c>
      <c r="F1630" t="s">
        <v>181</v>
      </c>
      <c r="G1630" t="s">
        <v>2040</v>
      </c>
      <c r="H1630" s="77">
        <v>48</v>
      </c>
      <c r="I1630" s="124">
        <v>228.37</v>
      </c>
      <c r="J1630" s="124">
        <v>10961.55</v>
      </c>
      <c r="K1630" s="77">
        <v>60</v>
      </c>
      <c r="L1630" t="s">
        <v>339</v>
      </c>
      <c r="M1630" s="126">
        <v>2192.31</v>
      </c>
      <c r="N1630" s="124">
        <v>10961.55</v>
      </c>
      <c r="O1630" t="s">
        <v>340</v>
      </c>
      <c r="P1630" t="s">
        <v>294</v>
      </c>
    </row>
    <row r="1631" spans="1:16" ht="15" customHeight="1" x14ac:dyDescent="0.25">
      <c r="A1631" s="123">
        <v>45892</v>
      </c>
      <c r="B1631" t="s">
        <v>409</v>
      </c>
      <c r="C1631" t="s">
        <v>410</v>
      </c>
      <c r="D1631" t="s">
        <v>223</v>
      </c>
      <c r="E1631" t="s">
        <v>236</v>
      </c>
      <c r="F1631" t="s">
        <v>183</v>
      </c>
      <c r="G1631" t="s">
        <v>2041</v>
      </c>
      <c r="H1631" s="77">
        <v>24</v>
      </c>
      <c r="I1631" s="124">
        <v>479.53</v>
      </c>
      <c r="J1631" s="124">
        <v>11508.74</v>
      </c>
      <c r="K1631" s="77">
        <v>45</v>
      </c>
      <c r="L1631" t="s">
        <v>345</v>
      </c>
      <c r="M1631" s="126">
        <v>2301.748</v>
      </c>
      <c r="N1631" s="124">
        <v>11508.74</v>
      </c>
      <c r="O1631" t="s">
        <v>346</v>
      </c>
      <c r="P1631" t="s">
        <v>294</v>
      </c>
    </row>
    <row r="1632" spans="1:16" ht="15" customHeight="1" x14ac:dyDescent="0.25">
      <c r="A1632" s="123">
        <v>45877</v>
      </c>
      <c r="B1632" t="s">
        <v>488</v>
      </c>
      <c r="C1632" t="s">
        <v>489</v>
      </c>
      <c r="D1632" t="s">
        <v>225</v>
      </c>
      <c r="E1632" t="s">
        <v>437</v>
      </c>
      <c r="F1632" t="s">
        <v>181</v>
      </c>
      <c r="G1632" t="s">
        <v>2042</v>
      </c>
      <c r="H1632" s="77">
        <v>67</v>
      </c>
      <c r="I1632" s="124">
        <v>287.20999999999998</v>
      </c>
      <c r="J1632" s="124">
        <v>19243.400000000001</v>
      </c>
      <c r="K1632" s="77">
        <v>60</v>
      </c>
      <c r="L1632" t="s">
        <v>339</v>
      </c>
      <c r="M1632" s="126">
        <v>3848.68</v>
      </c>
      <c r="N1632" s="124">
        <v>19243.400000000001</v>
      </c>
      <c r="O1632" t="s">
        <v>346</v>
      </c>
      <c r="P1632" t="s">
        <v>294</v>
      </c>
    </row>
    <row r="1633" spans="1:16" ht="15" customHeight="1" x14ac:dyDescent="0.25">
      <c r="A1633" s="123">
        <v>45866</v>
      </c>
      <c r="B1633" t="s">
        <v>409</v>
      </c>
      <c r="C1633" t="s">
        <v>410</v>
      </c>
      <c r="D1633" t="s">
        <v>223</v>
      </c>
      <c r="E1633" t="s">
        <v>368</v>
      </c>
      <c r="F1633" t="s">
        <v>178</v>
      </c>
      <c r="G1633" t="s">
        <v>2043</v>
      </c>
      <c r="H1633" s="77">
        <v>41</v>
      </c>
      <c r="I1633" s="124">
        <v>40.81</v>
      </c>
      <c r="J1633" s="124">
        <v>1673.15</v>
      </c>
      <c r="K1633" s="77">
        <v>30</v>
      </c>
      <c r="L1633" t="s">
        <v>351</v>
      </c>
      <c r="M1633" s="126">
        <v>334.63</v>
      </c>
      <c r="N1633" s="124">
        <v>1673.15</v>
      </c>
      <c r="O1633" t="s">
        <v>346</v>
      </c>
      <c r="P1633" t="s">
        <v>294</v>
      </c>
    </row>
    <row r="1634" spans="1:16" ht="15" customHeight="1" x14ac:dyDescent="0.25">
      <c r="A1634" s="123">
        <v>45780</v>
      </c>
      <c r="B1634" t="s">
        <v>488</v>
      </c>
      <c r="C1634" t="s">
        <v>489</v>
      </c>
      <c r="D1634" t="s">
        <v>225</v>
      </c>
      <c r="E1634" t="s">
        <v>343</v>
      </c>
      <c r="F1634" t="s">
        <v>178</v>
      </c>
      <c r="G1634" t="s">
        <v>2044</v>
      </c>
      <c r="H1634" s="77">
        <v>12</v>
      </c>
      <c r="I1634" s="124">
        <v>45.62</v>
      </c>
      <c r="J1634" s="124">
        <v>547.49</v>
      </c>
      <c r="K1634" s="77">
        <v>30</v>
      </c>
      <c r="L1634" t="s">
        <v>351</v>
      </c>
      <c r="M1634" s="126">
        <v>109.498</v>
      </c>
      <c r="N1634" s="124">
        <v>547.49</v>
      </c>
      <c r="O1634" t="s">
        <v>346</v>
      </c>
      <c r="P1634" t="s">
        <v>294</v>
      </c>
    </row>
    <row r="1635" spans="1:16" ht="15" customHeight="1" x14ac:dyDescent="0.25">
      <c r="A1635" s="123">
        <v>45804</v>
      </c>
      <c r="B1635" t="s">
        <v>358</v>
      </c>
      <c r="C1635" t="s">
        <v>359</v>
      </c>
      <c r="D1635" t="s">
        <v>225</v>
      </c>
      <c r="E1635" t="s">
        <v>343</v>
      </c>
      <c r="F1635" t="s">
        <v>178</v>
      </c>
      <c r="G1635" t="s">
        <v>2045</v>
      </c>
      <c r="H1635" s="77">
        <v>71</v>
      </c>
      <c r="I1635" s="124">
        <v>114.53</v>
      </c>
      <c r="J1635" s="124">
        <v>8131.87</v>
      </c>
      <c r="K1635" s="77">
        <v>45</v>
      </c>
      <c r="L1635" t="s">
        <v>339</v>
      </c>
      <c r="M1635" s="126">
        <v>1626.374</v>
      </c>
      <c r="N1635" s="124">
        <v>8131.87</v>
      </c>
      <c r="O1635" t="s">
        <v>346</v>
      </c>
      <c r="P1635" t="s">
        <v>294</v>
      </c>
    </row>
    <row r="1636" spans="1:16" ht="15" customHeight="1" x14ac:dyDescent="0.25">
      <c r="A1636" s="123">
        <v>45912</v>
      </c>
      <c r="B1636" t="s">
        <v>390</v>
      </c>
      <c r="C1636" t="s">
        <v>391</v>
      </c>
      <c r="D1636" t="s">
        <v>221</v>
      </c>
      <c r="E1636" t="s">
        <v>381</v>
      </c>
      <c r="F1636" t="s">
        <v>179</v>
      </c>
      <c r="G1636" t="s">
        <v>2046</v>
      </c>
      <c r="H1636" s="77">
        <v>66</v>
      </c>
      <c r="I1636" s="124">
        <v>149.72999999999999</v>
      </c>
      <c r="J1636" s="124">
        <v>9882.15</v>
      </c>
      <c r="K1636" s="77">
        <v>60</v>
      </c>
      <c r="L1636" t="s">
        <v>351</v>
      </c>
      <c r="M1636" s="126">
        <v>1976.43</v>
      </c>
      <c r="N1636" s="124">
        <v>9882.15</v>
      </c>
      <c r="O1636" t="s">
        <v>346</v>
      </c>
      <c r="P1636" t="s">
        <v>294</v>
      </c>
    </row>
    <row r="1637" spans="1:16" ht="15" customHeight="1" x14ac:dyDescent="0.25">
      <c r="A1637" s="123">
        <v>45665</v>
      </c>
      <c r="B1637" t="s">
        <v>409</v>
      </c>
      <c r="C1637" t="s">
        <v>410</v>
      </c>
      <c r="D1637" t="s">
        <v>223</v>
      </c>
      <c r="E1637" t="s">
        <v>368</v>
      </c>
      <c r="F1637" t="s">
        <v>178</v>
      </c>
      <c r="G1637" t="s">
        <v>2047</v>
      </c>
      <c r="H1637" s="77">
        <v>79</v>
      </c>
      <c r="I1637" s="124">
        <v>52.06</v>
      </c>
      <c r="J1637" s="124">
        <v>4112.67</v>
      </c>
      <c r="K1637" s="77">
        <v>30</v>
      </c>
      <c r="L1637" t="s">
        <v>351</v>
      </c>
      <c r="M1637" s="126">
        <v>822.53399999999999</v>
      </c>
      <c r="N1637" s="124">
        <v>4112.67</v>
      </c>
      <c r="O1637" t="s">
        <v>346</v>
      </c>
      <c r="P1637" t="s">
        <v>294</v>
      </c>
    </row>
    <row r="1638" spans="1:16" ht="15" customHeight="1" x14ac:dyDescent="0.25">
      <c r="A1638" s="123">
        <v>45931</v>
      </c>
      <c r="B1638" t="s">
        <v>347</v>
      </c>
      <c r="C1638" t="s">
        <v>348</v>
      </c>
      <c r="D1638" t="s">
        <v>223</v>
      </c>
      <c r="E1638" t="s">
        <v>236</v>
      </c>
      <c r="F1638" t="s">
        <v>183</v>
      </c>
      <c r="G1638" t="s">
        <v>2048</v>
      </c>
      <c r="H1638" s="77">
        <v>45</v>
      </c>
      <c r="I1638" s="124">
        <v>177.41</v>
      </c>
      <c r="J1638" s="124">
        <v>7983.46</v>
      </c>
      <c r="K1638" s="77">
        <v>30</v>
      </c>
      <c r="L1638" t="s">
        <v>351</v>
      </c>
      <c r="M1638" s="126">
        <v>1596.692</v>
      </c>
      <c r="N1638" s="124">
        <v>7983.46</v>
      </c>
      <c r="O1638" t="s">
        <v>346</v>
      </c>
      <c r="P1638" t="s">
        <v>294</v>
      </c>
    </row>
    <row r="1639" spans="1:16" ht="15" customHeight="1" x14ac:dyDescent="0.25">
      <c r="A1639" s="123">
        <v>45887</v>
      </c>
      <c r="B1639" t="s">
        <v>431</v>
      </c>
      <c r="C1639" t="s">
        <v>432</v>
      </c>
      <c r="D1639" t="s">
        <v>221</v>
      </c>
      <c r="E1639" t="s">
        <v>440</v>
      </c>
      <c r="F1639" t="s">
        <v>177</v>
      </c>
      <c r="G1639" t="s">
        <v>2049</v>
      </c>
      <c r="H1639" s="77">
        <v>22</v>
      </c>
      <c r="I1639" s="124">
        <v>151.47999999999999</v>
      </c>
      <c r="J1639" s="124">
        <v>3332.62</v>
      </c>
      <c r="K1639" s="77">
        <v>60</v>
      </c>
      <c r="L1639" t="s">
        <v>351</v>
      </c>
      <c r="M1639" s="126">
        <v>666.524</v>
      </c>
      <c r="N1639" s="124">
        <v>3332.62</v>
      </c>
      <c r="O1639" t="s">
        <v>346</v>
      </c>
      <c r="P1639" t="s">
        <v>294</v>
      </c>
    </row>
    <row r="1640" spans="1:16" ht="15" customHeight="1" x14ac:dyDescent="0.25">
      <c r="A1640" s="123">
        <v>45845</v>
      </c>
      <c r="B1640" t="s">
        <v>393</v>
      </c>
      <c r="C1640" t="s">
        <v>394</v>
      </c>
      <c r="D1640" t="s">
        <v>227</v>
      </c>
      <c r="E1640" t="s">
        <v>442</v>
      </c>
      <c r="F1640" t="s">
        <v>179</v>
      </c>
      <c r="G1640" t="s">
        <v>2050</v>
      </c>
      <c r="H1640" s="77">
        <v>18</v>
      </c>
      <c r="I1640" s="124">
        <v>559.66999999999996</v>
      </c>
      <c r="J1640" s="124">
        <v>10074.040000000001</v>
      </c>
      <c r="K1640" s="77">
        <v>60</v>
      </c>
      <c r="L1640" t="s">
        <v>345</v>
      </c>
      <c r="M1640" s="126">
        <v>2014.808</v>
      </c>
      <c r="N1640" s="124">
        <v>10074.040000000001</v>
      </c>
      <c r="O1640" t="s">
        <v>340</v>
      </c>
      <c r="P1640" t="s">
        <v>294</v>
      </c>
    </row>
    <row r="1641" spans="1:16" ht="15" customHeight="1" x14ac:dyDescent="0.25">
      <c r="A1641" s="123">
        <v>45852</v>
      </c>
      <c r="B1641" t="s">
        <v>335</v>
      </c>
      <c r="C1641" t="s">
        <v>336</v>
      </c>
      <c r="D1641" t="s">
        <v>223</v>
      </c>
      <c r="E1641" t="s">
        <v>234</v>
      </c>
      <c r="F1641" t="s">
        <v>183</v>
      </c>
      <c r="G1641" t="s">
        <v>2051</v>
      </c>
      <c r="H1641" s="77">
        <v>22</v>
      </c>
      <c r="I1641" s="124">
        <v>166.77</v>
      </c>
      <c r="J1641" s="124">
        <v>3669.03</v>
      </c>
      <c r="K1641" s="77">
        <v>45</v>
      </c>
      <c r="L1641" t="s">
        <v>339</v>
      </c>
      <c r="M1641" s="126">
        <v>733.80600000000004</v>
      </c>
      <c r="N1641" s="124">
        <v>3669.03</v>
      </c>
      <c r="O1641" t="s">
        <v>346</v>
      </c>
      <c r="P1641" t="s">
        <v>294</v>
      </c>
    </row>
    <row r="1642" spans="1:16" ht="15" customHeight="1" x14ac:dyDescent="0.25">
      <c r="A1642" s="123">
        <v>45718</v>
      </c>
      <c r="B1642" t="s">
        <v>386</v>
      </c>
      <c r="C1642" t="s">
        <v>387</v>
      </c>
      <c r="D1642" t="s">
        <v>223</v>
      </c>
      <c r="E1642" t="s">
        <v>352</v>
      </c>
      <c r="F1642" t="s">
        <v>180</v>
      </c>
      <c r="G1642" t="s">
        <v>2052</v>
      </c>
      <c r="H1642" s="77">
        <v>38</v>
      </c>
      <c r="I1642" s="124">
        <v>253.35</v>
      </c>
      <c r="J1642" s="124">
        <v>9627.39</v>
      </c>
      <c r="K1642" s="77">
        <v>45</v>
      </c>
      <c r="L1642" t="s">
        <v>345</v>
      </c>
      <c r="M1642" s="126">
        <v>1925.4780000000001</v>
      </c>
      <c r="N1642" s="124">
        <v>9627.39</v>
      </c>
      <c r="O1642" t="s">
        <v>346</v>
      </c>
      <c r="P1642" t="s">
        <v>294</v>
      </c>
    </row>
    <row r="1643" spans="1:16" ht="15" customHeight="1" x14ac:dyDescent="0.25">
      <c r="A1643" s="123">
        <v>45659</v>
      </c>
      <c r="B1643" t="s">
        <v>378</v>
      </c>
      <c r="C1643" t="s">
        <v>379</v>
      </c>
      <c r="D1643" t="s">
        <v>227</v>
      </c>
      <c r="E1643" t="s">
        <v>356</v>
      </c>
      <c r="F1643" t="s">
        <v>181</v>
      </c>
      <c r="G1643" t="s">
        <v>2053</v>
      </c>
      <c r="H1643" s="77">
        <v>73</v>
      </c>
      <c r="I1643" s="124">
        <v>478.35</v>
      </c>
      <c r="J1643" s="124">
        <v>34919.769999999997</v>
      </c>
      <c r="K1643" s="77">
        <v>45</v>
      </c>
      <c r="L1643" t="s">
        <v>339</v>
      </c>
      <c r="M1643" s="126">
        <v>6983.9539999999997</v>
      </c>
      <c r="N1643" s="124">
        <v>34919.769999999997</v>
      </c>
      <c r="O1643" t="s">
        <v>340</v>
      </c>
      <c r="P1643" t="s">
        <v>294</v>
      </c>
    </row>
    <row r="1644" spans="1:16" ht="15" customHeight="1" x14ac:dyDescent="0.25">
      <c r="A1644" s="123">
        <v>45974</v>
      </c>
      <c r="B1644" t="s">
        <v>383</v>
      </c>
      <c r="C1644" t="s">
        <v>384</v>
      </c>
      <c r="D1644" t="s">
        <v>225</v>
      </c>
      <c r="E1644" t="s">
        <v>496</v>
      </c>
      <c r="F1644" t="s">
        <v>177</v>
      </c>
      <c r="G1644" t="s">
        <v>2054</v>
      </c>
      <c r="H1644" s="77">
        <v>63</v>
      </c>
      <c r="I1644" s="124">
        <v>114.86</v>
      </c>
      <c r="J1644" s="124">
        <v>7236</v>
      </c>
      <c r="K1644" s="77">
        <v>30</v>
      </c>
      <c r="L1644" t="s">
        <v>345</v>
      </c>
      <c r="M1644" s="126">
        <v>1447.2</v>
      </c>
      <c r="N1644" s="124">
        <v>7236</v>
      </c>
      <c r="O1644" t="s">
        <v>346</v>
      </c>
      <c r="P1644" t="s">
        <v>294</v>
      </c>
    </row>
    <row r="1645" spans="1:16" ht="15" customHeight="1" x14ac:dyDescent="0.25">
      <c r="A1645" s="123">
        <v>45810</v>
      </c>
      <c r="B1645" t="s">
        <v>406</v>
      </c>
      <c r="C1645" t="s">
        <v>407</v>
      </c>
      <c r="D1645" t="s">
        <v>225</v>
      </c>
      <c r="E1645" t="s">
        <v>427</v>
      </c>
      <c r="F1645" t="s">
        <v>184</v>
      </c>
      <c r="G1645" t="s">
        <v>2055</v>
      </c>
      <c r="H1645" s="77">
        <v>46</v>
      </c>
      <c r="I1645" s="124">
        <v>96.19</v>
      </c>
      <c r="J1645" s="124">
        <v>4424.59</v>
      </c>
      <c r="K1645" s="77">
        <v>30</v>
      </c>
      <c r="L1645" t="s">
        <v>339</v>
      </c>
      <c r="M1645" s="126">
        <v>884.91800000000001</v>
      </c>
      <c r="N1645" s="124">
        <v>4424.59</v>
      </c>
      <c r="O1645" t="s">
        <v>346</v>
      </c>
      <c r="P1645" t="s">
        <v>294</v>
      </c>
    </row>
    <row r="1646" spans="1:16" ht="15" customHeight="1" x14ac:dyDescent="0.25">
      <c r="A1646" s="123">
        <v>45839</v>
      </c>
      <c r="B1646" t="s">
        <v>347</v>
      </c>
      <c r="C1646" t="s">
        <v>348</v>
      </c>
      <c r="D1646" t="s">
        <v>223</v>
      </c>
      <c r="E1646" t="s">
        <v>1229</v>
      </c>
      <c r="F1646" t="s">
        <v>179</v>
      </c>
      <c r="G1646" t="s">
        <v>2056</v>
      </c>
      <c r="H1646" s="77">
        <v>2</v>
      </c>
      <c r="I1646" s="124">
        <v>100.35</v>
      </c>
      <c r="J1646" s="124">
        <v>200.7</v>
      </c>
      <c r="K1646" s="77">
        <v>30</v>
      </c>
      <c r="L1646" t="s">
        <v>345</v>
      </c>
      <c r="M1646" s="126">
        <v>40.14</v>
      </c>
      <c r="N1646" s="124">
        <v>200.7</v>
      </c>
      <c r="O1646" t="s">
        <v>346</v>
      </c>
      <c r="P1646" t="s">
        <v>294</v>
      </c>
    </row>
    <row r="1647" spans="1:16" ht="15" customHeight="1" x14ac:dyDescent="0.25">
      <c r="A1647" s="123">
        <v>45928</v>
      </c>
      <c r="B1647" t="s">
        <v>378</v>
      </c>
      <c r="C1647" t="s">
        <v>379</v>
      </c>
      <c r="D1647" t="s">
        <v>227</v>
      </c>
      <c r="E1647" t="s">
        <v>423</v>
      </c>
      <c r="F1647" t="s">
        <v>180</v>
      </c>
      <c r="G1647" t="s">
        <v>2057</v>
      </c>
      <c r="H1647" s="77">
        <v>66</v>
      </c>
      <c r="I1647" s="124">
        <v>316.41000000000003</v>
      </c>
      <c r="J1647" s="124">
        <v>20882.87</v>
      </c>
      <c r="K1647" s="77">
        <v>30</v>
      </c>
      <c r="L1647" t="s">
        <v>345</v>
      </c>
      <c r="M1647" s="126">
        <v>4176.5739999999996</v>
      </c>
      <c r="N1647" s="124">
        <v>20882.87</v>
      </c>
      <c r="O1647" t="s">
        <v>346</v>
      </c>
      <c r="P1647" t="s">
        <v>294</v>
      </c>
    </row>
    <row r="1648" spans="1:16" ht="15" customHeight="1" x14ac:dyDescent="0.25">
      <c r="A1648" s="123">
        <v>45737</v>
      </c>
      <c r="B1648" t="s">
        <v>378</v>
      </c>
      <c r="C1648" t="s">
        <v>379</v>
      </c>
      <c r="D1648" t="s">
        <v>227</v>
      </c>
      <c r="E1648" t="s">
        <v>396</v>
      </c>
      <c r="F1648" t="s">
        <v>184</v>
      </c>
      <c r="G1648" t="s">
        <v>2058</v>
      </c>
      <c r="H1648" s="77">
        <v>33</v>
      </c>
      <c r="I1648" s="124">
        <v>67.66</v>
      </c>
      <c r="J1648" s="124">
        <v>2232.92</v>
      </c>
      <c r="K1648" s="77">
        <v>30</v>
      </c>
      <c r="L1648" t="s">
        <v>345</v>
      </c>
      <c r="M1648" s="126">
        <v>446.584</v>
      </c>
      <c r="N1648" s="124">
        <v>2232.92</v>
      </c>
      <c r="O1648" t="s">
        <v>346</v>
      </c>
      <c r="P1648" t="s">
        <v>294</v>
      </c>
    </row>
    <row r="1649" spans="1:16" ht="15" customHeight="1" x14ac:dyDescent="0.25">
      <c r="A1649" s="123">
        <v>45844</v>
      </c>
      <c r="B1649" t="s">
        <v>406</v>
      </c>
      <c r="C1649" t="s">
        <v>407</v>
      </c>
      <c r="D1649" t="s">
        <v>225</v>
      </c>
      <c r="E1649" t="s">
        <v>420</v>
      </c>
      <c r="F1649" t="s">
        <v>182</v>
      </c>
      <c r="G1649" t="s">
        <v>2059</v>
      </c>
      <c r="H1649" s="77">
        <v>55</v>
      </c>
      <c r="I1649" s="124">
        <v>163.37</v>
      </c>
      <c r="J1649" s="124">
        <v>8985.4500000000007</v>
      </c>
      <c r="K1649" s="77">
        <v>30</v>
      </c>
      <c r="L1649" t="s">
        <v>351</v>
      </c>
      <c r="M1649" s="126">
        <v>1797.09</v>
      </c>
      <c r="N1649" s="124">
        <v>8985.4500000000007</v>
      </c>
      <c r="O1649" t="s">
        <v>346</v>
      </c>
      <c r="P1649" t="s">
        <v>294</v>
      </c>
    </row>
    <row r="1650" spans="1:16" ht="15" customHeight="1" x14ac:dyDescent="0.25">
      <c r="A1650" s="123">
        <v>45994</v>
      </c>
      <c r="B1650" t="s">
        <v>378</v>
      </c>
      <c r="C1650" t="s">
        <v>379</v>
      </c>
      <c r="D1650" t="s">
        <v>227</v>
      </c>
      <c r="E1650" t="s">
        <v>368</v>
      </c>
      <c r="F1650" t="s">
        <v>178</v>
      </c>
      <c r="G1650" t="s">
        <v>2060</v>
      </c>
      <c r="H1650" s="77">
        <v>57</v>
      </c>
      <c r="I1650" s="124">
        <v>124.89</v>
      </c>
      <c r="J1650" s="124">
        <v>7118.85</v>
      </c>
      <c r="K1650" s="77">
        <v>30</v>
      </c>
      <c r="L1650" t="s">
        <v>339</v>
      </c>
      <c r="M1650" s="126">
        <v>1423.77</v>
      </c>
      <c r="N1650" s="124">
        <v>7118.85</v>
      </c>
      <c r="O1650" t="s">
        <v>346</v>
      </c>
      <c r="P1650" t="s">
        <v>294</v>
      </c>
    </row>
    <row r="1651" spans="1:16" ht="15" customHeight="1" x14ac:dyDescent="0.25">
      <c r="A1651" s="123">
        <v>45841</v>
      </c>
      <c r="B1651" t="s">
        <v>354</v>
      </c>
      <c r="C1651" t="s">
        <v>355</v>
      </c>
      <c r="D1651" t="s">
        <v>227</v>
      </c>
      <c r="E1651" t="s">
        <v>235</v>
      </c>
      <c r="F1651" t="s">
        <v>183</v>
      </c>
      <c r="G1651" t="s">
        <v>2061</v>
      </c>
      <c r="H1651" s="77">
        <v>26</v>
      </c>
      <c r="I1651" s="124">
        <v>1246.43</v>
      </c>
      <c r="J1651" s="124">
        <v>32407.3</v>
      </c>
      <c r="K1651" s="77">
        <v>30</v>
      </c>
      <c r="L1651" t="s">
        <v>339</v>
      </c>
      <c r="M1651" s="126">
        <v>6481.46</v>
      </c>
      <c r="N1651" s="124">
        <v>32407.3</v>
      </c>
      <c r="O1651" t="s">
        <v>346</v>
      </c>
      <c r="P1651" t="s">
        <v>294</v>
      </c>
    </row>
    <row r="1652" spans="1:16" ht="15" customHeight="1" x14ac:dyDescent="0.25">
      <c r="A1652" s="123">
        <v>45860</v>
      </c>
      <c r="B1652" t="s">
        <v>354</v>
      </c>
      <c r="C1652" t="s">
        <v>355</v>
      </c>
      <c r="D1652" t="s">
        <v>227</v>
      </c>
      <c r="E1652" t="s">
        <v>349</v>
      </c>
      <c r="F1652" t="s">
        <v>177</v>
      </c>
      <c r="G1652" t="s">
        <v>2062</v>
      </c>
      <c r="H1652" s="77">
        <v>54</v>
      </c>
      <c r="I1652" s="124">
        <v>165.06</v>
      </c>
      <c r="J1652" s="124">
        <v>8913.07</v>
      </c>
      <c r="K1652" s="77">
        <v>60</v>
      </c>
      <c r="L1652" t="s">
        <v>345</v>
      </c>
      <c r="M1652" s="126">
        <v>1782.614</v>
      </c>
      <c r="N1652" s="124">
        <v>8913.07</v>
      </c>
      <c r="O1652" t="s">
        <v>340</v>
      </c>
      <c r="P1652" t="s">
        <v>294</v>
      </c>
    </row>
    <row r="1653" spans="1:16" ht="15" customHeight="1" x14ac:dyDescent="0.25">
      <c r="A1653" s="123">
        <v>45759</v>
      </c>
      <c r="B1653" t="s">
        <v>488</v>
      </c>
      <c r="C1653" t="s">
        <v>489</v>
      </c>
      <c r="D1653" t="s">
        <v>225</v>
      </c>
      <c r="E1653" t="s">
        <v>412</v>
      </c>
      <c r="F1653" t="s">
        <v>179</v>
      </c>
      <c r="G1653" t="s">
        <v>2063</v>
      </c>
      <c r="H1653" s="77">
        <v>62</v>
      </c>
      <c r="I1653" s="124">
        <v>215.32</v>
      </c>
      <c r="J1653" s="124">
        <v>13350.1</v>
      </c>
      <c r="K1653" s="77">
        <v>60</v>
      </c>
      <c r="L1653" t="s">
        <v>345</v>
      </c>
      <c r="M1653" s="126">
        <v>2670.02</v>
      </c>
      <c r="N1653" s="124">
        <v>13350.1</v>
      </c>
      <c r="O1653" t="s">
        <v>346</v>
      </c>
      <c r="P1653" t="s">
        <v>294</v>
      </c>
    </row>
    <row r="1654" spans="1:16" ht="15" customHeight="1" x14ac:dyDescent="0.25">
      <c r="A1654" s="123">
        <v>45939</v>
      </c>
      <c r="B1654" t="s">
        <v>409</v>
      </c>
      <c r="C1654" t="s">
        <v>410</v>
      </c>
      <c r="D1654" t="s">
        <v>223</v>
      </c>
      <c r="E1654" t="s">
        <v>234</v>
      </c>
      <c r="F1654" t="s">
        <v>183</v>
      </c>
      <c r="G1654" t="s">
        <v>2064</v>
      </c>
      <c r="H1654" s="77">
        <v>64</v>
      </c>
      <c r="I1654" s="124">
        <v>333.85</v>
      </c>
      <c r="J1654" s="124">
        <v>21366.44</v>
      </c>
      <c r="K1654" s="77">
        <v>60</v>
      </c>
      <c r="L1654" t="s">
        <v>351</v>
      </c>
      <c r="M1654" s="126">
        <v>4273.2879999999996</v>
      </c>
      <c r="N1654" s="124">
        <v>21366.44</v>
      </c>
      <c r="O1654" t="s">
        <v>346</v>
      </c>
      <c r="P1654" t="s">
        <v>294</v>
      </c>
    </row>
    <row r="1655" spans="1:16" ht="15" customHeight="1" x14ac:dyDescent="0.25">
      <c r="A1655" s="123">
        <v>45914</v>
      </c>
      <c r="B1655" t="s">
        <v>373</v>
      </c>
      <c r="C1655" t="s">
        <v>374</v>
      </c>
      <c r="D1655" t="s">
        <v>225</v>
      </c>
      <c r="E1655" t="s">
        <v>420</v>
      </c>
      <c r="F1655" t="s">
        <v>182</v>
      </c>
      <c r="G1655" t="s">
        <v>2065</v>
      </c>
      <c r="H1655" s="77">
        <v>50</v>
      </c>
      <c r="I1655" s="124">
        <v>78.23</v>
      </c>
      <c r="J1655" s="124">
        <v>3911.43</v>
      </c>
      <c r="K1655" s="77">
        <v>30</v>
      </c>
      <c r="L1655" t="s">
        <v>339</v>
      </c>
      <c r="M1655" s="126">
        <v>782.28599999999994</v>
      </c>
      <c r="N1655" s="124">
        <v>3911.43</v>
      </c>
      <c r="O1655" t="s">
        <v>346</v>
      </c>
      <c r="P1655" t="s">
        <v>294</v>
      </c>
    </row>
    <row r="1656" spans="1:16" ht="15" customHeight="1" x14ac:dyDescent="0.25">
      <c r="A1656" s="123">
        <v>45737</v>
      </c>
      <c r="B1656" t="s">
        <v>488</v>
      </c>
      <c r="C1656" t="s">
        <v>489</v>
      </c>
      <c r="D1656" t="s">
        <v>225</v>
      </c>
      <c r="E1656" t="s">
        <v>349</v>
      </c>
      <c r="F1656" t="s">
        <v>177</v>
      </c>
      <c r="G1656" t="s">
        <v>2066</v>
      </c>
      <c r="H1656" s="77">
        <v>45</v>
      </c>
      <c r="I1656" s="124">
        <v>144.55000000000001</v>
      </c>
      <c r="J1656" s="124">
        <v>6504.96</v>
      </c>
      <c r="K1656" s="77">
        <v>60</v>
      </c>
      <c r="L1656" t="s">
        <v>339</v>
      </c>
      <c r="M1656" s="126">
        <v>1300.992</v>
      </c>
      <c r="N1656" s="124">
        <v>6504.96</v>
      </c>
      <c r="O1656" t="s">
        <v>340</v>
      </c>
      <c r="P1656" t="s">
        <v>294</v>
      </c>
    </row>
    <row r="1657" spans="1:16" ht="15" customHeight="1" x14ac:dyDescent="0.25">
      <c r="A1657" s="123">
        <v>46005</v>
      </c>
      <c r="B1657" t="s">
        <v>358</v>
      </c>
      <c r="C1657" t="s">
        <v>359</v>
      </c>
      <c r="D1657" t="s">
        <v>225</v>
      </c>
      <c r="E1657" t="s">
        <v>423</v>
      </c>
      <c r="F1657" t="s">
        <v>180</v>
      </c>
      <c r="G1657" t="s">
        <v>2067</v>
      </c>
      <c r="H1657" s="77">
        <v>44</v>
      </c>
      <c r="I1657" s="124">
        <v>212.51</v>
      </c>
      <c r="J1657" s="124">
        <v>9350.4500000000007</v>
      </c>
      <c r="K1657" s="77">
        <v>45</v>
      </c>
      <c r="L1657" t="s">
        <v>351</v>
      </c>
      <c r="M1657" s="126">
        <v>1870.09</v>
      </c>
      <c r="N1657" s="124">
        <v>9350.4500000000007</v>
      </c>
      <c r="O1657" t="s">
        <v>346</v>
      </c>
      <c r="P1657" t="s">
        <v>294</v>
      </c>
    </row>
    <row r="1658" spans="1:16" ht="15" customHeight="1" x14ac:dyDescent="0.25">
      <c r="A1658" s="123">
        <v>45903</v>
      </c>
      <c r="B1658" t="s">
        <v>347</v>
      </c>
      <c r="C1658" t="s">
        <v>348</v>
      </c>
      <c r="D1658" t="s">
        <v>223</v>
      </c>
      <c r="E1658" t="s">
        <v>496</v>
      </c>
      <c r="F1658" t="s">
        <v>177</v>
      </c>
      <c r="G1658" t="s">
        <v>2068</v>
      </c>
      <c r="H1658" s="77">
        <v>38</v>
      </c>
      <c r="I1658" s="124">
        <v>131.65</v>
      </c>
      <c r="J1658" s="124">
        <v>5002.6899999999996</v>
      </c>
      <c r="K1658" s="77">
        <v>45</v>
      </c>
      <c r="L1658" t="s">
        <v>345</v>
      </c>
      <c r="M1658" s="126">
        <v>1000.538</v>
      </c>
      <c r="N1658" s="124">
        <v>5002.6899999999996</v>
      </c>
      <c r="O1658" t="s">
        <v>346</v>
      </c>
      <c r="P1658" t="s">
        <v>294</v>
      </c>
    </row>
    <row r="1659" spans="1:16" ht="15" customHeight="1" x14ac:dyDescent="0.25">
      <c r="A1659" s="123">
        <v>45974</v>
      </c>
      <c r="B1659" t="s">
        <v>488</v>
      </c>
      <c r="C1659" t="s">
        <v>489</v>
      </c>
      <c r="D1659" t="s">
        <v>225</v>
      </c>
      <c r="E1659" t="s">
        <v>235</v>
      </c>
      <c r="F1659" t="s">
        <v>183</v>
      </c>
      <c r="G1659" t="s">
        <v>2069</v>
      </c>
      <c r="H1659" s="77">
        <v>20</v>
      </c>
      <c r="I1659" s="124">
        <v>619.22</v>
      </c>
      <c r="J1659" s="124">
        <v>12384.41</v>
      </c>
      <c r="K1659" s="77">
        <v>60</v>
      </c>
      <c r="L1659" t="s">
        <v>351</v>
      </c>
      <c r="M1659" s="126">
        <v>2476.8820000000001</v>
      </c>
      <c r="N1659" s="124">
        <v>12384.41</v>
      </c>
      <c r="O1659" t="s">
        <v>346</v>
      </c>
      <c r="P1659" t="s">
        <v>294</v>
      </c>
    </row>
    <row r="1660" spans="1:16" ht="15" customHeight="1" x14ac:dyDescent="0.25">
      <c r="A1660" s="123">
        <v>45716</v>
      </c>
      <c r="B1660" t="s">
        <v>393</v>
      </c>
      <c r="C1660" t="s">
        <v>394</v>
      </c>
      <c r="D1660" t="s">
        <v>227</v>
      </c>
      <c r="E1660" t="s">
        <v>360</v>
      </c>
      <c r="F1660" t="s">
        <v>180</v>
      </c>
      <c r="G1660" t="s">
        <v>2070</v>
      </c>
      <c r="H1660" s="77">
        <v>34</v>
      </c>
      <c r="I1660" s="124">
        <v>143.72</v>
      </c>
      <c r="J1660" s="124">
        <v>4886.46</v>
      </c>
      <c r="K1660" s="77">
        <v>60</v>
      </c>
      <c r="L1660" t="s">
        <v>339</v>
      </c>
      <c r="M1660" s="126">
        <v>977.29200000000003</v>
      </c>
      <c r="N1660" s="124">
        <v>4886.46</v>
      </c>
      <c r="O1660" t="s">
        <v>346</v>
      </c>
      <c r="P1660" t="s">
        <v>294</v>
      </c>
    </row>
    <row r="1661" spans="1:16" ht="15" customHeight="1" x14ac:dyDescent="0.25">
      <c r="A1661" s="123">
        <v>45900</v>
      </c>
      <c r="B1661" t="s">
        <v>406</v>
      </c>
      <c r="C1661" t="s">
        <v>407</v>
      </c>
      <c r="D1661" t="s">
        <v>225</v>
      </c>
      <c r="E1661" t="s">
        <v>235</v>
      </c>
      <c r="F1661" t="s">
        <v>183</v>
      </c>
      <c r="G1661" t="s">
        <v>2071</v>
      </c>
      <c r="H1661" s="77">
        <v>14</v>
      </c>
      <c r="I1661" s="124">
        <v>561.55999999999995</v>
      </c>
      <c r="J1661" s="124">
        <v>7861.82</v>
      </c>
      <c r="K1661" s="77">
        <v>60</v>
      </c>
      <c r="L1661" t="s">
        <v>351</v>
      </c>
      <c r="M1661" s="126">
        <v>1572.364</v>
      </c>
      <c r="N1661" s="124">
        <v>7861.82</v>
      </c>
      <c r="O1661" t="s">
        <v>346</v>
      </c>
      <c r="P1661" t="s">
        <v>294</v>
      </c>
    </row>
    <row r="1662" spans="1:16" ht="15" customHeight="1" x14ac:dyDescent="0.25">
      <c r="A1662" s="123">
        <v>45960</v>
      </c>
      <c r="B1662" t="s">
        <v>341</v>
      </c>
      <c r="C1662" t="s">
        <v>342</v>
      </c>
      <c r="D1662" t="s">
        <v>223</v>
      </c>
      <c r="E1662" t="s">
        <v>442</v>
      </c>
      <c r="F1662" t="s">
        <v>179</v>
      </c>
      <c r="G1662" t="s">
        <v>2072</v>
      </c>
      <c r="H1662" s="77">
        <v>20</v>
      </c>
      <c r="I1662" s="124">
        <v>371.43</v>
      </c>
      <c r="J1662" s="124">
        <v>7428.67</v>
      </c>
      <c r="K1662" s="77">
        <v>30</v>
      </c>
      <c r="L1662" t="s">
        <v>339</v>
      </c>
      <c r="M1662" s="126">
        <v>1485.7339999999999</v>
      </c>
      <c r="N1662" s="124">
        <v>7428.67</v>
      </c>
      <c r="O1662" t="s">
        <v>340</v>
      </c>
      <c r="P1662" t="s">
        <v>294</v>
      </c>
    </row>
    <row r="1663" spans="1:16" ht="15" customHeight="1" x14ac:dyDescent="0.25">
      <c r="A1663" s="123">
        <v>45798</v>
      </c>
      <c r="B1663" t="s">
        <v>398</v>
      </c>
      <c r="C1663" t="s">
        <v>399</v>
      </c>
      <c r="D1663" t="s">
        <v>227</v>
      </c>
      <c r="E1663" t="s">
        <v>235</v>
      </c>
      <c r="F1663" t="s">
        <v>183</v>
      </c>
      <c r="G1663" t="s">
        <v>2073</v>
      </c>
      <c r="H1663" s="77">
        <v>25</v>
      </c>
      <c r="I1663" s="124">
        <v>281.14</v>
      </c>
      <c r="J1663" s="124">
        <v>7028.44</v>
      </c>
      <c r="K1663" s="77">
        <v>30</v>
      </c>
      <c r="L1663" t="s">
        <v>345</v>
      </c>
      <c r="M1663" s="126">
        <v>1405.6880000000001</v>
      </c>
      <c r="N1663" s="124">
        <v>7028.44</v>
      </c>
      <c r="O1663" t="s">
        <v>346</v>
      </c>
      <c r="P1663" t="s">
        <v>294</v>
      </c>
    </row>
    <row r="1664" spans="1:16" ht="15" customHeight="1" x14ac:dyDescent="0.25">
      <c r="A1664" s="123">
        <v>45684</v>
      </c>
      <c r="B1664" t="s">
        <v>383</v>
      </c>
      <c r="C1664" t="s">
        <v>384</v>
      </c>
      <c r="D1664" t="s">
        <v>225</v>
      </c>
      <c r="E1664" t="s">
        <v>423</v>
      </c>
      <c r="F1664" t="s">
        <v>180</v>
      </c>
      <c r="G1664" t="s">
        <v>2074</v>
      </c>
      <c r="H1664" s="77">
        <v>49</v>
      </c>
      <c r="I1664" s="124">
        <v>77.819999999999993</v>
      </c>
      <c r="J1664" s="124">
        <v>3813.34</v>
      </c>
      <c r="K1664" s="77">
        <v>45</v>
      </c>
      <c r="L1664" t="s">
        <v>351</v>
      </c>
      <c r="M1664" s="126">
        <v>762.66800000000001</v>
      </c>
      <c r="N1664" s="124">
        <v>3813.34</v>
      </c>
      <c r="O1664" t="s">
        <v>346</v>
      </c>
      <c r="P1664" t="s">
        <v>294</v>
      </c>
    </row>
    <row r="1665" spans="1:16" ht="15" customHeight="1" x14ac:dyDescent="0.25">
      <c r="A1665" s="123">
        <v>45830</v>
      </c>
      <c r="B1665" t="s">
        <v>358</v>
      </c>
      <c r="C1665" t="s">
        <v>359</v>
      </c>
      <c r="D1665" t="s">
        <v>225</v>
      </c>
      <c r="E1665" t="s">
        <v>423</v>
      </c>
      <c r="F1665" t="s">
        <v>180</v>
      </c>
      <c r="G1665" t="s">
        <v>2075</v>
      </c>
      <c r="H1665" s="77">
        <v>55</v>
      </c>
      <c r="I1665" s="124">
        <v>178.96</v>
      </c>
      <c r="J1665" s="124">
        <v>9842.77</v>
      </c>
      <c r="K1665" s="77">
        <v>45</v>
      </c>
      <c r="L1665" t="s">
        <v>339</v>
      </c>
      <c r="M1665" s="126">
        <v>1968.5540000000001</v>
      </c>
      <c r="N1665" s="124">
        <v>9842.77</v>
      </c>
      <c r="O1665" t="s">
        <v>346</v>
      </c>
      <c r="P1665" t="s">
        <v>294</v>
      </c>
    </row>
    <row r="1666" spans="1:16" ht="15" customHeight="1" x14ac:dyDescent="0.25">
      <c r="A1666" s="123">
        <v>45684</v>
      </c>
      <c r="B1666" t="s">
        <v>362</v>
      </c>
      <c r="C1666" t="s">
        <v>363</v>
      </c>
      <c r="D1666" t="s">
        <v>221</v>
      </c>
      <c r="E1666" t="s">
        <v>236</v>
      </c>
      <c r="F1666" t="s">
        <v>183</v>
      </c>
      <c r="G1666" t="s">
        <v>2076</v>
      </c>
      <c r="H1666" s="77">
        <v>39</v>
      </c>
      <c r="I1666" s="124">
        <v>612.24</v>
      </c>
      <c r="J1666" s="124">
        <v>23877.48</v>
      </c>
      <c r="K1666" s="77">
        <v>30</v>
      </c>
      <c r="L1666" t="s">
        <v>345</v>
      </c>
      <c r="M1666" s="126">
        <v>4775.4960000000001</v>
      </c>
      <c r="N1666" s="124">
        <v>23877.48</v>
      </c>
      <c r="O1666" t="s">
        <v>346</v>
      </c>
      <c r="P1666" t="s">
        <v>294</v>
      </c>
    </row>
    <row r="1667" spans="1:16" ht="15" customHeight="1" x14ac:dyDescent="0.25">
      <c r="A1667" s="123">
        <v>46022</v>
      </c>
      <c r="B1667" t="s">
        <v>409</v>
      </c>
      <c r="C1667" t="s">
        <v>410</v>
      </c>
      <c r="D1667" t="s">
        <v>223</v>
      </c>
      <c r="E1667" t="s">
        <v>437</v>
      </c>
      <c r="F1667" t="s">
        <v>181</v>
      </c>
      <c r="G1667" t="s">
        <v>2077</v>
      </c>
      <c r="H1667" s="77">
        <v>54</v>
      </c>
      <c r="I1667" s="124">
        <v>217.25</v>
      </c>
      <c r="J1667" s="124">
        <v>11731.52</v>
      </c>
      <c r="K1667" s="77">
        <v>30</v>
      </c>
      <c r="L1667" t="s">
        <v>345</v>
      </c>
      <c r="M1667" s="126">
        <v>2346.3040000000001</v>
      </c>
      <c r="N1667" s="124">
        <v>11731.52</v>
      </c>
      <c r="O1667" t="s">
        <v>346</v>
      </c>
      <c r="P1667" t="s">
        <v>294</v>
      </c>
    </row>
    <row r="1668" spans="1:16" ht="15" customHeight="1" x14ac:dyDescent="0.25">
      <c r="A1668" s="123">
        <v>45658</v>
      </c>
      <c r="B1668" t="s">
        <v>386</v>
      </c>
      <c r="C1668" t="s">
        <v>387</v>
      </c>
      <c r="D1668" t="s">
        <v>223</v>
      </c>
      <c r="E1668" t="s">
        <v>442</v>
      </c>
      <c r="F1668" t="s">
        <v>179</v>
      </c>
      <c r="G1668" t="s">
        <v>2078</v>
      </c>
      <c r="H1668" s="77">
        <v>7</v>
      </c>
      <c r="I1668" s="124">
        <v>103.89</v>
      </c>
      <c r="J1668" s="124">
        <v>727.24</v>
      </c>
      <c r="K1668" s="77">
        <v>60</v>
      </c>
      <c r="L1668" t="s">
        <v>351</v>
      </c>
      <c r="M1668" s="126">
        <v>145.44800000000001</v>
      </c>
      <c r="N1668" s="124">
        <v>727.24</v>
      </c>
      <c r="O1668" t="s">
        <v>340</v>
      </c>
      <c r="P1668" t="s">
        <v>294</v>
      </c>
    </row>
    <row r="1669" spans="1:16" ht="15" customHeight="1" x14ac:dyDescent="0.25">
      <c r="A1669" s="123">
        <v>45899</v>
      </c>
      <c r="B1669" t="s">
        <v>386</v>
      </c>
      <c r="C1669" t="s">
        <v>387</v>
      </c>
      <c r="D1669" t="s">
        <v>223</v>
      </c>
      <c r="E1669" t="s">
        <v>360</v>
      </c>
      <c r="F1669" t="s">
        <v>180</v>
      </c>
      <c r="G1669" t="s">
        <v>2079</v>
      </c>
      <c r="H1669" s="77">
        <v>36</v>
      </c>
      <c r="I1669" s="124">
        <v>189.39</v>
      </c>
      <c r="J1669" s="124">
        <v>6818.22</v>
      </c>
      <c r="K1669" s="77">
        <v>60</v>
      </c>
      <c r="L1669" t="s">
        <v>339</v>
      </c>
      <c r="M1669" s="126">
        <v>1363.644</v>
      </c>
      <c r="N1669" s="124">
        <v>6818.22</v>
      </c>
      <c r="O1669" t="s">
        <v>346</v>
      </c>
      <c r="P1669" t="s">
        <v>294</v>
      </c>
    </row>
    <row r="1670" spans="1:16" ht="15" customHeight="1" x14ac:dyDescent="0.25">
      <c r="A1670" s="123">
        <v>45909</v>
      </c>
      <c r="B1670" t="s">
        <v>401</v>
      </c>
      <c r="C1670" t="s">
        <v>402</v>
      </c>
      <c r="D1670" t="s">
        <v>221</v>
      </c>
      <c r="E1670" t="s">
        <v>381</v>
      </c>
      <c r="F1670" t="s">
        <v>179</v>
      </c>
      <c r="G1670" t="s">
        <v>2080</v>
      </c>
      <c r="H1670" s="77">
        <v>47</v>
      </c>
      <c r="I1670" s="124">
        <v>285.8</v>
      </c>
      <c r="J1670" s="124">
        <v>13432.68</v>
      </c>
      <c r="K1670" s="77">
        <v>45</v>
      </c>
      <c r="L1670" t="s">
        <v>345</v>
      </c>
      <c r="M1670" s="126">
        <v>2686.5360000000001</v>
      </c>
      <c r="N1670" s="124">
        <v>13432.68</v>
      </c>
      <c r="O1670" t="s">
        <v>346</v>
      </c>
      <c r="P1670" t="s">
        <v>294</v>
      </c>
    </row>
    <row r="1671" spans="1:16" ht="15" customHeight="1" x14ac:dyDescent="0.25">
      <c r="A1671" s="123">
        <v>45664</v>
      </c>
      <c r="B1671" t="s">
        <v>362</v>
      </c>
      <c r="C1671" t="s">
        <v>363</v>
      </c>
      <c r="D1671" t="s">
        <v>221</v>
      </c>
      <c r="E1671" t="s">
        <v>343</v>
      </c>
      <c r="F1671" t="s">
        <v>178</v>
      </c>
      <c r="G1671" t="s">
        <v>2081</v>
      </c>
      <c r="H1671" s="77">
        <v>71</v>
      </c>
      <c r="I1671" s="124">
        <v>87.8</v>
      </c>
      <c r="J1671" s="124">
        <v>6233.98</v>
      </c>
      <c r="K1671" s="77">
        <v>30</v>
      </c>
      <c r="L1671" t="s">
        <v>345</v>
      </c>
      <c r="M1671" s="126">
        <v>1246.796</v>
      </c>
      <c r="N1671" s="124">
        <v>6233.98</v>
      </c>
      <c r="O1671" t="s">
        <v>346</v>
      </c>
      <c r="P1671" t="s">
        <v>294</v>
      </c>
    </row>
    <row r="1672" spans="1:16" ht="15" customHeight="1" x14ac:dyDescent="0.25">
      <c r="A1672" s="123">
        <v>45959</v>
      </c>
      <c r="B1672" t="s">
        <v>341</v>
      </c>
      <c r="C1672" t="s">
        <v>342</v>
      </c>
      <c r="D1672" t="s">
        <v>223</v>
      </c>
      <c r="E1672" t="s">
        <v>364</v>
      </c>
      <c r="F1672" t="s">
        <v>182</v>
      </c>
      <c r="G1672" t="s">
        <v>2082</v>
      </c>
      <c r="H1672" s="77">
        <v>68</v>
      </c>
      <c r="I1672" s="124">
        <v>83.3</v>
      </c>
      <c r="J1672" s="124">
        <v>5664.49</v>
      </c>
      <c r="K1672" s="77">
        <v>60</v>
      </c>
      <c r="L1672" t="s">
        <v>345</v>
      </c>
      <c r="M1672" s="126">
        <v>1132.8979999999999</v>
      </c>
      <c r="N1672" s="124">
        <v>5664.49</v>
      </c>
      <c r="O1672" t="s">
        <v>346</v>
      </c>
      <c r="P1672" t="s">
        <v>294</v>
      </c>
    </row>
    <row r="1673" spans="1:16" ht="15" customHeight="1" x14ac:dyDescent="0.25">
      <c r="A1673" s="123">
        <v>45957</v>
      </c>
      <c r="B1673" t="s">
        <v>354</v>
      </c>
      <c r="C1673" t="s">
        <v>355</v>
      </c>
      <c r="D1673" t="s">
        <v>227</v>
      </c>
      <c r="E1673" t="s">
        <v>356</v>
      </c>
      <c r="F1673" t="s">
        <v>181</v>
      </c>
      <c r="G1673" t="s">
        <v>2083</v>
      </c>
      <c r="H1673" s="77">
        <v>50</v>
      </c>
      <c r="I1673" s="124">
        <v>179.81</v>
      </c>
      <c r="J1673" s="124">
        <v>8990.26</v>
      </c>
      <c r="K1673" s="77">
        <v>30</v>
      </c>
      <c r="L1673" t="s">
        <v>339</v>
      </c>
      <c r="M1673" s="126">
        <v>1798.0519999999999</v>
      </c>
      <c r="N1673" s="124">
        <v>8990.26</v>
      </c>
      <c r="O1673" t="s">
        <v>340</v>
      </c>
      <c r="P1673" t="s">
        <v>294</v>
      </c>
    </row>
    <row r="1674" spans="1:16" ht="15" customHeight="1" x14ac:dyDescent="0.25">
      <c r="A1674" s="123">
        <v>45958</v>
      </c>
      <c r="B1674" t="s">
        <v>362</v>
      </c>
      <c r="C1674" t="s">
        <v>363</v>
      </c>
      <c r="D1674" t="s">
        <v>221</v>
      </c>
      <c r="E1674" t="s">
        <v>415</v>
      </c>
      <c r="F1674" t="s">
        <v>178</v>
      </c>
      <c r="G1674" t="s">
        <v>2084</v>
      </c>
      <c r="H1674" s="77">
        <v>25</v>
      </c>
      <c r="I1674" s="124">
        <v>52.4</v>
      </c>
      <c r="J1674" s="124">
        <v>1310.02</v>
      </c>
      <c r="K1674" s="77">
        <v>30</v>
      </c>
      <c r="L1674" t="s">
        <v>351</v>
      </c>
      <c r="M1674" s="126">
        <v>262.00400000000002</v>
      </c>
      <c r="N1674" s="124">
        <v>1310.02</v>
      </c>
      <c r="O1674" t="s">
        <v>340</v>
      </c>
      <c r="P1674" t="s">
        <v>294</v>
      </c>
    </row>
    <row r="1675" spans="1:16" ht="15" customHeight="1" x14ac:dyDescent="0.25">
      <c r="A1675" s="123">
        <v>45937</v>
      </c>
      <c r="B1675" t="s">
        <v>398</v>
      </c>
      <c r="C1675" t="s">
        <v>399</v>
      </c>
      <c r="D1675" t="s">
        <v>227</v>
      </c>
      <c r="E1675" t="s">
        <v>415</v>
      </c>
      <c r="F1675" t="s">
        <v>178</v>
      </c>
      <c r="G1675" t="s">
        <v>2085</v>
      </c>
      <c r="H1675" s="77">
        <v>80</v>
      </c>
      <c r="I1675" s="124">
        <v>39.14</v>
      </c>
      <c r="J1675" s="124">
        <v>3130.94</v>
      </c>
      <c r="K1675" s="77">
        <v>45</v>
      </c>
      <c r="L1675" t="s">
        <v>345</v>
      </c>
      <c r="M1675" s="126">
        <v>626.18799999999999</v>
      </c>
      <c r="N1675" s="124">
        <v>3130.94</v>
      </c>
      <c r="O1675" t="s">
        <v>340</v>
      </c>
      <c r="P1675" t="s">
        <v>294</v>
      </c>
    </row>
    <row r="1676" spans="1:16" ht="15" customHeight="1" x14ac:dyDescent="0.25">
      <c r="A1676" s="123">
        <v>45931</v>
      </c>
      <c r="B1676" t="s">
        <v>373</v>
      </c>
      <c r="C1676" t="s">
        <v>374</v>
      </c>
      <c r="D1676" t="s">
        <v>225</v>
      </c>
      <c r="E1676" t="s">
        <v>396</v>
      </c>
      <c r="F1676" t="s">
        <v>184</v>
      </c>
      <c r="G1676" t="s">
        <v>2086</v>
      </c>
      <c r="H1676" s="77">
        <v>20</v>
      </c>
      <c r="I1676" s="124">
        <v>182.35</v>
      </c>
      <c r="J1676" s="124">
        <v>3647.06</v>
      </c>
      <c r="K1676" s="77">
        <v>30</v>
      </c>
      <c r="L1676" t="s">
        <v>339</v>
      </c>
      <c r="M1676" s="126">
        <v>729.41200000000003</v>
      </c>
      <c r="N1676" s="124">
        <v>3647.06</v>
      </c>
      <c r="O1676" t="s">
        <v>346</v>
      </c>
      <c r="P1676" t="s">
        <v>294</v>
      </c>
    </row>
    <row r="1677" spans="1:16" ht="15" customHeight="1" x14ac:dyDescent="0.25">
      <c r="A1677" s="123">
        <v>46022</v>
      </c>
      <c r="B1677" t="s">
        <v>488</v>
      </c>
      <c r="C1677" t="s">
        <v>489</v>
      </c>
      <c r="D1677" t="s">
        <v>225</v>
      </c>
      <c r="E1677" t="s">
        <v>236</v>
      </c>
      <c r="F1677" t="s">
        <v>183</v>
      </c>
      <c r="G1677" t="s">
        <v>2087</v>
      </c>
      <c r="H1677" s="77">
        <v>33</v>
      </c>
      <c r="I1677" s="124">
        <v>251.26</v>
      </c>
      <c r="J1677" s="124">
        <v>8291.73</v>
      </c>
      <c r="K1677" s="77">
        <v>60</v>
      </c>
      <c r="L1677" t="s">
        <v>345</v>
      </c>
      <c r="M1677" s="126">
        <v>1658.346</v>
      </c>
      <c r="N1677" s="124">
        <v>8291.73</v>
      </c>
      <c r="O1677" t="s">
        <v>346</v>
      </c>
      <c r="P1677" t="s">
        <v>294</v>
      </c>
    </row>
    <row r="1678" spans="1:16" ht="15" customHeight="1" x14ac:dyDescent="0.25">
      <c r="A1678" s="123">
        <v>45718</v>
      </c>
      <c r="B1678" t="s">
        <v>393</v>
      </c>
      <c r="C1678" t="s">
        <v>394</v>
      </c>
      <c r="D1678" t="s">
        <v>227</v>
      </c>
      <c r="E1678" t="s">
        <v>417</v>
      </c>
      <c r="F1678" t="s">
        <v>184</v>
      </c>
      <c r="G1678" t="s">
        <v>2088</v>
      </c>
      <c r="H1678" s="77">
        <v>56</v>
      </c>
      <c r="I1678" s="124">
        <v>146.49</v>
      </c>
      <c r="J1678" s="124">
        <v>8203.18</v>
      </c>
      <c r="K1678" s="77">
        <v>30</v>
      </c>
      <c r="L1678" t="s">
        <v>345</v>
      </c>
      <c r="M1678" s="126">
        <v>1640.636</v>
      </c>
      <c r="N1678" s="124">
        <v>8203.18</v>
      </c>
      <c r="O1678" t="s">
        <v>346</v>
      </c>
      <c r="P1678" t="s">
        <v>294</v>
      </c>
    </row>
    <row r="1679" spans="1:16" ht="15" customHeight="1" x14ac:dyDescent="0.25">
      <c r="A1679" s="123">
        <v>45964</v>
      </c>
      <c r="B1679" t="s">
        <v>347</v>
      </c>
      <c r="C1679" t="s">
        <v>348</v>
      </c>
      <c r="D1679" t="s">
        <v>223</v>
      </c>
      <c r="E1679" t="s">
        <v>349</v>
      </c>
      <c r="F1679" t="s">
        <v>177</v>
      </c>
      <c r="G1679" t="s">
        <v>2089</v>
      </c>
      <c r="H1679" s="77">
        <v>36</v>
      </c>
      <c r="I1679" s="124">
        <v>277.05</v>
      </c>
      <c r="J1679" s="124">
        <v>9973.98</v>
      </c>
      <c r="K1679" s="77">
        <v>60</v>
      </c>
      <c r="L1679" t="s">
        <v>339</v>
      </c>
      <c r="M1679" s="126">
        <v>1994.796</v>
      </c>
      <c r="N1679" s="124">
        <v>9973.98</v>
      </c>
      <c r="O1679" t="s">
        <v>340</v>
      </c>
      <c r="P1679" t="s">
        <v>294</v>
      </c>
    </row>
    <row r="1680" spans="1:16" ht="15" customHeight="1" x14ac:dyDescent="0.25">
      <c r="A1680" s="123">
        <v>45689</v>
      </c>
      <c r="B1680" t="s">
        <v>378</v>
      </c>
      <c r="C1680" t="s">
        <v>379</v>
      </c>
      <c r="D1680" t="s">
        <v>227</v>
      </c>
      <c r="E1680" t="s">
        <v>440</v>
      </c>
      <c r="F1680" t="s">
        <v>177</v>
      </c>
      <c r="G1680" t="s">
        <v>2090</v>
      </c>
      <c r="H1680" s="77">
        <v>25</v>
      </c>
      <c r="I1680" s="124">
        <v>207.8</v>
      </c>
      <c r="J1680" s="124">
        <v>5194.93</v>
      </c>
      <c r="K1680" s="77">
        <v>60</v>
      </c>
      <c r="L1680" t="s">
        <v>345</v>
      </c>
      <c r="M1680" s="126">
        <v>1038.9860000000001</v>
      </c>
      <c r="N1680" s="124">
        <v>5194.93</v>
      </c>
      <c r="O1680" t="s">
        <v>346</v>
      </c>
      <c r="P1680" t="s">
        <v>294</v>
      </c>
    </row>
    <row r="1681" spans="1:16" ht="15" customHeight="1" x14ac:dyDescent="0.25">
      <c r="A1681" s="123">
        <v>45882</v>
      </c>
      <c r="B1681" t="s">
        <v>406</v>
      </c>
      <c r="C1681" t="s">
        <v>407</v>
      </c>
      <c r="D1681" t="s">
        <v>225</v>
      </c>
      <c r="E1681" t="s">
        <v>415</v>
      </c>
      <c r="F1681" t="s">
        <v>178</v>
      </c>
      <c r="G1681" t="s">
        <v>2091</v>
      </c>
      <c r="H1681" s="77">
        <v>66</v>
      </c>
      <c r="I1681" s="124">
        <v>51.26</v>
      </c>
      <c r="J1681" s="124">
        <v>3383.45</v>
      </c>
      <c r="K1681" s="77">
        <v>45</v>
      </c>
      <c r="L1681" t="s">
        <v>351</v>
      </c>
      <c r="M1681" s="126">
        <v>676.69</v>
      </c>
      <c r="N1681" s="124">
        <v>3383.45</v>
      </c>
      <c r="O1681" t="s">
        <v>340</v>
      </c>
      <c r="P1681" t="s">
        <v>294</v>
      </c>
    </row>
    <row r="1682" spans="1:16" ht="15" customHeight="1" x14ac:dyDescent="0.25">
      <c r="A1682" s="123">
        <v>45797</v>
      </c>
      <c r="B1682" t="s">
        <v>366</v>
      </c>
      <c r="C1682" t="s">
        <v>367</v>
      </c>
      <c r="D1682" t="s">
        <v>221</v>
      </c>
      <c r="E1682" t="s">
        <v>236</v>
      </c>
      <c r="F1682" t="s">
        <v>183</v>
      </c>
      <c r="G1682" t="s">
        <v>2092</v>
      </c>
      <c r="H1682" s="77">
        <v>27</v>
      </c>
      <c r="I1682" s="124">
        <v>374.59</v>
      </c>
      <c r="J1682" s="124">
        <v>10113.950000000001</v>
      </c>
      <c r="K1682" s="77">
        <v>30</v>
      </c>
      <c r="L1682" t="s">
        <v>339</v>
      </c>
      <c r="M1682" s="126">
        <v>2022.79</v>
      </c>
      <c r="N1682" s="124">
        <v>10113.950000000001</v>
      </c>
      <c r="O1682" t="s">
        <v>346</v>
      </c>
      <c r="P1682" t="s">
        <v>294</v>
      </c>
    </row>
    <row r="1683" spans="1:16" ht="15" customHeight="1" x14ac:dyDescent="0.25">
      <c r="A1683" s="123">
        <v>46014</v>
      </c>
      <c r="B1683" t="s">
        <v>362</v>
      </c>
      <c r="C1683" t="s">
        <v>363</v>
      </c>
      <c r="D1683" t="s">
        <v>221</v>
      </c>
      <c r="E1683" t="s">
        <v>352</v>
      </c>
      <c r="F1683" t="s">
        <v>180</v>
      </c>
      <c r="G1683" t="s">
        <v>2093</v>
      </c>
      <c r="H1683" s="77">
        <v>2</v>
      </c>
      <c r="I1683" s="124">
        <v>246.7</v>
      </c>
      <c r="J1683" s="124">
        <v>493.39</v>
      </c>
      <c r="K1683" s="77">
        <v>60</v>
      </c>
      <c r="L1683" t="s">
        <v>345</v>
      </c>
      <c r="M1683" s="126">
        <v>98.677999999999997</v>
      </c>
      <c r="N1683" s="124">
        <v>493.39</v>
      </c>
      <c r="O1683" t="s">
        <v>346</v>
      </c>
      <c r="P1683" t="s">
        <v>294</v>
      </c>
    </row>
    <row r="1684" spans="1:16" ht="15" customHeight="1" x14ac:dyDescent="0.25">
      <c r="A1684" s="123">
        <v>45770</v>
      </c>
      <c r="B1684" t="s">
        <v>362</v>
      </c>
      <c r="C1684" t="s">
        <v>363</v>
      </c>
      <c r="D1684" t="s">
        <v>221</v>
      </c>
      <c r="E1684" t="s">
        <v>437</v>
      </c>
      <c r="F1684" t="s">
        <v>181</v>
      </c>
      <c r="G1684" t="s">
        <v>2094</v>
      </c>
      <c r="H1684" s="77">
        <v>38</v>
      </c>
      <c r="I1684" s="124">
        <v>133.83000000000001</v>
      </c>
      <c r="J1684" s="124">
        <v>5085.6499999999996</v>
      </c>
      <c r="K1684" s="77">
        <v>60</v>
      </c>
      <c r="L1684" t="s">
        <v>345</v>
      </c>
      <c r="M1684" s="126">
        <v>1017.13</v>
      </c>
      <c r="N1684" s="124">
        <v>5085.6499999999996</v>
      </c>
      <c r="O1684" t="s">
        <v>346</v>
      </c>
      <c r="P1684" t="s">
        <v>294</v>
      </c>
    </row>
    <row r="1685" spans="1:16" ht="15" customHeight="1" x14ac:dyDescent="0.25">
      <c r="A1685" s="123">
        <v>45772</v>
      </c>
      <c r="B1685" t="s">
        <v>366</v>
      </c>
      <c r="C1685" t="s">
        <v>367</v>
      </c>
      <c r="D1685" t="s">
        <v>221</v>
      </c>
      <c r="E1685" t="s">
        <v>415</v>
      </c>
      <c r="F1685" t="s">
        <v>178</v>
      </c>
      <c r="G1685" t="s">
        <v>2095</v>
      </c>
      <c r="H1685" s="77">
        <v>6</v>
      </c>
      <c r="I1685" s="124">
        <v>77.69</v>
      </c>
      <c r="J1685" s="124">
        <v>466.17</v>
      </c>
      <c r="K1685" s="77">
        <v>60</v>
      </c>
      <c r="L1685" t="s">
        <v>339</v>
      </c>
      <c r="M1685" s="126">
        <v>93.233999999999995</v>
      </c>
      <c r="N1685" s="124">
        <v>466.17</v>
      </c>
      <c r="O1685" t="s">
        <v>340</v>
      </c>
      <c r="P1685" t="s">
        <v>294</v>
      </c>
    </row>
    <row r="1686" spans="1:16" ht="15" customHeight="1" x14ac:dyDescent="0.25">
      <c r="A1686" s="123">
        <v>45733</v>
      </c>
      <c r="B1686" t="s">
        <v>354</v>
      </c>
      <c r="C1686" t="s">
        <v>355</v>
      </c>
      <c r="D1686" t="s">
        <v>227</v>
      </c>
      <c r="E1686" t="s">
        <v>440</v>
      </c>
      <c r="F1686" t="s">
        <v>177</v>
      </c>
      <c r="G1686" t="s">
        <v>2096</v>
      </c>
      <c r="H1686" s="77">
        <v>36</v>
      </c>
      <c r="I1686" s="124">
        <v>62.74</v>
      </c>
      <c r="J1686" s="124">
        <v>2258.69</v>
      </c>
      <c r="K1686" s="77">
        <v>30</v>
      </c>
      <c r="L1686" t="s">
        <v>345</v>
      </c>
      <c r="M1686" s="126">
        <v>451.738</v>
      </c>
      <c r="N1686" s="124">
        <v>2258.69</v>
      </c>
      <c r="O1686" t="s">
        <v>346</v>
      </c>
      <c r="P1686" t="s">
        <v>294</v>
      </c>
    </row>
    <row r="1687" spans="1:16" ht="15" customHeight="1" x14ac:dyDescent="0.25">
      <c r="A1687" s="123">
        <v>45931</v>
      </c>
      <c r="B1687" t="s">
        <v>366</v>
      </c>
      <c r="C1687" t="s">
        <v>367</v>
      </c>
      <c r="D1687" t="s">
        <v>221</v>
      </c>
      <c r="E1687" t="s">
        <v>423</v>
      </c>
      <c r="F1687" t="s">
        <v>180</v>
      </c>
      <c r="G1687" t="s">
        <v>2097</v>
      </c>
      <c r="H1687" s="77">
        <v>15</v>
      </c>
      <c r="I1687" s="124">
        <v>480.43</v>
      </c>
      <c r="J1687" s="124">
        <v>7206.47</v>
      </c>
      <c r="K1687" s="77">
        <v>30</v>
      </c>
      <c r="L1687" t="s">
        <v>351</v>
      </c>
      <c r="M1687" s="126">
        <v>1441.2940000000001</v>
      </c>
      <c r="N1687" s="124">
        <v>7206.47</v>
      </c>
      <c r="O1687" t="s">
        <v>346</v>
      </c>
      <c r="P1687" t="s">
        <v>294</v>
      </c>
    </row>
    <row r="1688" spans="1:16" ht="15" customHeight="1" x14ac:dyDescent="0.25">
      <c r="A1688" s="123">
        <v>45700</v>
      </c>
      <c r="B1688" t="s">
        <v>341</v>
      </c>
      <c r="C1688" t="s">
        <v>342</v>
      </c>
      <c r="D1688" t="s">
        <v>223</v>
      </c>
      <c r="E1688" t="s">
        <v>420</v>
      </c>
      <c r="F1688" t="s">
        <v>182</v>
      </c>
      <c r="G1688" t="s">
        <v>2098</v>
      </c>
      <c r="H1688" s="77">
        <v>71</v>
      </c>
      <c r="I1688" s="124">
        <v>73.58</v>
      </c>
      <c r="J1688" s="124">
        <v>5223.99</v>
      </c>
      <c r="K1688" s="77">
        <v>45</v>
      </c>
      <c r="L1688" t="s">
        <v>351</v>
      </c>
      <c r="M1688" s="126">
        <v>1044.798</v>
      </c>
      <c r="N1688" s="124">
        <v>5223.99</v>
      </c>
      <c r="O1688" t="s">
        <v>346</v>
      </c>
      <c r="P1688" t="s">
        <v>294</v>
      </c>
    </row>
    <row r="1689" spans="1:16" ht="15" customHeight="1" x14ac:dyDescent="0.25">
      <c r="A1689" s="123">
        <v>45808</v>
      </c>
      <c r="B1689" t="s">
        <v>341</v>
      </c>
      <c r="C1689" t="s">
        <v>342</v>
      </c>
      <c r="D1689" t="s">
        <v>223</v>
      </c>
      <c r="E1689" t="s">
        <v>236</v>
      </c>
      <c r="F1689" t="s">
        <v>183</v>
      </c>
      <c r="G1689" t="s">
        <v>2099</v>
      </c>
      <c r="H1689" s="77">
        <v>42</v>
      </c>
      <c r="I1689" s="124">
        <v>335.1</v>
      </c>
      <c r="J1689" s="124">
        <v>14074.08</v>
      </c>
      <c r="K1689" s="77">
        <v>30</v>
      </c>
      <c r="L1689" t="s">
        <v>351</v>
      </c>
      <c r="M1689" s="126">
        <v>2814.8159999999998</v>
      </c>
      <c r="N1689" s="124">
        <v>14074.08</v>
      </c>
      <c r="O1689" t="s">
        <v>346</v>
      </c>
      <c r="P1689" t="s">
        <v>294</v>
      </c>
    </row>
    <row r="1690" spans="1:16" ht="15" customHeight="1" x14ac:dyDescent="0.25">
      <c r="A1690" s="123">
        <v>45801</v>
      </c>
      <c r="B1690" t="s">
        <v>370</v>
      </c>
      <c r="C1690" t="s">
        <v>371</v>
      </c>
      <c r="D1690" t="s">
        <v>227</v>
      </c>
      <c r="E1690" t="s">
        <v>376</v>
      </c>
      <c r="F1690" t="s">
        <v>182</v>
      </c>
      <c r="G1690" t="s">
        <v>2100</v>
      </c>
      <c r="H1690" s="77">
        <v>23</v>
      </c>
      <c r="I1690" s="124">
        <v>111.02</v>
      </c>
      <c r="J1690" s="124">
        <v>2553.4</v>
      </c>
      <c r="K1690" s="77">
        <v>45</v>
      </c>
      <c r="L1690" t="s">
        <v>339</v>
      </c>
      <c r="M1690" s="126">
        <v>510.68</v>
      </c>
      <c r="N1690" s="124">
        <v>2553.4</v>
      </c>
      <c r="O1690" t="s">
        <v>340</v>
      </c>
      <c r="P1690" t="s">
        <v>294</v>
      </c>
    </row>
    <row r="1691" spans="1:16" ht="15" customHeight="1" x14ac:dyDescent="0.25">
      <c r="A1691" s="123">
        <v>46010</v>
      </c>
      <c r="B1691" t="s">
        <v>431</v>
      </c>
      <c r="C1691" t="s">
        <v>432</v>
      </c>
      <c r="D1691" t="s">
        <v>221</v>
      </c>
      <c r="E1691" t="s">
        <v>343</v>
      </c>
      <c r="F1691" t="s">
        <v>178</v>
      </c>
      <c r="G1691" t="s">
        <v>2101</v>
      </c>
      <c r="H1691" s="77">
        <v>49</v>
      </c>
      <c r="I1691" s="124">
        <v>56.37</v>
      </c>
      <c r="J1691" s="124">
        <v>2762.27</v>
      </c>
      <c r="K1691" s="77">
        <v>60</v>
      </c>
      <c r="L1691" t="s">
        <v>345</v>
      </c>
      <c r="M1691" s="126">
        <v>552.45399999999995</v>
      </c>
      <c r="N1691" s="124">
        <v>2762.27</v>
      </c>
      <c r="O1691" t="s">
        <v>346</v>
      </c>
      <c r="P1691" t="s">
        <v>294</v>
      </c>
    </row>
    <row r="1692" spans="1:16" ht="15" customHeight="1" x14ac:dyDescent="0.25">
      <c r="A1692" s="123">
        <v>45770</v>
      </c>
      <c r="B1692" t="s">
        <v>370</v>
      </c>
      <c r="C1692" t="s">
        <v>371</v>
      </c>
      <c r="D1692" t="s">
        <v>227</v>
      </c>
      <c r="E1692" t="s">
        <v>360</v>
      </c>
      <c r="F1692" t="s">
        <v>180</v>
      </c>
      <c r="G1692" t="s">
        <v>2102</v>
      </c>
      <c r="H1692" s="77">
        <v>42</v>
      </c>
      <c r="I1692" s="124">
        <v>345.21</v>
      </c>
      <c r="J1692" s="124">
        <v>14498.67</v>
      </c>
      <c r="K1692" s="77">
        <v>45</v>
      </c>
      <c r="L1692" t="s">
        <v>339</v>
      </c>
      <c r="M1692" s="126">
        <v>2899.7339999999999</v>
      </c>
      <c r="N1692" s="124">
        <v>14498.67</v>
      </c>
      <c r="O1692" t="s">
        <v>346</v>
      </c>
      <c r="P1692" t="s">
        <v>294</v>
      </c>
    </row>
    <row r="1693" spans="1:16" ht="15" customHeight="1" x14ac:dyDescent="0.25">
      <c r="A1693" s="123">
        <v>45886</v>
      </c>
      <c r="B1693" t="s">
        <v>358</v>
      </c>
      <c r="C1693" t="s">
        <v>359</v>
      </c>
      <c r="D1693" t="s">
        <v>225</v>
      </c>
      <c r="E1693" t="s">
        <v>235</v>
      </c>
      <c r="F1693" t="s">
        <v>183</v>
      </c>
      <c r="G1693" t="s">
        <v>2103</v>
      </c>
      <c r="H1693" s="77">
        <v>30</v>
      </c>
      <c r="I1693" s="124">
        <v>231.04</v>
      </c>
      <c r="J1693" s="124">
        <v>6931.16</v>
      </c>
      <c r="K1693" s="77">
        <v>60</v>
      </c>
      <c r="L1693" t="s">
        <v>351</v>
      </c>
      <c r="M1693" s="126">
        <v>1386.232</v>
      </c>
      <c r="N1693" s="124">
        <v>6931.16</v>
      </c>
      <c r="O1693" t="s">
        <v>346</v>
      </c>
      <c r="P1693" t="s">
        <v>294</v>
      </c>
    </row>
    <row r="1694" spans="1:16" ht="15" customHeight="1" x14ac:dyDescent="0.25">
      <c r="A1694" s="123">
        <v>45903</v>
      </c>
      <c r="B1694" t="s">
        <v>335</v>
      </c>
      <c r="C1694" t="s">
        <v>336</v>
      </c>
      <c r="D1694" t="s">
        <v>223</v>
      </c>
      <c r="E1694" t="s">
        <v>376</v>
      </c>
      <c r="F1694" t="s">
        <v>182</v>
      </c>
      <c r="G1694" t="s">
        <v>2104</v>
      </c>
      <c r="H1694" s="77">
        <v>12</v>
      </c>
      <c r="I1694" s="124">
        <v>153.41</v>
      </c>
      <c r="J1694" s="124">
        <v>1840.88</v>
      </c>
      <c r="K1694" s="77">
        <v>45</v>
      </c>
      <c r="L1694" t="s">
        <v>339</v>
      </c>
      <c r="M1694" s="126">
        <v>368.17599999999999</v>
      </c>
      <c r="N1694" s="124">
        <v>1840.88</v>
      </c>
      <c r="O1694" t="s">
        <v>340</v>
      </c>
      <c r="P1694" t="s">
        <v>294</v>
      </c>
    </row>
    <row r="1695" spans="1:16" ht="15" customHeight="1" x14ac:dyDescent="0.25">
      <c r="A1695" s="123">
        <v>45754</v>
      </c>
      <c r="B1695" t="s">
        <v>406</v>
      </c>
      <c r="C1695" t="s">
        <v>407</v>
      </c>
      <c r="D1695" t="s">
        <v>225</v>
      </c>
      <c r="E1695" t="s">
        <v>442</v>
      </c>
      <c r="F1695" t="s">
        <v>179</v>
      </c>
      <c r="G1695" t="s">
        <v>2105</v>
      </c>
      <c r="H1695" s="77">
        <v>73</v>
      </c>
      <c r="I1695" s="124">
        <v>85.86</v>
      </c>
      <c r="J1695" s="124">
        <v>6267.47</v>
      </c>
      <c r="K1695" s="77">
        <v>45</v>
      </c>
      <c r="L1695" t="s">
        <v>351</v>
      </c>
      <c r="M1695" s="126">
        <v>1253.4939999999999</v>
      </c>
      <c r="N1695" s="124">
        <v>6267.47</v>
      </c>
      <c r="O1695" t="s">
        <v>340</v>
      </c>
      <c r="P1695" t="s">
        <v>294</v>
      </c>
    </row>
    <row r="1696" spans="1:16" ht="15" customHeight="1" x14ac:dyDescent="0.25">
      <c r="A1696" s="123">
        <v>45816</v>
      </c>
      <c r="B1696" t="s">
        <v>383</v>
      </c>
      <c r="C1696" t="s">
        <v>384</v>
      </c>
      <c r="D1696" t="s">
        <v>225</v>
      </c>
      <c r="E1696" t="s">
        <v>356</v>
      </c>
      <c r="F1696" t="s">
        <v>181</v>
      </c>
      <c r="G1696" t="s">
        <v>2106</v>
      </c>
      <c r="H1696" s="77">
        <v>21</v>
      </c>
      <c r="I1696" s="124">
        <v>235.84</v>
      </c>
      <c r="J1696" s="124">
        <v>4952.55</v>
      </c>
      <c r="K1696" s="77">
        <v>30</v>
      </c>
      <c r="L1696" t="s">
        <v>345</v>
      </c>
      <c r="M1696" s="126">
        <v>990.51</v>
      </c>
      <c r="N1696" s="124">
        <v>4952.55</v>
      </c>
      <c r="O1696" t="s">
        <v>340</v>
      </c>
      <c r="P1696" t="s">
        <v>294</v>
      </c>
    </row>
    <row r="1697" spans="1:16" ht="15" customHeight="1" x14ac:dyDescent="0.25">
      <c r="A1697" s="123">
        <v>45731</v>
      </c>
      <c r="B1697" t="s">
        <v>354</v>
      </c>
      <c r="C1697" t="s">
        <v>355</v>
      </c>
      <c r="D1697" t="s">
        <v>227</v>
      </c>
      <c r="E1697" t="s">
        <v>423</v>
      </c>
      <c r="F1697" t="s">
        <v>180</v>
      </c>
      <c r="G1697" t="s">
        <v>2107</v>
      </c>
      <c r="H1697" s="77">
        <v>10</v>
      </c>
      <c r="I1697" s="124">
        <v>726.23</v>
      </c>
      <c r="J1697" s="124">
        <v>7262.34</v>
      </c>
      <c r="K1697" s="77">
        <v>45</v>
      </c>
      <c r="L1697" t="s">
        <v>339</v>
      </c>
      <c r="M1697" s="126">
        <v>1452.4680000000001</v>
      </c>
      <c r="N1697" s="124">
        <v>7262.34</v>
      </c>
      <c r="O1697" t="s">
        <v>346</v>
      </c>
      <c r="P1697" t="s">
        <v>294</v>
      </c>
    </row>
    <row r="1698" spans="1:16" ht="15" customHeight="1" x14ac:dyDescent="0.25">
      <c r="A1698" s="123">
        <v>45927</v>
      </c>
      <c r="B1698" t="s">
        <v>373</v>
      </c>
      <c r="C1698" t="s">
        <v>374</v>
      </c>
      <c r="D1698" t="s">
        <v>225</v>
      </c>
      <c r="E1698" t="s">
        <v>235</v>
      </c>
      <c r="F1698" t="s">
        <v>183</v>
      </c>
      <c r="G1698" t="s">
        <v>2108</v>
      </c>
      <c r="H1698" s="77">
        <v>18</v>
      </c>
      <c r="I1698" s="124">
        <v>173.05</v>
      </c>
      <c r="J1698" s="124">
        <v>3114.96</v>
      </c>
      <c r="K1698" s="77">
        <v>60</v>
      </c>
      <c r="L1698" t="s">
        <v>339</v>
      </c>
      <c r="M1698" s="126">
        <v>622.99199999999996</v>
      </c>
      <c r="N1698" s="124">
        <v>3114.96</v>
      </c>
      <c r="O1698" t="s">
        <v>346</v>
      </c>
      <c r="P1698" t="s">
        <v>294</v>
      </c>
    </row>
    <row r="1699" spans="1:16" ht="15" customHeight="1" x14ac:dyDescent="0.25">
      <c r="A1699" s="123">
        <v>45854</v>
      </c>
      <c r="B1699" t="s">
        <v>366</v>
      </c>
      <c r="C1699" t="s">
        <v>367</v>
      </c>
      <c r="D1699" t="s">
        <v>221</v>
      </c>
      <c r="E1699" t="s">
        <v>368</v>
      </c>
      <c r="F1699" t="s">
        <v>178</v>
      </c>
      <c r="G1699" t="s">
        <v>2109</v>
      </c>
      <c r="H1699" s="77">
        <v>3</v>
      </c>
      <c r="I1699" s="124">
        <v>44.77</v>
      </c>
      <c r="J1699" s="124">
        <v>134.32</v>
      </c>
      <c r="K1699" s="77">
        <v>30</v>
      </c>
      <c r="L1699" t="s">
        <v>339</v>
      </c>
      <c r="M1699" s="126">
        <v>26.864000000000001</v>
      </c>
      <c r="N1699" s="124">
        <v>134.32</v>
      </c>
      <c r="O1699" t="s">
        <v>346</v>
      </c>
      <c r="P1699" t="s">
        <v>294</v>
      </c>
    </row>
    <row r="1700" spans="1:16" ht="15" customHeight="1" x14ac:dyDescent="0.25">
      <c r="A1700" s="123">
        <v>45785</v>
      </c>
      <c r="B1700" t="s">
        <v>354</v>
      </c>
      <c r="C1700" t="s">
        <v>355</v>
      </c>
      <c r="D1700" t="s">
        <v>227</v>
      </c>
      <c r="E1700" t="s">
        <v>349</v>
      </c>
      <c r="F1700" t="s">
        <v>177</v>
      </c>
      <c r="G1700" t="s">
        <v>2110</v>
      </c>
      <c r="H1700" s="77">
        <v>11</v>
      </c>
      <c r="I1700" s="124">
        <v>159.19999999999999</v>
      </c>
      <c r="J1700" s="124">
        <v>1751.16</v>
      </c>
      <c r="K1700" s="77">
        <v>45</v>
      </c>
      <c r="L1700" t="s">
        <v>339</v>
      </c>
      <c r="M1700" s="126">
        <v>350.23200000000003</v>
      </c>
      <c r="N1700" s="124">
        <v>1751.16</v>
      </c>
      <c r="O1700" t="s">
        <v>340</v>
      </c>
      <c r="P1700" t="s">
        <v>294</v>
      </c>
    </row>
    <row r="1701" spans="1:16" ht="15" customHeight="1" x14ac:dyDescent="0.25">
      <c r="A1701" s="123">
        <v>45712</v>
      </c>
      <c r="B1701" t="s">
        <v>406</v>
      </c>
      <c r="C1701" t="s">
        <v>407</v>
      </c>
      <c r="D1701" t="s">
        <v>225</v>
      </c>
      <c r="E1701" t="s">
        <v>349</v>
      </c>
      <c r="F1701" t="s">
        <v>177</v>
      </c>
      <c r="G1701" t="s">
        <v>2111</v>
      </c>
      <c r="H1701" s="77">
        <v>70</v>
      </c>
      <c r="I1701" s="124">
        <v>132.46</v>
      </c>
      <c r="J1701" s="124">
        <v>9272.02</v>
      </c>
      <c r="K1701" s="77">
        <v>60</v>
      </c>
      <c r="L1701" t="s">
        <v>345</v>
      </c>
      <c r="M1701" s="126">
        <v>1854.404</v>
      </c>
      <c r="N1701" s="124">
        <v>9272.02</v>
      </c>
      <c r="O1701" t="s">
        <v>340</v>
      </c>
      <c r="P1701" t="s">
        <v>294</v>
      </c>
    </row>
    <row r="1702" spans="1:16" ht="15" customHeight="1" x14ac:dyDescent="0.25">
      <c r="A1702" s="123">
        <v>45729</v>
      </c>
      <c r="B1702" t="s">
        <v>431</v>
      </c>
      <c r="C1702" t="s">
        <v>432</v>
      </c>
      <c r="D1702" t="s">
        <v>221</v>
      </c>
      <c r="E1702" t="s">
        <v>415</v>
      </c>
      <c r="F1702" t="s">
        <v>178</v>
      </c>
      <c r="G1702" t="s">
        <v>2112</v>
      </c>
      <c r="H1702" s="77">
        <v>62</v>
      </c>
      <c r="I1702" s="124">
        <v>78.83</v>
      </c>
      <c r="J1702" s="124">
        <v>4887.17</v>
      </c>
      <c r="K1702" s="77">
        <v>60</v>
      </c>
      <c r="L1702" t="s">
        <v>345</v>
      </c>
      <c r="M1702" s="126">
        <v>977.43399999999997</v>
      </c>
      <c r="N1702" s="124">
        <v>4887.17</v>
      </c>
      <c r="O1702" t="s">
        <v>340</v>
      </c>
      <c r="P1702" t="s">
        <v>294</v>
      </c>
    </row>
    <row r="1703" spans="1:16" ht="15" customHeight="1" x14ac:dyDescent="0.25">
      <c r="A1703" s="123">
        <v>45903</v>
      </c>
      <c r="B1703" t="s">
        <v>366</v>
      </c>
      <c r="C1703" t="s">
        <v>367</v>
      </c>
      <c r="D1703" t="s">
        <v>221</v>
      </c>
      <c r="E1703" t="s">
        <v>437</v>
      </c>
      <c r="F1703" t="s">
        <v>181</v>
      </c>
      <c r="G1703" t="s">
        <v>2113</v>
      </c>
      <c r="H1703" s="77">
        <v>20</v>
      </c>
      <c r="I1703" s="124">
        <v>287.92</v>
      </c>
      <c r="J1703" s="124">
        <v>5758.39</v>
      </c>
      <c r="K1703" s="77">
        <v>30</v>
      </c>
      <c r="L1703" t="s">
        <v>339</v>
      </c>
      <c r="M1703" s="126">
        <v>1151.6780000000001</v>
      </c>
      <c r="N1703" s="124">
        <v>5758.39</v>
      </c>
      <c r="O1703" t="s">
        <v>346</v>
      </c>
      <c r="P1703" t="s">
        <v>294</v>
      </c>
    </row>
    <row r="1704" spans="1:16" ht="15" customHeight="1" x14ac:dyDescent="0.25">
      <c r="A1704" s="123">
        <v>45936</v>
      </c>
      <c r="B1704" t="s">
        <v>370</v>
      </c>
      <c r="C1704" t="s">
        <v>371</v>
      </c>
      <c r="D1704" t="s">
        <v>227</v>
      </c>
      <c r="E1704" t="s">
        <v>403</v>
      </c>
      <c r="F1704" t="s">
        <v>181</v>
      </c>
      <c r="G1704" t="s">
        <v>2114</v>
      </c>
      <c r="H1704" s="77">
        <v>16</v>
      </c>
      <c r="I1704" s="124">
        <v>311.91000000000003</v>
      </c>
      <c r="J1704" s="124">
        <v>4990.6099999999997</v>
      </c>
      <c r="K1704" s="77">
        <v>30</v>
      </c>
      <c r="L1704" t="s">
        <v>339</v>
      </c>
      <c r="M1704" s="126">
        <v>998.12199999999996</v>
      </c>
      <c r="N1704" s="124">
        <v>4990.6099999999997</v>
      </c>
      <c r="O1704" t="s">
        <v>346</v>
      </c>
      <c r="P1704" t="s">
        <v>294</v>
      </c>
    </row>
    <row r="1705" spans="1:16" ht="15" customHeight="1" x14ac:dyDescent="0.25">
      <c r="A1705" s="123">
        <v>45919</v>
      </c>
      <c r="B1705" t="s">
        <v>341</v>
      </c>
      <c r="C1705" t="s">
        <v>342</v>
      </c>
      <c r="D1705" t="s">
        <v>223</v>
      </c>
      <c r="E1705" t="s">
        <v>356</v>
      </c>
      <c r="F1705" t="s">
        <v>181</v>
      </c>
      <c r="G1705" t="s">
        <v>2115</v>
      </c>
      <c r="H1705" s="77">
        <v>54</v>
      </c>
      <c r="I1705" s="124">
        <v>405.03</v>
      </c>
      <c r="J1705" s="124">
        <v>21871.65</v>
      </c>
      <c r="K1705" s="77">
        <v>30</v>
      </c>
      <c r="L1705" t="s">
        <v>339</v>
      </c>
      <c r="M1705" s="126">
        <v>4374.33</v>
      </c>
      <c r="N1705" s="124">
        <v>21871.65</v>
      </c>
      <c r="O1705" t="s">
        <v>340</v>
      </c>
      <c r="P1705" t="s">
        <v>294</v>
      </c>
    </row>
    <row r="1706" spans="1:16" ht="15" customHeight="1" x14ac:dyDescent="0.25">
      <c r="A1706" s="123">
        <v>45876</v>
      </c>
      <c r="B1706" t="s">
        <v>393</v>
      </c>
      <c r="C1706" t="s">
        <v>394</v>
      </c>
      <c r="D1706" t="s">
        <v>227</v>
      </c>
      <c r="E1706" t="s">
        <v>349</v>
      </c>
      <c r="F1706" t="s">
        <v>177</v>
      </c>
      <c r="G1706" t="s">
        <v>2116</v>
      </c>
      <c r="H1706" s="77">
        <v>50</v>
      </c>
      <c r="I1706" s="124">
        <v>150.34</v>
      </c>
      <c r="J1706" s="124">
        <v>7516.94</v>
      </c>
      <c r="K1706" s="77">
        <v>30</v>
      </c>
      <c r="L1706" t="s">
        <v>345</v>
      </c>
      <c r="M1706" s="126">
        <v>1503.3879999999999</v>
      </c>
      <c r="N1706" s="124">
        <v>7516.94</v>
      </c>
      <c r="O1706" t="s">
        <v>340</v>
      </c>
      <c r="P1706" t="s">
        <v>294</v>
      </c>
    </row>
    <row r="1707" spans="1:16" ht="15" customHeight="1" x14ac:dyDescent="0.25">
      <c r="A1707" s="123">
        <v>46008</v>
      </c>
      <c r="B1707" t="s">
        <v>383</v>
      </c>
      <c r="C1707" t="s">
        <v>384</v>
      </c>
      <c r="D1707" t="s">
        <v>225</v>
      </c>
      <c r="E1707" t="s">
        <v>356</v>
      </c>
      <c r="F1707" t="s">
        <v>181</v>
      </c>
      <c r="G1707" t="s">
        <v>2117</v>
      </c>
      <c r="H1707" s="77">
        <v>50</v>
      </c>
      <c r="I1707" s="124">
        <v>192.66</v>
      </c>
      <c r="J1707" s="124">
        <v>9633.09</v>
      </c>
      <c r="K1707" s="77">
        <v>60</v>
      </c>
      <c r="L1707" t="s">
        <v>351</v>
      </c>
      <c r="M1707" s="126">
        <v>1926.6179999999999</v>
      </c>
      <c r="N1707" s="124">
        <v>9633.09</v>
      </c>
      <c r="O1707" t="s">
        <v>340</v>
      </c>
      <c r="P1707" t="s">
        <v>294</v>
      </c>
    </row>
    <row r="1708" spans="1:16" ht="15" customHeight="1" x14ac:dyDescent="0.25">
      <c r="A1708" s="123">
        <v>45714</v>
      </c>
      <c r="B1708" t="s">
        <v>383</v>
      </c>
      <c r="C1708" t="s">
        <v>384</v>
      </c>
      <c r="D1708" t="s">
        <v>225</v>
      </c>
      <c r="E1708" t="s">
        <v>396</v>
      </c>
      <c r="F1708" t="s">
        <v>184</v>
      </c>
      <c r="G1708" t="s">
        <v>2118</v>
      </c>
      <c r="H1708" s="77">
        <v>29</v>
      </c>
      <c r="I1708" s="124">
        <v>108.57</v>
      </c>
      <c r="J1708" s="124">
        <v>3148.56</v>
      </c>
      <c r="K1708" s="77">
        <v>30</v>
      </c>
      <c r="L1708" t="s">
        <v>345</v>
      </c>
      <c r="M1708" s="126">
        <v>629.71199999999999</v>
      </c>
      <c r="N1708" s="124">
        <v>3148.56</v>
      </c>
      <c r="O1708" t="s">
        <v>346</v>
      </c>
      <c r="P1708" t="s">
        <v>294</v>
      </c>
    </row>
    <row r="1709" spans="1:16" ht="15" customHeight="1" x14ac:dyDescent="0.25">
      <c r="A1709" s="123">
        <v>45828</v>
      </c>
      <c r="B1709" t="s">
        <v>370</v>
      </c>
      <c r="C1709" t="s">
        <v>371</v>
      </c>
      <c r="D1709" t="s">
        <v>227</v>
      </c>
      <c r="E1709" t="s">
        <v>343</v>
      </c>
      <c r="F1709" t="s">
        <v>178</v>
      </c>
      <c r="G1709" t="s">
        <v>2119</v>
      </c>
      <c r="H1709" s="77">
        <v>16</v>
      </c>
      <c r="I1709" s="124">
        <v>184.81</v>
      </c>
      <c r="J1709" s="124">
        <v>2956.94</v>
      </c>
      <c r="K1709" s="77">
        <v>45</v>
      </c>
      <c r="L1709" t="s">
        <v>339</v>
      </c>
      <c r="M1709" s="126">
        <v>591.38800000000003</v>
      </c>
      <c r="N1709" s="124">
        <v>2956.94</v>
      </c>
      <c r="O1709" t="s">
        <v>346</v>
      </c>
      <c r="P1709" t="s">
        <v>294</v>
      </c>
    </row>
    <row r="1710" spans="1:16" ht="15" customHeight="1" x14ac:dyDescent="0.25">
      <c r="A1710" s="123">
        <v>45877</v>
      </c>
      <c r="B1710" t="s">
        <v>401</v>
      </c>
      <c r="C1710" t="s">
        <v>402</v>
      </c>
      <c r="D1710" t="s">
        <v>221</v>
      </c>
      <c r="E1710" t="s">
        <v>442</v>
      </c>
      <c r="F1710" t="s">
        <v>179</v>
      </c>
      <c r="G1710" t="s">
        <v>2120</v>
      </c>
      <c r="H1710" s="77">
        <v>68</v>
      </c>
      <c r="I1710" s="124">
        <v>167.34</v>
      </c>
      <c r="J1710" s="124">
        <v>11378.9</v>
      </c>
      <c r="K1710" s="77">
        <v>45</v>
      </c>
      <c r="L1710" t="s">
        <v>351</v>
      </c>
      <c r="M1710" s="126">
        <v>2275.7800000000002</v>
      </c>
      <c r="N1710" s="124">
        <v>11378.9</v>
      </c>
      <c r="O1710" t="s">
        <v>340</v>
      </c>
      <c r="P1710" t="s">
        <v>294</v>
      </c>
    </row>
    <row r="1711" spans="1:16" ht="15" customHeight="1" x14ac:dyDescent="0.25">
      <c r="A1711" s="123">
        <v>45999</v>
      </c>
      <c r="B1711" t="s">
        <v>390</v>
      </c>
      <c r="C1711" t="s">
        <v>391</v>
      </c>
      <c r="D1711" t="s">
        <v>221</v>
      </c>
      <c r="E1711" t="s">
        <v>235</v>
      </c>
      <c r="F1711" t="s">
        <v>183</v>
      </c>
      <c r="G1711" t="s">
        <v>2121</v>
      </c>
      <c r="H1711" s="77">
        <v>39</v>
      </c>
      <c r="I1711" s="124">
        <v>175.53</v>
      </c>
      <c r="J1711" s="124">
        <v>6845.54</v>
      </c>
      <c r="K1711" s="77">
        <v>60</v>
      </c>
      <c r="L1711" t="s">
        <v>345</v>
      </c>
      <c r="M1711" s="126">
        <v>1369.1079999999999</v>
      </c>
      <c r="N1711" s="124">
        <v>6845.54</v>
      </c>
      <c r="O1711" t="s">
        <v>346</v>
      </c>
      <c r="P1711" t="s">
        <v>294</v>
      </c>
    </row>
    <row r="1712" spans="1:16" ht="15" customHeight="1" x14ac:dyDescent="0.25">
      <c r="A1712" s="123">
        <v>45913</v>
      </c>
      <c r="B1712" t="s">
        <v>347</v>
      </c>
      <c r="C1712" t="s">
        <v>348</v>
      </c>
      <c r="D1712" t="s">
        <v>223</v>
      </c>
      <c r="E1712" t="s">
        <v>368</v>
      </c>
      <c r="F1712" t="s">
        <v>178</v>
      </c>
      <c r="G1712" t="s">
        <v>2122</v>
      </c>
      <c r="H1712" s="77">
        <v>48</v>
      </c>
      <c r="I1712" s="124">
        <v>119.5</v>
      </c>
      <c r="J1712" s="124">
        <v>5735.8</v>
      </c>
      <c r="K1712" s="77">
        <v>45</v>
      </c>
      <c r="L1712" t="s">
        <v>351</v>
      </c>
      <c r="M1712" s="126">
        <v>1147.1600000000001</v>
      </c>
      <c r="N1712" s="124">
        <v>5735.8</v>
      </c>
      <c r="O1712" t="s">
        <v>346</v>
      </c>
      <c r="P1712" t="s">
        <v>294</v>
      </c>
    </row>
    <row r="1713" spans="1:16" ht="15" customHeight="1" x14ac:dyDescent="0.25">
      <c r="A1713" s="123">
        <v>45993</v>
      </c>
      <c r="B1713" t="s">
        <v>409</v>
      </c>
      <c r="C1713" t="s">
        <v>410</v>
      </c>
      <c r="D1713" t="s">
        <v>223</v>
      </c>
      <c r="E1713" t="s">
        <v>349</v>
      </c>
      <c r="F1713" t="s">
        <v>177</v>
      </c>
      <c r="G1713" t="s">
        <v>2123</v>
      </c>
      <c r="H1713" s="77">
        <v>19</v>
      </c>
      <c r="I1713" s="124">
        <v>112.31</v>
      </c>
      <c r="J1713" s="124">
        <v>2133.9299999999998</v>
      </c>
      <c r="K1713" s="77">
        <v>45</v>
      </c>
      <c r="L1713" t="s">
        <v>339</v>
      </c>
      <c r="M1713" s="126">
        <v>426.786</v>
      </c>
      <c r="N1713" s="124">
        <v>2133.9299999999998</v>
      </c>
      <c r="O1713" t="s">
        <v>340</v>
      </c>
      <c r="P1713" t="s">
        <v>294</v>
      </c>
    </row>
    <row r="1714" spans="1:16" ht="15" customHeight="1" x14ac:dyDescent="0.25">
      <c r="A1714" s="123">
        <v>45902</v>
      </c>
      <c r="B1714" t="s">
        <v>390</v>
      </c>
      <c r="C1714" t="s">
        <v>391</v>
      </c>
      <c r="D1714" t="s">
        <v>221</v>
      </c>
      <c r="E1714" t="s">
        <v>417</v>
      </c>
      <c r="F1714" t="s">
        <v>184</v>
      </c>
      <c r="G1714" t="s">
        <v>2124</v>
      </c>
      <c r="H1714" s="77">
        <v>9</v>
      </c>
      <c r="I1714" s="124">
        <v>22.7</v>
      </c>
      <c r="J1714" s="124">
        <v>204.33</v>
      </c>
      <c r="K1714" s="77">
        <v>30</v>
      </c>
      <c r="L1714" t="s">
        <v>351</v>
      </c>
      <c r="M1714" s="126">
        <v>40.866</v>
      </c>
      <c r="N1714" s="124">
        <v>204.33</v>
      </c>
      <c r="O1714" t="s">
        <v>346</v>
      </c>
      <c r="P1714" t="s">
        <v>294</v>
      </c>
    </row>
    <row r="1715" spans="1:16" ht="15" customHeight="1" x14ac:dyDescent="0.25">
      <c r="A1715" s="123">
        <v>45704</v>
      </c>
      <c r="B1715" t="s">
        <v>401</v>
      </c>
      <c r="C1715" t="s">
        <v>402</v>
      </c>
      <c r="D1715" t="s">
        <v>221</v>
      </c>
      <c r="E1715" t="s">
        <v>356</v>
      </c>
      <c r="F1715" t="s">
        <v>181</v>
      </c>
      <c r="G1715" t="s">
        <v>2125</v>
      </c>
      <c r="H1715" s="77">
        <v>42</v>
      </c>
      <c r="I1715" s="124">
        <v>350.62</v>
      </c>
      <c r="J1715" s="124">
        <v>14726.14</v>
      </c>
      <c r="K1715" s="77">
        <v>30</v>
      </c>
      <c r="L1715" t="s">
        <v>339</v>
      </c>
      <c r="M1715" s="126">
        <v>2945.2280000000001</v>
      </c>
      <c r="N1715" s="124">
        <v>14726.14</v>
      </c>
      <c r="O1715" t="s">
        <v>340</v>
      </c>
      <c r="P1715" t="s">
        <v>294</v>
      </c>
    </row>
    <row r="1716" spans="1:16" ht="15" customHeight="1" x14ac:dyDescent="0.25">
      <c r="A1716" s="123">
        <v>45911</v>
      </c>
      <c r="B1716" t="s">
        <v>488</v>
      </c>
      <c r="C1716" t="s">
        <v>489</v>
      </c>
      <c r="D1716" t="s">
        <v>225</v>
      </c>
      <c r="E1716" t="s">
        <v>420</v>
      </c>
      <c r="F1716" t="s">
        <v>182</v>
      </c>
      <c r="G1716" t="s">
        <v>2126</v>
      </c>
      <c r="H1716" s="77">
        <v>55</v>
      </c>
      <c r="I1716" s="124">
        <v>70.77</v>
      </c>
      <c r="J1716" s="124">
        <v>3892.39</v>
      </c>
      <c r="K1716" s="77">
        <v>45</v>
      </c>
      <c r="L1716" t="s">
        <v>351</v>
      </c>
      <c r="M1716" s="126">
        <v>778.47799999999995</v>
      </c>
      <c r="N1716" s="124">
        <v>3892.39</v>
      </c>
      <c r="O1716" t="s">
        <v>346</v>
      </c>
      <c r="P1716" t="s">
        <v>294</v>
      </c>
    </row>
    <row r="1717" spans="1:16" ht="15" customHeight="1" x14ac:dyDescent="0.25">
      <c r="A1717" s="123">
        <v>45992</v>
      </c>
      <c r="B1717" t="s">
        <v>431</v>
      </c>
      <c r="C1717" t="s">
        <v>432</v>
      </c>
      <c r="D1717" t="s">
        <v>221</v>
      </c>
      <c r="E1717" t="s">
        <v>376</v>
      </c>
      <c r="F1717" t="s">
        <v>182</v>
      </c>
      <c r="G1717" t="s">
        <v>2127</v>
      </c>
      <c r="H1717" s="77">
        <v>32</v>
      </c>
      <c r="I1717" s="124">
        <v>90.39</v>
      </c>
      <c r="J1717" s="124">
        <v>2892.34</v>
      </c>
      <c r="K1717" s="77">
        <v>45</v>
      </c>
      <c r="L1717" t="s">
        <v>345</v>
      </c>
      <c r="M1717" s="126">
        <v>578.46799999999996</v>
      </c>
      <c r="N1717" s="124">
        <v>2892.34</v>
      </c>
      <c r="O1717" t="s">
        <v>340</v>
      </c>
      <c r="P1717" t="s">
        <v>294</v>
      </c>
    </row>
    <row r="1718" spans="1:16" ht="15" customHeight="1" x14ac:dyDescent="0.25">
      <c r="A1718" s="123">
        <v>45931</v>
      </c>
      <c r="B1718" t="s">
        <v>358</v>
      </c>
      <c r="C1718" t="s">
        <v>359</v>
      </c>
      <c r="D1718" t="s">
        <v>225</v>
      </c>
      <c r="E1718" t="s">
        <v>417</v>
      </c>
      <c r="F1718" t="s">
        <v>184</v>
      </c>
      <c r="G1718" t="s">
        <v>2128</v>
      </c>
      <c r="H1718" s="77">
        <v>64</v>
      </c>
      <c r="I1718" s="124">
        <v>90.02</v>
      </c>
      <c r="J1718" s="124">
        <v>5761.54</v>
      </c>
      <c r="K1718" s="77">
        <v>60</v>
      </c>
      <c r="L1718" t="s">
        <v>351</v>
      </c>
      <c r="M1718" s="126">
        <v>1152.308</v>
      </c>
      <c r="N1718" s="124">
        <v>5761.54</v>
      </c>
      <c r="O1718" t="s">
        <v>346</v>
      </c>
      <c r="P1718" t="s">
        <v>294</v>
      </c>
    </row>
    <row r="1719" spans="1:16" ht="15" customHeight="1" x14ac:dyDescent="0.25">
      <c r="A1719" s="123">
        <v>45955</v>
      </c>
      <c r="B1719" t="s">
        <v>409</v>
      </c>
      <c r="C1719" t="s">
        <v>410</v>
      </c>
      <c r="D1719" t="s">
        <v>223</v>
      </c>
      <c r="E1719" t="s">
        <v>235</v>
      </c>
      <c r="F1719" t="s">
        <v>183</v>
      </c>
      <c r="G1719" t="s">
        <v>2129</v>
      </c>
      <c r="H1719" s="77">
        <v>54</v>
      </c>
      <c r="I1719" s="124">
        <v>333.14</v>
      </c>
      <c r="J1719" s="124">
        <v>17989.46</v>
      </c>
      <c r="K1719" s="77">
        <v>60</v>
      </c>
      <c r="L1719" t="s">
        <v>351</v>
      </c>
      <c r="M1719" s="126">
        <v>3597.8919999999998</v>
      </c>
      <c r="N1719" s="124">
        <v>17989.46</v>
      </c>
      <c r="O1719" t="s">
        <v>346</v>
      </c>
      <c r="P1719" t="s">
        <v>294</v>
      </c>
    </row>
    <row r="1720" spans="1:16" ht="15" customHeight="1" x14ac:dyDescent="0.25">
      <c r="A1720" s="123">
        <v>45702</v>
      </c>
      <c r="B1720" t="s">
        <v>373</v>
      </c>
      <c r="C1720" t="s">
        <v>374</v>
      </c>
      <c r="D1720" t="s">
        <v>225</v>
      </c>
      <c r="E1720" t="s">
        <v>352</v>
      </c>
      <c r="F1720" t="s">
        <v>180</v>
      </c>
      <c r="G1720" t="s">
        <v>2130</v>
      </c>
      <c r="H1720" s="77">
        <v>31</v>
      </c>
      <c r="I1720" s="124">
        <v>369.32</v>
      </c>
      <c r="J1720" s="124">
        <v>11448.87</v>
      </c>
      <c r="K1720" s="77">
        <v>45</v>
      </c>
      <c r="L1720" t="s">
        <v>339</v>
      </c>
      <c r="M1720" s="126">
        <v>2289.7739999999999</v>
      </c>
      <c r="N1720" s="124">
        <v>11448.87</v>
      </c>
      <c r="O1720" t="s">
        <v>346</v>
      </c>
      <c r="P1720" t="s">
        <v>294</v>
      </c>
    </row>
    <row r="1721" spans="1:16" ht="15" customHeight="1" x14ac:dyDescent="0.25">
      <c r="A1721" s="123">
        <v>45943</v>
      </c>
      <c r="B1721" t="s">
        <v>370</v>
      </c>
      <c r="C1721" t="s">
        <v>371</v>
      </c>
      <c r="D1721" t="s">
        <v>227</v>
      </c>
      <c r="E1721" t="s">
        <v>496</v>
      </c>
      <c r="F1721" t="s">
        <v>177</v>
      </c>
      <c r="G1721" t="s">
        <v>2131</v>
      </c>
      <c r="H1721" s="77">
        <v>61</v>
      </c>
      <c r="I1721" s="124">
        <v>94.44</v>
      </c>
      <c r="J1721" s="124">
        <v>5760.89</v>
      </c>
      <c r="K1721" s="77">
        <v>30</v>
      </c>
      <c r="L1721" t="s">
        <v>339</v>
      </c>
      <c r="M1721" s="126">
        <v>1152.1780000000001</v>
      </c>
      <c r="N1721" s="124">
        <v>5760.89</v>
      </c>
      <c r="O1721" t="s">
        <v>346</v>
      </c>
      <c r="P1721" t="s">
        <v>294</v>
      </c>
    </row>
    <row r="1722" spans="1:16" ht="15" customHeight="1" x14ac:dyDescent="0.25">
      <c r="A1722" s="123">
        <v>45729</v>
      </c>
      <c r="B1722" t="s">
        <v>401</v>
      </c>
      <c r="C1722" t="s">
        <v>402</v>
      </c>
      <c r="D1722" t="s">
        <v>221</v>
      </c>
      <c r="E1722" t="s">
        <v>420</v>
      </c>
      <c r="F1722" t="s">
        <v>182</v>
      </c>
      <c r="G1722" t="s">
        <v>2132</v>
      </c>
      <c r="H1722" s="77">
        <v>38</v>
      </c>
      <c r="I1722" s="124">
        <v>125.98</v>
      </c>
      <c r="J1722" s="124">
        <v>4787.0600000000004</v>
      </c>
      <c r="K1722" s="77">
        <v>45</v>
      </c>
      <c r="L1722" t="s">
        <v>339</v>
      </c>
      <c r="M1722" s="126">
        <v>957.41200000000003</v>
      </c>
      <c r="N1722" s="124">
        <v>4787.0600000000004</v>
      </c>
      <c r="O1722" t="s">
        <v>346</v>
      </c>
      <c r="P1722" t="s">
        <v>294</v>
      </c>
    </row>
    <row r="1723" spans="1:16" ht="15" customHeight="1" x14ac:dyDescent="0.25">
      <c r="A1723" s="123">
        <v>45765</v>
      </c>
      <c r="B1723" t="s">
        <v>488</v>
      </c>
      <c r="C1723" t="s">
        <v>489</v>
      </c>
      <c r="D1723" t="s">
        <v>225</v>
      </c>
      <c r="E1723" t="s">
        <v>235</v>
      </c>
      <c r="F1723" t="s">
        <v>183</v>
      </c>
      <c r="G1723" t="s">
        <v>2133</v>
      </c>
      <c r="H1723" s="77">
        <v>29</v>
      </c>
      <c r="I1723" s="124">
        <v>260.08999999999997</v>
      </c>
      <c r="J1723" s="124">
        <v>7542.64</v>
      </c>
      <c r="K1723" s="77">
        <v>30</v>
      </c>
      <c r="L1723" t="s">
        <v>351</v>
      </c>
      <c r="M1723" s="126">
        <v>1508.528</v>
      </c>
      <c r="N1723" s="124">
        <v>7542.64</v>
      </c>
      <c r="O1723" t="s">
        <v>346</v>
      </c>
      <c r="P1723" t="s">
        <v>294</v>
      </c>
    </row>
    <row r="1724" spans="1:16" ht="15" customHeight="1" x14ac:dyDescent="0.25">
      <c r="A1724" s="123">
        <v>46018</v>
      </c>
      <c r="B1724" t="s">
        <v>390</v>
      </c>
      <c r="C1724" t="s">
        <v>391</v>
      </c>
      <c r="D1724" t="s">
        <v>221</v>
      </c>
      <c r="E1724" t="s">
        <v>343</v>
      </c>
      <c r="F1724" t="s">
        <v>178</v>
      </c>
      <c r="G1724" t="s">
        <v>2134</v>
      </c>
      <c r="H1724" s="77">
        <v>19</v>
      </c>
      <c r="I1724" s="124">
        <v>97.59</v>
      </c>
      <c r="J1724" s="124">
        <v>1854.13</v>
      </c>
      <c r="K1724" s="77">
        <v>45</v>
      </c>
      <c r="L1724" t="s">
        <v>351</v>
      </c>
      <c r="M1724" s="126">
        <v>370.82600000000002</v>
      </c>
      <c r="N1724" s="124">
        <v>1854.13</v>
      </c>
      <c r="O1724" t="s">
        <v>346</v>
      </c>
      <c r="P1724" t="s">
        <v>294</v>
      </c>
    </row>
    <row r="1725" spans="1:16" ht="15" customHeight="1" x14ac:dyDescent="0.25">
      <c r="A1725" s="123">
        <v>45685</v>
      </c>
      <c r="B1725" t="s">
        <v>370</v>
      </c>
      <c r="C1725" t="s">
        <v>371</v>
      </c>
      <c r="D1725" t="s">
        <v>227</v>
      </c>
      <c r="E1725" t="s">
        <v>234</v>
      </c>
      <c r="F1725" t="s">
        <v>183</v>
      </c>
      <c r="G1725" t="s">
        <v>2135</v>
      </c>
      <c r="H1725" s="77">
        <v>14</v>
      </c>
      <c r="I1725" s="124">
        <v>420.83</v>
      </c>
      <c r="J1725" s="124">
        <v>5891.65</v>
      </c>
      <c r="K1725" s="77">
        <v>60</v>
      </c>
      <c r="L1725" t="s">
        <v>351</v>
      </c>
      <c r="M1725" s="126">
        <v>1178.33</v>
      </c>
      <c r="N1725" s="124">
        <v>5891.65</v>
      </c>
      <c r="O1725" t="s">
        <v>346</v>
      </c>
      <c r="P1725" t="s">
        <v>294</v>
      </c>
    </row>
    <row r="1726" spans="1:16" ht="15" customHeight="1" x14ac:dyDescent="0.25">
      <c r="A1726" s="123">
        <v>45738</v>
      </c>
      <c r="B1726" t="s">
        <v>370</v>
      </c>
      <c r="C1726" t="s">
        <v>371</v>
      </c>
      <c r="D1726" t="s">
        <v>227</v>
      </c>
      <c r="E1726" t="s">
        <v>417</v>
      </c>
      <c r="F1726" t="s">
        <v>184</v>
      </c>
      <c r="G1726" t="s">
        <v>2136</v>
      </c>
      <c r="H1726" s="77">
        <v>4</v>
      </c>
      <c r="I1726" s="124">
        <v>44.84</v>
      </c>
      <c r="J1726" s="124">
        <v>179.34</v>
      </c>
      <c r="K1726" s="77">
        <v>30</v>
      </c>
      <c r="L1726" t="s">
        <v>345</v>
      </c>
      <c r="M1726" s="126">
        <v>35.868000000000002</v>
      </c>
      <c r="N1726" s="124">
        <v>179.34</v>
      </c>
      <c r="O1726" t="s">
        <v>346</v>
      </c>
      <c r="P1726" t="s">
        <v>294</v>
      </c>
    </row>
    <row r="1727" spans="1:16" ht="15" customHeight="1" x14ac:dyDescent="0.25">
      <c r="A1727" s="123">
        <v>45697</v>
      </c>
      <c r="B1727" t="s">
        <v>370</v>
      </c>
      <c r="C1727" t="s">
        <v>371</v>
      </c>
      <c r="D1727" t="s">
        <v>227</v>
      </c>
      <c r="E1727" t="s">
        <v>415</v>
      </c>
      <c r="F1727" t="s">
        <v>178</v>
      </c>
      <c r="G1727" t="s">
        <v>2137</v>
      </c>
      <c r="H1727" s="77">
        <v>2</v>
      </c>
      <c r="I1727" s="124">
        <v>118.12</v>
      </c>
      <c r="J1727" s="124">
        <v>236.23</v>
      </c>
      <c r="K1727" s="77">
        <v>60</v>
      </c>
      <c r="L1727" t="s">
        <v>345</v>
      </c>
      <c r="M1727" s="126">
        <v>47.246000000000002</v>
      </c>
      <c r="N1727" s="124">
        <v>236.23</v>
      </c>
      <c r="O1727" t="s">
        <v>340</v>
      </c>
      <c r="P1727" t="s">
        <v>294</v>
      </c>
    </row>
    <row r="1728" spans="1:16" ht="15" customHeight="1" x14ac:dyDescent="0.25">
      <c r="A1728" s="123">
        <v>45729</v>
      </c>
      <c r="B1728" t="s">
        <v>401</v>
      </c>
      <c r="C1728" t="s">
        <v>402</v>
      </c>
      <c r="D1728" t="s">
        <v>221</v>
      </c>
      <c r="E1728" t="s">
        <v>381</v>
      </c>
      <c r="F1728" t="s">
        <v>179</v>
      </c>
      <c r="G1728" t="s">
        <v>2138</v>
      </c>
      <c r="H1728" s="77">
        <v>68</v>
      </c>
      <c r="I1728" s="124">
        <v>134.05000000000001</v>
      </c>
      <c r="J1728" s="124">
        <v>9115.07</v>
      </c>
      <c r="K1728" s="77">
        <v>60</v>
      </c>
      <c r="L1728" t="s">
        <v>345</v>
      </c>
      <c r="M1728" s="126">
        <v>1823.0139999999999</v>
      </c>
      <c r="N1728" s="124">
        <v>9115.07</v>
      </c>
      <c r="O1728" t="s">
        <v>346</v>
      </c>
      <c r="P1728" t="s">
        <v>294</v>
      </c>
    </row>
    <row r="1729" spans="1:16" ht="15" customHeight="1" x14ac:dyDescent="0.25">
      <c r="A1729" s="123">
        <v>45830</v>
      </c>
      <c r="B1729" t="s">
        <v>366</v>
      </c>
      <c r="C1729" t="s">
        <v>367</v>
      </c>
      <c r="D1729" t="s">
        <v>221</v>
      </c>
      <c r="E1729" t="s">
        <v>236</v>
      </c>
      <c r="F1729" t="s">
        <v>183</v>
      </c>
      <c r="G1729" t="s">
        <v>2139</v>
      </c>
      <c r="H1729" s="77">
        <v>57</v>
      </c>
      <c r="I1729" s="124">
        <v>467.88</v>
      </c>
      <c r="J1729" s="124">
        <v>26669.22</v>
      </c>
      <c r="K1729" s="77">
        <v>60</v>
      </c>
      <c r="L1729" t="s">
        <v>351</v>
      </c>
      <c r="M1729" s="126">
        <v>5333.8440000000001</v>
      </c>
      <c r="N1729" s="124">
        <v>26669.22</v>
      </c>
      <c r="O1729" t="s">
        <v>346</v>
      </c>
      <c r="P1729" t="s">
        <v>294</v>
      </c>
    </row>
    <row r="1730" spans="1:16" ht="15" customHeight="1" x14ac:dyDescent="0.25">
      <c r="A1730" s="123">
        <v>45737</v>
      </c>
      <c r="B1730" t="s">
        <v>406</v>
      </c>
      <c r="C1730" t="s">
        <v>407</v>
      </c>
      <c r="D1730" t="s">
        <v>225</v>
      </c>
      <c r="E1730" t="s">
        <v>356</v>
      </c>
      <c r="F1730" t="s">
        <v>181</v>
      </c>
      <c r="G1730" t="s">
        <v>2140</v>
      </c>
      <c r="H1730" s="77">
        <v>8</v>
      </c>
      <c r="I1730" s="124">
        <v>269.25</v>
      </c>
      <c r="J1730" s="124">
        <v>2153.9899999999998</v>
      </c>
      <c r="K1730" s="77">
        <v>60</v>
      </c>
      <c r="L1730" t="s">
        <v>339</v>
      </c>
      <c r="M1730" s="126">
        <v>430.798</v>
      </c>
      <c r="N1730" s="124">
        <v>2153.9899999999998</v>
      </c>
      <c r="O1730" t="s">
        <v>340</v>
      </c>
      <c r="P1730" t="s">
        <v>294</v>
      </c>
    </row>
    <row r="1731" spans="1:16" ht="15" customHeight="1" x14ac:dyDescent="0.25">
      <c r="A1731" s="123">
        <v>45740</v>
      </c>
      <c r="B1731" t="s">
        <v>409</v>
      </c>
      <c r="C1731" t="s">
        <v>410</v>
      </c>
      <c r="D1731" t="s">
        <v>223</v>
      </c>
      <c r="E1731" t="s">
        <v>412</v>
      </c>
      <c r="F1731" t="s">
        <v>179</v>
      </c>
      <c r="G1731" t="s">
        <v>2141</v>
      </c>
      <c r="H1731" s="77">
        <v>2</v>
      </c>
      <c r="I1731" s="124">
        <v>494.7</v>
      </c>
      <c r="J1731" s="124">
        <v>989.41</v>
      </c>
      <c r="K1731" s="77">
        <v>45</v>
      </c>
      <c r="L1731" t="s">
        <v>345</v>
      </c>
      <c r="M1731" s="126">
        <v>197.88200000000001</v>
      </c>
      <c r="N1731" s="124">
        <v>989.41</v>
      </c>
      <c r="O1731" t="s">
        <v>346</v>
      </c>
      <c r="P1731" t="s">
        <v>294</v>
      </c>
    </row>
    <row r="1732" spans="1:16" ht="15" customHeight="1" x14ac:dyDescent="0.25">
      <c r="A1732" s="123">
        <v>46022</v>
      </c>
      <c r="B1732" t="s">
        <v>362</v>
      </c>
      <c r="C1732" t="s">
        <v>363</v>
      </c>
      <c r="D1732" t="s">
        <v>221</v>
      </c>
      <c r="E1732" t="s">
        <v>417</v>
      </c>
      <c r="F1732" t="s">
        <v>184</v>
      </c>
      <c r="G1732" t="s">
        <v>2142</v>
      </c>
      <c r="H1732" s="77">
        <v>34</v>
      </c>
      <c r="I1732" s="124">
        <v>66.33</v>
      </c>
      <c r="J1732" s="124">
        <v>2255.08</v>
      </c>
      <c r="K1732" s="77">
        <v>60</v>
      </c>
      <c r="L1732" t="s">
        <v>351</v>
      </c>
      <c r="M1732" s="126">
        <v>451.01600000000002</v>
      </c>
      <c r="N1732" s="124">
        <v>2255.08</v>
      </c>
      <c r="O1732" t="s">
        <v>346</v>
      </c>
      <c r="P1732" t="s">
        <v>294</v>
      </c>
    </row>
    <row r="1733" spans="1:16" ht="15" customHeight="1" x14ac:dyDescent="0.25">
      <c r="A1733" s="123">
        <v>45738</v>
      </c>
      <c r="B1733" t="s">
        <v>378</v>
      </c>
      <c r="C1733" t="s">
        <v>379</v>
      </c>
      <c r="D1733" t="s">
        <v>227</v>
      </c>
      <c r="E1733" t="s">
        <v>360</v>
      </c>
      <c r="F1733" t="s">
        <v>180</v>
      </c>
      <c r="G1733" t="s">
        <v>2143</v>
      </c>
      <c r="H1733" s="77">
        <v>35</v>
      </c>
      <c r="I1733" s="124">
        <v>206.3</v>
      </c>
      <c r="J1733" s="124">
        <v>7220.54</v>
      </c>
      <c r="K1733" s="77">
        <v>30</v>
      </c>
      <c r="L1733" t="s">
        <v>351</v>
      </c>
      <c r="M1733" s="126">
        <v>1444.1079999999999</v>
      </c>
      <c r="N1733" s="124">
        <v>7220.54</v>
      </c>
      <c r="O1733" t="s">
        <v>346</v>
      </c>
      <c r="P1733" t="s">
        <v>294</v>
      </c>
    </row>
    <row r="1734" spans="1:16" ht="15" customHeight="1" x14ac:dyDescent="0.25">
      <c r="A1734" s="123">
        <v>45766</v>
      </c>
      <c r="B1734" t="s">
        <v>488</v>
      </c>
      <c r="C1734" t="s">
        <v>489</v>
      </c>
      <c r="D1734" t="s">
        <v>225</v>
      </c>
      <c r="E1734" t="s">
        <v>412</v>
      </c>
      <c r="F1734" t="s">
        <v>179</v>
      </c>
      <c r="G1734" t="s">
        <v>2144</v>
      </c>
      <c r="H1734" s="77">
        <v>52</v>
      </c>
      <c r="I1734" s="124">
        <v>178.09</v>
      </c>
      <c r="J1734" s="124">
        <v>9260.56</v>
      </c>
      <c r="K1734" s="77">
        <v>60</v>
      </c>
      <c r="L1734" t="s">
        <v>339</v>
      </c>
      <c r="M1734" s="126">
        <v>1852.1120000000001</v>
      </c>
      <c r="N1734" s="124">
        <v>9260.56</v>
      </c>
      <c r="O1734" t="s">
        <v>346</v>
      </c>
      <c r="P1734" t="s">
        <v>294</v>
      </c>
    </row>
    <row r="1735" spans="1:16" ht="15" customHeight="1" x14ac:dyDescent="0.25">
      <c r="A1735" s="123">
        <v>45944</v>
      </c>
      <c r="B1735" t="s">
        <v>366</v>
      </c>
      <c r="C1735" t="s">
        <v>367</v>
      </c>
      <c r="D1735" t="s">
        <v>221</v>
      </c>
      <c r="E1735" t="s">
        <v>235</v>
      </c>
      <c r="F1735" t="s">
        <v>183</v>
      </c>
      <c r="G1735" t="s">
        <v>2145</v>
      </c>
      <c r="H1735" s="77">
        <v>78</v>
      </c>
      <c r="I1735" s="124">
        <v>253.92</v>
      </c>
      <c r="J1735" s="124">
        <v>19806.04</v>
      </c>
      <c r="K1735" s="77">
        <v>30</v>
      </c>
      <c r="L1735" t="s">
        <v>351</v>
      </c>
      <c r="M1735" s="126">
        <v>3961.2080000000001</v>
      </c>
      <c r="N1735" s="124">
        <v>19806.04</v>
      </c>
      <c r="O1735" t="s">
        <v>346</v>
      </c>
      <c r="P1735" t="s">
        <v>294</v>
      </c>
    </row>
    <row r="1736" spans="1:16" ht="15" customHeight="1" x14ac:dyDescent="0.25">
      <c r="A1736" s="123">
        <v>45992</v>
      </c>
      <c r="B1736" t="s">
        <v>341</v>
      </c>
      <c r="C1736" t="s">
        <v>342</v>
      </c>
      <c r="D1736" t="s">
        <v>223</v>
      </c>
      <c r="E1736" t="s">
        <v>427</v>
      </c>
      <c r="F1736" t="s">
        <v>184</v>
      </c>
      <c r="G1736" t="s">
        <v>2146</v>
      </c>
      <c r="H1736" s="77">
        <v>52</v>
      </c>
      <c r="I1736" s="124">
        <v>116.45</v>
      </c>
      <c r="J1736" s="124">
        <v>6055.36</v>
      </c>
      <c r="K1736" s="77">
        <v>45</v>
      </c>
      <c r="L1736" t="s">
        <v>339</v>
      </c>
      <c r="M1736" s="126">
        <v>1211.0719999999999</v>
      </c>
      <c r="N1736" s="124">
        <v>6055.36</v>
      </c>
      <c r="O1736" t="s">
        <v>346</v>
      </c>
      <c r="P1736" t="s">
        <v>294</v>
      </c>
    </row>
    <row r="1737" spans="1:16" ht="15" customHeight="1" x14ac:dyDescent="0.25">
      <c r="A1737" s="123">
        <v>45875</v>
      </c>
      <c r="B1737" t="s">
        <v>386</v>
      </c>
      <c r="C1737" t="s">
        <v>387</v>
      </c>
      <c r="D1737" t="s">
        <v>223</v>
      </c>
      <c r="E1737" t="s">
        <v>364</v>
      </c>
      <c r="F1737" t="s">
        <v>182</v>
      </c>
      <c r="G1737" t="s">
        <v>2147</v>
      </c>
      <c r="H1737" s="77">
        <v>25</v>
      </c>
      <c r="I1737" s="124">
        <v>39.049999999999997</v>
      </c>
      <c r="J1737" s="124">
        <v>976.31</v>
      </c>
      <c r="K1737" s="77">
        <v>45</v>
      </c>
      <c r="L1737" t="s">
        <v>339</v>
      </c>
      <c r="M1737" s="126">
        <v>195.262</v>
      </c>
      <c r="N1737" s="124">
        <v>976.31</v>
      </c>
      <c r="O1737" t="s">
        <v>346</v>
      </c>
      <c r="P1737" t="s">
        <v>294</v>
      </c>
    </row>
    <row r="1738" spans="1:16" ht="15" customHeight="1" x14ac:dyDescent="0.25">
      <c r="A1738" s="123">
        <v>45966</v>
      </c>
      <c r="B1738" t="s">
        <v>488</v>
      </c>
      <c r="C1738" t="s">
        <v>489</v>
      </c>
      <c r="D1738" t="s">
        <v>225</v>
      </c>
      <c r="E1738" t="s">
        <v>368</v>
      </c>
      <c r="F1738" t="s">
        <v>178</v>
      </c>
      <c r="G1738" t="s">
        <v>2148</v>
      </c>
      <c r="H1738" s="77">
        <v>43</v>
      </c>
      <c r="I1738" s="124">
        <v>36.409999999999997</v>
      </c>
      <c r="J1738" s="124">
        <v>1565.66</v>
      </c>
      <c r="K1738" s="77">
        <v>30</v>
      </c>
      <c r="L1738" t="s">
        <v>339</v>
      </c>
      <c r="M1738" s="126">
        <v>313.13200000000001</v>
      </c>
      <c r="N1738" s="124">
        <v>1565.66</v>
      </c>
      <c r="O1738" t="s">
        <v>346</v>
      </c>
      <c r="P1738" t="s">
        <v>294</v>
      </c>
    </row>
    <row r="1739" spans="1:16" ht="15" customHeight="1" x14ac:dyDescent="0.25">
      <c r="A1739" s="123">
        <v>45712</v>
      </c>
      <c r="B1739" t="s">
        <v>393</v>
      </c>
      <c r="C1739" t="s">
        <v>394</v>
      </c>
      <c r="D1739" t="s">
        <v>227</v>
      </c>
      <c r="E1739" t="s">
        <v>412</v>
      </c>
      <c r="F1739" t="s">
        <v>179</v>
      </c>
      <c r="G1739" t="s">
        <v>2149</v>
      </c>
      <c r="H1739" s="77">
        <v>9</v>
      </c>
      <c r="I1739" s="124">
        <v>100.05</v>
      </c>
      <c r="J1739" s="124">
        <v>900.45</v>
      </c>
      <c r="K1739" s="77">
        <v>30</v>
      </c>
      <c r="L1739" t="s">
        <v>351</v>
      </c>
      <c r="M1739" s="126">
        <v>180.09</v>
      </c>
      <c r="N1739" s="124">
        <v>900.45</v>
      </c>
      <c r="O1739" t="s">
        <v>346</v>
      </c>
      <c r="P1739" t="s">
        <v>294</v>
      </c>
    </row>
    <row r="1740" spans="1:16" ht="15" customHeight="1" x14ac:dyDescent="0.25">
      <c r="A1740" s="123">
        <v>45940</v>
      </c>
      <c r="B1740" t="s">
        <v>390</v>
      </c>
      <c r="C1740" t="s">
        <v>391</v>
      </c>
      <c r="D1740" t="s">
        <v>221</v>
      </c>
      <c r="E1740" t="s">
        <v>356</v>
      </c>
      <c r="F1740" t="s">
        <v>181</v>
      </c>
      <c r="G1740" t="s">
        <v>2150</v>
      </c>
      <c r="H1740" s="77">
        <v>26</v>
      </c>
      <c r="I1740" s="124">
        <v>371.04</v>
      </c>
      <c r="J1740" s="124">
        <v>9646.91</v>
      </c>
      <c r="K1740" s="77">
        <v>60</v>
      </c>
      <c r="L1740" t="s">
        <v>339</v>
      </c>
      <c r="M1740" s="126">
        <v>1929.3820000000001</v>
      </c>
      <c r="N1740" s="124">
        <v>9646.91</v>
      </c>
      <c r="O1740" t="s">
        <v>340</v>
      </c>
      <c r="P1740" t="s">
        <v>294</v>
      </c>
    </row>
    <row r="1741" spans="1:16" ht="15" customHeight="1" x14ac:dyDescent="0.25">
      <c r="A1741" s="123">
        <v>45949</v>
      </c>
      <c r="B1741" t="s">
        <v>373</v>
      </c>
      <c r="C1741" t="s">
        <v>374</v>
      </c>
      <c r="D1741" t="s">
        <v>225</v>
      </c>
      <c r="E1741" t="s">
        <v>356</v>
      </c>
      <c r="F1741" t="s">
        <v>181</v>
      </c>
      <c r="G1741" t="s">
        <v>2151</v>
      </c>
      <c r="H1741" s="77">
        <v>73</v>
      </c>
      <c r="I1741" s="124">
        <v>563.66999999999996</v>
      </c>
      <c r="J1741" s="124">
        <v>41147.74</v>
      </c>
      <c r="K1741" s="77">
        <v>30</v>
      </c>
      <c r="L1741" t="s">
        <v>351</v>
      </c>
      <c r="M1741" s="126">
        <v>8229.5480000000007</v>
      </c>
      <c r="N1741" s="124">
        <v>41147.74</v>
      </c>
      <c r="O1741" t="s">
        <v>340</v>
      </c>
      <c r="P1741" t="s">
        <v>294</v>
      </c>
    </row>
    <row r="1742" spans="1:16" ht="15" customHeight="1" x14ac:dyDescent="0.25">
      <c r="A1742" s="123">
        <v>45819</v>
      </c>
      <c r="B1742" t="s">
        <v>409</v>
      </c>
      <c r="C1742" t="s">
        <v>410</v>
      </c>
      <c r="D1742" t="s">
        <v>223</v>
      </c>
      <c r="E1742" t="s">
        <v>349</v>
      </c>
      <c r="F1742" t="s">
        <v>177</v>
      </c>
      <c r="G1742" t="s">
        <v>2152</v>
      </c>
      <c r="H1742" s="77">
        <v>12</v>
      </c>
      <c r="I1742" s="124">
        <v>113.3</v>
      </c>
      <c r="J1742" s="124">
        <v>1359.61</v>
      </c>
      <c r="K1742" s="77">
        <v>45</v>
      </c>
      <c r="L1742" t="s">
        <v>339</v>
      </c>
      <c r="M1742" s="126">
        <v>271.92200000000003</v>
      </c>
      <c r="N1742" s="124">
        <v>1359.61</v>
      </c>
      <c r="O1742" t="s">
        <v>340</v>
      </c>
      <c r="P1742" t="s">
        <v>294</v>
      </c>
    </row>
    <row r="1743" spans="1:16" ht="15" customHeight="1" x14ac:dyDescent="0.25">
      <c r="A1743" s="123">
        <v>45914</v>
      </c>
      <c r="B1743" t="s">
        <v>431</v>
      </c>
      <c r="C1743" t="s">
        <v>432</v>
      </c>
      <c r="D1743" t="s">
        <v>221</v>
      </c>
      <c r="E1743" t="s">
        <v>437</v>
      </c>
      <c r="F1743" t="s">
        <v>181</v>
      </c>
      <c r="G1743" t="s">
        <v>2153</v>
      </c>
      <c r="H1743" s="77">
        <v>25</v>
      </c>
      <c r="I1743" s="124">
        <v>200.49</v>
      </c>
      <c r="J1743" s="124">
        <v>5012.3100000000004</v>
      </c>
      <c r="K1743" s="77">
        <v>45</v>
      </c>
      <c r="L1743" t="s">
        <v>345</v>
      </c>
      <c r="M1743" s="126">
        <v>1002.462</v>
      </c>
      <c r="N1743" s="124">
        <v>5012.3100000000004</v>
      </c>
      <c r="O1743" t="s">
        <v>346</v>
      </c>
      <c r="P1743" t="s">
        <v>294</v>
      </c>
    </row>
    <row r="1744" spans="1:16" ht="15" customHeight="1" x14ac:dyDescent="0.25">
      <c r="A1744" s="123">
        <v>46017</v>
      </c>
      <c r="B1744" t="s">
        <v>390</v>
      </c>
      <c r="C1744" t="s">
        <v>391</v>
      </c>
      <c r="D1744" t="s">
        <v>221</v>
      </c>
      <c r="E1744" t="s">
        <v>376</v>
      </c>
      <c r="F1744" t="s">
        <v>182</v>
      </c>
      <c r="G1744" t="s">
        <v>2154</v>
      </c>
      <c r="H1744" s="77">
        <v>13</v>
      </c>
      <c r="I1744" s="124">
        <v>98.73</v>
      </c>
      <c r="J1744" s="124">
        <v>1283.51</v>
      </c>
      <c r="K1744" s="77">
        <v>45</v>
      </c>
      <c r="L1744" t="s">
        <v>345</v>
      </c>
      <c r="M1744" s="126">
        <v>256.702</v>
      </c>
      <c r="N1744" s="124">
        <v>1283.51</v>
      </c>
      <c r="O1744" t="s">
        <v>340</v>
      </c>
      <c r="P1744" t="s">
        <v>294</v>
      </c>
    </row>
    <row r="1745" spans="1:16" ht="15" customHeight="1" x14ac:dyDescent="0.25">
      <c r="A1745" s="123">
        <v>45734</v>
      </c>
      <c r="B1745" t="s">
        <v>488</v>
      </c>
      <c r="C1745" t="s">
        <v>489</v>
      </c>
      <c r="D1745" t="s">
        <v>225</v>
      </c>
      <c r="E1745" t="s">
        <v>343</v>
      </c>
      <c r="F1745" t="s">
        <v>178</v>
      </c>
      <c r="G1745" t="s">
        <v>2155</v>
      </c>
      <c r="H1745" s="77">
        <v>4</v>
      </c>
      <c r="I1745" s="124">
        <v>123.15</v>
      </c>
      <c r="J1745" s="124">
        <v>492.61</v>
      </c>
      <c r="K1745" s="77">
        <v>60</v>
      </c>
      <c r="L1745" t="s">
        <v>345</v>
      </c>
      <c r="M1745" s="126">
        <v>98.522000000000006</v>
      </c>
      <c r="N1745" s="124">
        <v>492.61</v>
      </c>
      <c r="O1745" t="s">
        <v>346</v>
      </c>
      <c r="P1745" t="s">
        <v>294</v>
      </c>
    </row>
    <row r="1746" spans="1:16" ht="15" customHeight="1" x14ac:dyDescent="0.25">
      <c r="A1746" s="123">
        <v>45740</v>
      </c>
      <c r="B1746" t="s">
        <v>341</v>
      </c>
      <c r="C1746" t="s">
        <v>342</v>
      </c>
      <c r="D1746" t="s">
        <v>223</v>
      </c>
      <c r="E1746" t="s">
        <v>496</v>
      </c>
      <c r="F1746" t="s">
        <v>177</v>
      </c>
      <c r="G1746" t="s">
        <v>2156</v>
      </c>
      <c r="H1746" s="77">
        <v>20</v>
      </c>
      <c r="I1746" s="124">
        <v>72.06</v>
      </c>
      <c r="J1746" s="124">
        <v>1441.13</v>
      </c>
      <c r="K1746" s="77">
        <v>60</v>
      </c>
      <c r="L1746" t="s">
        <v>345</v>
      </c>
      <c r="M1746" s="126">
        <v>288.226</v>
      </c>
      <c r="N1746" s="124">
        <v>1441.13</v>
      </c>
      <c r="O1746" t="s">
        <v>346</v>
      </c>
      <c r="P1746" t="s">
        <v>294</v>
      </c>
    </row>
    <row r="1747" spans="1:16" ht="15" customHeight="1" x14ac:dyDescent="0.25">
      <c r="A1747" s="123">
        <v>45776</v>
      </c>
      <c r="B1747" t="s">
        <v>488</v>
      </c>
      <c r="C1747" t="s">
        <v>489</v>
      </c>
      <c r="D1747" t="s">
        <v>225</v>
      </c>
      <c r="E1747" t="s">
        <v>343</v>
      </c>
      <c r="F1747" t="s">
        <v>178</v>
      </c>
      <c r="G1747" t="s">
        <v>2157</v>
      </c>
      <c r="H1747" s="77">
        <v>28</v>
      </c>
      <c r="I1747" s="124">
        <v>74.11</v>
      </c>
      <c r="J1747" s="124">
        <v>2074.9499999999998</v>
      </c>
      <c r="K1747" s="77">
        <v>60</v>
      </c>
      <c r="L1747" t="s">
        <v>351</v>
      </c>
      <c r="M1747" s="126">
        <v>414.99</v>
      </c>
      <c r="N1747" s="124">
        <v>2074.9499999999998</v>
      </c>
      <c r="O1747" t="s">
        <v>346</v>
      </c>
      <c r="P1747" t="s">
        <v>294</v>
      </c>
    </row>
    <row r="1748" spans="1:16" ht="15" customHeight="1" x14ac:dyDescent="0.25">
      <c r="A1748" s="123">
        <v>45922</v>
      </c>
      <c r="B1748" t="s">
        <v>488</v>
      </c>
      <c r="C1748" t="s">
        <v>489</v>
      </c>
      <c r="D1748" t="s">
        <v>225</v>
      </c>
      <c r="E1748" t="s">
        <v>412</v>
      </c>
      <c r="F1748" t="s">
        <v>179</v>
      </c>
      <c r="G1748" t="s">
        <v>2158</v>
      </c>
      <c r="H1748" s="77">
        <v>78</v>
      </c>
      <c r="I1748" s="124">
        <v>307.76</v>
      </c>
      <c r="J1748" s="124">
        <v>24005.17</v>
      </c>
      <c r="K1748" s="77">
        <v>60</v>
      </c>
      <c r="L1748" t="s">
        <v>351</v>
      </c>
      <c r="M1748" s="126">
        <v>4801.0339999999997</v>
      </c>
      <c r="N1748" s="124">
        <v>24005.17</v>
      </c>
      <c r="O1748" t="s">
        <v>346</v>
      </c>
      <c r="P1748" t="s">
        <v>294</v>
      </c>
    </row>
    <row r="1749" spans="1:16" ht="15" customHeight="1" x14ac:dyDescent="0.25">
      <c r="A1749" s="123">
        <v>45831</v>
      </c>
      <c r="B1749" t="s">
        <v>383</v>
      </c>
      <c r="C1749" t="s">
        <v>384</v>
      </c>
      <c r="D1749" t="s">
        <v>225</v>
      </c>
      <c r="E1749" t="s">
        <v>396</v>
      </c>
      <c r="F1749" t="s">
        <v>184</v>
      </c>
      <c r="G1749" t="s">
        <v>2159</v>
      </c>
      <c r="H1749" s="77">
        <v>38</v>
      </c>
      <c r="I1749" s="124">
        <v>98.8</v>
      </c>
      <c r="J1749" s="124">
        <v>3754.37</v>
      </c>
      <c r="K1749" s="77">
        <v>45</v>
      </c>
      <c r="L1749" t="s">
        <v>351</v>
      </c>
      <c r="M1749" s="126">
        <v>750.87400000000002</v>
      </c>
      <c r="N1749" s="124">
        <v>3754.37</v>
      </c>
      <c r="O1749" t="s">
        <v>346</v>
      </c>
      <c r="P1749" t="s">
        <v>294</v>
      </c>
    </row>
    <row r="1750" spans="1:16" ht="15" customHeight="1" x14ac:dyDescent="0.25">
      <c r="A1750" s="123">
        <v>46007</v>
      </c>
      <c r="B1750" t="s">
        <v>401</v>
      </c>
      <c r="C1750" t="s">
        <v>402</v>
      </c>
      <c r="D1750" t="s">
        <v>221</v>
      </c>
      <c r="E1750" t="s">
        <v>440</v>
      </c>
      <c r="F1750" t="s">
        <v>177</v>
      </c>
      <c r="G1750" t="s">
        <v>2160</v>
      </c>
      <c r="H1750" s="77">
        <v>50</v>
      </c>
      <c r="I1750" s="124">
        <v>133.19</v>
      </c>
      <c r="J1750" s="124">
        <v>6659.4</v>
      </c>
      <c r="K1750" s="77">
        <v>30</v>
      </c>
      <c r="L1750" t="s">
        <v>339</v>
      </c>
      <c r="M1750" s="126">
        <v>1331.88</v>
      </c>
      <c r="N1750" s="124">
        <v>6659.4</v>
      </c>
      <c r="O1750" t="s">
        <v>346</v>
      </c>
      <c r="P1750" t="s">
        <v>294</v>
      </c>
    </row>
    <row r="1751" spans="1:16" ht="15" customHeight="1" x14ac:dyDescent="0.25">
      <c r="A1751" s="123">
        <v>45948</v>
      </c>
      <c r="B1751" t="s">
        <v>383</v>
      </c>
      <c r="C1751" t="s">
        <v>384</v>
      </c>
      <c r="D1751" t="s">
        <v>225</v>
      </c>
      <c r="E1751" t="s">
        <v>415</v>
      </c>
      <c r="F1751" t="s">
        <v>178</v>
      </c>
      <c r="G1751" t="s">
        <v>2161</v>
      </c>
      <c r="H1751" s="77">
        <v>64</v>
      </c>
      <c r="I1751" s="124">
        <v>112.73</v>
      </c>
      <c r="J1751" s="124">
        <v>7214.48</v>
      </c>
      <c r="K1751" s="77">
        <v>30</v>
      </c>
      <c r="L1751" t="s">
        <v>339</v>
      </c>
      <c r="M1751" s="126">
        <v>1442.896</v>
      </c>
      <c r="N1751" s="124">
        <v>7214.48</v>
      </c>
      <c r="O1751" t="s">
        <v>340</v>
      </c>
      <c r="P1751" t="s">
        <v>294</v>
      </c>
    </row>
    <row r="1752" spans="1:16" ht="15" customHeight="1" x14ac:dyDescent="0.25">
      <c r="A1752" s="123">
        <v>45702</v>
      </c>
      <c r="B1752" t="s">
        <v>366</v>
      </c>
      <c r="C1752" t="s">
        <v>367</v>
      </c>
      <c r="D1752" t="s">
        <v>221</v>
      </c>
      <c r="E1752" t="s">
        <v>403</v>
      </c>
      <c r="F1752" t="s">
        <v>181</v>
      </c>
      <c r="G1752" t="s">
        <v>2162</v>
      </c>
      <c r="H1752" s="77">
        <v>64</v>
      </c>
      <c r="I1752" s="124">
        <v>49.74</v>
      </c>
      <c r="J1752" s="124">
        <v>3183.49</v>
      </c>
      <c r="K1752" s="77">
        <v>30</v>
      </c>
      <c r="L1752" t="s">
        <v>345</v>
      </c>
      <c r="M1752" s="126">
        <v>636.69799999999998</v>
      </c>
      <c r="N1752" s="124">
        <v>3183.49</v>
      </c>
      <c r="O1752" t="s">
        <v>346</v>
      </c>
      <c r="P1752" t="s">
        <v>294</v>
      </c>
    </row>
    <row r="1753" spans="1:16" ht="15" customHeight="1" x14ac:dyDescent="0.25">
      <c r="A1753" s="123">
        <v>45740</v>
      </c>
      <c r="B1753" t="s">
        <v>488</v>
      </c>
      <c r="C1753" t="s">
        <v>489</v>
      </c>
      <c r="D1753" t="s">
        <v>225</v>
      </c>
      <c r="E1753" t="s">
        <v>381</v>
      </c>
      <c r="F1753" t="s">
        <v>179</v>
      </c>
      <c r="G1753" t="s">
        <v>2163</v>
      </c>
      <c r="H1753" s="77">
        <v>9</v>
      </c>
      <c r="I1753" s="124">
        <v>261.33</v>
      </c>
      <c r="J1753" s="124">
        <v>2351.98</v>
      </c>
      <c r="K1753" s="77">
        <v>45</v>
      </c>
      <c r="L1753" t="s">
        <v>351</v>
      </c>
      <c r="M1753" s="126">
        <v>470.39600000000002</v>
      </c>
      <c r="N1753" s="124">
        <v>2351.98</v>
      </c>
      <c r="O1753" t="s">
        <v>346</v>
      </c>
      <c r="P1753" t="s">
        <v>294</v>
      </c>
    </row>
    <row r="1754" spans="1:16" ht="15" customHeight="1" x14ac:dyDescent="0.25">
      <c r="A1754" s="123">
        <v>45694</v>
      </c>
      <c r="B1754" t="s">
        <v>362</v>
      </c>
      <c r="C1754" t="s">
        <v>363</v>
      </c>
      <c r="D1754" t="s">
        <v>221</v>
      </c>
      <c r="E1754" t="s">
        <v>376</v>
      </c>
      <c r="F1754" t="s">
        <v>182</v>
      </c>
      <c r="G1754" t="s">
        <v>2164</v>
      </c>
      <c r="H1754" s="77">
        <v>23</v>
      </c>
      <c r="I1754" s="124">
        <v>66.3</v>
      </c>
      <c r="J1754" s="124">
        <v>1524.82</v>
      </c>
      <c r="K1754" s="77">
        <v>60</v>
      </c>
      <c r="L1754" t="s">
        <v>345</v>
      </c>
      <c r="M1754" s="126">
        <v>304.964</v>
      </c>
      <c r="N1754" s="124">
        <v>1524.82</v>
      </c>
      <c r="O1754" t="s">
        <v>340</v>
      </c>
      <c r="P1754" t="s">
        <v>294</v>
      </c>
    </row>
    <row r="1755" spans="1:16" ht="15" customHeight="1" x14ac:dyDescent="0.25">
      <c r="A1755" s="123">
        <v>45884</v>
      </c>
      <c r="B1755" t="s">
        <v>386</v>
      </c>
      <c r="C1755" t="s">
        <v>387</v>
      </c>
      <c r="D1755" t="s">
        <v>223</v>
      </c>
      <c r="E1755" t="s">
        <v>427</v>
      </c>
      <c r="F1755" t="s">
        <v>184</v>
      </c>
      <c r="G1755" t="s">
        <v>2165</v>
      </c>
      <c r="H1755" s="77">
        <v>18</v>
      </c>
      <c r="I1755" s="124">
        <v>27.4</v>
      </c>
      <c r="J1755" s="124">
        <v>493.25</v>
      </c>
      <c r="K1755" s="77">
        <v>30</v>
      </c>
      <c r="L1755" t="s">
        <v>351</v>
      </c>
      <c r="M1755" s="126">
        <v>98.65</v>
      </c>
      <c r="N1755" s="124">
        <v>493.25</v>
      </c>
      <c r="O1755" t="s">
        <v>346</v>
      </c>
      <c r="P1755" t="s">
        <v>294</v>
      </c>
    </row>
    <row r="1756" spans="1:16" ht="15" customHeight="1" x14ac:dyDescent="0.25">
      <c r="A1756" s="123">
        <v>45804</v>
      </c>
      <c r="B1756" t="s">
        <v>358</v>
      </c>
      <c r="C1756" t="s">
        <v>359</v>
      </c>
      <c r="D1756" t="s">
        <v>225</v>
      </c>
      <c r="E1756" t="s">
        <v>496</v>
      </c>
      <c r="F1756" t="s">
        <v>177</v>
      </c>
      <c r="G1756" t="s">
        <v>2166</v>
      </c>
      <c r="H1756" s="77">
        <v>52</v>
      </c>
      <c r="I1756" s="124">
        <v>158.96</v>
      </c>
      <c r="J1756" s="124">
        <v>8265.92</v>
      </c>
      <c r="K1756" s="77">
        <v>45</v>
      </c>
      <c r="L1756" t="s">
        <v>351</v>
      </c>
      <c r="M1756" s="126">
        <v>1653.184</v>
      </c>
      <c r="N1756" s="124">
        <v>8265.92</v>
      </c>
      <c r="O1756" t="s">
        <v>346</v>
      </c>
      <c r="P1756" t="s">
        <v>294</v>
      </c>
    </row>
    <row r="1757" spans="1:16" ht="15" customHeight="1" x14ac:dyDescent="0.25">
      <c r="A1757" s="123">
        <v>45845</v>
      </c>
      <c r="B1757" t="s">
        <v>373</v>
      </c>
      <c r="C1757" t="s">
        <v>374</v>
      </c>
      <c r="D1757" t="s">
        <v>225</v>
      </c>
      <c r="E1757" t="s">
        <v>381</v>
      </c>
      <c r="F1757" t="s">
        <v>179</v>
      </c>
      <c r="G1757" t="s">
        <v>2167</v>
      </c>
      <c r="H1757" s="77">
        <v>66</v>
      </c>
      <c r="I1757" s="124">
        <v>383.17</v>
      </c>
      <c r="J1757" s="124">
        <v>25288.97</v>
      </c>
      <c r="K1757" s="77">
        <v>60</v>
      </c>
      <c r="L1757" t="s">
        <v>345</v>
      </c>
      <c r="M1757" s="126">
        <v>5057.7939999999999</v>
      </c>
      <c r="N1757" s="124">
        <v>25288.97</v>
      </c>
      <c r="O1757" t="s">
        <v>346</v>
      </c>
      <c r="P1757" t="s">
        <v>294</v>
      </c>
    </row>
    <row r="1758" spans="1:16" ht="15" customHeight="1" x14ac:dyDescent="0.25">
      <c r="A1758" s="123">
        <v>45869</v>
      </c>
      <c r="B1758" t="s">
        <v>335</v>
      </c>
      <c r="C1758" t="s">
        <v>336</v>
      </c>
      <c r="D1758" t="s">
        <v>223</v>
      </c>
      <c r="E1758" t="s">
        <v>343</v>
      </c>
      <c r="F1758" t="s">
        <v>178</v>
      </c>
      <c r="G1758" t="s">
        <v>2168</v>
      </c>
      <c r="H1758" s="77">
        <v>65</v>
      </c>
      <c r="I1758" s="124">
        <v>60.27</v>
      </c>
      <c r="J1758" s="124">
        <v>3917.38</v>
      </c>
      <c r="K1758" s="77">
        <v>45</v>
      </c>
      <c r="L1758" t="s">
        <v>345</v>
      </c>
      <c r="M1758" s="126">
        <v>783.476</v>
      </c>
      <c r="N1758" s="124">
        <v>3917.38</v>
      </c>
      <c r="O1758" t="s">
        <v>346</v>
      </c>
      <c r="P1758" t="s">
        <v>294</v>
      </c>
    </row>
    <row r="1759" spans="1:16" ht="15" customHeight="1" x14ac:dyDescent="0.25">
      <c r="A1759" s="123">
        <v>45987</v>
      </c>
      <c r="B1759" t="s">
        <v>378</v>
      </c>
      <c r="C1759" t="s">
        <v>379</v>
      </c>
      <c r="D1759" t="s">
        <v>227</v>
      </c>
      <c r="E1759" t="s">
        <v>440</v>
      </c>
      <c r="F1759" t="s">
        <v>177</v>
      </c>
      <c r="G1759" t="s">
        <v>2169</v>
      </c>
      <c r="H1759" s="77">
        <v>8</v>
      </c>
      <c r="I1759" s="124">
        <v>202.67</v>
      </c>
      <c r="J1759" s="124">
        <v>1621.35</v>
      </c>
      <c r="K1759" s="77">
        <v>60</v>
      </c>
      <c r="L1759" t="s">
        <v>339</v>
      </c>
      <c r="M1759" s="126">
        <v>324.27</v>
      </c>
      <c r="N1759" s="124">
        <v>1621.35</v>
      </c>
      <c r="O1759" t="s">
        <v>346</v>
      </c>
      <c r="P1759" t="s">
        <v>294</v>
      </c>
    </row>
    <row r="1760" spans="1:16" ht="15" customHeight="1" x14ac:dyDescent="0.25">
      <c r="A1760" s="123">
        <v>45711</v>
      </c>
      <c r="B1760" t="s">
        <v>358</v>
      </c>
      <c r="C1760" t="s">
        <v>359</v>
      </c>
      <c r="D1760" t="s">
        <v>225</v>
      </c>
      <c r="E1760" t="s">
        <v>349</v>
      </c>
      <c r="F1760" t="s">
        <v>177</v>
      </c>
      <c r="G1760" t="s">
        <v>2170</v>
      </c>
      <c r="H1760" s="77">
        <v>38</v>
      </c>
      <c r="I1760" s="124">
        <v>291.27</v>
      </c>
      <c r="J1760" s="124">
        <v>11068.19</v>
      </c>
      <c r="K1760" s="77">
        <v>45</v>
      </c>
      <c r="L1760" t="s">
        <v>339</v>
      </c>
      <c r="M1760" s="126">
        <v>2213.6379999999999</v>
      </c>
      <c r="N1760" s="124">
        <v>11068.19</v>
      </c>
      <c r="O1760" t="s">
        <v>340</v>
      </c>
      <c r="P1760" t="s">
        <v>294</v>
      </c>
    </row>
    <row r="1761" spans="1:16" ht="15" customHeight="1" x14ac:dyDescent="0.25">
      <c r="A1761" s="123">
        <v>45772</v>
      </c>
      <c r="B1761" t="s">
        <v>347</v>
      </c>
      <c r="C1761" t="s">
        <v>348</v>
      </c>
      <c r="D1761" t="s">
        <v>223</v>
      </c>
      <c r="E1761" t="s">
        <v>235</v>
      </c>
      <c r="F1761" t="s">
        <v>183</v>
      </c>
      <c r="G1761" t="s">
        <v>2171</v>
      </c>
      <c r="H1761" s="77">
        <v>50</v>
      </c>
      <c r="I1761" s="124">
        <v>618.30999999999995</v>
      </c>
      <c r="J1761" s="124">
        <v>30915.360000000001</v>
      </c>
      <c r="K1761" s="77">
        <v>45</v>
      </c>
      <c r="L1761" t="s">
        <v>351</v>
      </c>
      <c r="M1761" s="126">
        <v>6183.0720000000001</v>
      </c>
      <c r="N1761" s="124">
        <v>30915.360000000001</v>
      </c>
      <c r="O1761" t="s">
        <v>346</v>
      </c>
      <c r="P1761" t="s">
        <v>294</v>
      </c>
    </row>
    <row r="1762" spans="1:16" ht="15" customHeight="1" x14ac:dyDescent="0.25">
      <c r="A1762" s="123">
        <v>45897</v>
      </c>
      <c r="B1762" t="s">
        <v>406</v>
      </c>
      <c r="C1762" t="s">
        <v>407</v>
      </c>
      <c r="D1762" t="s">
        <v>225</v>
      </c>
      <c r="E1762" t="s">
        <v>420</v>
      </c>
      <c r="F1762" t="s">
        <v>182</v>
      </c>
      <c r="G1762" t="s">
        <v>2172</v>
      </c>
      <c r="H1762" s="77">
        <v>69</v>
      </c>
      <c r="I1762" s="124">
        <v>234.13</v>
      </c>
      <c r="J1762" s="124">
        <v>16154.66</v>
      </c>
      <c r="K1762" s="77">
        <v>45</v>
      </c>
      <c r="L1762" t="s">
        <v>339</v>
      </c>
      <c r="M1762" s="126">
        <v>3230.9319999999998</v>
      </c>
      <c r="N1762" s="124">
        <v>16154.66</v>
      </c>
      <c r="O1762" t="s">
        <v>346</v>
      </c>
      <c r="P1762" t="s">
        <v>294</v>
      </c>
    </row>
    <row r="1763" spans="1:16" ht="15" customHeight="1" x14ac:dyDescent="0.25">
      <c r="A1763" s="123">
        <v>45713</v>
      </c>
      <c r="B1763" t="s">
        <v>335</v>
      </c>
      <c r="C1763" t="s">
        <v>336</v>
      </c>
      <c r="D1763" t="s">
        <v>223</v>
      </c>
      <c r="E1763" t="s">
        <v>412</v>
      </c>
      <c r="F1763" t="s">
        <v>179</v>
      </c>
      <c r="G1763" t="s">
        <v>2173</v>
      </c>
      <c r="H1763" s="77">
        <v>51</v>
      </c>
      <c r="I1763" s="124">
        <v>270.73</v>
      </c>
      <c r="J1763" s="124">
        <v>13807.3</v>
      </c>
      <c r="K1763" s="77">
        <v>45</v>
      </c>
      <c r="L1763" t="s">
        <v>339</v>
      </c>
      <c r="M1763" s="126">
        <v>2761.46</v>
      </c>
      <c r="N1763" s="124">
        <v>13807.3</v>
      </c>
      <c r="O1763" t="s">
        <v>346</v>
      </c>
      <c r="P1763" t="s">
        <v>294</v>
      </c>
    </row>
    <row r="1764" spans="1:16" ht="15" customHeight="1" x14ac:dyDescent="0.25">
      <c r="A1764" s="123">
        <v>45820</v>
      </c>
      <c r="B1764" t="s">
        <v>401</v>
      </c>
      <c r="C1764" t="s">
        <v>402</v>
      </c>
      <c r="D1764" t="s">
        <v>221</v>
      </c>
      <c r="E1764" t="s">
        <v>376</v>
      </c>
      <c r="F1764" t="s">
        <v>182</v>
      </c>
      <c r="G1764" t="s">
        <v>2174</v>
      </c>
      <c r="H1764" s="77">
        <v>44</v>
      </c>
      <c r="I1764" s="124">
        <v>99.02</v>
      </c>
      <c r="J1764" s="124">
        <v>4357.07</v>
      </c>
      <c r="K1764" s="77">
        <v>60</v>
      </c>
      <c r="L1764" t="s">
        <v>345</v>
      </c>
      <c r="M1764" s="126">
        <v>871.41399999999999</v>
      </c>
      <c r="N1764" s="124">
        <v>4357.07</v>
      </c>
      <c r="O1764" t="s">
        <v>340</v>
      </c>
      <c r="P1764" t="s">
        <v>294</v>
      </c>
    </row>
    <row r="1765" spans="1:16" ht="15" customHeight="1" x14ac:dyDescent="0.25">
      <c r="A1765" s="123">
        <v>45800</v>
      </c>
      <c r="B1765" t="s">
        <v>370</v>
      </c>
      <c r="C1765" t="s">
        <v>371</v>
      </c>
      <c r="D1765" t="s">
        <v>227</v>
      </c>
      <c r="E1765" t="s">
        <v>396</v>
      </c>
      <c r="F1765" t="s">
        <v>184</v>
      </c>
      <c r="G1765" t="s">
        <v>2175</v>
      </c>
      <c r="H1765" s="77">
        <v>59</v>
      </c>
      <c r="I1765" s="124">
        <v>31.08</v>
      </c>
      <c r="J1765" s="124">
        <v>1833.43</v>
      </c>
      <c r="K1765" s="77">
        <v>30</v>
      </c>
      <c r="L1765" t="s">
        <v>351</v>
      </c>
      <c r="M1765" s="126">
        <v>366.68599999999998</v>
      </c>
      <c r="N1765" s="124">
        <v>1833.43</v>
      </c>
      <c r="O1765" t="s">
        <v>346</v>
      </c>
      <c r="P1765" t="s">
        <v>294</v>
      </c>
    </row>
    <row r="1766" spans="1:16" ht="15" customHeight="1" x14ac:dyDescent="0.25">
      <c r="A1766" s="123">
        <v>45985</v>
      </c>
      <c r="B1766" t="s">
        <v>401</v>
      </c>
      <c r="C1766" t="s">
        <v>402</v>
      </c>
      <c r="D1766" t="s">
        <v>221</v>
      </c>
      <c r="E1766" t="s">
        <v>396</v>
      </c>
      <c r="F1766" t="s">
        <v>184</v>
      </c>
      <c r="G1766" t="s">
        <v>2176</v>
      </c>
      <c r="H1766" s="77">
        <v>28</v>
      </c>
      <c r="I1766" s="124">
        <v>65.510000000000005</v>
      </c>
      <c r="J1766" s="124">
        <v>1834.19</v>
      </c>
      <c r="K1766" s="77">
        <v>45</v>
      </c>
      <c r="L1766" t="s">
        <v>351</v>
      </c>
      <c r="M1766" s="126">
        <v>366.83800000000002</v>
      </c>
      <c r="N1766" s="124">
        <v>1834.19</v>
      </c>
      <c r="O1766" t="s">
        <v>346</v>
      </c>
      <c r="P1766" t="s">
        <v>294</v>
      </c>
    </row>
    <row r="1767" spans="1:16" ht="15" customHeight="1" x14ac:dyDescent="0.25">
      <c r="A1767" s="123">
        <v>45843</v>
      </c>
      <c r="B1767" t="s">
        <v>366</v>
      </c>
      <c r="C1767" t="s">
        <v>367</v>
      </c>
      <c r="D1767" t="s">
        <v>221</v>
      </c>
      <c r="E1767" t="s">
        <v>235</v>
      </c>
      <c r="F1767" t="s">
        <v>183</v>
      </c>
      <c r="G1767" t="s">
        <v>2177</v>
      </c>
      <c r="H1767" s="77">
        <v>56</v>
      </c>
      <c r="I1767" s="124">
        <v>188.67</v>
      </c>
      <c r="J1767" s="124">
        <v>10565.49</v>
      </c>
      <c r="K1767" s="77">
        <v>45</v>
      </c>
      <c r="L1767" t="s">
        <v>339</v>
      </c>
      <c r="M1767" s="126">
        <v>2113.098</v>
      </c>
      <c r="N1767" s="124">
        <v>10565.49</v>
      </c>
      <c r="O1767" t="s">
        <v>346</v>
      </c>
      <c r="P1767" t="s">
        <v>294</v>
      </c>
    </row>
    <row r="1768" spans="1:16" ht="15" customHeight="1" x14ac:dyDescent="0.25">
      <c r="A1768" s="123">
        <v>46008</v>
      </c>
      <c r="B1768" t="s">
        <v>358</v>
      </c>
      <c r="C1768" t="s">
        <v>359</v>
      </c>
      <c r="D1768" t="s">
        <v>225</v>
      </c>
      <c r="E1768" t="s">
        <v>423</v>
      </c>
      <c r="F1768" t="s">
        <v>180</v>
      </c>
      <c r="G1768" t="s">
        <v>2178</v>
      </c>
      <c r="H1768" s="77">
        <v>55</v>
      </c>
      <c r="I1768" s="124">
        <v>825.08</v>
      </c>
      <c r="J1768" s="124">
        <v>45379.360000000001</v>
      </c>
      <c r="K1768" s="77">
        <v>45</v>
      </c>
      <c r="L1768" t="s">
        <v>345</v>
      </c>
      <c r="M1768" s="126">
        <v>9075.8719999999994</v>
      </c>
      <c r="N1768" s="124">
        <v>45379.360000000001</v>
      </c>
      <c r="O1768" t="s">
        <v>346</v>
      </c>
      <c r="P1768" t="s">
        <v>294</v>
      </c>
    </row>
    <row r="1769" spans="1:16" ht="15" customHeight="1" x14ac:dyDescent="0.25">
      <c r="A1769" s="123">
        <v>45730</v>
      </c>
      <c r="B1769" t="s">
        <v>335</v>
      </c>
      <c r="C1769" t="s">
        <v>336</v>
      </c>
      <c r="D1769" t="s">
        <v>223</v>
      </c>
      <c r="E1769" t="s">
        <v>442</v>
      </c>
      <c r="F1769" t="s">
        <v>179</v>
      </c>
      <c r="G1769" t="s">
        <v>2179</v>
      </c>
      <c r="H1769" s="77">
        <v>9</v>
      </c>
      <c r="I1769" s="124">
        <v>163.4</v>
      </c>
      <c r="J1769" s="124">
        <v>1470.63</v>
      </c>
      <c r="K1769" s="77">
        <v>45</v>
      </c>
      <c r="L1769" t="s">
        <v>345</v>
      </c>
      <c r="M1769" s="126">
        <v>294.12599999999998</v>
      </c>
      <c r="N1769" s="124">
        <v>1470.63</v>
      </c>
      <c r="O1769" t="s">
        <v>340</v>
      </c>
      <c r="P1769" t="s">
        <v>294</v>
      </c>
    </row>
    <row r="1770" spans="1:16" ht="15" customHeight="1" x14ac:dyDescent="0.25">
      <c r="A1770" s="123">
        <v>45889</v>
      </c>
      <c r="B1770" t="s">
        <v>347</v>
      </c>
      <c r="C1770" t="s">
        <v>348</v>
      </c>
      <c r="D1770" t="s">
        <v>223</v>
      </c>
      <c r="E1770" t="s">
        <v>403</v>
      </c>
      <c r="F1770" t="s">
        <v>181</v>
      </c>
      <c r="G1770" t="s">
        <v>2180</v>
      </c>
      <c r="H1770" s="77">
        <v>54</v>
      </c>
      <c r="I1770" s="124">
        <v>235.42</v>
      </c>
      <c r="J1770" s="124">
        <v>12712.92</v>
      </c>
      <c r="K1770" s="77">
        <v>60</v>
      </c>
      <c r="L1770" t="s">
        <v>339</v>
      </c>
      <c r="M1770" s="126">
        <v>2542.5839999999998</v>
      </c>
      <c r="N1770" s="124">
        <v>12712.92</v>
      </c>
      <c r="O1770" t="s">
        <v>346</v>
      </c>
      <c r="P1770" t="s">
        <v>294</v>
      </c>
    </row>
    <row r="1771" spans="1:16" ht="15" customHeight="1" x14ac:dyDescent="0.25">
      <c r="A1771" s="123">
        <v>45685</v>
      </c>
      <c r="B1771" t="s">
        <v>488</v>
      </c>
      <c r="C1771" t="s">
        <v>489</v>
      </c>
      <c r="D1771" t="s">
        <v>225</v>
      </c>
      <c r="E1771" t="s">
        <v>356</v>
      </c>
      <c r="F1771" t="s">
        <v>181</v>
      </c>
      <c r="G1771" t="s">
        <v>2181</v>
      </c>
      <c r="H1771" s="77">
        <v>12</v>
      </c>
      <c r="I1771" s="124">
        <v>297.95999999999998</v>
      </c>
      <c r="J1771" s="124">
        <v>3575.47</v>
      </c>
      <c r="K1771" s="77">
        <v>45</v>
      </c>
      <c r="L1771" t="s">
        <v>345</v>
      </c>
      <c r="M1771" s="126">
        <v>715.09400000000005</v>
      </c>
      <c r="N1771" s="124">
        <v>3575.47</v>
      </c>
      <c r="O1771" t="s">
        <v>340</v>
      </c>
      <c r="P1771" t="s">
        <v>294</v>
      </c>
    </row>
    <row r="1772" spans="1:16" ht="15" customHeight="1" x14ac:dyDescent="0.25">
      <c r="A1772" s="123">
        <v>45759</v>
      </c>
      <c r="B1772" t="s">
        <v>383</v>
      </c>
      <c r="C1772" t="s">
        <v>384</v>
      </c>
      <c r="D1772" t="s">
        <v>225</v>
      </c>
      <c r="E1772" t="s">
        <v>356</v>
      </c>
      <c r="F1772" t="s">
        <v>181</v>
      </c>
      <c r="G1772" t="s">
        <v>2182</v>
      </c>
      <c r="H1772" s="77">
        <v>45</v>
      </c>
      <c r="I1772" s="124">
        <v>225.34</v>
      </c>
      <c r="J1772" s="124">
        <v>10140.280000000001</v>
      </c>
      <c r="K1772" s="77">
        <v>45</v>
      </c>
      <c r="L1772" t="s">
        <v>345</v>
      </c>
      <c r="M1772" s="126">
        <v>2028.056</v>
      </c>
      <c r="N1772" s="124">
        <v>10140.280000000001</v>
      </c>
      <c r="O1772" t="s">
        <v>340</v>
      </c>
      <c r="P1772" t="s">
        <v>294</v>
      </c>
    </row>
    <row r="1773" spans="1:16" ht="15" customHeight="1" x14ac:dyDescent="0.25">
      <c r="A1773" s="123">
        <v>45881</v>
      </c>
      <c r="B1773" t="s">
        <v>409</v>
      </c>
      <c r="C1773" t="s">
        <v>410</v>
      </c>
      <c r="D1773" t="s">
        <v>223</v>
      </c>
      <c r="E1773" t="s">
        <v>412</v>
      </c>
      <c r="F1773" t="s">
        <v>179</v>
      </c>
      <c r="G1773" t="s">
        <v>2183</v>
      </c>
      <c r="H1773" s="77">
        <v>46</v>
      </c>
      <c r="I1773" s="124">
        <v>457.25</v>
      </c>
      <c r="J1773" s="124">
        <v>21033.599999999999</v>
      </c>
      <c r="K1773" s="77">
        <v>60</v>
      </c>
      <c r="L1773" t="s">
        <v>351</v>
      </c>
      <c r="M1773" s="126">
        <v>4206.72</v>
      </c>
      <c r="N1773" s="124">
        <v>21033.599999999999</v>
      </c>
      <c r="O1773" t="s">
        <v>346</v>
      </c>
      <c r="P1773" t="s">
        <v>294</v>
      </c>
    </row>
    <row r="1774" spans="1:16" ht="15" customHeight="1" x14ac:dyDescent="0.25">
      <c r="A1774" s="123">
        <v>45963</v>
      </c>
      <c r="B1774" t="s">
        <v>358</v>
      </c>
      <c r="C1774" t="s">
        <v>359</v>
      </c>
      <c r="D1774" t="s">
        <v>225</v>
      </c>
      <c r="E1774" t="s">
        <v>440</v>
      </c>
      <c r="F1774" t="s">
        <v>177</v>
      </c>
      <c r="G1774" t="s">
        <v>2184</v>
      </c>
      <c r="H1774" s="77">
        <v>26</v>
      </c>
      <c r="I1774" s="124">
        <v>85.2</v>
      </c>
      <c r="J1774" s="124">
        <v>2215.27</v>
      </c>
      <c r="K1774" s="77">
        <v>30</v>
      </c>
      <c r="L1774" t="s">
        <v>351</v>
      </c>
      <c r="M1774" s="126">
        <v>443.05399999999997</v>
      </c>
      <c r="N1774" s="124">
        <v>2215.27</v>
      </c>
      <c r="O1774" t="s">
        <v>346</v>
      </c>
      <c r="P1774" t="s">
        <v>294</v>
      </c>
    </row>
    <row r="1775" spans="1:16" ht="15" customHeight="1" x14ac:dyDescent="0.25">
      <c r="A1775" s="123">
        <v>45998</v>
      </c>
      <c r="B1775" t="s">
        <v>373</v>
      </c>
      <c r="C1775" t="s">
        <v>374</v>
      </c>
      <c r="D1775" t="s">
        <v>225</v>
      </c>
      <c r="E1775" t="s">
        <v>381</v>
      </c>
      <c r="F1775" t="s">
        <v>179</v>
      </c>
      <c r="G1775" t="s">
        <v>2185</v>
      </c>
      <c r="H1775" s="77">
        <v>41</v>
      </c>
      <c r="I1775" s="124">
        <v>200.33</v>
      </c>
      <c r="J1775" s="124">
        <v>8213.73</v>
      </c>
      <c r="K1775" s="77">
        <v>30</v>
      </c>
      <c r="L1775" t="s">
        <v>339</v>
      </c>
      <c r="M1775" s="126">
        <v>1642.7460000000001</v>
      </c>
      <c r="N1775" s="124">
        <v>8213.73</v>
      </c>
      <c r="O1775" t="s">
        <v>346</v>
      </c>
      <c r="P1775" t="s">
        <v>294</v>
      </c>
    </row>
    <row r="1776" spans="1:16" ht="15" customHeight="1" x14ac:dyDescent="0.25">
      <c r="A1776" s="123">
        <v>45820</v>
      </c>
      <c r="B1776" t="s">
        <v>341</v>
      </c>
      <c r="C1776" t="s">
        <v>342</v>
      </c>
      <c r="D1776" t="s">
        <v>223</v>
      </c>
      <c r="E1776" t="s">
        <v>381</v>
      </c>
      <c r="F1776" t="s">
        <v>179</v>
      </c>
      <c r="G1776" t="s">
        <v>2186</v>
      </c>
      <c r="H1776" s="77">
        <v>15</v>
      </c>
      <c r="I1776" s="124">
        <v>119.65</v>
      </c>
      <c r="J1776" s="124">
        <v>1794.8</v>
      </c>
      <c r="K1776" s="77">
        <v>60</v>
      </c>
      <c r="L1776" t="s">
        <v>345</v>
      </c>
      <c r="M1776" s="126">
        <v>358.96</v>
      </c>
      <c r="N1776" s="124">
        <v>1794.8</v>
      </c>
      <c r="O1776" t="s">
        <v>346</v>
      </c>
      <c r="P1776" t="s">
        <v>294</v>
      </c>
    </row>
    <row r="1777" spans="1:16" ht="15" customHeight="1" x14ac:dyDescent="0.25">
      <c r="A1777" s="123">
        <v>45722</v>
      </c>
      <c r="B1777" t="s">
        <v>370</v>
      </c>
      <c r="C1777" t="s">
        <v>371</v>
      </c>
      <c r="D1777" t="s">
        <v>227</v>
      </c>
      <c r="E1777" t="s">
        <v>496</v>
      </c>
      <c r="F1777" t="s">
        <v>177</v>
      </c>
      <c r="G1777" t="s">
        <v>2187</v>
      </c>
      <c r="H1777" s="77">
        <v>58</v>
      </c>
      <c r="I1777" s="124">
        <v>58.06</v>
      </c>
      <c r="J1777" s="124">
        <v>3367.49</v>
      </c>
      <c r="K1777" s="77">
        <v>60</v>
      </c>
      <c r="L1777" t="s">
        <v>351</v>
      </c>
      <c r="M1777" s="126">
        <v>673.49800000000005</v>
      </c>
      <c r="N1777" s="124">
        <v>3367.49</v>
      </c>
      <c r="O1777" t="s">
        <v>346</v>
      </c>
      <c r="P1777" t="s">
        <v>294</v>
      </c>
    </row>
    <row r="1778" spans="1:16" ht="15" customHeight="1" x14ac:dyDescent="0.25">
      <c r="A1778" s="123">
        <v>45754</v>
      </c>
      <c r="B1778" t="s">
        <v>362</v>
      </c>
      <c r="C1778" t="s">
        <v>363</v>
      </c>
      <c r="D1778" t="s">
        <v>221</v>
      </c>
      <c r="E1778" t="s">
        <v>349</v>
      </c>
      <c r="F1778" t="s">
        <v>177</v>
      </c>
      <c r="G1778" t="s">
        <v>2188</v>
      </c>
      <c r="H1778" s="77">
        <v>54</v>
      </c>
      <c r="I1778" s="124">
        <v>85.71</v>
      </c>
      <c r="J1778" s="124">
        <v>4628.57</v>
      </c>
      <c r="K1778" s="77">
        <v>60</v>
      </c>
      <c r="L1778" t="s">
        <v>351</v>
      </c>
      <c r="M1778" s="126">
        <v>925.71400000000006</v>
      </c>
      <c r="N1778" s="124">
        <v>4628.57</v>
      </c>
      <c r="O1778" t="s">
        <v>340</v>
      </c>
      <c r="P1778" t="s">
        <v>294</v>
      </c>
    </row>
    <row r="1779" spans="1:16" ht="15" customHeight="1" x14ac:dyDescent="0.25">
      <c r="A1779" s="123">
        <v>45836</v>
      </c>
      <c r="B1779" t="s">
        <v>370</v>
      </c>
      <c r="C1779" t="s">
        <v>371</v>
      </c>
      <c r="D1779" t="s">
        <v>227</v>
      </c>
      <c r="E1779" t="s">
        <v>235</v>
      </c>
      <c r="F1779" t="s">
        <v>183</v>
      </c>
      <c r="G1779" t="s">
        <v>2189</v>
      </c>
      <c r="H1779" s="77">
        <v>27</v>
      </c>
      <c r="I1779" s="124">
        <v>293.95</v>
      </c>
      <c r="J1779" s="124">
        <v>7936.67</v>
      </c>
      <c r="K1779" s="77">
        <v>30</v>
      </c>
      <c r="L1779" t="s">
        <v>351</v>
      </c>
      <c r="M1779" s="126">
        <v>1587.3340000000001</v>
      </c>
      <c r="N1779" s="124">
        <v>7936.67</v>
      </c>
      <c r="O1779" t="s">
        <v>346</v>
      </c>
      <c r="P1779" t="s">
        <v>294</v>
      </c>
    </row>
    <row r="1780" spans="1:16" ht="15" customHeight="1" x14ac:dyDescent="0.25">
      <c r="A1780" s="123">
        <v>45844</v>
      </c>
      <c r="B1780" t="s">
        <v>383</v>
      </c>
      <c r="C1780" t="s">
        <v>384</v>
      </c>
      <c r="D1780" t="s">
        <v>225</v>
      </c>
      <c r="E1780" t="s">
        <v>496</v>
      </c>
      <c r="F1780" t="s">
        <v>177</v>
      </c>
      <c r="G1780" t="s">
        <v>2190</v>
      </c>
      <c r="H1780" s="77">
        <v>3</v>
      </c>
      <c r="I1780" s="124">
        <v>94.76</v>
      </c>
      <c r="J1780" s="124">
        <v>284.29000000000002</v>
      </c>
      <c r="K1780" s="77">
        <v>45</v>
      </c>
      <c r="L1780" t="s">
        <v>345</v>
      </c>
      <c r="M1780" s="126">
        <v>56.857999999999997</v>
      </c>
      <c r="N1780" s="124">
        <v>284.29000000000002</v>
      </c>
      <c r="O1780" t="s">
        <v>346</v>
      </c>
      <c r="P1780" t="s">
        <v>294</v>
      </c>
    </row>
    <row r="1781" spans="1:16" ht="15" customHeight="1" x14ac:dyDescent="0.25">
      <c r="A1781" s="123">
        <v>45913</v>
      </c>
      <c r="B1781" t="s">
        <v>398</v>
      </c>
      <c r="C1781" t="s">
        <v>399</v>
      </c>
      <c r="D1781" t="s">
        <v>227</v>
      </c>
      <c r="E1781" t="s">
        <v>343</v>
      </c>
      <c r="F1781" t="s">
        <v>178</v>
      </c>
      <c r="G1781" t="s">
        <v>2191</v>
      </c>
      <c r="H1781" s="77">
        <v>59</v>
      </c>
      <c r="I1781" s="124">
        <v>44.41</v>
      </c>
      <c r="J1781" s="124">
        <v>2620.4299999999998</v>
      </c>
      <c r="K1781" s="77">
        <v>45</v>
      </c>
      <c r="L1781" t="s">
        <v>345</v>
      </c>
      <c r="M1781" s="126">
        <v>524.08600000000001</v>
      </c>
      <c r="N1781" s="124">
        <v>2620.4299999999998</v>
      </c>
      <c r="O1781" t="s">
        <v>346</v>
      </c>
      <c r="P1781" t="s">
        <v>294</v>
      </c>
    </row>
    <row r="1782" spans="1:16" ht="15" customHeight="1" x14ac:dyDescent="0.25">
      <c r="A1782" s="123">
        <v>45876</v>
      </c>
      <c r="B1782" t="s">
        <v>401</v>
      </c>
      <c r="C1782" t="s">
        <v>402</v>
      </c>
      <c r="D1782" t="s">
        <v>221</v>
      </c>
      <c r="E1782" t="s">
        <v>364</v>
      </c>
      <c r="F1782" t="s">
        <v>182</v>
      </c>
      <c r="G1782" t="s">
        <v>2192</v>
      </c>
      <c r="H1782" s="77">
        <v>67</v>
      </c>
      <c r="I1782" s="124">
        <v>43.83</v>
      </c>
      <c r="J1782" s="124">
        <v>2936.86</v>
      </c>
      <c r="K1782" s="77">
        <v>45</v>
      </c>
      <c r="L1782" t="s">
        <v>339</v>
      </c>
      <c r="M1782" s="126">
        <v>587.37199999999996</v>
      </c>
      <c r="N1782" s="124">
        <v>2936.86</v>
      </c>
      <c r="O1782" t="s">
        <v>346</v>
      </c>
      <c r="P1782" t="s">
        <v>294</v>
      </c>
    </row>
    <row r="1783" spans="1:16" ht="15" customHeight="1" x14ac:dyDescent="0.25">
      <c r="A1783" s="123">
        <v>45849</v>
      </c>
      <c r="B1783" t="s">
        <v>398</v>
      </c>
      <c r="C1783" t="s">
        <v>399</v>
      </c>
      <c r="D1783" t="s">
        <v>227</v>
      </c>
      <c r="E1783" t="s">
        <v>2193</v>
      </c>
      <c r="F1783" t="s">
        <v>184</v>
      </c>
      <c r="G1783" t="s">
        <v>2194</v>
      </c>
      <c r="H1783" s="77">
        <v>23</v>
      </c>
      <c r="I1783" s="124">
        <v>71.650000000000006</v>
      </c>
      <c r="J1783" s="124">
        <v>1647.93</v>
      </c>
      <c r="K1783" s="77">
        <v>60</v>
      </c>
      <c r="L1783" t="s">
        <v>351</v>
      </c>
      <c r="M1783" s="126">
        <v>329.58600000000001</v>
      </c>
      <c r="N1783" s="124">
        <v>1647.93</v>
      </c>
      <c r="O1783" t="s">
        <v>346</v>
      </c>
      <c r="P1783" t="s">
        <v>294</v>
      </c>
    </row>
    <row r="1784" spans="1:16" ht="15" customHeight="1" x14ac:dyDescent="0.25">
      <c r="A1784" s="123">
        <v>45803</v>
      </c>
      <c r="B1784" t="s">
        <v>347</v>
      </c>
      <c r="C1784" t="s">
        <v>348</v>
      </c>
      <c r="D1784" t="s">
        <v>223</v>
      </c>
      <c r="E1784" t="s">
        <v>234</v>
      </c>
      <c r="F1784" t="s">
        <v>183</v>
      </c>
      <c r="G1784" t="s">
        <v>2195</v>
      </c>
      <c r="H1784" s="77">
        <v>56</v>
      </c>
      <c r="I1784" s="124">
        <v>131.13</v>
      </c>
      <c r="J1784" s="124">
        <v>7343.26</v>
      </c>
      <c r="K1784" s="77">
        <v>60</v>
      </c>
      <c r="L1784" t="s">
        <v>345</v>
      </c>
      <c r="M1784" s="126">
        <v>1468.652</v>
      </c>
      <c r="N1784" s="124">
        <v>7343.26</v>
      </c>
      <c r="O1784" t="s">
        <v>346</v>
      </c>
      <c r="P1784" t="s">
        <v>294</v>
      </c>
    </row>
    <row r="1785" spans="1:16" ht="15" customHeight="1" x14ac:dyDescent="0.25">
      <c r="A1785" s="123">
        <v>45711</v>
      </c>
      <c r="B1785" t="s">
        <v>373</v>
      </c>
      <c r="C1785" t="s">
        <v>374</v>
      </c>
      <c r="D1785" t="s">
        <v>225</v>
      </c>
      <c r="E1785" t="s">
        <v>415</v>
      </c>
      <c r="F1785" t="s">
        <v>178</v>
      </c>
      <c r="G1785" t="s">
        <v>2196</v>
      </c>
      <c r="H1785" s="77">
        <v>12</v>
      </c>
      <c r="I1785" s="124">
        <v>98.73</v>
      </c>
      <c r="J1785" s="124">
        <v>1184.79</v>
      </c>
      <c r="K1785" s="77">
        <v>60</v>
      </c>
      <c r="L1785" t="s">
        <v>339</v>
      </c>
      <c r="M1785" s="126">
        <v>236.958</v>
      </c>
      <c r="N1785" s="124">
        <v>1184.79</v>
      </c>
      <c r="O1785" t="s">
        <v>340</v>
      </c>
      <c r="P1785" t="s">
        <v>294</v>
      </c>
    </row>
    <row r="1786" spans="1:16" ht="15" customHeight="1" x14ac:dyDescent="0.25">
      <c r="A1786" s="123">
        <v>45912</v>
      </c>
      <c r="B1786" t="s">
        <v>393</v>
      </c>
      <c r="C1786" t="s">
        <v>394</v>
      </c>
      <c r="D1786" t="s">
        <v>227</v>
      </c>
      <c r="E1786" t="s">
        <v>235</v>
      </c>
      <c r="F1786" t="s">
        <v>183</v>
      </c>
      <c r="G1786" t="s">
        <v>2197</v>
      </c>
      <c r="H1786" s="77">
        <v>80</v>
      </c>
      <c r="I1786" s="124">
        <v>313.92</v>
      </c>
      <c r="J1786" s="124">
        <v>25113.25</v>
      </c>
      <c r="K1786" s="77">
        <v>60</v>
      </c>
      <c r="L1786" t="s">
        <v>339</v>
      </c>
      <c r="M1786" s="126">
        <v>5022.6499999999996</v>
      </c>
      <c r="N1786" s="124">
        <v>25113.25</v>
      </c>
      <c r="O1786" t="s">
        <v>346</v>
      </c>
      <c r="P1786" t="s">
        <v>294</v>
      </c>
    </row>
    <row r="1787" spans="1:16" ht="15" customHeight="1" x14ac:dyDescent="0.25">
      <c r="A1787" s="123">
        <v>45955</v>
      </c>
      <c r="B1787" t="s">
        <v>370</v>
      </c>
      <c r="C1787" t="s">
        <v>371</v>
      </c>
      <c r="D1787" t="s">
        <v>227</v>
      </c>
      <c r="E1787" t="s">
        <v>417</v>
      </c>
      <c r="F1787" t="s">
        <v>184</v>
      </c>
      <c r="G1787" t="s">
        <v>2198</v>
      </c>
      <c r="H1787" s="77">
        <v>5</v>
      </c>
      <c r="I1787" s="124">
        <v>33.64</v>
      </c>
      <c r="J1787" s="124">
        <v>168.22</v>
      </c>
      <c r="K1787" s="77">
        <v>60</v>
      </c>
      <c r="L1787" t="s">
        <v>345</v>
      </c>
      <c r="M1787" s="126">
        <v>33.643999999999998</v>
      </c>
      <c r="N1787" s="124">
        <v>168.22</v>
      </c>
      <c r="O1787" t="s">
        <v>346</v>
      </c>
      <c r="P1787" t="s">
        <v>294</v>
      </c>
    </row>
    <row r="1788" spans="1:16" ht="15" customHeight="1" x14ac:dyDescent="0.25">
      <c r="A1788" s="123">
        <v>45890</v>
      </c>
      <c r="B1788" t="s">
        <v>488</v>
      </c>
      <c r="C1788" t="s">
        <v>489</v>
      </c>
      <c r="D1788" t="s">
        <v>225</v>
      </c>
      <c r="E1788" t="s">
        <v>423</v>
      </c>
      <c r="F1788" t="s">
        <v>180</v>
      </c>
      <c r="G1788" t="s">
        <v>2199</v>
      </c>
      <c r="H1788" s="77">
        <v>71</v>
      </c>
      <c r="I1788" s="124">
        <v>210.9</v>
      </c>
      <c r="J1788" s="124">
        <v>14974.08</v>
      </c>
      <c r="K1788" s="77">
        <v>45</v>
      </c>
      <c r="L1788" t="s">
        <v>339</v>
      </c>
      <c r="M1788" s="126">
        <v>2994.8159999999998</v>
      </c>
      <c r="N1788" s="124">
        <v>14974.08</v>
      </c>
      <c r="O1788" t="s">
        <v>346</v>
      </c>
      <c r="P1788" t="s">
        <v>294</v>
      </c>
    </row>
    <row r="1789" spans="1:16" ht="15" customHeight="1" x14ac:dyDescent="0.25">
      <c r="A1789" s="123">
        <v>45837</v>
      </c>
      <c r="B1789" t="s">
        <v>378</v>
      </c>
      <c r="C1789" t="s">
        <v>379</v>
      </c>
      <c r="D1789" t="s">
        <v>227</v>
      </c>
      <c r="E1789" t="s">
        <v>396</v>
      </c>
      <c r="F1789" t="s">
        <v>184</v>
      </c>
      <c r="G1789" t="s">
        <v>2200</v>
      </c>
      <c r="H1789" s="77">
        <v>60</v>
      </c>
      <c r="I1789" s="124">
        <v>49.59</v>
      </c>
      <c r="J1789" s="124">
        <v>2975.44</v>
      </c>
      <c r="K1789" s="77">
        <v>45</v>
      </c>
      <c r="L1789" t="s">
        <v>351</v>
      </c>
      <c r="M1789" s="126">
        <v>595.08799999999997</v>
      </c>
      <c r="N1789" s="124">
        <v>2975.44</v>
      </c>
      <c r="O1789" t="s">
        <v>346</v>
      </c>
      <c r="P1789" t="s">
        <v>294</v>
      </c>
    </row>
    <row r="1790" spans="1:16" ht="15" customHeight="1" x14ac:dyDescent="0.25">
      <c r="A1790" s="123">
        <v>45849</v>
      </c>
      <c r="B1790" t="s">
        <v>366</v>
      </c>
      <c r="C1790" t="s">
        <v>367</v>
      </c>
      <c r="D1790" t="s">
        <v>221</v>
      </c>
      <c r="E1790" t="s">
        <v>235</v>
      </c>
      <c r="F1790" t="s">
        <v>183</v>
      </c>
      <c r="G1790" t="s">
        <v>2201</v>
      </c>
      <c r="H1790" s="77">
        <v>29</v>
      </c>
      <c r="I1790" s="124">
        <v>357.57</v>
      </c>
      <c r="J1790" s="124">
        <v>10369.5</v>
      </c>
      <c r="K1790" s="77">
        <v>60</v>
      </c>
      <c r="L1790" t="s">
        <v>345</v>
      </c>
      <c r="M1790" s="126">
        <v>2073.9</v>
      </c>
      <c r="N1790" s="124">
        <v>10369.5</v>
      </c>
      <c r="O1790" t="s">
        <v>346</v>
      </c>
      <c r="P1790" t="s">
        <v>294</v>
      </c>
    </row>
    <row r="1791" spans="1:16" ht="15" customHeight="1" x14ac:dyDescent="0.25">
      <c r="A1791" s="123">
        <v>45870</v>
      </c>
      <c r="B1791" t="s">
        <v>488</v>
      </c>
      <c r="C1791" t="s">
        <v>489</v>
      </c>
      <c r="D1791" t="s">
        <v>225</v>
      </c>
      <c r="E1791" t="s">
        <v>437</v>
      </c>
      <c r="F1791" t="s">
        <v>181</v>
      </c>
      <c r="G1791" t="s">
        <v>2202</v>
      </c>
      <c r="H1791" s="77">
        <v>31</v>
      </c>
      <c r="I1791" s="124">
        <v>459.84</v>
      </c>
      <c r="J1791" s="124">
        <v>14254.99</v>
      </c>
      <c r="K1791" s="77">
        <v>30</v>
      </c>
      <c r="L1791" t="s">
        <v>345</v>
      </c>
      <c r="M1791" s="126">
        <v>2850.998</v>
      </c>
      <c r="N1791" s="124">
        <v>14254.99</v>
      </c>
      <c r="O1791" t="s">
        <v>346</v>
      </c>
      <c r="P1791" t="s">
        <v>294</v>
      </c>
    </row>
    <row r="1792" spans="1:16" ht="15" customHeight="1" x14ac:dyDescent="0.25">
      <c r="A1792" s="123">
        <v>45736</v>
      </c>
      <c r="B1792" t="s">
        <v>398</v>
      </c>
      <c r="C1792" t="s">
        <v>399</v>
      </c>
      <c r="D1792" t="s">
        <v>227</v>
      </c>
      <c r="E1792" t="s">
        <v>349</v>
      </c>
      <c r="F1792" t="s">
        <v>177</v>
      </c>
      <c r="G1792" t="s">
        <v>2203</v>
      </c>
      <c r="H1792" s="77">
        <v>48</v>
      </c>
      <c r="I1792" s="124">
        <v>42.78</v>
      </c>
      <c r="J1792" s="124">
        <v>2053.6</v>
      </c>
      <c r="K1792" s="77">
        <v>60</v>
      </c>
      <c r="L1792" t="s">
        <v>351</v>
      </c>
      <c r="M1792" s="126">
        <v>410.72</v>
      </c>
      <c r="N1792" s="124">
        <v>2053.6</v>
      </c>
      <c r="O1792" t="s">
        <v>340</v>
      </c>
      <c r="P1792" t="s">
        <v>294</v>
      </c>
    </row>
    <row r="1793" spans="1:16" ht="15" customHeight="1" x14ac:dyDescent="0.25">
      <c r="A1793" s="123">
        <v>45745</v>
      </c>
      <c r="B1793" t="s">
        <v>401</v>
      </c>
      <c r="C1793" t="s">
        <v>402</v>
      </c>
      <c r="D1793" t="s">
        <v>221</v>
      </c>
      <c r="E1793" t="s">
        <v>420</v>
      </c>
      <c r="F1793" t="s">
        <v>182</v>
      </c>
      <c r="G1793" t="s">
        <v>2204</v>
      </c>
      <c r="H1793" s="77">
        <v>74</v>
      </c>
      <c r="I1793" s="124">
        <v>101.2</v>
      </c>
      <c r="J1793" s="124">
        <v>7489.12</v>
      </c>
      <c r="K1793" s="77">
        <v>45</v>
      </c>
      <c r="L1793" t="s">
        <v>339</v>
      </c>
      <c r="M1793" s="126">
        <v>1497.8240000000001</v>
      </c>
      <c r="N1793" s="124">
        <v>7489.12</v>
      </c>
      <c r="O1793" t="s">
        <v>346</v>
      </c>
      <c r="P1793" t="s">
        <v>294</v>
      </c>
    </row>
    <row r="1794" spans="1:16" ht="15" customHeight="1" x14ac:dyDescent="0.25">
      <c r="A1794" s="123">
        <v>45973</v>
      </c>
      <c r="B1794" t="s">
        <v>398</v>
      </c>
      <c r="C1794" t="s">
        <v>399</v>
      </c>
      <c r="D1794" t="s">
        <v>227</v>
      </c>
      <c r="E1794" t="s">
        <v>235</v>
      </c>
      <c r="F1794" t="s">
        <v>183</v>
      </c>
      <c r="G1794" t="s">
        <v>2205</v>
      </c>
      <c r="H1794" s="77">
        <v>51</v>
      </c>
      <c r="I1794" s="124">
        <v>274.70999999999998</v>
      </c>
      <c r="J1794" s="124">
        <v>14010.12</v>
      </c>
      <c r="K1794" s="77">
        <v>30</v>
      </c>
      <c r="L1794" t="s">
        <v>351</v>
      </c>
      <c r="M1794" s="126">
        <v>2802.0239999999999</v>
      </c>
      <c r="N1794" s="124">
        <v>14010.12</v>
      </c>
      <c r="O1794" t="s">
        <v>346</v>
      </c>
      <c r="P1794" t="s">
        <v>294</v>
      </c>
    </row>
    <row r="1795" spans="1:16" ht="15" customHeight="1" x14ac:dyDescent="0.25">
      <c r="A1795" s="123">
        <v>45857</v>
      </c>
      <c r="B1795" t="s">
        <v>366</v>
      </c>
      <c r="C1795" t="s">
        <v>367</v>
      </c>
      <c r="D1795" t="s">
        <v>221</v>
      </c>
      <c r="E1795" t="s">
        <v>412</v>
      </c>
      <c r="F1795" t="s">
        <v>179</v>
      </c>
      <c r="G1795" t="s">
        <v>2206</v>
      </c>
      <c r="H1795" s="77">
        <v>23</v>
      </c>
      <c r="I1795" s="124">
        <v>260.39</v>
      </c>
      <c r="J1795" s="124">
        <v>5989.05</v>
      </c>
      <c r="K1795" s="77">
        <v>45</v>
      </c>
      <c r="L1795" t="s">
        <v>345</v>
      </c>
      <c r="M1795" s="126">
        <v>1197.81</v>
      </c>
      <c r="N1795" s="124">
        <v>5989.05</v>
      </c>
      <c r="O1795" t="s">
        <v>346</v>
      </c>
      <c r="P1795" t="s">
        <v>294</v>
      </c>
    </row>
    <row r="1796" spans="1:16" ht="15" customHeight="1" x14ac:dyDescent="0.25">
      <c r="A1796" s="123">
        <v>45776</v>
      </c>
      <c r="B1796" t="s">
        <v>406</v>
      </c>
      <c r="C1796" t="s">
        <v>407</v>
      </c>
      <c r="D1796" t="s">
        <v>225</v>
      </c>
      <c r="E1796" t="s">
        <v>381</v>
      </c>
      <c r="F1796" t="s">
        <v>179</v>
      </c>
      <c r="G1796" t="s">
        <v>2207</v>
      </c>
      <c r="H1796" s="77">
        <v>13</v>
      </c>
      <c r="I1796" s="124">
        <v>202.39</v>
      </c>
      <c r="J1796" s="124">
        <v>2631.12</v>
      </c>
      <c r="K1796" s="77">
        <v>60</v>
      </c>
      <c r="L1796" t="s">
        <v>339</v>
      </c>
      <c r="M1796" s="126">
        <v>526.22400000000005</v>
      </c>
      <c r="N1796" s="124">
        <v>2631.12</v>
      </c>
      <c r="O1796" t="s">
        <v>346</v>
      </c>
      <c r="P1796" t="s">
        <v>294</v>
      </c>
    </row>
    <row r="1797" spans="1:16" ht="15" customHeight="1" x14ac:dyDescent="0.25">
      <c r="A1797" s="123">
        <v>45953</v>
      </c>
      <c r="B1797" t="s">
        <v>386</v>
      </c>
      <c r="C1797" t="s">
        <v>387</v>
      </c>
      <c r="D1797" t="s">
        <v>223</v>
      </c>
      <c r="E1797" t="s">
        <v>343</v>
      </c>
      <c r="F1797" t="s">
        <v>178</v>
      </c>
      <c r="G1797" t="s">
        <v>2208</v>
      </c>
      <c r="H1797" s="77">
        <v>51</v>
      </c>
      <c r="I1797" s="124">
        <v>42.98</v>
      </c>
      <c r="J1797" s="124">
        <v>2192.13</v>
      </c>
      <c r="K1797" s="77">
        <v>60</v>
      </c>
      <c r="L1797" t="s">
        <v>345</v>
      </c>
      <c r="M1797" s="126">
        <v>438.42599999999999</v>
      </c>
      <c r="N1797" s="124">
        <v>2192.13</v>
      </c>
      <c r="O1797" t="s">
        <v>346</v>
      </c>
      <c r="P1797" t="s">
        <v>294</v>
      </c>
    </row>
    <row r="1798" spans="1:16" ht="15" customHeight="1" x14ac:dyDescent="0.25">
      <c r="A1798" s="123">
        <v>45762</v>
      </c>
      <c r="B1798" t="s">
        <v>347</v>
      </c>
      <c r="C1798" t="s">
        <v>348</v>
      </c>
      <c r="D1798" t="s">
        <v>223</v>
      </c>
      <c r="E1798" t="s">
        <v>381</v>
      </c>
      <c r="F1798" t="s">
        <v>179</v>
      </c>
      <c r="G1798" t="s">
        <v>2209</v>
      </c>
      <c r="H1798" s="77">
        <v>12</v>
      </c>
      <c r="I1798" s="124">
        <v>151.03</v>
      </c>
      <c r="J1798" s="124">
        <v>1812.36</v>
      </c>
      <c r="K1798" s="77">
        <v>30</v>
      </c>
      <c r="L1798" t="s">
        <v>339</v>
      </c>
      <c r="M1798" s="126">
        <v>362.47199999999998</v>
      </c>
      <c r="N1798" s="124">
        <v>1812.36</v>
      </c>
      <c r="O1798" t="s">
        <v>346</v>
      </c>
      <c r="P1798" t="s">
        <v>294</v>
      </c>
    </row>
    <row r="1799" spans="1:16" ht="15" customHeight="1" x14ac:dyDescent="0.25">
      <c r="A1799" s="123">
        <v>45961</v>
      </c>
      <c r="B1799" t="s">
        <v>431</v>
      </c>
      <c r="C1799" t="s">
        <v>432</v>
      </c>
      <c r="D1799" t="s">
        <v>221</v>
      </c>
      <c r="E1799" t="s">
        <v>440</v>
      </c>
      <c r="F1799" t="s">
        <v>177</v>
      </c>
      <c r="G1799" t="s">
        <v>2210</v>
      </c>
      <c r="H1799" s="77">
        <v>20</v>
      </c>
      <c r="I1799" s="124">
        <v>77.45</v>
      </c>
      <c r="J1799" s="124">
        <v>1549.07</v>
      </c>
      <c r="K1799" s="77">
        <v>30</v>
      </c>
      <c r="L1799" t="s">
        <v>351</v>
      </c>
      <c r="M1799" s="126">
        <v>309.81400000000002</v>
      </c>
      <c r="N1799" s="124">
        <v>1549.07</v>
      </c>
      <c r="O1799" t="s">
        <v>346</v>
      </c>
      <c r="P1799" t="s">
        <v>294</v>
      </c>
    </row>
    <row r="1800" spans="1:16" ht="15" customHeight="1" x14ac:dyDescent="0.25">
      <c r="A1800" s="123">
        <v>45853</v>
      </c>
      <c r="B1800" t="s">
        <v>406</v>
      </c>
      <c r="C1800" t="s">
        <v>407</v>
      </c>
      <c r="D1800" t="s">
        <v>225</v>
      </c>
      <c r="E1800" t="s">
        <v>343</v>
      </c>
      <c r="F1800" t="s">
        <v>178</v>
      </c>
      <c r="G1800" t="s">
        <v>2211</v>
      </c>
      <c r="H1800" s="77">
        <v>4</v>
      </c>
      <c r="I1800" s="124">
        <v>117.47</v>
      </c>
      <c r="J1800" s="124">
        <v>469.88</v>
      </c>
      <c r="K1800" s="77">
        <v>60</v>
      </c>
      <c r="L1800" t="s">
        <v>351</v>
      </c>
      <c r="M1800" s="126">
        <v>93.975999999999999</v>
      </c>
      <c r="N1800" s="124">
        <v>469.88</v>
      </c>
      <c r="O1800" t="s">
        <v>346</v>
      </c>
      <c r="P1800" t="s">
        <v>294</v>
      </c>
    </row>
    <row r="1801" spans="1:16" ht="15" customHeight="1" x14ac:dyDescent="0.25">
      <c r="A1801" s="123">
        <v>45981</v>
      </c>
      <c r="B1801" t="s">
        <v>393</v>
      </c>
      <c r="C1801" t="s">
        <v>394</v>
      </c>
      <c r="D1801" t="s">
        <v>227</v>
      </c>
      <c r="E1801" t="s">
        <v>417</v>
      </c>
      <c r="F1801" t="s">
        <v>184</v>
      </c>
      <c r="G1801" t="s">
        <v>2212</v>
      </c>
      <c r="H1801" s="77">
        <v>46</v>
      </c>
      <c r="I1801" s="124">
        <v>75.88</v>
      </c>
      <c r="J1801" s="124">
        <v>3490.68</v>
      </c>
      <c r="K1801" s="77">
        <v>30</v>
      </c>
      <c r="L1801" t="s">
        <v>339</v>
      </c>
      <c r="M1801" s="126">
        <v>698.13599999999997</v>
      </c>
      <c r="N1801" s="124">
        <v>3490.68</v>
      </c>
      <c r="O1801" t="s">
        <v>346</v>
      </c>
      <c r="P1801" t="s">
        <v>294</v>
      </c>
    </row>
  </sheetData>
  <pageMargins left="0.7" right="0.7" top="0.75" bottom="0.75" header="0.511811023622047" footer="0.511811023622047"/>
  <pageSetup paperSize="9" orientation="portrait" horizontalDpi="300" verticalDpi="30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1160"/>
  <sheetViews>
    <sheetView zoomScaleNormal="100" workbookViewId="0">
      <pane ySplit="1" topLeftCell="A2" activePane="bottomLeft" state="frozen"/>
      <selection pane="bottomLeft"/>
    </sheetView>
  </sheetViews>
  <sheetFormatPr defaultColWidth="8.7109375" defaultRowHeight="15" x14ac:dyDescent="0.25"/>
  <cols>
    <col min="1" max="4" width="10.7109375" customWidth="1"/>
    <col min="5" max="5" width="11.7109375" customWidth="1"/>
    <col min="6" max="6" width="13.7109375" customWidth="1"/>
    <col min="7" max="7" width="10.7109375" customWidth="1"/>
    <col min="8" max="8" width="12.7109375" customWidth="1"/>
    <col min="9" max="9" width="10.7109375" customWidth="1"/>
    <col min="10" max="10" width="17.7109375" customWidth="1"/>
    <col min="11" max="11" width="11.7109375" customWidth="1"/>
    <col min="12" max="12" width="16.7109375" customWidth="1"/>
  </cols>
  <sheetData>
    <row r="1" spans="1:12" ht="15" customHeight="1" x14ac:dyDescent="0.25">
      <c r="A1" t="s">
        <v>78</v>
      </c>
      <c r="B1" t="s">
        <v>191</v>
      </c>
      <c r="C1" t="s">
        <v>320</v>
      </c>
      <c r="D1" t="s">
        <v>75</v>
      </c>
      <c r="E1" t="s">
        <v>2213</v>
      </c>
      <c r="F1" t="s">
        <v>2214</v>
      </c>
      <c r="G1" t="s">
        <v>201</v>
      </c>
      <c r="H1" t="s">
        <v>2215</v>
      </c>
      <c r="I1" t="s">
        <v>2216</v>
      </c>
      <c r="J1" t="s">
        <v>2217</v>
      </c>
      <c r="K1" t="s">
        <v>2218</v>
      </c>
      <c r="L1" t="s">
        <v>2219</v>
      </c>
    </row>
    <row r="2" spans="1:12" ht="15" customHeight="1" x14ac:dyDescent="0.25">
      <c r="A2" s="78">
        <v>45658</v>
      </c>
      <c r="B2" t="s">
        <v>390</v>
      </c>
      <c r="C2" t="s">
        <v>391</v>
      </c>
      <c r="D2" t="s">
        <v>221</v>
      </c>
      <c r="E2" t="s">
        <v>2220</v>
      </c>
      <c r="F2" t="s">
        <v>224</v>
      </c>
      <c r="G2" s="77">
        <v>1525</v>
      </c>
      <c r="H2" s="126">
        <v>179.4</v>
      </c>
      <c r="I2" s="124">
        <v>265.51</v>
      </c>
      <c r="J2" s="124">
        <v>145.15</v>
      </c>
      <c r="K2" s="77">
        <v>450</v>
      </c>
      <c r="L2" s="124">
        <v>860.66</v>
      </c>
    </row>
    <row r="3" spans="1:12" ht="15" customHeight="1" x14ac:dyDescent="0.25">
      <c r="A3" s="78">
        <v>45658</v>
      </c>
      <c r="B3" t="s">
        <v>390</v>
      </c>
      <c r="C3" t="s">
        <v>391</v>
      </c>
      <c r="D3" t="s">
        <v>221</v>
      </c>
      <c r="E3" t="s">
        <v>2221</v>
      </c>
      <c r="F3" t="s">
        <v>222</v>
      </c>
      <c r="G3" s="77">
        <v>872</v>
      </c>
      <c r="H3" s="126">
        <v>83</v>
      </c>
      <c r="I3" s="124">
        <v>122.84</v>
      </c>
      <c r="J3" s="124">
        <v>28.9</v>
      </c>
      <c r="K3" s="77">
        <v>450</v>
      </c>
      <c r="L3" s="124">
        <v>601.74</v>
      </c>
    </row>
    <row r="4" spans="1:12" ht="15" customHeight="1" x14ac:dyDescent="0.25">
      <c r="A4" s="78">
        <v>45658</v>
      </c>
      <c r="B4" t="s">
        <v>390</v>
      </c>
      <c r="C4" t="s">
        <v>391</v>
      </c>
      <c r="D4" t="s">
        <v>221</v>
      </c>
      <c r="E4" t="s">
        <v>2222</v>
      </c>
      <c r="F4" t="s">
        <v>222</v>
      </c>
      <c r="G4" s="77">
        <v>599</v>
      </c>
      <c r="H4" s="126">
        <v>57</v>
      </c>
      <c r="I4" s="124">
        <v>84.36</v>
      </c>
      <c r="J4" s="124">
        <v>23.27</v>
      </c>
      <c r="K4" s="77">
        <v>380</v>
      </c>
      <c r="L4" s="124">
        <v>487.63</v>
      </c>
    </row>
    <row r="5" spans="1:12" ht="15" customHeight="1" x14ac:dyDescent="0.25">
      <c r="A5" s="78">
        <v>45658</v>
      </c>
      <c r="B5" t="s">
        <v>390</v>
      </c>
      <c r="C5" t="s">
        <v>391</v>
      </c>
      <c r="D5" t="s">
        <v>221</v>
      </c>
      <c r="E5" t="s">
        <v>2223</v>
      </c>
      <c r="F5" t="s">
        <v>222</v>
      </c>
      <c r="G5" s="77">
        <v>1116</v>
      </c>
      <c r="H5" s="126">
        <v>106.3</v>
      </c>
      <c r="I5" s="124">
        <v>157.32</v>
      </c>
      <c r="J5" s="124">
        <v>190.7</v>
      </c>
      <c r="K5" s="77">
        <v>320</v>
      </c>
      <c r="L5" s="124">
        <v>668.02</v>
      </c>
    </row>
    <row r="6" spans="1:12" ht="15" customHeight="1" x14ac:dyDescent="0.25">
      <c r="A6" s="78">
        <v>45658</v>
      </c>
      <c r="B6" t="s">
        <v>401</v>
      </c>
      <c r="C6" t="s">
        <v>402</v>
      </c>
      <c r="D6" t="s">
        <v>221</v>
      </c>
      <c r="E6" t="s">
        <v>2224</v>
      </c>
      <c r="F6" t="s">
        <v>226</v>
      </c>
      <c r="G6" s="77">
        <v>654</v>
      </c>
      <c r="H6" s="126">
        <v>62.3</v>
      </c>
      <c r="I6" s="124">
        <v>92.2</v>
      </c>
      <c r="J6" s="124">
        <v>221.6</v>
      </c>
      <c r="K6" s="77">
        <v>450</v>
      </c>
      <c r="L6" s="124">
        <v>763.8</v>
      </c>
    </row>
    <row r="7" spans="1:12" ht="15" customHeight="1" x14ac:dyDescent="0.25">
      <c r="A7" s="78">
        <v>45658</v>
      </c>
      <c r="B7" t="s">
        <v>401</v>
      </c>
      <c r="C7" t="s">
        <v>402</v>
      </c>
      <c r="D7" t="s">
        <v>221</v>
      </c>
      <c r="E7" t="s">
        <v>2225</v>
      </c>
      <c r="F7" t="s">
        <v>228</v>
      </c>
      <c r="G7" s="77">
        <v>929</v>
      </c>
      <c r="H7" s="126">
        <v>109.3</v>
      </c>
      <c r="I7" s="124">
        <v>161.76</v>
      </c>
      <c r="J7" s="124">
        <v>261.74</v>
      </c>
      <c r="K7" s="77">
        <v>380</v>
      </c>
      <c r="L7" s="124">
        <v>803.5</v>
      </c>
    </row>
    <row r="8" spans="1:12" ht="15" customHeight="1" x14ac:dyDescent="0.25">
      <c r="A8" s="78">
        <v>45658</v>
      </c>
      <c r="B8" t="s">
        <v>401</v>
      </c>
      <c r="C8" t="s">
        <v>402</v>
      </c>
      <c r="D8" t="s">
        <v>221</v>
      </c>
      <c r="E8" t="s">
        <v>2226</v>
      </c>
      <c r="F8" t="s">
        <v>222</v>
      </c>
      <c r="G8" s="77">
        <v>1453</v>
      </c>
      <c r="H8" s="126">
        <v>138.4</v>
      </c>
      <c r="I8" s="124">
        <v>204.83</v>
      </c>
      <c r="J8" s="124">
        <v>221.75</v>
      </c>
      <c r="K8" s="77">
        <v>320</v>
      </c>
      <c r="L8" s="124">
        <v>746.58</v>
      </c>
    </row>
    <row r="9" spans="1:12" ht="15" customHeight="1" x14ac:dyDescent="0.25">
      <c r="A9" s="78">
        <v>45658</v>
      </c>
      <c r="B9" t="s">
        <v>431</v>
      </c>
      <c r="C9" t="s">
        <v>432</v>
      </c>
      <c r="D9" t="s">
        <v>221</v>
      </c>
      <c r="E9" t="s">
        <v>2227</v>
      </c>
      <c r="F9" t="s">
        <v>224</v>
      </c>
      <c r="G9" s="77">
        <v>982</v>
      </c>
      <c r="H9" s="126">
        <v>115.5</v>
      </c>
      <c r="I9" s="124">
        <v>170.94</v>
      </c>
      <c r="J9" s="124">
        <v>78.7</v>
      </c>
      <c r="K9" s="77">
        <v>320</v>
      </c>
      <c r="L9" s="124">
        <v>569.64</v>
      </c>
    </row>
    <row r="10" spans="1:12" ht="15" customHeight="1" x14ac:dyDescent="0.25">
      <c r="A10" s="78">
        <v>45658</v>
      </c>
      <c r="B10" t="s">
        <v>431</v>
      </c>
      <c r="C10" t="s">
        <v>432</v>
      </c>
      <c r="D10" t="s">
        <v>221</v>
      </c>
      <c r="E10" t="s">
        <v>2228</v>
      </c>
      <c r="F10" t="s">
        <v>224</v>
      </c>
      <c r="G10" s="77">
        <v>512</v>
      </c>
      <c r="H10" s="126">
        <v>60.2</v>
      </c>
      <c r="I10" s="124">
        <v>89.1</v>
      </c>
      <c r="J10" s="124">
        <v>92.47</v>
      </c>
      <c r="K10" s="77">
        <v>320</v>
      </c>
      <c r="L10" s="124">
        <v>501.57</v>
      </c>
    </row>
    <row r="11" spans="1:12" ht="15" customHeight="1" x14ac:dyDescent="0.25">
      <c r="A11" s="78">
        <v>45658</v>
      </c>
      <c r="B11" t="s">
        <v>431</v>
      </c>
      <c r="C11" t="s">
        <v>432</v>
      </c>
      <c r="D11" t="s">
        <v>221</v>
      </c>
      <c r="E11" t="s">
        <v>2229</v>
      </c>
      <c r="F11" t="s">
        <v>226</v>
      </c>
      <c r="G11" s="77">
        <v>997</v>
      </c>
      <c r="H11" s="126">
        <v>95</v>
      </c>
      <c r="I11" s="124">
        <v>140.6</v>
      </c>
      <c r="J11" s="124">
        <v>71.03</v>
      </c>
      <c r="K11" s="77">
        <v>520</v>
      </c>
      <c r="L11" s="124">
        <v>731.63</v>
      </c>
    </row>
    <row r="12" spans="1:12" ht="15" customHeight="1" x14ac:dyDescent="0.25">
      <c r="A12" s="78">
        <v>45658</v>
      </c>
      <c r="B12" t="s">
        <v>431</v>
      </c>
      <c r="C12" t="s">
        <v>432</v>
      </c>
      <c r="D12" t="s">
        <v>221</v>
      </c>
      <c r="E12" t="s">
        <v>2230</v>
      </c>
      <c r="F12" t="s">
        <v>224</v>
      </c>
      <c r="G12" s="77">
        <v>1017</v>
      </c>
      <c r="H12" s="126">
        <v>119.6</v>
      </c>
      <c r="I12" s="124">
        <v>177.01</v>
      </c>
      <c r="J12" s="124">
        <v>156.15</v>
      </c>
      <c r="K12" s="77">
        <v>450</v>
      </c>
      <c r="L12" s="124">
        <v>783.16</v>
      </c>
    </row>
    <row r="13" spans="1:12" ht="15" customHeight="1" x14ac:dyDescent="0.25">
      <c r="A13" s="78">
        <v>45658</v>
      </c>
      <c r="B13" t="s">
        <v>431</v>
      </c>
      <c r="C13" t="s">
        <v>432</v>
      </c>
      <c r="D13" t="s">
        <v>221</v>
      </c>
      <c r="E13" t="s">
        <v>2231</v>
      </c>
      <c r="F13" t="s">
        <v>224</v>
      </c>
      <c r="G13" s="77">
        <v>993</v>
      </c>
      <c r="H13" s="126">
        <v>116.8</v>
      </c>
      <c r="I13" s="124">
        <v>172.86</v>
      </c>
      <c r="J13" s="124">
        <v>98</v>
      </c>
      <c r="K13" s="77">
        <v>380</v>
      </c>
      <c r="L13" s="124">
        <v>650.86</v>
      </c>
    </row>
    <row r="14" spans="1:12" ht="15" customHeight="1" x14ac:dyDescent="0.25">
      <c r="A14" s="78">
        <v>45658</v>
      </c>
      <c r="B14" t="s">
        <v>431</v>
      </c>
      <c r="C14" t="s">
        <v>432</v>
      </c>
      <c r="D14" t="s">
        <v>221</v>
      </c>
      <c r="E14" t="s">
        <v>2232</v>
      </c>
      <c r="F14" t="s">
        <v>226</v>
      </c>
      <c r="G14" s="77">
        <v>1092</v>
      </c>
      <c r="H14" s="126">
        <v>104</v>
      </c>
      <c r="I14" s="124">
        <v>153.91999999999999</v>
      </c>
      <c r="J14" s="124">
        <v>185.36</v>
      </c>
      <c r="K14" s="77">
        <v>450</v>
      </c>
      <c r="L14" s="124">
        <v>789.28</v>
      </c>
    </row>
    <row r="15" spans="1:12" ht="15" customHeight="1" x14ac:dyDescent="0.25">
      <c r="A15" s="78">
        <v>45658</v>
      </c>
      <c r="B15" t="s">
        <v>366</v>
      </c>
      <c r="C15" t="s">
        <v>367</v>
      </c>
      <c r="D15" t="s">
        <v>221</v>
      </c>
      <c r="E15" t="s">
        <v>2233</v>
      </c>
      <c r="F15" t="s">
        <v>228</v>
      </c>
      <c r="G15" s="77">
        <v>777</v>
      </c>
      <c r="H15" s="126">
        <v>91.4</v>
      </c>
      <c r="I15" s="124">
        <v>135.27000000000001</v>
      </c>
      <c r="J15" s="124">
        <v>362.87</v>
      </c>
      <c r="K15" s="77">
        <v>450</v>
      </c>
      <c r="L15" s="124">
        <v>948.14</v>
      </c>
    </row>
    <row r="16" spans="1:12" ht="15" customHeight="1" x14ac:dyDescent="0.25">
      <c r="A16" s="78">
        <v>45658</v>
      </c>
      <c r="B16" t="s">
        <v>366</v>
      </c>
      <c r="C16" t="s">
        <v>367</v>
      </c>
      <c r="D16" t="s">
        <v>221</v>
      </c>
      <c r="E16" t="s">
        <v>2234</v>
      </c>
      <c r="F16" t="s">
        <v>224</v>
      </c>
      <c r="G16" s="77">
        <v>1025</v>
      </c>
      <c r="H16" s="126">
        <v>120.6</v>
      </c>
      <c r="I16" s="124">
        <v>178.49</v>
      </c>
      <c r="J16" s="124">
        <v>151.51</v>
      </c>
      <c r="K16" s="77">
        <v>320</v>
      </c>
      <c r="L16" s="124">
        <v>650</v>
      </c>
    </row>
    <row r="17" spans="1:12" ht="15" customHeight="1" x14ac:dyDescent="0.25">
      <c r="A17" s="78">
        <v>45658</v>
      </c>
      <c r="B17" t="s">
        <v>366</v>
      </c>
      <c r="C17" t="s">
        <v>367</v>
      </c>
      <c r="D17" t="s">
        <v>221</v>
      </c>
      <c r="E17" t="s">
        <v>2235</v>
      </c>
      <c r="F17" t="s">
        <v>226</v>
      </c>
      <c r="G17" s="77">
        <v>1227</v>
      </c>
      <c r="H17" s="126">
        <v>116.9</v>
      </c>
      <c r="I17" s="124">
        <v>173.01</v>
      </c>
      <c r="J17" s="124">
        <v>168.66</v>
      </c>
      <c r="K17" s="77">
        <v>450</v>
      </c>
      <c r="L17" s="124">
        <v>791.67</v>
      </c>
    </row>
    <row r="18" spans="1:12" ht="15" customHeight="1" x14ac:dyDescent="0.25">
      <c r="A18" s="78">
        <v>45658</v>
      </c>
      <c r="B18" t="s">
        <v>362</v>
      </c>
      <c r="C18" t="s">
        <v>363</v>
      </c>
      <c r="D18" t="s">
        <v>221</v>
      </c>
      <c r="E18" t="s">
        <v>2221</v>
      </c>
      <c r="F18" t="s">
        <v>222</v>
      </c>
      <c r="G18" s="77">
        <v>1288</v>
      </c>
      <c r="H18" s="126">
        <v>122.7</v>
      </c>
      <c r="I18" s="124">
        <v>181.6</v>
      </c>
      <c r="J18" s="124">
        <v>172.97</v>
      </c>
      <c r="K18" s="77">
        <v>380</v>
      </c>
      <c r="L18" s="124">
        <v>734.57</v>
      </c>
    </row>
    <row r="19" spans="1:12" ht="15" customHeight="1" x14ac:dyDescent="0.25">
      <c r="A19" s="78">
        <v>45658</v>
      </c>
      <c r="B19" t="s">
        <v>362</v>
      </c>
      <c r="C19" t="s">
        <v>363</v>
      </c>
      <c r="D19" t="s">
        <v>221</v>
      </c>
      <c r="E19" t="s">
        <v>2236</v>
      </c>
      <c r="F19" t="s">
        <v>226</v>
      </c>
      <c r="G19" s="77">
        <v>896</v>
      </c>
      <c r="H19" s="126">
        <v>85.3</v>
      </c>
      <c r="I19" s="124">
        <v>126.24</v>
      </c>
      <c r="J19" s="124">
        <v>178.92</v>
      </c>
      <c r="K19" s="77">
        <v>450</v>
      </c>
      <c r="L19" s="124">
        <v>755.16</v>
      </c>
    </row>
    <row r="20" spans="1:12" ht="15" customHeight="1" x14ac:dyDescent="0.25">
      <c r="A20" s="78">
        <v>45658</v>
      </c>
      <c r="B20" t="s">
        <v>362</v>
      </c>
      <c r="C20" t="s">
        <v>363</v>
      </c>
      <c r="D20" t="s">
        <v>221</v>
      </c>
      <c r="E20" t="s">
        <v>2222</v>
      </c>
      <c r="F20" t="s">
        <v>222</v>
      </c>
      <c r="G20" s="77">
        <v>764</v>
      </c>
      <c r="H20" s="126">
        <v>72.8</v>
      </c>
      <c r="I20" s="124">
        <v>107.74</v>
      </c>
      <c r="J20" s="124">
        <v>158.68</v>
      </c>
      <c r="K20" s="77">
        <v>380</v>
      </c>
      <c r="L20" s="124">
        <v>646.41999999999996</v>
      </c>
    </row>
    <row r="21" spans="1:12" ht="15" customHeight="1" x14ac:dyDescent="0.25">
      <c r="A21" s="78">
        <v>45658</v>
      </c>
      <c r="B21" t="s">
        <v>335</v>
      </c>
      <c r="C21" t="s">
        <v>336</v>
      </c>
      <c r="D21" t="s">
        <v>223</v>
      </c>
      <c r="E21" t="s">
        <v>2237</v>
      </c>
      <c r="F21" t="s">
        <v>222</v>
      </c>
      <c r="G21" s="77">
        <v>1041</v>
      </c>
      <c r="H21" s="126">
        <v>99.1</v>
      </c>
      <c r="I21" s="124">
        <v>146.66999999999999</v>
      </c>
      <c r="J21" s="124">
        <v>133.35</v>
      </c>
      <c r="K21" s="77">
        <v>380</v>
      </c>
      <c r="L21" s="124">
        <v>660.02</v>
      </c>
    </row>
    <row r="22" spans="1:12" ht="15" customHeight="1" x14ac:dyDescent="0.25">
      <c r="A22" s="78">
        <v>45658</v>
      </c>
      <c r="B22" t="s">
        <v>335</v>
      </c>
      <c r="C22" t="s">
        <v>336</v>
      </c>
      <c r="D22" t="s">
        <v>223</v>
      </c>
      <c r="E22" t="s">
        <v>2238</v>
      </c>
      <c r="F22" t="s">
        <v>228</v>
      </c>
      <c r="G22" s="77">
        <v>1017</v>
      </c>
      <c r="H22" s="126">
        <v>119.6</v>
      </c>
      <c r="I22" s="124">
        <v>177.01</v>
      </c>
      <c r="J22" s="124">
        <v>99.45</v>
      </c>
      <c r="K22" s="77">
        <v>450</v>
      </c>
      <c r="L22" s="124">
        <v>726.46</v>
      </c>
    </row>
    <row r="23" spans="1:12" ht="15" customHeight="1" x14ac:dyDescent="0.25">
      <c r="A23" s="78">
        <v>45658</v>
      </c>
      <c r="B23" t="s">
        <v>335</v>
      </c>
      <c r="C23" t="s">
        <v>336</v>
      </c>
      <c r="D23" t="s">
        <v>223</v>
      </c>
      <c r="E23" t="s">
        <v>2239</v>
      </c>
      <c r="F23" t="s">
        <v>224</v>
      </c>
      <c r="G23" s="77">
        <v>912</v>
      </c>
      <c r="H23" s="126">
        <v>107.3</v>
      </c>
      <c r="I23" s="124">
        <v>158.80000000000001</v>
      </c>
      <c r="J23" s="124">
        <v>157.43</v>
      </c>
      <c r="K23" s="77">
        <v>380</v>
      </c>
      <c r="L23" s="124">
        <v>696.23</v>
      </c>
    </row>
    <row r="24" spans="1:12" ht="15" customHeight="1" x14ac:dyDescent="0.25">
      <c r="A24" s="78">
        <v>45658</v>
      </c>
      <c r="B24" t="s">
        <v>386</v>
      </c>
      <c r="C24" t="s">
        <v>387</v>
      </c>
      <c r="D24" t="s">
        <v>223</v>
      </c>
      <c r="E24" t="s">
        <v>2240</v>
      </c>
      <c r="F24" t="s">
        <v>224</v>
      </c>
      <c r="G24" s="77">
        <v>1089</v>
      </c>
      <c r="H24" s="126">
        <v>128.1</v>
      </c>
      <c r="I24" s="124">
        <v>189.59</v>
      </c>
      <c r="J24" s="124">
        <v>67.790000000000006</v>
      </c>
      <c r="K24" s="77">
        <v>520</v>
      </c>
      <c r="L24" s="124">
        <v>777.38</v>
      </c>
    </row>
    <row r="25" spans="1:12" ht="15" customHeight="1" x14ac:dyDescent="0.25">
      <c r="A25" s="78">
        <v>45658</v>
      </c>
      <c r="B25" t="s">
        <v>386</v>
      </c>
      <c r="C25" t="s">
        <v>387</v>
      </c>
      <c r="D25" t="s">
        <v>223</v>
      </c>
      <c r="E25" t="s">
        <v>2241</v>
      </c>
      <c r="F25" t="s">
        <v>224</v>
      </c>
      <c r="G25" s="77">
        <v>1366</v>
      </c>
      <c r="H25" s="126">
        <v>160.69999999999999</v>
      </c>
      <c r="I25" s="124">
        <v>237.84</v>
      </c>
      <c r="J25" s="124">
        <v>80.709999999999994</v>
      </c>
      <c r="K25" s="77">
        <v>380</v>
      </c>
      <c r="L25" s="124">
        <v>698.55</v>
      </c>
    </row>
    <row r="26" spans="1:12" ht="15" customHeight="1" x14ac:dyDescent="0.25">
      <c r="A26" s="78">
        <v>45658</v>
      </c>
      <c r="B26" t="s">
        <v>386</v>
      </c>
      <c r="C26" t="s">
        <v>387</v>
      </c>
      <c r="D26" t="s">
        <v>223</v>
      </c>
      <c r="E26" t="s">
        <v>2242</v>
      </c>
      <c r="F26" t="s">
        <v>228</v>
      </c>
      <c r="G26" s="77">
        <v>1292</v>
      </c>
      <c r="H26" s="126">
        <v>152</v>
      </c>
      <c r="I26" s="124">
        <v>224.96</v>
      </c>
      <c r="J26" s="124">
        <v>284.18</v>
      </c>
      <c r="K26" s="77">
        <v>380</v>
      </c>
      <c r="L26" s="124">
        <v>889.14</v>
      </c>
    </row>
    <row r="27" spans="1:12" ht="15" customHeight="1" x14ac:dyDescent="0.25">
      <c r="A27" s="78">
        <v>45658</v>
      </c>
      <c r="B27" t="s">
        <v>341</v>
      </c>
      <c r="C27" t="s">
        <v>342</v>
      </c>
      <c r="D27" t="s">
        <v>223</v>
      </c>
      <c r="E27" t="s">
        <v>2243</v>
      </c>
      <c r="F27" t="s">
        <v>226</v>
      </c>
      <c r="G27" s="77">
        <v>888</v>
      </c>
      <c r="H27" s="126">
        <v>84.6</v>
      </c>
      <c r="I27" s="124">
        <v>125.21</v>
      </c>
      <c r="J27" s="124">
        <v>292.02</v>
      </c>
      <c r="K27" s="77">
        <v>380</v>
      </c>
      <c r="L27" s="124">
        <v>797.23</v>
      </c>
    </row>
    <row r="28" spans="1:12" ht="15" customHeight="1" x14ac:dyDescent="0.25">
      <c r="A28" s="78">
        <v>45658</v>
      </c>
      <c r="B28" t="s">
        <v>341</v>
      </c>
      <c r="C28" t="s">
        <v>342</v>
      </c>
      <c r="D28" t="s">
        <v>223</v>
      </c>
      <c r="E28" t="s">
        <v>2229</v>
      </c>
      <c r="F28" t="s">
        <v>224</v>
      </c>
      <c r="G28" s="77">
        <v>751</v>
      </c>
      <c r="H28" s="126">
        <v>88.4</v>
      </c>
      <c r="I28" s="124">
        <v>130.83000000000001</v>
      </c>
      <c r="J28" s="124">
        <v>223.53</v>
      </c>
      <c r="K28" s="77">
        <v>520</v>
      </c>
      <c r="L28" s="124">
        <v>874.36</v>
      </c>
    </row>
    <row r="29" spans="1:12" ht="15" customHeight="1" x14ac:dyDescent="0.25">
      <c r="A29" s="78">
        <v>45658</v>
      </c>
      <c r="B29" t="s">
        <v>341</v>
      </c>
      <c r="C29" t="s">
        <v>342</v>
      </c>
      <c r="D29" t="s">
        <v>223</v>
      </c>
      <c r="E29" t="s">
        <v>2244</v>
      </c>
      <c r="F29" t="s">
        <v>224</v>
      </c>
      <c r="G29" s="77">
        <v>1300</v>
      </c>
      <c r="H29" s="126">
        <v>152.9</v>
      </c>
      <c r="I29" s="124">
        <v>226.29</v>
      </c>
      <c r="J29" s="124">
        <v>96.35</v>
      </c>
      <c r="K29" s="77">
        <v>520</v>
      </c>
      <c r="L29" s="124">
        <v>842.64</v>
      </c>
    </row>
    <row r="30" spans="1:12" ht="15" customHeight="1" x14ac:dyDescent="0.25">
      <c r="A30" s="78">
        <v>45658</v>
      </c>
      <c r="B30" t="s">
        <v>341</v>
      </c>
      <c r="C30" t="s">
        <v>342</v>
      </c>
      <c r="D30" t="s">
        <v>223</v>
      </c>
      <c r="E30" t="s">
        <v>2245</v>
      </c>
      <c r="F30" t="s">
        <v>228</v>
      </c>
      <c r="G30" s="77">
        <v>1398</v>
      </c>
      <c r="H30" s="126">
        <v>164.5</v>
      </c>
      <c r="I30" s="124">
        <v>243.46</v>
      </c>
      <c r="J30" s="124">
        <v>230</v>
      </c>
      <c r="K30" s="77">
        <v>450</v>
      </c>
      <c r="L30" s="124">
        <v>923.46</v>
      </c>
    </row>
    <row r="31" spans="1:12" ht="15" customHeight="1" x14ac:dyDescent="0.25">
      <c r="A31" s="78">
        <v>45658</v>
      </c>
      <c r="B31" t="s">
        <v>347</v>
      </c>
      <c r="C31" t="s">
        <v>348</v>
      </c>
      <c r="D31" t="s">
        <v>223</v>
      </c>
      <c r="E31" t="s">
        <v>2226</v>
      </c>
      <c r="F31" t="s">
        <v>224</v>
      </c>
      <c r="G31" s="77">
        <v>1122</v>
      </c>
      <c r="H31" s="126">
        <v>132</v>
      </c>
      <c r="I31" s="124">
        <v>195.36</v>
      </c>
      <c r="J31" s="124">
        <v>170.83</v>
      </c>
      <c r="K31" s="77">
        <v>380</v>
      </c>
      <c r="L31" s="124">
        <v>746.19</v>
      </c>
    </row>
    <row r="32" spans="1:12" ht="15" customHeight="1" x14ac:dyDescent="0.25">
      <c r="A32" s="78">
        <v>45658</v>
      </c>
      <c r="B32" t="s">
        <v>347</v>
      </c>
      <c r="C32" t="s">
        <v>348</v>
      </c>
      <c r="D32" t="s">
        <v>223</v>
      </c>
      <c r="E32" t="s">
        <v>2246</v>
      </c>
      <c r="F32" t="s">
        <v>222</v>
      </c>
      <c r="G32" s="77">
        <v>1016</v>
      </c>
      <c r="H32" s="126">
        <v>96.8</v>
      </c>
      <c r="I32" s="124">
        <v>143.26</v>
      </c>
      <c r="J32" s="124">
        <v>214.86</v>
      </c>
      <c r="K32" s="77">
        <v>450</v>
      </c>
      <c r="L32" s="124">
        <v>808.12</v>
      </c>
    </row>
    <row r="33" spans="1:12" ht="15" customHeight="1" x14ac:dyDescent="0.25">
      <c r="A33" s="78">
        <v>45658</v>
      </c>
      <c r="B33" t="s">
        <v>347</v>
      </c>
      <c r="C33" t="s">
        <v>348</v>
      </c>
      <c r="D33" t="s">
        <v>223</v>
      </c>
      <c r="E33" t="s">
        <v>2247</v>
      </c>
      <c r="F33" t="s">
        <v>224</v>
      </c>
      <c r="G33" s="77">
        <v>1248</v>
      </c>
      <c r="H33" s="126">
        <v>146.80000000000001</v>
      </c>
      <c r="I33" s="124">
        <v>217.26</v>
      </c>
      <c r="J33" s="124">
        <v>10.119999999999999</v>
      </c>
      <c r="K33" s="77">
        <v>450</v>
      </c>
      <c r="L33" s="124">
        <v>677.38</v>
      </c>
    </row>
    <row r="34" spans="1:12" ht="15" customHeight="1" x14ac:dyDescent="0.25">
      <c r="A34" s="78">
        <v>45658</v>
      </c>
      <c r="B34" t="s">
        <v>347</v>
      </c>
      <c r="C34" t="s">
        <v>348</v>
      </c>
      <c r="D34" t="s">
        <v>223</v>
      </c>
      <c r="E34" t="s">
        <v>2248</v>
      </c>
      <c r="F34" t="s">
        <v>228</v>
      </c>
      <c r="G34" s="77">
        <v>1376</v>
      </c>
      <c r="H34" s="126">
        <v>161.9</v>
      </c>
      <c r="I34" s="124">
        <v>239.61</v>
      </c>
      <c r="J34" s="124">
        <v>117</v>
      </c>
      <c r="K34" s="77">
        <v>520</v>
      </c>
      <c r="L34" s="124">
        <v>876.61</v>
      </c>
    </row>
    <row r="35" spans="1:12" ht="15" customHeight="1" x14ac:dyDescent="0.25">
      <c r="A35" s="78">
        <v>45658</v>
      </c>
      <c r="B35" t="s">
        <v>347</v>
      </c>
      <c r="C35" t="s">
        <v>348</v>
      </c>
      <c r="D35" t="s">
        <v>223</v>
      </c>
      <c r="E35" t="s">
        <v>2249</v>
      </c>
      <c r="F35" t="s">
        <v>222</v>
      </c>
      <c r="G35" s="77">
        <v>1308</v>
      </c>
      <c r="H35" s="126">
        <v>124.6</v>
      </c>
      <c r="I35" s="124">
        <v>184.41</v>
      </c>
      <c r="J35" s="124">
        <v>240.14</v>
      </c>
      <c r="K35" s="77">
        <v>320</v>
      </c>
      <c r="L35" s="124">
        <v>744.55</v>
      </c>
    </row>
    <row r="36" spans="1:12" ht="15" customHeight="1" x14ac:dyDescent="0.25">
      <c r="A36" s="78">
        <v>45658</v>
      </c>
      <c r="B36" t="s">
        <v>347</v>
      </c>
      <c r="C36" t="s">
        <v>348</v>
      </c>
      <c r="D36" t="s">
        <v>223</v>
      </c>
      <c r="E36" t="s">
        <v>2250</v>
      </c>
      <c r="F36" t="s">
        <v>226</v>
      </c>
      <c r="G36" s="77">
        <v>777</v>
      </c>
      <c r="H36" s="126">
        <v>74</v>
      </c>
      <c r="I36" s="124">
        <v>109.52</v>
      </c>
      <c r="J36" s="124">
        <v>117.13</v>
      </c>
      <c r="K36" s="77">
        <v>450</v>
      </c>
      <c r="L36" s="124">
        <v>676.65</v>
      </c>
    </row>
    <row r="37" spans="1:12" ht="15" customHeight="1" x14ac:dyDescent="0.25">
      <c r="A37" s="78">
        <v>45658</v>
      </c>
      <c r="B37" t="s">
        <v>347</v>
      </c>
      <c r="C37" t="s">
        <v>348</v>
      </c>
      <c r="D37" t="s">
        <v>223</v>
      </c>
      <c r="E37" t="s">
        <v>2251</v>
      </c>
      <c r="F37" t="s">
        <v>224</v>
      </c>
      <c r="G37" s="77">
        <v>773</v>
      </c>
      <c r="H37" s="126">
        <v>90.9</v>
      </c>
      <c r="I37" s="124">
        <v>134.53</v>
      </c>
      <c r="J37" s="124">
        <v>132.81</v>
      </c>
      <c r="K37" s="77">
        <v>380</v>
      </c>
      <c r="L37" s="124">
        <v>647.34</v>
      </c>
    </row>
    <row r="38" spans="1:12" ht="15" customHeight="1" x14ac:dyDescent="0.25">
      <c r="A38" s="78">
        <v>45658</v>
      </c>
      <c r="B38" t="s">
        <v>409</v>
      </c>
      <c r="C38" t="s">
        <v>410</v>
      </c>
      <c r="D38" t="s">
        <v>223</v>
      </c>
      <c r="E38" t="s">
        <v>2223</v>
      </c>
      <c r="F38" t="s">
        <v>228</v>
      </c>
      <c r="G38" s="77">
        <v>972</v>
      </c>
      <c r="H38" s="126">
        <v>114.4</v>
      </c>
      <c r="I38" s="124">
        <v>169.31</v>
      </c>
      <c r="J38" s="124">
        <v>312.37</v>
      </c>
      <c r="K38" s="77">
        <v>320</v>
      </c>
      <c r="L38" s="124">
        <v>801.68</v>
      </c>
    </row>
    <row r="39" spans="1:12" ht="15" customHeight="1" x14ac:dyDescent="0.25">
      <c r="A39" s="78">
        <v>45658</v>
      </c>
      <c r="B39" t="s">
        <v>409</v>
      </c>
      <c r="C39" t="s">
        <v>410</v>
      </c>
      <c r="D39" t="s">
        <v>223</v>
      </c>
      <c r="E39" t="s">
        <v>2252</v>
      </c>
      <c r="F39" t="s">
        <v>222</v>
      </c>
      <c r="G39" s="77">
        <v>1377</v>
      </c>
      <c r="H39" s="126">
        <v>131.1</v>
      </c>
      <c r="I39" s="124">
        <v>194.03</v>
      </c>
      <c r="J39" s="124">
        <v>261.64999999999998</v>
      </c>
      <c r="K39" s="77">
        <v>450</v>
      </c>
      <c r="L39" s="124">
        <v>905.68</v>
      </c>
    </row>
    <row r="40" spans="1:12" ht="15" customHeight="1" x14ac:dyDescent="0.25">
      <c r="A40" s="78">
        <v>45658</v>
      </c>
      <c r="B40" t="s">
        <v>409</v>
      </c>
      <c r="C40" t="s">
        <v>410</v>
      </c>
      <c r="D40" t="s">
        <v>223</v>
      </c>
      <c r="E40" t="s">
        <v>2253</v>
      </c>
      <c r="F40" t="s">
        <v>222</v>
      </c>
      <c r="G40" s="77">
        <v>909</v>
      </c>
      <c r="H40" s="126">
        <v>86.6</v>
      </c>
      <c r="I40" s="124">
        <v>128.16999999999999</v>
      </c>
      <c r="J40" s="124">
        <v>133.26</v>
      </c>
      <c r="K40" s="77">
        <v>450</v>
      </c>
      <c r="L40" s="124">
        <v>711.43</v>
      </c>
    </row>
    <row r="41" spans="1:12" ht="15" customHeight="1" x14ac:dyDescent="0.25">
      <c r="A41" s="78">
        <v>45658</v>
      </c>
      <c r="B41" t="s">
        <v>409</v>
      </c>
      <c r="C41" t="s">
        <v>410</v>
      </c>
      <c r="D41" t="s">
        <v>223</v>
      </c>
      <c r="E41" t="s">
        <v>2250</v>
      </c>
      <c r="F41" t="s">
        <v>226</v>
      </c>
      <c r="G41" s="77">
        <v>629</v>
      </c>
      <c r="H41" s="126">
        <v>59.9</v>
      </c>
      <c r="I41" s="124">
        <v>88.65</v>
      </c>
      <c r="J41" s="124">
        <v>85.53</v>
      </c>
      <c r="K41" s="77">
        <v>520</v>
      </c>
      <c r="L41" s="124">
        <v>694.18</v>
      </c>
    </row>
    <row r="42" spans="1:12" ht="15" customHeight="1" x14ac:dyDescent="0.25">
      <c r="A42" s="78">
        <v>45658</v>
      </c>
      <c r="B42" t="s">
        <v>409</v>
      </c>
      <c r="C42" t="s">
        <v>410</v>
      </c>
      <c r="D42" t="s">
        <v>223</v>
      </c>
      <c r="E42" t="s">
        <v>2254</v>
      </c>
      <c r="F42" t="s">
        <v>228</v>
      </c>
      <c r="G42" s="77">
        <v>1291</v>
      </c>
      <c r="H42" s="126">
        <v>151.9</v>
      </c>
      <c r="I42" s="124">
        <v>224.81</v>
      </c>
      <c r="J42" s="124">
        <v>379.25</v>
      </c>
      <c r="K42" s="77">
        <v>380</v>
      </c>
      <c r="L42" s="124">
        <v>984.06</v>
      </c>
    </row>
    <row r="43" spans="1:12" ht="15" customHeight="1" x14ac:dyDescent="0.25">
      <c r="A43" s="78">
        <v>45658</v>
      </c>
      <c r="B43" t="s">
        <v>488</v>
      </c>
      <c r="C43" t="s">
        <v>489</v>
      </c>
      <c r="D43" t="s">
        <v>225</v>
      </c>
      <c r="E43" t="s">
        <v>2251</v>
      </c>
      <c r="F43" t="s">
        <v>228</v>
      </c>
      <c r="G43" s="77">
        <v>741</v>
      </c>
      <c r="H43" s="126">
        <v>87.2</v>
      </c>
      <c r="I43" s="124">
        <v>129.06</v>
      </c>
      <c r="J43" s="124">
        <v>202.6</v>
      </c>
      <c r="K43" s="77">
        <v>320</v>
      </c>
      <c r="L43" s="124">
        <v>651.66</v>
      </c>
    </row>
    <row r="44" spans="1:12" ht="15" customHeight="1" x14ac:dyDescent="0.25">
      <c r="A44" s="78">
        <v>45658</v>
      </c>
      <c r="B44" t="s">
        <v>488</v>
      </c>
      <c r="C44" t="s">
        <v>489</v>
      </c>
      <c r="D44" t="s">
        <v>225</v>
      </c>
      <c r="E44" t="s">
        <v>2246</v>
      </c>
      <c r="F44" t="s">
        <v>224</v>
      </c>
      <c r="G44" s="77">
        <v>1043</v>
      </c>
      <c r="H44" s="126">
        <v>122.7</v>
      </c>
      <c r="I44" s="124">
        <v>181.6</v>
      </c>
      <c r="J44" s="124">
        <v>172.41</v>
      </c>
      <c r="K44" s="77">
        <v>520</v>
      </c>
      <c r="L44" s="124">
        <v>874.01</v>
      </c>
    </row>
    <row r="45" spans="1:12" ht="15" customHeight="1" x14ac:dyDescent="0.25">
      <c r="A45" s="78">
        <v>45658</v>
      </c>
      <c r="B45" t="s">
        <v>488</v>
      </c>
      <c r="C45" t="s">
        <v>489</v>
      </c>
      <c r="D45" t="s">
        <v>225</v>
      </c>
      <c r="E45" t="s">
        <v>2255</v>
      </c>
      <c r="F45" t="s">
        <v>228</v>
      </c>
      <c r="G45" s="77">
        <v>847</v>
      </c>
      <c r="H45" s="126">
        <v>99.6</v>
      </c>
      <c r="I45" s="124">
        <v>147.41</v>
      </c>
      <c r="J45" s="124">
        <v>283.92</v>
      </c>
      <c r="K45" s="77">
        <v>450</v>
      </c>
      <c r="L45" s="124">
        <v>881.33</v>
      </c>
    </row>
    <row r="46" spans="1:12" ht="15" customHeight="1" x14ac:dyDescent="0.25">
      <c r="A46" s="78">
        <v>45658</v>
      </c>
      <c r="B46" t="s">
        <v>488</v>
      </c>
      <c r="C46" t="s">
        <v>489</v>
      </c>
      <c r="D46" t="s">
        <v>225</v>
      </c>
      <c r="E46" t="s">
        <v>2256</v>
      </c>
      <c r="F46" t="s">
        <v>226</v>
      </c>
      <c r="G46" s="77">
        <v>931</v>
      </c>
      <c r="H46" s="126">
        <v>88.7</v>
      </c>
      <c r="I46" s="124">
        <v>131.28</v>
      </c>
      <c r="J46" s="124">
        <v>148.84</v>
      </c>
      <c r="K46" s="77">
        <v>380</v>
      </c>
      <c r="L46" s="124">
        <v>660.12</v>
      </c>
    </row>
    <row r="47" spans="1:12" ht="15" customHeight="1" x14ac:dyDescent="0.25">
      <c r="A47" s="78">
        <v>45658</v>
      </c>
      <c r="B47" t="s">
        <v>488</v>
      </c>
      <c r="C47" t="s">
        <v>489</v>
      </c>
      <c r="D47" t="s">
        <v>225</v>
      </c>
      <c r="E47" t="s">
        <v>2257</v>
      </c>
      <c r="F47" t="s">
        <v>222</v>
      </c>
      <c r="G47" s="77">
        <v>1186</v>
      </c>
      <c r="H47" s="126">
        <v>113</v>
      </c>
      <c r="I47" s="124">
        <v>167.24</v>
      </c>
      <c r="J47" s="124">
        <v>150.51</v>
      </c>
      <c r="K47" s="77">
        <v>520</v>
      </c>
      <c r="L47" s="124">
        <v>837.75</v>
      </c>
    </row>
    <row r="48" spans="1:12" ht="15" customHeight="1" x14ac:dyDescent="0.25">
      <c r="A48" s="78">
        <v>45658</v>
      </c>
      <c r="B48" t="s">
        <v>488</v>
      </c>
      <c r="C48" t="s">
        <v>489</v>
      </c>
      <c r="D48" t="s">
        <v>225</v>
      </c>
      <c r="E48" t="s">
        <v>2253</v>
      </c>
      <c r="F48" t="s">
        <v>224</v>
      </c>
      <c r="G48" s="77">
        <v>940</v>
      </c>
      <c r="H48" s="126">
        <v>110.6</v>
      </c>
      <c r="I48" s="124">
        <v>163.69</v>
      </c>
      <c r="J48" s="124">
        <v>141.22999999999999</v>
      </c>
      <c r="K48" s="77">
        <v>320</v>
      </c>
      <c r="L48" s="124">
        <v>624.91999999999996</v>
      </c>
    </row>
    <row r="49" spans="1:12" ht="15" customHeight="1" x14ac:dyDescent="0.25">
      <c r="A49" s="78">
        <v>45658</v>
      </c>
      <c r="B49" t="s">
        <v>488</v>
      </c>
      <c r="C49" t="s">
        <v>489</v>
      </c>
      <c r="D49" t="s">
        <v>225</v>
      </c>
      <c r="E49" t="s">
        <v>2244</v>
      </c>
      <c r="F49" t="s">
        <v>228</v>
      </c>
      <c r="G49" s="77">
        <v>1027</v>
      </c>
      <c r="H49" s="126">
        <v>120.8</v>
      </c>
      <c r="I49" s="124">
        <v>178.78</v>
      </c>
      <c r="J49" s="124">
        <v>220.4</v>
      </c>
      <c r="K49" s="77">
        <v>520</v>
      </c>
      <c r="L49" s="124">
        <v>919.18</v>
      </c>
    </row>
    <row r="50" spans="1:12" ht="15" customHeight="1" x14ac:dyDescent="0.25">
      <c r="A50" s="78">
        <v>45658</v>
      </c>
      <c r="B50" t="s">
        <v>406</v>
      </c>
      <c r="C50" t="s">
        <v>407</v>
      </c>
      <c r="D50" t="s">
        <v>225</v>
      </c>
      <c r="E50" t="s">
        <v>2225</v>
      </c>
      <c r="F50" t="s">
        <v>228</v>
      </c>
      <c r="G50" s="77">
        <v>985</v>
      </c>
      <c r="H50" s="126">
        <v>115.9</v>
      </c>
      <c r="I50" s="124">
        <v>171.53</v>
      </c>
      <c r="J50" s="124">
        <v>377.89</v>
      </c>
      <c r="K50" s="77">
        <v>520</v>
      </c>
      <c r="L50" s="124">
        <v>1069.42</v>
      </c>
    </row>
    <row r="51" spans="1:12" ht="15" customHeight="1" x14ac:dyDescent="0.25">
      <c r="A51" s="78">
        <v>45658</v>
      </c>
      <c r="B51" t="s">
        <v>406</v>
      </c>
      <c r="C51" t="s">
        <v>407</v>
      </c>
      <c r="D51" t="s">
        <v>225</v>
      </c>
      <c r="E51" t="s">
        <v>2258</v>
      </c>
      <c r="F51" t="s">
        <v>226</v>
      </c>
      <c r="G51" s="77">
        <v>1190</v>
      </c>
      <c r="H51" s="126">
        <v>113.3</v>
      </c>
      <c r="I51" s="124">
        <v>167.68</v>
      </c>
      <c r="J51" s="124">
        <v>126.36</v>
      </c>
      <c r="K51" s="77">
        <v>320</v>
      </c>
      <c r="L51" s="124">
        <v>614.04</v>
      </c>
    </row>
    <row r="52" spans="1:12" ht="15" customHeight="1" x14ac:dyDescent="0.25">
      <c r="A52" s="78">
        <v>45658</v>
      </c>
      <c r="B52" t="s">
        <v>406</v>
      </c>
      <c r="C52" t="s">
        <v>407</v>
      </c>
      <c r="D52" t="s">
        <v>225</v>
      </c>
      <c r="E52" t="s">
        <v>2259</v>
      </c>
      <c r="F52" t="s">
        <v>228</v>
      </c>
      <c r="G52" s="77">
        <v>1224</v>
      </c>
      <c r="H52" s="126">
        <v>144</v>
      </c>
      <c r="I52" s="124">
        <v>213.12</v>
      </c>
      <c r="J52" s="124">
        <v>223.29</v>
      </c>
      <c r="K52" s="77">
        <v>320</v>
      </c>
      <c r="L52" s="124">
        <v>756.41</v>
      </c>
    </row>
    <row r="53" spans="1:12" ht="15" customHeight="1" x14ac:dyDescent="0.25">
      <c r="A53" s="78">
        <v>45658</v>
      </c>
      <c r="B53" t="s">
        <v>358</v>
      </c>
      <c r="C53" t="s">
        <v>359</v>
      </c>
      <c r="D53" t="s">
        <v>225</v>
      </c>
      <c r="E53" t="s">
        <v>2260</v>
      </c>
      <c r="F53" t="s">
        <v>222</v>
      </c>
      <c r="G53" s="77">
        <v>1343</v>
      </c>
      <c r="H53" s="126">
        <v>127.9</v>
      </c>
      <c r="I53" s="124">
        <v>189.29</v>
      </c>
      <c r="J53" s="124">
        <v>179.57</v>
      </c>
      <c r="K53" s="77">
        <v>450</v>
      </c>
      <c r="L53" s="124">
        <v>818.86</v>
      </c>
    </row>
    <row r="54" spans="1:12" ht="15" customHeight="1" x14ac:dyDescent="0.25">
      <c r="A54" s="78">
        <v>45658</v>
      </c>
      <c r="B54" t="s">
        <v>358</v>
      </c>
      <c r="C54" t="s">
        <v>359</v>
      </c>
      <c r="D54" t="s">
        <v>225</v>
      </c>
      <c r="E54" t="s">
        <v>2261</v>
      </c>
      <c r="F54" t="s">
        <v>222</v>
      </c>
      <c r="G54" s="77">
        <v>1023</v>
      </c>
      <c r="H54" s="126">
        <v>97.4</v>
      </c>
      <c r="I54" s="124">
        <v>144.15</v>
      </c>
      <c r="J54" s="124">
        <v>185.82</v>
      </c>
      <c r="K54" s="77">
        <v>320</v>
      </c>
      <c r="L54" s="124">
        <v>649.97</v>
      </c>
    </row>
    <row r="55" spans="1:12" ht="15" customHeight="1" x14ac:dyDescent="0.25">
      <c r="A55" s="78">
        <v>45658</v>
      </c>
      <c r="B55" t="s">
        <v>358</v>
      </c>
      <c r="C55" t="s">
        <v>359</v>
      </c>
      <c r="D55" t="s">
        <v>225</v>
      </c>
      <c r="E55" t="s">
        <v>2255</v>
      </c>
      <c r="F55" t="s">
        <v>224</v>
      </c>
      <c r="G55" s="77">
        <v>657</v>
      </c>
      <c r="H55" s="126">
        <v>77.3</v>
      </c>
      <c r="I55" s="124">
        <v>114.4</v>
      </c>
      <c r="J55" s="124">
        <v>59.86</v>
      </c>
      <c r="K55" s="77">
        <v>320</v>
      </c>
      <c r="L55" s="124">
        <v>494.26</v>
      </c>
    </row>
    <row r="56" spans="1:12" ht="15" customHeight="1" x14ac:dyDescent="0.25">
      <c r="A56" s="78">
        <v>45658</v>
      </c>
      <c r="B56" t="s">
        <v>358</v>
      </c>
      <c r="C56" t="s">
        <v>359</v>
      </c>
      <c r="D56" t="s">
        <v>225</v>
      </c>
      <c r="E56" t="s">
        <v>2262</v>
      </c>
      <c r="F56" t="s">
        <v>224</v>
      </c>
      <c r="G56" s="77">
        <v>751</v>
      </c>
      <c r="H56" s="126">
        <v>88.4</v>
      </c>
      <c r="I56" s="124">
        <v>130.83000000000001</v>
      </c>
      <c r="J56" s="124">
        <v>161.44</v>
      </c>
      <c r="K56" s="77">
        <v>450</v>
      </c>
      <c r="L56" s="124">
        <v>742.27</v>
      </c>
    </row>
    <row r="57" spans="1:12" ht="15" customHeight="1" x14ac:dyDescent="0.25">
      <c r="A57" s="78">
        <v>45658</v>
      </c>
      <c r="B57" t="s">
        <v>358</v>
      </c>
      <c r="C57" t="s">
        <v>359</v>
      </c>
      <c r="D57" t="s">
        <v>225</v>
      </c>
      <c r="E57" t="s">
        <v>2263</v>
      </c>
      <c r="F57" t="s">
        <v>228</v>
      </c>
      <c r="G57" s="77">
        <v>1483</v>
      </c>
      <c r="H57" s="126">
        <v>174.5</v>
      </c>
      <c r="I57" s="124">
        <v>258.26</v>
      </c>
      <c r="J57" s="124">
        <v>428.5</v>
      </c>
      <c r="K57" s="77">
        <v>450</v>
      </c>
      <c r="L57" s="124">
        <v>1136.76</v>
      </c>
    </row>
    <row r="58" spans="1:12" ht="15" customHeight="1" x14ac:dyDescent="0.25">
      <c r="A58" s="78">
        <v>45658</v>
      </c>
      <c r="B58" t="s">
        <v>358</v>
      </c>
      <c r="C58" t="s">
        <v>359</v>
      </c>
      <c r="D58" t="s">
        <v>225</v>
      </c>
      <c r="E58" t="s">
        <v>2264</v>
      </c>
      <c r="F58" t="s">
        <v>228</v>
      </c>
      <c r="G58" s="77">
        <v>1209</v>
      </c>
      <c r="H58" s="126">
        <v>142.19999999999999</v>
      </c>
      <c r="I58" s="124">
        <v>210.46</v>
      </c>
      <c r="J58" s="124">
        <v>290.07</v>
      </c>
      <c r="K58" s="77">
        <v>520</v>
      </c>
      <c r="L58" s="124">
        <v>1020.53</v>
      </c>
    </row>
    <row r="59" spans="1:12" ht="15" customHeight="1" x14ac:dyDescent="0.25">
      <c r="A59" s="78">
        <v>45658</v>
      </c>
      <c r="B59" t="s">
        <v>358</v>
      </c>
      <c r="C59" t="s">
        <v>359</v>
      </c>
      <c r="D59" t="s">
        <v>225</v>
      </c>
      <c r="E59" t="s">
        <v>2265</v>
      </c>
      <c r="F59" t="s">
        <v>222</v>
      </c>
      <c r="G59" s="77">
        <v>599</v>
      </c>
      <c r="H59" s="126">
        <v>57</v>
      </c>
      <c r="I59" s="124">
        <v>84.36</v>
      </c>
      <c r="J59" s="124">
        <v>106.59</v>
      </c>
      <c r="K59" s="77">
        <v>450</v>
      </c>
      <c r="L59" s="124">
        <v>640.95000000000005</v>
      </c>
    </row>
    <row r="60" spans="1:12" ht="15" customHeight="1" x14ac:dyDescent="0.25">
      <c r="A60" s="78">
        <v>45658</v>
      </c>
      <c r="B60" t="s">
        <v>383</v>
      </c>
      <c r="C60" t="s">
        <v>384</v>
      </c>
      <c r="D60" t="s">
        <v>225</v>
      </c>
      <c r="E60" t="s">
        <v>2266</v>
      </c>
      <c r="F60" t="s">
        <v>228</v>
      </c>
      <c r="G60" s="77">
        <v>853</v>
      </c>
      <c r="H60" s="126">
        <v>100.4</v>
      </c>
      <c r="I60" s="124">
        <v>148.59</v>
      </c>
      <c r="J60" s="124">
        <v>200.33</v>
      </c>
      <c r="K60" s="77">
        <v>320</v>
      </c>
      <c r="L60" s="124">
        <v>668.92</v>
      </c>
    </row>
    <row r="61" spans="1:12" ht="15" customHeight="1" x14ac:dyDescent="0.25">
      <c r="A61" s="78">
        <v>45658</v>
      </c>
      <c r="B61" t="s">
        <v>383</v>
      </c>
      <c r="C61" t="s">
        <v>384</v>
      </c>
      <c r="D61" t="s">
        <v>225</v>
      </c>
      <c r="E61" t="s">
        <v>2229</v>
      </c>
      <c r="F61" t="s">
        <v>222</v>
      </c>
      <c r="G61" s="77">
        <v>1007</v>
      </c>
      <c r="H61" s="126">
        <v>95.9</v>
      </c>
      <c r="I61" s="124">
        <v>141.93</v>
      </c>
      <c r="J61" s="124">
        <v>112.23</v>
      </c>
      <c r="K61" s="77">
        <v>380</v>
      </c>
      <c r="L61" s="124">
        <v>634.16</v>
      </c>
    </row>
    <row r="62" spans="1:12" ht="15" customHeight="1" x14ac:dyDescent="0.25">
      <c r="A62" s="78">
        <v>45658</v>
      </c>
      <c r="B62" t="s">
        <v>383</v>
      </c>
      <c r="C62" t="s">
        <v>384</v>
      </c>
      <c r="D62" t="s">
        <v>225</v>
      </c>
      <c r="E62" t="s">
        <v>2220</v>
      </c>
      <c r="F62" t="s">
        <v>222</v>
      </c>
      <c r="G62" s="77">
        <v>555</v>
      </c>
      <c r="H62" s="126">
        <v>52.9</v>
      </c>
      <c r="I62" s="124">
        <v>78.290000000000006</v>
      </c>
      <c r="J62" s="124">
        <v>209.83</v>
      </c>
      <c r="K62" s="77">
        <v>320</v>
      </c>
      <c r="L62" s="124">
        <v>608.12</v>
      </c>
    </row>
    <row r="63" spans="1:12" ht="15" customHeight="1" x14ac:dyDescent="0.25">
      <c r="A63" s="78">
        <v>45658</v>
      </c>
      <c r="B63" t="s">
        <v>383</v>
      </c>
      <c r="C63" t="s">
        <v>384</v>
      </c>
      <c r="D63" t="s">
        <v>225</v>
      </c>
      <c r="E63" t="s">
        <v>2267</v>
      </c>
      <c r="F63" t="s">
        <v>226</v>
      </c>
      <c r="G63" s="77">
        <v>781</v>
      </c>
      <c r="H63" s="126">
        <v>74.400000000000006</v>
      </c>
      <c r="I63" s="124">
        <v>110.11</v>
      </c>
      <c r="J63" s="124">
        <v>169.14</v>
      </c>
      <c r="K63" s="77">
        <v>320</v>
      </c>
      <c r="L63" s="124">
        <v>599.25</v>
      </c>
    </row>
    <row r="64" spans="1:12" ht="15" customHeight="1" x14ac:dyDescent="0.25">
      <c r="A64" s="78">
        <v>45658</v>
      </c>
      <c r="B64" t="s">
        <v>383</v>
      </c>
      <c r="C64" t="s">
        <v>384</v>
      </c>
      <c r="D64" t="s">
        <v>225</v>
      </c>
      <c r="E64" t="s">
        <v>2268</v>
      </c>
      <c r="F64" t="s">
        <v>228</v>
      </c>
      <c r="G64" s="77">
        <v>1568</v>
      </c>
      <c r="H64" s="126">
        <v>184.5</v>
      </c>
      <c r="I64" s="124">
        <v>273.06</v>
      </c>
      <c r="J64" s="124">
        <v>176.45</v>
      </c>
      <c r="K64" s="77">
        <v>520</v>
      </c>
      <c r="L64" s="124">
        <v>969.51</v>
      </c>
    </row>
    <row r="65" spans="1:12" ht="15" customHeight="1" x14ac:dyDescent="0.25">
      <c r="A65" s="78">
        <v>45658</v>
      </c>
      <c r="B65" t="s">
        <v>383</v>
      </c>
      <c r="C65" t="s">
        <v>384</v>
      </c>
      <c r="D65" t="s">
        <v>225</v>
      </c>
      <c r="E65" t="s">
        <v>2225</v>
      </c>
      <c r="F65" t="s">
        <v>226</v>
      </c>
      <c r="G65" s="77">
        <v>417</v>
      </c>
      <c r="H65" s="126">
        <v>39.700000000000003</v>
      </c>
      <c r="I65" s="124">
        <v>58.76</v>
      </c>
      <c r="J65" s="124">
        <v>127.12</v>
      </c>
      <c r="K65" s="77">
        <v>380</v>
      </c>
      <c r="L65" s="124">
        <v>565.88</v>
      </c>
    </row>
    <row r="66" spans="1:12" ht="15" customHeight="1" x14ac:dyDescent="0.25">
      <c r="A66" s="78">
        <v>45658</v>
      </c>
      <c r="B66" t="s">
        <v>373</v>
      </c>
      <c r="C66" t="s">
        <v>374</v>
      </c>
      <c r="D66" t="s">
        <v>225</v>
      </c>
      <c r="E66" t="s">
        <v>2269</v>
      </c>
      <c r="F66" t="s">
        <v>222</v>
      </c>
      <c r="G66" s="77">
        <v>1325</v>
      </c>
      <c r="H66" s="126">
        <v>126.2</v>
      </c>
      <c r="I66" s="124">
        <v>186.78</v>
      </c>
      <c r="J66" s="124">
        <v>306.67</v>
      </c>
      <c r="K66" s="77">
        <v>320</v>
      </c>
      <c r="L66" s="124">
        <v>813.45</v>
      </c>
    </row>
    <row r="67" spans="1:12" ht="15" customHeight="1" x14ac:dyDescent="0.25">
      <c r="A67" s="78">
        <v>45658</v>
      </c>
      <c r="B67" t="s">
        <v>373</v>
      </c>
      <c r="C67" t="s">
        <v>374</v>
      </c>
      <c r="D67" t="s">
        <v>225</v>
      </c>
      <c r="E67" t="s">
        <v>2270</v>
      </c>
      <c r="F67" t="s">
        <v>228</v>
      </c>
      <c r="G67" s="77">
        <v>742</v>
      </c>
      <c r="H67" s="126">
        <v>87.3</v>
      </c>
      <c r="I67" s="124">
        <v>129.19999999999999</v>
      </c>
      <c r="J67" s="124">
        <v>289.74</v>
      </c>
      <c r="K67" s="77">
        <v>320</v>
      </c>
      <c r="L67" s="124">
        <v>738.94</v>
      </c>
    </row>
    <row r="68" spans="1:12" ht="15" customHeight="1" x14ac:dyDescent="0.25">
      <c r="A68" s="78">
        <v>45658</v>
      </c>
      <c r="B68" t="s">
        <v>373</v>
      </c>
      <c r="C68" t="s">
        <v>374</v>
      </c>
      <c r="D68" t="s">
        <v>225</v>
      </c>
      <c r="E68" t="s">
        <v>2222</v>
      </c>
      <c r="F68" t="s">
        <v>222</v>
      </c>
      <c r="G68" s="77">
        <v>933</v>
      </c>
      <c r="H68" s="126">
        <v>88.9</v>
      </c>
      <c r="I68" s="124">
        <v>131.57</v>
      </c>
      <c r="J68" s="124">
        <v>141.52000000000001</v>
      </c>
      <c r="K68" s="77">
        <v>320</v>
      </c>
      <c r="L68" s="124">
        <v>593.09</v>
      </c>
    </row>
    <row r="69" spans="1:12" ht="15" customHeight="1" x14ac:dyDescent="0.25">
      <c r="A69" s="78">
        <v>45658</v>
      </c>
      <c r="B69" t="s">
        <v>354</v>
      </c>
      <c r="C69" t="s">
        <v>355</v>
      </c>
      <c r="D69" t="s">
        <v>227</v>
      </c>
      <c r="E69" t="s">
        <v>2271</v>
      </c>
      <c r="F69" t="s">
        <v>226</v>
      </c>
      <c r="G69" s="77">
        <v>1711</v>
      </c>
      <c r="H69" s="126">
        <v>163</v>
      </c>
      <c r="I69" s="124">
        <v>241.24</v>
      </c>
      <c r="J69" s="124">
        <v>29.76</v>
      </c>
      <c r="K69" s="77">
        <v>380</v>
      </c>
      <c r="L69" s="124">
        <v>651</v>
      </c>
    </row>
    <row r="70" spans="1:12" ht="15" customHeight="1" x14ac:dyDescent="0.25">
      <c r="A70" s="78">
        <v>45658</v>
      </c>
      <c r="B70" t="s">
        <v>354</v>
      </c>
      <c r="C70" t="s">
        <v>355</v>
      </c>
      <c r="D70" t="s">
        <v>227</v>
      </c>
      <c r="E70" t="s">
        <v>2272</v>
      </c>
      <c r="F70" t="s">
        <v>224</v>
      </c>
      <c r="G70" s="77">
        <v>1113</v>
      </c>
      <c r="H70" s="126">
        <v>130.9</v>
      </c>
      <c r="I70" s="124">
        <v>193.73</v>
      </c>
      <c r="J70" s="124">
        <v>187.42</v>
      </c>
      <c r="K70" s="77">
        <v>320</v>
      </c>
      <c r="L70" s="124">
        <v>701.15</v>
      </c>
    </row>
    <row r="71" spans="1:12" ht="15" customHeight="1" x14ac:dyDescent="0.25">
      <c r="A71" s="78">
        <v>45658</v>
      </c>
      <c r="B71" t="s">
        <v>354</v>
      </c>
      <c r="C71" t="s">
        <v>355</v>
      </c>
      <c r="D71" t="s">
        <v>227</v>
      </c>
      <c r="E71" t="s">
        <v>2273</v>
      </c>
      <c r="F71" t="s">
        <v>226</v>
      </c>
      <c r="G71" s="77">
        <v>1321</v>
      </c>
      <c r="H71" s="126">
        <v>125.8</v>
      </c>
      <c r="I71" s="124">
        <v>186.18</v>
      </c>
      <c r="J71" s="124">
        <v>157.84</v>
      </c>
      <c r="K71" s="77">
        <v>450</v>
      </c>
      <c r="L71" s="124">
        <v>794.02</v>
      </c>
    </row>
    <row r="72" spans="1:12" ht="15" customHeight="1" x14ac:dyDescent="0.25">
      <c r="A72" s="78">
        <v>45658</v>
      </c>
      <c r="B72" t="s">
        <v>354</v>
      </c>
      <c r="C72" t="s">
        <v>355</v>
      </c>
      <c r="D72" t="s">
        <v>227</v>
      </c>
      <c r="E72" t="s">
        <v>2274</v>
      </c>
      <c r="F72" t="s">
        <v>226</v>
      </c>
      <c r="G72" s="77">
        <v>1127</v>
      </c>
      <c r="H72" s="126">
        <v>107.3</v>
      </c>
      <c r="I72" s="124">
        <v>158.80000000000001</v>
      </c>
      <c r="J72" s="124">
        <v>118.67</v>
      </c>
      <c r="K72" s="77">
        <v>520</v>
      </c>
      <c r="L72" s="124">
        <v>797.47</v>
      </c>
    </row>
    <row r="73" spans="1:12" ht="15" customHeight="1" x14ac:dyDescent="0.25">
      <c r="A73" s="78">
        <v>45658</v>
      </c>
      <c r="B73" t="s">
        <v>354</v>
      </c>
      <c r="C73" t="s">
        <v>355</v>
      </c>
      <c r="D73" t="s">
        <v>227</v>
      </c>
      <c r="E73" t="s">
        <v>2275</v>
      </c>
      <c r="F73" t="s">
        <v>224</v>
      </c>
      <c r="G73" s="77">
        <v>1117</v>
      </c>
      <c r="H73" s="126">
        <v>131.4</v>
      </c>
      <c r="I73" s="124">
        <v>194.47</v>
      </c>
      <c r="J73" s="124">
        <v>122.54</v>
      </c>
      <c r="K73" s="77">
        <v>320</v>
      </c>
      <c r="L73" s="124">
        <v>637.01</v>
      </c>
    </row>
    <row r="74" spans="1:12" ht="15" customHeight="1" x14ac:dyDescent="0.25">
      <c r="A74" s="78">
        <v>45658</v>
      </c>
      <c r="B74" t="s">
        <v>370</v>
      </c>
      <c r="C74" t="s">
        <v>371</v>
      </c>
      <c r="D74" t="s">
        <v>227</v>
      </c>
      <c r="E74" t="s">
        <v>2276</v>
      </c>
      <c r="F74" t="s">
        <v>226</v>
      </c>
      <c r="G74" s="77">
        <v>1205</v>
      </c>
      <c r="H74" s="126">
        <v>114.8</v>
      </c>
      <c r="I74" s="124">
        <v>169.9</v>
      </c>
      <c r="J74" s="124">
        <v>120.43</v>
      </c>
      <c r="K74" s="77">
        <v>320</v>
      </c>
      <c r="L74" s="124">
        <v>610.33000000000004</v>
      </c>
    </row>
    <row r="75" spans="1:12" ht="15" customHeight="1" x14ac:dyDescent="0.25">
      <c r="A75" s="78">
        <v>45658</v>
      </c>
      <c r="B75" t="s">
        <v>370</v>
      </c>
      <c r="C75" t="s">
        <v>371</v>
      </c>
      <c r="D75" t="s">
        <v>227</v>
      </c>
      <c r="E75" t="s">
        <v>2277</v>
      </c>
      <c r="F75" t="s">
        <v>228</v>
      </c>
      <c r="G75" s="77">
        <v>1144</v>
      </c>
      <c r="H75" s="126">
        <v>134.6</v>
      </c>
      <c r="I75" s="124">
        <v>199.21</v>
      </c>
      <c r="J75" s="124">
        <v>247.66</v>
      </c>
      <c r="K75" s="77">
        <v>450</v>
      </c>
      <c r="L75" s="124">
        <v>896.87</v>
      </c>
    </row>
    <row r="76" spans="1:12" ht="15" customHeight="1" x14ac:dyDescent="0.25">
      <c r="A76" s="78">
        <v>45658</v>
      </c>
      <c r="B76" t="s">
        <v>370</v>
      </c>
      <c r="C76" t="s">
        <v>371</v>
      </c>
      <c r="D76" t="s">
        <v>227</v>
      </c>
      <c r="E76" t="s">
        <v>2278</v>
      </c>
      <c r="F76" t="s">
        <v>222</v>
      </c>
      <c r="G76" s="77">
        <v>1331</v>
      </c>
      <c r="H76" s="126">
        <v>126.8</v>
      </c>
      <c r="I76" s="124">
        <v>187.66</v>
      </c>
      <c r="J76" s="124">
        <v>145.88999999999999</v>
      </c>
      <c r="K76" s="77">
        <v>450</v>
      </c>
      <c r="L76" s="124">
        <v>783.55</v>
      </c>
    </row>
    <row r="77" spans="1:12" ht="15" customHeight="1" x14ac:dyDescent="0.25">
      <c r="A77" s="78">
        <v>45658</v>
      </c>
      <c r="B77" t="s">
        <v>370</v>
      </c>
      <c r="C77" t="s">
        <v>371</v>
      </c>
      <c r="D77" t="s">
        <v>227</v>
      </c>
      <c r="E77" t="s">
        <v>2231</v>
      </c>
      <c r="F77" t="s">
        <v>226</v>
      </c>
      <c r="G77" s="77">
        <v>606</v>
      </c>
      <c r="H77" s="126">
        <v>57.7</v>
      </c>
      <c r="I77" s="124">
        <v>85.4</v>
      </c>
      <c r="J77" s="124">
        <v>250.95</v>
      </c>
      <c r="K77" s="77">
        <v>380</v>
      </c>
      <c r="L77" s="124">
        <v>716.35</v>
      </c>
    </row>
    <row r="78" spans="1:12" ht="15" customHeight="1" x14ac:dyDescent="0.25">
      <c r="A78" s="78">
        <v>45658</v>
      </c>
      <c r="B78" t="s">
        <v>370</v>
      </c>
      <c r="C78" t="s">
        <v>371</v>
      </c>
      <c r="D78" t="s">
        <v>227</v>
      </c>
      <c r="E78" t="s">
        <v>2243</v>
      </c>
      <c r="F78" t="s">
        <v>222</v>
      </c>
      <c r="G78" s="77">
        <v>823</v>
      </c>
      <c r="H78" s="126">
        <v>78.400000000000006</v>
      </c>
      <c r="I78" s="124">
        <v>116.03</v>
      </c>
      <c r="J78" s="124">
        <v>97.7</v>
      </c>
      <c r="K78" s="77">
        <v>320</v>
      </c>
      <c r="L78" s="124">
        <v>533.73</v>
      </c>
    </row>
    <row r="79" spans="1:12" ht="15" customHeight="1" x14ac:dyDescent="0.25">
      <c r="A79" s="78">
        <v>45658</v>
      </c>
      <c r="B79" t="s">
        <v>370</v>
      </c>
      <c r="C79" t="s">
        <v>371</v>
      </c>
      <c r="D79" t="s">
        <v>227</v>
      </c>
      <c r="E79" t="s">
        <v>2279</v>
      </c>
      <c r="F79" t="s">
        <v>224</v>
      </c>
      <c r="G79" s="77">
        <v>901</v>
      </c>
      <c r="H79" s="126">
        <v>106</v>
      </c>
      <c r="I79" s="124">
        <v>156.88</v>
      </c>
      <c r="J79" s="124">
        <v>259.95999999999998</v>
      </c>
      <c r="K79" s="77">
        <v>320</v>
      </c>
      <c r="L79" s="124">
        <v>736.84</v>
      </c>
    </row>
    <row r="80" spans="1:12" ht="15" customHeight="1" x14ac:dyDescent="0.25">
      <c r="A80" s="78">
        <v>45658</v>
      </c>
      <c r="B80" t="s">
        <v>370</v>
      </c>
      <c r="C80" t="s">
        <v>371</v>
      </c>
      <c r="D80" t="s">
        <v>227</v>
      </c>
      <c r="E80" t="s">
        <v>2280</v>
      </c>
      <c r="F80" t="s">
        <v>226</v>
      </c>
      <c r="G80" s="77">
        <v>516</v>
      </c>
      <c r="H80" s="126">
        <v>49.1</v>
      </c>
      <c r="I80" s="124">
        <v>72.67</v>
      </c>
      <c r="J80" s="124">
        <v>401.02</v>
      </c>
      <c r="K80" s="77">
        <v>320</v>
      </c>
      <c r="L80" s="124">
        <v>793.69</v>
      </c>
    </row>
    <row r="81" spans="1:12" ht="15" customHeight="1" x14ac:dyDescent="0.25">
      <c r="A81" s="78">
        <v>45658</v>
      </c>
      <c r="B81" t="s">
        <v>398</v>
      </c>
      <c r="C81" t="s">
        <v>399</v>
      </c>
      <c r="D81" t="s">
        <v>227</v>
      </c>
      <c r="E81" t="s">
        <v>2242</v>
      </c>
      <c r="F81" t="s">
        <v>222</v>
      </c>
      <c r="G81" s="77">
        <v>1314</v>
      </c>
      <c r="H81" s="126">
        <v>125.1</v>
      </c>
      <c r="I81" s="124">
        <v>185.15</v>
      </c>
      <c r="J81" s="124">
        <v>167.86</v>
      </c>
      <c r="K81" s="77">
        <v>450</v>
      </c>
      <c r="L81" s="124">
        <v>803.01</v>
      </c>
    </row>
    <row r="82" spans="1:12" ht="15" customHeight="1" x14ac:dyDescent="0.25">
      <c r="A82" s="78">
        <v>45658</v>
      </c>
      <c r="B82" t="s">
        <v>398</v>
      </c>
      <c r="C82" t="s">
        <v>399</v>
      </c>
      <c r="D82" t="s">
        <v>227</v>
      </c>
      <c r="E82" t="s">
        <v>2246</v>
      </c>
      <c r="F82" t="s">
        <v>226</v>
      </c>
      <c r="G82" s="77">
        <v>1036</v>
      </c>
      <c r="H82" s="126">
        <v>98.7</v>
      </c>
      <c r="I82" s="124">
        <v>146.08000000000001</v>
      </c>
      <c r="J82" s="124">
        <v>172.84</v>
      </c>
      <c r="K82" s="77">
        <v>450</v>
      </c>
      <c r="L82" s="124">
        <v>768.92</v>
      </c>
    </row>
    <row r="83" spans="1:12" ht="15" customHeight="1" x14ac:dyDescent="0.25">
      <c r="A83" s="78">
        <v>45658</v>
      </c>
      <c r="B83" t="s">
        <v>398</v>
      </c>
      <c r="C83" t="s">
        <v>399</v>
      </c>
      <c r="D83" t="s">
        <v>227</v>
      </c>
      <c r="E83" t="s">
        <v>2269</v>
      </c>
      <c r="F83" t="s">
        <v>228</v>
      </c>
      <c r="G83" s="77">
        <v>1180</v>
      </c>
      <c r="H83" s="126">
        <v>138.80000000000001</v>
      </c>
      <c r="I83" s="124">
        <v>205.42</v>
      </c>
      <c r="J83" s="124">
        <v>301.62</v>
      </c>
      <c r="K83" s="77">
        <v>520</v>
      </c>
      <c r="L83" s="124">
        <v>1027.04</v>
      </c>
    </row>
    <row r="84" spans="1:12" ht="15" customHeight="1" x14ac:dyDescent="0.25">
      <c r="A84" s="78">
        <v>45658</v>
      </c>
      <c r="B84" t="s">
        <v>398</v>
      </c>
      <c r="C84" t="s">
        <v>399</v>
      </c>
      <c r="D84" t="s">
        <v>227</v>
      </c>
      <c r="E84" t="s">
        <v>2281</v>
      </c>
      <c r="F84" t="s">
        <v>226</v>
      </c>
      <c r="G84" s="77">
        <v>1188</v>
      </c>
      <c r="H84" s="126">
        <v>113.1</v>
      </c>
      <c r="I84" s="124">
        <v>167.39</v>
      </c>
      <c r="J84" s="124">
        <v>157.16999999999999</v>
      </c>
      <c r="K84" s="77">
        <v>320</v>
      </c>
      <c r="L84" s="124">
        <v>644.55999999999995</v>
      </c>
    </row>
    <row r="85" spans="1:12" ht="15" customHeight="1" x14ac:dyDescent="0.25">
      <c r="A85" s="78">
        <v>45658</v>
      </c>
      <c r="B85" t="s">
        <v>378</v>
      </c>
      <c r="C85" t="s">
        <v>379</v>
      </c>
      <c r="D85" t="s">
        <v>227</v>
      </c>
      <c r="E85" t="s">
        <v>2239</v>
      </c>
      <c r="F85" t="s">
        <v>226</v>
      </c>
      <c r="G85" s="77">
        <v>1000</v>
      </c>
      <c r="H85" s="126">
        <v>95.2</v>
      </c>
      <c r="I85" s="124">
        <v>140.9</v>
      </c>
      <c r="J85" s="124">
        <v>137.9</v>
      </c>
      <c r="K85" s="77">
        <v>520</v>
      </c>
      <c r="L85" s="124">
        <v>798.8</v>
      </c>
    </row>
    <row r="86" spans="1:12" ht="15" customHeight="1" x14ac:dyDescent="0.25">
      <c r="A86" s="78">
        <v>45658</v>
      </c>
      <c r="B86" t="s">
        <v>378</v>
      </c>
      <c r="C86" t="s">
        <v>379</v>
      </c>
      <c r="D86" t="s">
        <v>227</v>
      </c>
      <c r="E86" t="s">
        <v>2282</v>
      </c>
      <c r="F86" t="s">
        <v>226</v>
      </c>
      <c r="G86" s="77">
        <v>1001</v>
      </c>
      <c r="H86" s="126">
        <v>95.3</v>
      </c>
      <c r="I86" s="124">
        <v>141.04</v>
      </c>
      <c r="J86" s="124">
        <v>240.7</v>
      </c>
      <c r="K86" s="77">
        <v>320</v>
      </c>
      <c r="L86" s="124">
        <v>701.74</v>
      </c>
    </row>
    <row r="87" spans="1:12" ht="15" customHeight="1" x14ac:dyDescent="0.25">
      <c r="A87" s="78">
        <v>45658</v>
      </c>
      <c r="B87" t="s">
        <v>378</v>
      </c>
      <c r="C87" t="s">
        <v>379</v>
      </c>
      <c r="D87" t="s">
        <v>227</v>
      </c>
      <c r="E87" t="s">
        <v>2246</v>
      </c>
      <c r="F87" t="s">
        <v>228</v>
      </c>
      <c r="G87" s="77">
        <v>1198</v>
      </c>
      <c r="H87" s="126">
        <v>140.9</v>
      </c>
      <c r="I87" s="124">
        <v>208.53</v>
      </c>
      <c r="J87" s="124">
        <v>14.77</v>
      </c>
      <c r="K87" s="77">
        <v>520</v>
      </c>
      <c r="L87" s="124">
        <v>743.3</v>
      </c>
    </row>
    <row r="88" spans="1:12" ht="15" customHeight="1" x14ac:dyDescent="0.25">
      <c r="A88" s="78">
        <v>45658</v>
      </c>
      <c r="B88" t="s">
        <v>378</v>
      </c>
      <c r="C88" t="s">
        <v>379</v>
      </c>
      <c r="D88" t="s">
        <v>227</v>
      </c>
      <c r="E88" t="s">
        <v>2258</v>
      </c>
      <c r="F88" t="s">
        <v>226</v>
      </c>
      <c r="G88" s="77">
        <v>1213</v>
      </c>
      <c r="H88" s="126">
        <v>115.5</v>
      </c>
      <c r="I88" s="124">
        <v>170.94</v>
      </c>
      <c r="J88" s="124">
        <v>165.58</v>
      </c>
      <c r="K88" s="77">
        <v>450</v>
      </c>
      <c r="L88" s="124">
        <v>786.52</v>
      </c>
    </row>
    <row r="89" spans="1:12" ht="15" customHeight="1" x14ac:dyDescent="0.25">
      <c r="A89" s="78">
        <v>45658</v>
      </c>
      <c r="B89" t="s">
        <v>393</v>
      </c>
      <c r="C89" t="s">
        <v>394</v>
      </c>
      <c r="D89" t="s">
        <v>227</v>
      </c>
      <c r="E89" t="s">
        <v>2244</v>
      </c>
      <c r="F89" t="s">
        <v>224</v>
      </c>
      <c r="G89" s="77">
        <v>1045</v>
      </c>
      <c r="H89" s="126">
        <v>122.9</v>
      </c>
      <c r="I89" s="124">
        <v>181.89</v>
      </c>
      <c r="J89" s="124">
        <v>118.92</v>
      </c>
      <c r="K89" s="77">
        <v>380</v>
      </c>
      <c r="L89" s="124">
        <v>680.81</v>
      </c>
    </row>
    <row r="90" spans="1:12" ht="15" customHeight="1" x14ac:dyDescent="0.25">
      <c r="A90" s="78">
        <v>45658</v>
      </c>
      <c r="B90" t="s">
        <v>393</v>
      </c>
      <c r="C90" t="s">
        <v>394</v>
      </c>
      <c r="D90" t="s">
        <v>227</v>
      </c>
      <c r="E90" t="s">
        <v>2254</v>
      </c>
      <c r="F90" t="s">
        <v>228</v>
      </c>
      <c r="G90" s="77">
        <v>1331</v>
      </c>
      <c r="H90" s="126">
        <v>156.6</v>
      </c>
      <c r="I90" s="124">
        <v>231.77</v>
      </c>
      <c r="J90" s="124">
        <v>325.8</v>
      </c>
      <c r="K90" s="77">
        <v>320</v>
      </c>
      <c r="L90" s="124">
        <v>877.57</v>
      </c>
    </row>
    <row r="91" spans="1:12" ht="15" customHeight="1" x14ac:dyDescent="0.25">
      <c r="A91" s="78">
        <v>45658</v>
      </c>
      <c r="B91" t="s">
        <v>393</v>
      </c>
      <c r="C91" t="s">
        <v>394</v>
      </c>
      <c r="D91" t="s">
        <v>227</v>
      </c>
      <c r="E91" t="s">
        <v>2261</v>
      </c>
      <c r="F91" t="s">
        <v>224</v>
      </c>
      <c r="G91" s="77">
        <v>856</v>
      </c>
      <c r="H91" s="126">
        <v>100.7</v>
      </c>
      <c r="I91" s="124">
        <v>149.04</v>
      </c>
      <c r="J91" s="124">
        <v>182.56</v>
      </c>
      <c r="K91" s="77">
        <v>520</v>
      </c>
      <c r="L91" s="124">
        <v>851.6</v>
      </c>
    </row>
    <row r="92" spans="1:12" ht="15" customHeight="1" x14ac:dyDescent="0.25">
      <c r="A92" s="78">
        <v>45658</v>
      </c>
      <c r="B92" t="s">
        <v>393</v>
      </c>
      <c r="C92" t="s">
        <v>394</v>
      </c>
      <c r="D92" t="s">
        <v>227</v>
      </c>
      <c r="E92" t="s">
        <v>2226</v>
      </c>
      <c r="F92" t="s">
        <v>228</v>
      </c>
      <c r="G92" s="77">
        <v>807</v>
      </c>
      <c r="H92" s="126">
        <v>94.9</v>
      </c>
      <c r="I92" s="124">
        <v>140.44999999999999</v>
      </c>
      <c r="J92" s="124">
        <v>139.63</v>
      </c>
      <c r="K92" s="77">
        <v>450</v>
      </c>
      <c r="L92" s="124">
        <v>730.08</v>
      </c>
    </row>
    <row r="93" spans="1:12" ht="15" customHeight="1" x14ac:dyDescent="0.25">
      <c r="A93" s="78">
        <v>45658</v>
      </c>
      <c r="B93" t="s">
        <v>393</v>
      </c>
      <c r="C93" t="s">
        <v>394</v>
      </c>
      <c r="D93" t="s">
        <v>227</v>
      </c>
      <c r="E93" t="s">
        <v>2283</v>
      </c>
      <c r="F93" t="s">
        <v>222</v>
      </c>
      <c r="G93" s="77">
        <v>893</v>
      </c>
      <c r="H93" s="126">
        <v>85</v>
      </c>
      <c r="I93" s="124">
        <v>125.8</v>
      </c>
      <c r="J93" s="124">
        <v>218.99</v>
      </c>
      <c r="K93" s="77">
        <v>320</v>
      </c>
      <c r="L93" s="124">
        <v>664.79</v>
      </c>
    </row>
    <row r="94" spans="1:12" ht="15" customHeight="1" x14ac:dyDescent="0.25">
      <c r="A94" s="78">
        <v>45658</v>
      </c>
      <c r="B94" t="s">
        <v>393</v>
      </c>
      <c r="C94" t="s">
        <v>394</v>
      </c>
      <c r="D94" t="s">
        <v>227</v>
      </c>
      <c r="E94" t="s">
        <v>2277</v>
      </c>
      <c r="F94" t="s">
        <v>228</v>
      </c>
      <c r="G94" s="77">
        <v>1288</v>
      </c>
      <c r="H94" s="126">
        <v>151.5</v>
      </c>
      <c r="I94" s="124">
        <v>224.22</v>
      </c>
      <c r="J94" s="124">
        <v>291.05</v>
      </c>
      <c r="K94" s="77">
        <v>520</v>
      </c>
      <c r="L94" s="124">
        <v>1035.27</v>
      </c>
    </row>
    <row r="95" spans="1:12" ht="15" customHeight="1" x14ac:dyDescent="0.25">
      <c r="A95" s="78">
        <v>45658</v>
      </c>
      <c r="B95" t="s">
        <v>393</v>
      </c>
      <c r="C95" t="s">
        <v>394</v>
      </c>
      <c r="D95" t="s">
        <v>227</v>
      </c>
      <c r="E95" t="s">
        <v>2284</v>
      </c>
      <c r="F95" t="s">
        <v>226</v>
      </c>
      <c r="G95" s="77">
        <v>1231</v>
      </c>
      <c r="H95" s="126">
        <v>117.2</v>
      </c>
      <c r="I95" s="124">
        <v>173.46</v>
      </c>
      <c r="J95" s="124">
        <v>191.29</v>
      </c>
      <c r="K95" s="77">
        <v>380</v>
      </c>
      <c r="L95" s="124">
        <v>744.75</v>
      </c>
    </row>
    <row r="96" spans="1:12" ht="15" customHeight="1" x14ac:dyDescent="0.25">
      <c r="A96" s="78">
        <v>45689</v>
      </c>
      <c r="B96" t="s">
        <v>390</v>
      </c>
      <c r="C96" t="s">
        <v>391</v>
      </c>
      <c r="D96" t="s">
        <v>221</v>
      </c>
      <c r="E96" t="s">
        <v>2285</v>
      </c>
      <c r="F96" t="s">
        <v>228</v>
      </c>
      <c r="G96" s="77">
        <v>889</v>
      </c>
      <c r="H96" s="126">
        <v>104.6</v>
      </c>
      <c r="I96" s="124">
        <v>154.81</v>
      </c>
      <c r="J96" s="124">
        <v>284.55</v>
      </c>
      <c r="K96" s="77">
        <v>450</v>
      </c>
      <c r="L96" s="124">
        <v>889.36</v>
      </c>
    </row>
    <row r="97" spans="1:12" ht="15" customHeight="1" x14ac:dyDescent="0.25">
      <c r="A97" s="78">
        <v>45689</v>
      </c>
      <c r="B97" t="s">
        <v>390</v>
      </c>
      <c r="C97" t="s">
        <v>391</v>
      </c>
      <c r="D97" t="s">
        <v>221</v>
      </c>
      <c r="E97" t="s">
        <v>2286</v>
      </c>
      <c r="F97" t="s">
        <v>222</v>
      </c>
      <c r="G97" s="77">
        <v>1250</v>
      </c>
      <c r="H97" s="126">
        <v>119</v>
      </c>
      <c r="I97" s="124">
        <v>176.12</v>
      </c>
      <c r="J97" s="124">
        <v>210.34</v>
      </c>
      <c r="K97" s="77">
        <v>320</v>
      </c>
      <c r="L97" s="124">
        <v>706.46</v>
      </c>
    </row>
    <row r="98" spans="1:12" ht="15" customHeight="1" x14ac:dyDescent="0.25">
      <c r="A98" s="78">
        <v>45689</v>
      </c>
      <c r="B98" t="s">
        <v>390</v>
      </c>
      <c r="C98" t="s">
        <v>391</v>
      </c>
      <c r="D98" t="s">
        <v>221</v>
      </c>
      <c r="E98" t="s">
        <v>2287</v>
      </c>
      <c r="F98" t="s">
        <v>224</v>
      </c>
      <c r="G98" s="77">
        <v>1347</v>
      </c>
      <c r="H98" s="126">
        <v>158.5</v>
      </c>
      <c r="I98" s="124">
        <v>234.58</v>
      </c>
      <c r="J98" s="124">
        <v>206.66</v>
      </c>
      <c r="K98" s="77">
        <v>520</v>
      </c>
      <c r="L98" s="124">
        <v>961.24</v>
      </c>
    </row>
    <row r="99" spans="1:12" ht="15" customHeight="1" x14ac:dyDescent="0.25">
      <c r="A99" s="78">
        <v>45689</v>
      </c>
      <c r="B99" t="s">
        <v>390</v>
      </c>
      <c r="C99" t="s">
        <v>391</v>
      </c>
      <c r="D99" t="s">
        <v>221</v>
      </c>
      <c r="E99" t="s">
        <v>2288</v>
      </c>
      <c r="F99" t="s">
        <v>226</v>
      </c>
      <c r="G99" s="77">
        <v>1137</v>
      </c>
      <c r="H99" s="126">
        <v>108.3</v>
      </c>
      <c r="I99" s="124">
        <v>160.28</v>
      </c>
      <c r="J99" s="124">
        <v>235.61</v>
      </c>
      <c r="K99" s="77">
        <v>450</v>
      </c>
      <c r="L99" s="124">
        <v>845.89</v>
      </c>
    </row>
    <row r="100" spans="1:12" ht="15" customHeight="1" x14ac:dyDescent="0.25">
      <c r="A100" s="78">
        <v>45689</v>
      </c>
      <c r="B100" t="s">
        <v>390</v>
      </c>
      <c r="C100" t="s">
        <v>391</v>
      </c>
      <c r="D100" t="s">
        <v>221</v>
      </c>
      <c r="E100" t="s">
        <v>2289</v>
      </c>
      <c r="F100" t="s">
        <v>226</v>
      </c>
      <c r="G100" s="77">
        <v>1043</v>
      </c>
      <c r="H100" s="126">
        <v>99.3</v>
      </c>
      <c r="I100" s="124">
        <v>146.96</v>
      </c>
      <c r="J100" s="124">
        <v>79.45</v>
      </c>
      <c r="K100" s="77">
        <v>520</v>
      </c>
      <c r="L100" s="124">
        <v>746.41</v>
      </c>
    </row>
    <row r="101" spans="1:12" ht="15" customHeight="1" x14ac:dyDescent="0.25">
      <c r="A101" s="78">
        <v>45689</v>
      </c>
      <c r="B101" t="s">
        <v>390</v>
      </c>
      <c r="C101" t="s">
        <v>391</v>
      </c>
      <c r="D101" t="s">
        <v>221</v>
      </c>
      <c r="E101" t="s">
        <v>2290</v>
      </c>
      <c r="F101" t="s">
        <v>226</v>
      </c>
      <c r="G101" s="77">
        <v>1009</v>
      </c>
      <c r="H101" s="126">
        <v>96.1</v>
      </c>
      <c r="I101" s="124">
        <v>142.22999999999999</v>
      </c>
      <c r="J101" s="124">
        <v>90.41</v>
      </c>
      <c r="K101" s="77">
        <v>450</v>
      </c>
      <c r="L101" s="124">
        <v>682.64</v>
      </c>
    </row>
    <row r="102" spans="1:12" ht="15" customHeight="1" x14ac:dyDescent="0.25">
      <c r="A102" s="78">
        <v>45689</v>
      </c>
      <c r="B102" t="s">
        <v>401</v>
      </c>
      <c r="C102" t="s">
        <v>402</v>
      </c>
      <c r="D102" t="s">
        <v>221</v>
      </c>
      <c r="E102" t="s">
        <v>2268</v>
      </c>
      <c r="F102" t="s">
        <v>226</v>
      </c>
      <c r="G102" s="77">
        <v>881</v>
      </c>
      <c r="H102" s="126">
        <v>83.9</v>
      </c>
      <c r="I102" s="124">
        <v>124.17</v>
      </c>
      <c r="J102" s="124">
        <v>138.44</v>
      </c>
      <c r="K102" s="77">
        <v>320</v>
      </c>
      <c r="L102" s="124">
        <v>582.61</v>
      </c>
    </row>
    <row r="103" spans="1:12" ht="15" customHeight="1" x14ac:dyDescent="0.25">
      <c r="A103" s="78">
        <v>45689</v>
      </c>
      <c r="B103" t="s">
        <v>401</v>
      </c>
      <c r="C103" t="s">
        <v>402</v>
      </c>
      <c r="D103" t="s">
        <v>221</v>
      </c>
      <c r="E103" t="s">
        <v>2291</v>
      </c>
      <c r="F103" t="s">
        <v>222</v>
      </c>
      <c r="G103" s="77">
        <v>851</v>
      </c>
      <c r="H103" s="126">
        <v>81</v>
      </c>
      <c r="I103" s="124">
        <v>119.88</v>
      </c>
      <c r="J103" s="124">
        <v>125.36</v>
      </c>
      <c r="K103" s="77">
        <v>320</v>
      </c>
      <c r="L103" s="124">
        <v>565.24</v>
      </c>
    </row>
    <row r="104" spans="1:12" ht="15" customHeight="1" x14ac:dyDescent="0.25">
      <c r="A104" s="78">
        <v>45689</v>
      </c>
      <c r="B104" t="s">
        <v>401</v>
      </c>
      <c r="C104" t="s">
        <v>402</v>
      </c>
      <c r="D104" t="s">
        <v>221</v>
      </c>
      <c r="E104" t="s">
        <v>2286</v>
      </c>
      <c r="F104" t="s">
        <v>228</v>
      </c>
      <c r="G104" s="77">
        <v>576</v>
      </c>
      <c r="H104" s="126">
        <v>67.8</v>
      </c>
      <c r="I104" s="124">
        <v>100.34</v>
      </c>
      <c r="J104" s="124">
        <v>267.06</v>
      </c>
      <c r="K104" s="77">
        <v>380</v>
      </c>
      <c r="L104" s="124">
        <v>747.4</v>
      </c>
    </row>
    <row r="105" spans="1:12" ht="15" customHeight="1" x14ac:dyDescent="0.25">
      <c r="A105" s="78">
        <v>45689</v>
      </c>
      <c r="B105" t="s">
        <v>401</v>
      </c>
      <c r="C105" t="s">
        <v>402</v>
      </c>
      <c r="D105" t="s">
        <v>221</v>
      </c>
      <c r="E105" t="s">
        <v>2226</v>
      </c>
      <c r="F105" t="s">
        <v>222</v>
      </c>
      <c r="G105" s="77">
        <v>1050</v>
      </c>
      <c r="H105" s="126">
        <v>100</v>
      </c>
      <c r="I105" s="124">
        <v>148</v>
      </c>
      <c r="J105" s="124">
        <v>84.63</v>
      </c>
      <c r="K105" s="77">
        <v>320</v>
      </c>
      <c r="L105" s="124">
        <v>552.63</v>
      </c>
    </row>
    <row r="106" spans="1:12" ht="15" customHeight="1" x14ac:dyDescent="0.25">
      <c r="A106" s="78">
        <v>45689</v>
      </c>
      <c r="B106" t="s">
        <v>401</v>
      </c>
      <c r="C106" t="s">
        <v>402</v>
      </c>
      <c r="D106" t="s">
        <v>221</v>
      </c>
      <c r="E106" t="s">
        <v>2266</v>
      </c>
      <c r="F106" t="s">
        <v>228</v>
      </c>
      <c r="G106" s="77">
        <v>1214</v>
      </c>
      <c r="H106" s="126">
        <v>142.80000000000001</v>
      </c>
      <c r="I106" s="124">
        <v>211.34</v>
      </c>
      <c r="J106" s="124">
        <v>325.01</v>
      </c>
      <c r="K106" s="77">
        <v>380</v>
      </c>
      <c r="L106" s="124">
        <v>916.35</v>
      </c>
    </row>
    <row r="107" spans="1:12" ht="15" customHeight="1" x14ac:dyDescent="0.25">
      <c r="A107" s="78">
        <v>45689</v>
      </c>
      <c r="B107" t="s">
        <v>401</v>
      </c>
      <c r="C107" t="s">
        <v>402</v>
      </c>
      <c r="D107" t="s">
        <v>221</v>
      </c>
      <c r="E107" t="s">
        <v>2292</v>
      </c>
      <c r="F107" t="s">
        <v>224</v>
      </c>
      <c r="G107" s="77">
        <v>648</v>
      </c>
      <c r="H107" s="126">
        <v>76.2</v>
      </c>
      <c r="I107" s="124">
        <v>112.78</v>
      </c>
      <c r="J107" s="124">
        <v>88.98</v>
      </c>
      <c r="K107" s="77">
        <v>520</v>
      </c>
      <c r="L107" s="124">
        <v>721.76</v>
      </c>
    </row>
    <row r="108" spans="1:12" ht="15" customHeight="1" x14ac:dyDescent="0.25">
      <c r="A108" s="78">
        <v>45689</v>
      </c>
      <c r="B108" t="s">
        <v>401</v>
      </c>
      <c r="C108" t="s">
        <v>402</v>
      </c>
      <c r="D108" t="s">
        <v>221</v>
      </c>
      <c r="E108" t="s">
        <v>2283</v>
      </c>
      <c r="F108" t="s">
        <v>224</v>
      </c>
      <c r="G108" s="77">
        <v>857</v>
      </c>
      <c r="H108" s="126">
        <v>100.8</v>
      </c>
      <c r="I108" s="124">
        <v>149.18</v>
      </c>
      <c r="J108" s="124">
        <v>74.81</v>
      </c>
      <c r="K108" s="77">
        <v>320</v>
      </c>
      <c r="L108" s="124">
        <v>543.99</v>
      </c>
    </row>
    <row r="109" spans="1:12" ht="15" customHeight="1" x14ac:dyDescent="0.25">
      <c r="A109" s="78">
        <v>45689</v>
      </c>
      <c r="B109" t="s">
        <v>431</v>
      </c>
      <c r="C109" t="s">
        <v>432</v>
      </c>
      <c r="D109" t="s">
        <v>221</v>
      </c>
      <c r="E109" t="s">
        <v>2293</v>
      </c>
      <c r="F109" t="s">
        <v>226</v>
      </c>
      <c r="G109" s="77">
        <v>1257</v>
      </c>
      <c r="H109" s="126">
        <v>119.7</v>
      </c>
      <c r="I109" s="124">
        <v>177.16</v>
      </c>
      <c r="J109" s="124">
        <v>134.49</v>
      </c>
      <c r="K109" s="77">
        <v>450</v>
      </c>
      <c r="L109" s="124">
        <v>761.65</v>
      </c>
    </row>
    <row r="110" spans="1:12" ht="15" customHeight="1" x14ac:dyDescent="0.25">
      <c r="A110" s="78">
        <v>45689</v>
      </c>
      <c r="B110" t="s">
        <v>431</v>
      </c>
      <c r="C110" t="s">
        <v>432</v>
      </c>
      <c r="D110" t="s">
        <v>221</v>
      </c>
      <c r="E110" t="s">
        <v>2268</v>
      </c>
      <c r="F110" t="s">
        <v>228</v>
      </c>
      <c r="G110" s="77">
        <v>983</v>
      </c>
      <c r="H110" s="126">
        <v>115.6</v>
      </c>
      <c r="I110" s="124">
        <v>171.09</v>
      </c>
      <c r="J110" s="124">
        <v>89.69</v>
      </c>
      <c r="K110" s="77">
        <v>450</v>
      </c>
      <c r="L110" s="124">
        <v>710.78</v>
      </c>
    </row>
    <row r="111" spans="1:12" ht="15" customHeight="1" x14ac:dyDescent="0.25">
      <c r="A111" s="78">
        <v>45689</v>
      </c>
      <c r="B111" t="s">
        <v>431</v>
      </c>
      <c r="C111" t="s">
        <v>432</v>
      </c>
      <c r="D111" t="s">
        <v>221</v>
      </c>
      <c r="E111" t="s">
        <v>2294</v>
      </c>
      <c r="F111" t="s">
        <v>222</v>
      </c>
      <c r="G111" s="77">
        <v>1208</v>
      </c>
      <c r="H111" s="126">
        <v>115</v>
      </c>
      <c r="I111" s="124">
        <v>170.2</v>
      </c>
      <c r="J111" s="124">
        <v>50.86</v>
      </c>
      <c r="K111" s="77">
        <v>320</v>
      </c>
      <c r="L111" s="124">
        <v>541.05999999999995</v>
      </c>
    </row>
    <row r="112" spans="1:12" ht="15" customHeight="1" x14ac:dyDescent="0.25">
      <c r="A112" s="78">
        <v>45689</v>
      </c>
      <c r="B112" t="s">
        <v>431</v>
      </c>
      <c r="C112" t="s">
        <v>432</v>
      </c>
      <c r="D112" t="s">
        <v>221</v>
      </c>
      <c r="E112" t="s">
        <v>2259</v>
      </c>
      <c r="F112" t="s">
        <v>226</v>
      </c>
      <c r="G112" s="77">
        <v>1064</v>
      </c>
      <c r="H112" s="126">
        <v>101.3</v>
      </c>
      <c r="I112" s="124">
        <v>149.91999999999999</v>
      </c>
      <c r="J112" s="124">
        <v>172.19</v>
      </c>
      <c r="K112" s="77">
        <v>520</v>
      </c>
      <c r="L112" s="124">
        <v>842.11</v>
      </c>
    </row>
    <row r="113" spans="1:12" ht="15" customHeight="1" x14ac:dyDescent="0.25">
      <c r="A113" s="78">
        <v>45689</v>
      </c>
      <c r="B113" t="s">
        <v>366</v>
      </c>
      <c r="C113" t="s">
        <v>367</v>
      </c>
      <c r="D113" t="s">
        <v>221</v>
      </c>
      <c r="E113" t="s">
        <v>2277</v>
      </c>
      <c r="F113" t="s">
        <v>226</v>
      </c>
      <c r="G113" s="77">
        <v>1390</v>
      </c>
      <c r="H113" s="126">
        <v>132.4</v>
      </c>
      <c r="I113" s="124">
        <v>195.95</v>
      </c>
      <c r="J113" s="124">
        <v>45.29</v>
      </c>
      <c r="K113" s="77">
        <v>450</v>
      </c>
      <c r="L113" s="124">
        <v>691.24</v>
      </c>
    </row>
    <row r="114" spans="1:12" ht="15" customHeight="1" x14ac:dyDescent="0.25">
      <c r="A114" s="78">
        <v>45689</v>
      </c>
      <c r="B114" t="s">
        <v>366</v>
      </c>
      <c r="C114" t="s">
        <v>367</v>
      </c>
      <c r="D114" t="s">
        <v>221</v>
      </c>
      <c r="E114" t="s">
        <v>2259</v>
      </c>
      <c r="F114" t="s">
        <v>224</v>
      </c>
      <c r="G114" s="77">
        <v>295</v>
      </c>
      <c r="H114" s="126">
        <v>34.700000000000003</v>
      </c>
      <c r="I114" s="124">
        <v>51.36</v>
      </c>
      <c r="J114" s="124">
        <v>164.71</v>
      </c>
      <c r="K114" s="77">
        <v>380</v>
      </c>
      <c r="L114" s="124">
        <v>596.07000000000005</v>
      </c>
    </row>
    <row r="115" spans="1:12" ht="15" customHeight="1" x14ac:dyDescent="0.25">
      <c r="A115" s="78">
        <v>45689</v>
      </c>
      <c r="B115" t="s">
        <v>366</v>
      </c>
      <c r="C115" t="s">
        <v>367</v>
      </c>
      <c r="D115" t="s">
        <v>221</v>
      </c>
      <c r="E115" t="s">
        <v>2295</v>
      </c>
      <c r="F115" t="s">
        <v>222</v>
      </c>
      <c r="G115" s="77">
        <v>1500</v>
      </c>
      <c r="H115" s="126">
        <v>142.9</v>
      </c>
      <c r="I115" s="124">
        <v>211.49</v>
      </c>
      <c r="J115" s="124">
        <v>249.12</v>
      </c>
      <c r="K115" s="77">
        <v>520</v>
      </c>
      <c r="L115" s="124">
        <v>980.61</v>
      </c>
    </row>
    <row r="116" spans="1:12" ht="15" customHeight="1" x14ac:dyDescent="0.25">
      <c r="A116" s="78">
        <v>45689</v>
      </c>
      <c r="B116" t="s">
        <v>366</v>
      </c>
      <c r="C116" t="s">
        <v>367</v>
      </c>
      <c r="D116" t="s">
        <v>221</v>
      </c>
      <c r="E116" t="s">
        <v>2296</v>
      </c>
      <c r="F116" t="s">
        <v>224</v>
      </c>
      <c r="G116" s="77">
        <v>1102</v>
      </c>
      <c r="H116" s="126">
        <v>129.6</v>
      </c>
      <c r="I116" s="124">
        <v>191.81</v>
      </c>
      <c r="J116" s="124">
        <v>110.67</v>
      </c>
      <c r="K116" s="77">
        <v>450</v>
      </c>
      <c r="L116" s="124">
        <v>752.48</v>
      </c>
    </row>
    <row r="117" spans="1:12" ht="15" customHeight="1" x14ac:dyDescent="0.25">
      <c r="A117" s="78">
        <v>45689</v>
      </c>
      <c r="B117" t="s">
        <v>366</v>
      </c>
      <c r="C117" t="s">
        <v>367</v>
      </c>
      <c r="D117" t="s">
        <v>221</v>
      </c>
      <c r="E117" t="s">
        <v>2297</v>
      </c>
      <c r="F117" t="s">
        <v>222</v>
      </c>
      <c r="G117" s="77">
        <v>1251</v>
      </c>
      <c r="H117" s="126">
        <v>119.1</v>
      </c>
      <c r="I117" s="124">
        <v>176.27</v>
      </c>
      <c r="J117" s="124">
        <v>72.12</v>
      </c>
      <c r="K117" s="77">
        <v>380</v>
      </c>
      <c r="L117" s="124">
        <v>628.39</v>
      </c>
    </row>
    <row r="118" spans="1:12" ht="15" customHeight="1" x14ac:dyDescent="0.25">
      <c r="A118" s="78">
        <v>45689</v>
      </c>
      <c r="B118" t="s">
        <v>362</v>
      </c>
      <c r="C118" t="s">
        <v>363</v>
      </c>
      <c r="D118" t="s">
        <v>221</v>
      </c>
      <c r="E118" t="s">
        <v>2271</v>
      </c>
      <c r="F118" t="s">
        <v>222</v>
      </c>
      <c r="G118" s="77">
        <v>1169</v>
      </c>
      <c r="H118" s="126">
        <v>111.3</v>
      </c>
      <c r="I118" s="124">
        <v>164.72</v>
      </c>
      <c r="J118" s="124">
        <v>190.44</v>
      </c>
      <c r="K118" s="77">
        <v>520</v>
      </c>
      <c r="L118" s="124">
        <v>875.16</v>
      </c>
    </row>
    <row r="119" spans="1:12" ht="15" customHeight="1" x14ac:dyDescent="0.25">
      <c r="A119" s="78">
        <v>45689</v>
      </c>
      <c r="B119" t="s">
        <v>362</v>
      </c>
      <c r="C119" t="s">
        <v>363</v>
      </c>
      <c r="D119" t="s">
        <v>221</v>
      </c>
      <c r="E119" t="s">
        <v>2259</v>
      </c>
      <c r="F119" t="s">
        <v>226</v>
      </c>
      <c r="G119" s="77">
        <v>1315</v>
      </c>
      <c r="H119" s="126">
        <v>125.2</v>
      </c>
      <c r="I119" s="124">
        <v>185.3</v>
      </c>
      <c r="J119" s="124">
        <v>370.77</v>
      </c>
      <c r="K119" s="77">
        <v>520</v>
      </c>
      <c r="L119" s="124">
        <v>1076.07</v>
      </c>
    </row>
    <row r="120" spans="1:12" ht="15" customHeight="1" x14ac:dyDescent="0.25">
      <c r="A120" s="78">
        <v>45689</v>
      </c>
      <c r="B120" t="s">
        <v>362</v>
      </c>
      <c r="C120" t="s">
        <v>363</v>
      </c>
      <c r="D120" t="s">
        <v>221</v>
      </c>
      <c r="E120" t="s">
        <v>2298</v>
      </c>
      <c r="F120" t="s">
        <v>222</v>
      </c>
      <c r="G120" s="77">
        <v>1148</v>
      </c>
      <c r="H120" s="126">
        <v>109.3</v>
      </c>
      <c r="I120" s="124">
        <v>161.76</v>
      </c>
      <c r="J120" s="124">
        <v>109.28</v>
      </c>
      <c r="K120" s="77">
        <v>320</v>
      </c>
      <c r="L120" s="124">
        <v>591.04</v>
      </c>
    </row>
    <row r="121" spans="1:12" ht="15" customHeight="1" x14ac:dyDescent="0.25">
      <c r="A121" s="78">
        <v>45689</v>
      </c>
      <c r="B121" t="s">
        <v>362</v>
      </c>
      <c r="C121" t="s">
        <v>363</v>
      </c>
      <c r="D121" t="s">
        <v>221</v>
      </c>
      <c r="E121" t="s">
        <v>2249</v>
      </c>
      <c r="F121" t="s">
        <v>222</v>
      </c>
      <c r="G121" s="77">
        <v>1043</v>
      </c>
      <c r="H121" s="126">
        <v>99.3</v>
      </c>
      <c r="I121" s="124">
        <v>146.96</v>
      </c>
      <c r="J121" s="124">
        <v>8.4700000000000006</v>
      </c>
      <c r="K121" s="77">
        <v>450</v>
      </c>
      <c r="L121" s="124">
        <v>605.42999999999995</v>
      </c>
    </row>
    <row r="122" spans="1:12" ht="15" customHeight="1" x14ac:dyDescent="0.25">
      <c r="A122" s="78">
        <v>45689</v>
      </c>
      <c r="B122" t="s">
        <v>362</v>
      </c>
      <c r="C122" t="s">
        <v>363</v>
      </c>
      <c r="D122" t="s">
        <v>221</v>
      </c>
      <c r="E122" t="s">
        <v>2299</v>
      </c>
      <c r="F122" t="s">
        <v>226</v>
      </c>
      <c r="G122" s="77">
        <v>876</v>
      </c>
      <c r="H122" s="126">
        <v>83.4</v>
      </c>
      <c r="I122" s="124">
        <v>123.43</v>
      </c>
      <c r="J122" s="124">
        <v>117.26</v>
      </c>
      <c r="K122" s="77">
        <v>380</v>
      </c>
      <c r="L122" s="124">
        <v>620.69000000000005</v>
      </c>
    </row>
    <row r="123" spans="1:12" ht="15" customHeight="1" x14ac:dyDescent="0.25">
      <c r="A123" s="78">
        <v>45689</v>
      </c>
      <c r="B123" t="s">
        <v>335</v>
      </c>
      <c r="C123" t="s">
        <v>336</v>
      </c>
      <c r="D123" t="s">
        <v>223</v>
      </c>
      <c r="E123" t="s">
        <v>2300</v>
      </c>
      <c r="F123" t="s">
        <v>224</v>
      </c>
      <c r="G123" s="77">
        <v>918</v>
      </c>
      <c r="H123" s="126">
        <v>108</v>
      </c>
      <c r="I123" s="124">
        <v>159.84</v>
      </c>
      <c r="J123" s="124">
        <v>162.19</v>
      </c>
      <c r="K123" s="77">
        <v>520</v>
      </c>
      <c r="L123" s="124">
        <v>842.03</v>
      </c>
    </row>
    <row r="124" spans="1:12" ht="15" customHeight="1" x14ac:dyDescent="0.25">
      <c r="A124" s="78">
        <v>45689</v>
      </c>
      <c r="B124" t="s">
        <v>335</v>
      </c>
      <c r="C124" t="s">
        <v>336</v>
      </c>
      <c r="D124" t="s">
        <v>223</v>
      </c>
      <c r="E124" t="s">
        <v>2230</v>
      </c>
      <c r="F124" t="s">
        <v>228</v>
      </c>
      <c r="G124" s="77">
        <v>844</v>
      </c>
      <c r="H124" s="126">
        <v>99.3</v>
      </c>
      <c r="I124" s="124">
        <v>146.96</v>
      </c>
      <c r="J124" s="124">
        <v>339.68</v>
      </c>
      <c r="K124" s="77">
        <v>450</v>
      </c>
      <c r="L124" s="124">
        <v>936.64</v>
      </c>
    </row>
    <row r="125" spans="1:12" ht="15" customHeight="1" x14ac:dyDescent="0.25">
      <c r="A125" s="78">
        <v>45689</v>
      </c>
      <c r="B125" t="s">
        <v>335</v>
      </c>
      <c r="C125" t="s">
        <v>336</v>
      </c>
      <c r="D125" t="s">
        <v>223</v>
      </c>
      <c r="E125" t="s">
        <v>2301</v>
      </c>
      <c r="F125" t="s">
        <v>224</v>
      </c>
      <c r="G125" s="77">
        <v>1050</v>
      </c>
      <c r="H125" s="126">
        <v>123.5</v>
      </c>
      <c r="I125" s="124">
        <v>182.78</v>
      </c>
      <c r="J125" s="124">
        <v>149.26</v>
      </c>
      <c r="K125" s="77">
        <v>450</v>
      </c>
      <c r="L125" s="124">
        <v>782.04</v>
      </c>
    </row>
    <row r="126" spans="1:12" ht="15" customHeight="1" x14ac:dyDescent="0.25">
      <c r="A126" s="78">
        <v>45689</v>
      </c>
      <c r="B126" t="s">
        <v>335</v>
      </c>
      <c r="C126" t="s">
        <v>336</v>
      </c>
      <c r="D126" t="s">
        <v>223</v>
      </c>
      <c r="E126" t="s">
        <v>2288</v>
      </c>
      <c r="F126" t="s">
        <v>228</v>
      </c>
      <c r="G126" s="77">
        <v>968</v>
      </c>
      <c r="H126" s="126">
        <v>113.9</v>
      </c>
      <c r="I126" s="124">
        <v>168.57</v>
      </c>
      <c r="J126" s="124">
        <v>262.42</v>
      </c>
      <c r="K126" s="77">
        <v>520</v>
      </c>
      <c r="L126" s="124">
        <v>950.99</v>
      </c>
    </row>
    <row r="127" spans="1:12" ht="15" customHeight="1" x14ac:dyDescent="0.25">
      <c r="A127" s="78">
        <v>45689</v>
      </c>
      <c r="B127" t="s">
        <v>386</v>
      </c>
      <c r="C127" t="s">
        <v>387</v>
      </c>
      <c r="D127" t="s">
        <v>223</v>
      </c>
      <c r="E127" t="s">
        <v>2249</v>
      </c>
      <c r="F127" t="s">
        <v>224</v>
      </c>
      <c r="G127" s="77">
        <v>1256</v>
      </c>
      <c r="H127" s="126">
        <v>147.80000000000001</v>
      </c>
      <c r="I127" s="124">
        <v>218.74</v>
      </c>
      <c r="J127" s="124">
        <v>80.63</v>
      </c>
      <c r="K127" s="77">
        <v>320</v>
      </c>
      <c r="L127" s="124">
        <v>619.37</v>
      </c>
    </row>
    <row r="128" spans="1:12" ht="15" customHeight="1" x14ac:dyDescent="0.25">
      <c r="A128" s="78">
        <v>45689</v>
      </c>
      <c r="B128" t="s">
        <v>386</v>
      </c>
      <c r="C128" t="s">
        <v>387</v>
      </c>
      <c r="D128" t="s">
        <v>223</v>
      </c>
      <c r="E128" t="s">
        <v>2301</v>
      </c>
      <c r="F128" t="s">
        <v>228</v>
      </c>
      <c r="G128" s="77">
        <v>885</v>
      </c>
      <c r="H128" s="126">
        <v>104.1</v>
      </c>
      <c r="I128" s="124">
        <v>154.07</v>
      </c>
      <c r="J128" s="124">
        <v>225.7</v>
      </c>
      <c r="K128" s="77">
        <v>320</v>
      </c>
      <c r="L128" s="124">
        <v>699.77</v>
      </c>
    </row>
    <row r="129" spans="1:12" ht="15" customHeight="1" x14ac:dyDescent="0.25">
      <c r="A129" s="78">
        <v>45689</v>
      </c>
      <c r="B129" t="s">
        <v>386</v>
      </c>
      <c r="C129" t="s">
        <v>387</v>
      </c>
      <c r="D129" t="s">
        <v>223</v>
      </c>
      <c r="E129" t="s">
        <v>2288</v>
      </c>
      <c r="F129" t="s">
        <v>226</v>
      </c>
      <c r="G129" s="77">
        <v>713</v>
      </c>
      <c r="H129" s="126">
        <v>67.900000000000006</v>
      </c>
      <c r="I129" s="124">
        <v>100.49</v>
      </c>
      <c r="J129" s="124">
        <v>84.46</v>
      </c>
      <c r="K129" s="77">
        <v>520</v>
      </c>
      <c r="L129" s="124">
        <v>704.95</v>
      </c>
    </row>
    <row r="130" spans="1:12" ht="15" customHeight="1" x14ac:dyDescent="0.25">
      <c r="A130" s="78">
        <v>45689</v>
      </c>
      <c r="B130" t="s">
        <v>341</v>
      </c>
      <c r="C130" t="s">
        <v>342</v>
      </c>
      <c r="D130" t="s">
        <v>223</v>
      </c>
      <c r="E130" t="s">
        <v>2302</v>
      </c>
      <c r="F130" t="s">
        <v>226</v>
      </c>
      <c r="G130" s="77">
        <v>930</v>
      </c>
      <c r="H130" s="126">
        <v>88.6</v>
      </c>
      <c r="I130" s="124">
        <v>131.13</v>
      </c>
      <c r="J130" s="124">
        <v>219.95</v>
      </c>
      <c r="K130" s="77">
        <v>520</v>
      </c>
      <c r="L130" s="124">
        <v>871.08</v>
      </c>
    </row>
    <row r="131" spans="1:12" ht="15" customHeight="1" x14ac:dyDescent="0.25">
      <c r="A131" s="78">
        <v>45689</v>
      </c>
      <c r="B131" t="s">
        <v>341</v>
      </c>
      <c r="C131" t="s">
        <v>342</v>
      </c>
      <c r="D131" t="s">
        <v>223</v>
      </c>
      <c r="E131" t="s">
        <v>2303</v>
      </c>
      <c r="F131" t="s">
        <v>228</v>
      </c>
      <c r="G131" s="77">
        <v>1115</v>
      </c>
      <c r="H131" s="126">
        <v>131.19999999999999</v>
      </c>
      <c r="I131" s="124">
        <v>194.18</v>
      </c>
      <c r="J131" s="124">
        <v>265.49</v>
      </c>
      <c r="K131" s="77">
        <v>380</v>
      </c>
      <c r="L131" s="124">
        <v>839.67</v>
      </c>
    </row>
    <row r="132" spans="1:12" ht="15" customHeight="1" x14ac:dyDescent="0.25">
      <c r="A132" s="78">
        <v>45689</v>
      </c>
      <c r="B132" t="s">
        <v>341</v>
      </c>
      <c r="C132" t="s">
        <v>342</v>
      </c>
      <c r="D132" t="s">
        <v>223</v>
      </c>
      <c r="E132" t="s">
        <v>2304</v>
      </c>
      <c r="F132" t="s">
        <v>222</v>
      </c>
      <c r="G132" s="77">
        <v>1262</v>
      </c>
      <c r="H132" s="126">
        <v>120.2</v>
      </c>
      <c r="I132" s="124">
        <v>177.9</v>
      </c>
      <c r="J132" s="124">
        <v>139.01</v>
      </c>
      <c r="K132" s="77">
        <v>380</v>
      </c>
      <c r="L132" s="124">
        <v>696.91</v>
      </c>
    </row>
    <row r="133" spans="1:12" ht="15" customHeight="1" x14ac:dyDescent="0.25">
      <c r="A133" s="78">
        <v>45689</v>
      </c>
      <c r="B133" t="s">
        <v>341</v>
      </c>
      <c r="C133" t="s">
        <v>342</v>
      </c>
      <c r="D133" t="s">
        <v>223</v>
      </c>
      <c r="E133" t="s">
        <v>2236</v>
      </c>
      <c r="F133" t="s">
        <v>224</v>
      </c>
      <c r="G133" s="77">
        <v>1147</v>
      </c>
      <c r="H133" s="126">
        <v>134.9</v>
      </c>
      <c r="I133" s="124">
        <v>199.65</v>
      </c>
      <c r="J133" s="124">
        <v>141.74</v>
      </c>
      <c r="K133" s="77">
        <v>320</v>
      </c>
      <c r="L133" s="124">
        <v>661.39</v>
      </c>
    </row>
    <row r="134" spans="1:12" ht="15" customHeight="1" x14ac:dyDescent="0.25">
      <c r="A134" s="78">
        <v>45689</v>
      </c>
      <c r="B134" t="s">
        <v>347</v>
      </c>
      <c r="C134" t="s">
        <v>348</v>
      </c>
      <c r="D134" t="s">
        <v>223</v>
      </c>
      <c r="E134" t="s">
        <v>2305</v>
      </c>
      <c r="F134" t="s">
        <v>228</v>
      </c>
      <c r="G134" s="77">
        <v>1116</v>
      </c>
      <c r="H134" s="126">
        <v>131.30000000000001</v>
      </c>
      <c r="I134" s="124">
        <v>194.32</v>
      </c>
      <c r="J134" s="124">
        <v>203.38</v>
      </c>
      <c r="K134" s="77">
        <v>450</v>
      </c>
      <c r="L134" s="124">
        <v>847.7</v>
      </c>
    </row>
    <row r="135" spans="1:12" ht="15" customHeight="1" x14ac:dyDescent="0.25">
      <c r="A135" s="78">
        <v>45689</v>
      </c>
      <c r="B135" t="s">
        <v>347</v>
      </c>
      <c r="C135" t="s">
        <v>348</v>
      </c>
      <c r="D135" t="s">
        <v>223</v>
      </c>
      <c r="E135" t="s">
        <v>2258</v>
      </c>
      <c r="F135" t="s">
        <v>224</v>
      </c>
      <c r="G135" s="77">
        <v>440</v>
      </c>
      <c r="H135" s="126">
        <v>51.8</v>
      </c>
      <c r="I135" s="124">
        <v>76.66</v>
      </c>
      <c r="J135" s="124">
        <v>139.26</v>
      </c>
      <c r="K135" s="77">
        <v>520</v>
      </c>
      <c r="L135" s="124">
        <v>735.92</v>
      </c>
    </row>
    <row r="136" spans="1:12" ht="15" customHeight="1" x14ac:dyDescent="0.25">
      <c r="A136" s="78">
        <v>45689</v>
      </c>
      <c r="B136" t="s">
        <v>347</v>
      </c>
      <c r="C136" t="s">
        <v>348</v>
      </c>
      <c r="D136" t="s">
        <v>223</v>
      </c>
      <c r="E136" t="s">
        <v>2257</v>
      </c>
      <c r="F136" t="s">
        <v>228</v>
      </c>
      <c r="G136" s="77">
        <v>1405</v>
      </c>
      <c r="H136" s="126">
        <v>165.3</v>
      </c>
      <c r="I136" s="124">
        <v>244.64</v>
      </c>
      <c r="J136" s="124">
        <v>324.10000000000002</v>
      </c>
      <c r="K136" s="77">
        <v>450</v>
      </c>
      <c r="L136" s="124">
        <v>1018.74</v>
      </c>
    </row>
    <row r="137" spans="1:12" ht="15" customHeight="1" x14ac:dyDescent="0.25">
      <c r="A137" s="78">
        <v>45689</v>
      </c>
      <c r="B137" t="s">
        <v>347</v>
      </c>
      <c r="C137" t="s">
        <v>348</v>
      </c>
      <c r="D137" t="s">
        <v>223</v>
      </c>
      <c r="E137" t="s">
        <v>2306</v>
      </c>
      <c r="F137" t="s">
        <v>226</v>
      </c>
      <c r="G137" s="77">
        <v>1291</v>
      </c>
      <c r="H137" s="126">
        <v>123</v>
      </c>
      <c r="I137" s="124">
        <v>182.04</v>
      </c>
      <c r="J137" s="124">
        <v>248.89</v>
      </c>
      <c r="K137" s="77">
        <v>320</v>
      </c>
      <c r="L137" s="124">
        <v>750.93</v>
      </c>
    </row>
    <row r="138" spans="1:12" ht="15" customHeight="1" x14ac:dyDescent="0.25">
      <c r="A138" s="78">
        <v>45689</v>
      </c>
      <c r="B138" t="s">
        <v>347</v>
      </c>
      <c r="C138" t="s">
        <v>348</v>
      </c>
      <c r="D138" t="s">
        <v>223</v>
      </c>
      <c r="E138" t="s">
        <v>2272</v>
      </c>
      <c r="F138" t="s">
        <v>228</v>
      </c>
      <c r="G138" s="77">
        <v>1072</v>
      </c>
      <c r="H138" s="126">
        <v>126.1</v>
      </c>
      <c r="I138" s="124">
        <v>186.63</v>
      </c>
      <c r="J138" s="124">
        <v>265.79000000000002</v>
      </c>
      <c r="K138" s="77">
        <v>320</v>
      </c>
      <c r="L138" s="124">
        <v>772.42</v>
      </c>
    </row>
    <row r="139" spans="1:12" ht="15" customHeight="1" x14ac:dyDescent="0.25">
      <c r="A139" s="78">
        <v>45689</v>
      </c>
      <c r="B139" t="s">
        <v>409</v>
      </c>
      <c r="C139" t="s">
        <v>410</v>
      </c>
      <c r="D139" t="s">
        <v>223</v>
      </c>
      <c r="E139" t="s">
        <v>2267</v>
      </c>
      <c r="F139" t="s">
        <v>226</v>
      </c>
      <c r="G139" s="77">
        <v>895</v>
      </c>
      <c r="H139" s="126">
        <v>85.2</v>
      </c>
      <c r="I139" s="124">
        <v>126.1</v>
      </c>
      <c r="J139" s="124">
        <v>124.71</v>
      </c>
      <c r="K139" s="77">
        <v>520</v>
      </c>
      <c r="L139" s="124">
        <v>770.81</v>
      </c>
    </row>
    <row r="140" spans="1:12" ht="15" customHeight="1" x14ac:dyDescent="0.25">
      <c r="A140" s="78">
        <v>45689</v>
      </c>
      <c r="B140" t="s">
        <v>409</v>
      </c>
      <c r="C140" t="s">
        <v>410</v>
      </c>
      <c r="D140" t="s">
        <v>223</v>
      </c>
      <c r="E140" t="s">
        <v>2307</v>
      </c>
      <c r="F140" t="s">
        <v>226</v>
      </c>
      <c r="G140" s="77">
        <v>1203</v>
      </c>
      <c r="H140" s="126">
        <v>114.6</v>
      </c>
      <c r="I140" s="124">
        <v>169.61</v>
      </c>
      <c r="J140" s="124">
        <v>246.31</v>
      </c>
      <c r="K140" s="77">
        <v>450</v>
      </c>
      <c r="L140" s="124">
        <v>865.92</v>
      </c>
    </row>
    <row r="141" spans="1:12" ht="15" customHeight="1" x14ac:dyDescent="0.25">
      <c r="A141" s="78">
        <v>45689</v>
      </c>
      <c r="B141" t="s">
        <v>409</v>
      </c>
      <c r="C141" t="s">
        <v>410</v>
      </c>
      <c r="D141" t="s">
        <v>223</v>
      </c>
      <c r="E141" t="s">
        <v>2308</v>
      </c>
      <c r="F141" t="s">
        <v>226</v>
      </c>
      <c r="G141" s="77">
        <v>1015</v>
      </c>
      <c r="H141" s="126">
        <v>96.7</v>
      </c>
      <c r="I141" s="124">
        <v>143.12</v>
      </c>
      <c r="J141" s="124">
        <v>113.98</v>
      </c>
      <c r="K141" s="77">
        <v>450</v>
      </c>
      <c r="L141" s="124">
        <v>707.1</v>
      </c>
    </row>
    <row r="142" spans="1:12" ht="15" customHeight="1" x14ac:dyDescent="0.25">
      <c r="A142" s="78">
        <v>45689</v>
      </c>
      <c r="B142" t="s">
        <v>409</v>
      </c>
      <c r="C142" t="s">
        <v>410</v>
      </c>
      <c r="D142" t="s">
        <v>223</v>
      </c>
      <c r="E142" t="s">
        <v>2283</v>
      </c>
      <c r="F142" t="s">
        <v>224</v>
      </c>
      <c r="G142" s="77">
        <v>1050</v>
      </c>
      <c r="H142" s="126">
        <v>123.5</v>
      </c>
      <c r="I142" s="124">
        <v>182.78</v>
      </c>
      <c r="J142" s="124">
        <v>198.1</v>
      </c>
      <c r="K142" s="77">
        <v>450</v>
      </c>
      <c r="L142" s="124">
        <v>830.88</v>
      </c>
    </row>
    <row r="143" spans="1:12" ht="15" customHeight="1" x14ac:dyDescent="0.25">
      <c r="A143" s="78">
        <v>45689</v>
      </c>
      <c r="B143" t="s">
        <v>409</v>
      </c>
      <c r="C143" t="s">
        <v>410</v>
      </c>
      <c r="D143" t="s">
        <v>223</v>
      </c>
      <c r="E143" t="s">
        <v>2298</v>
      </c>
      <c r="F143" t="s">
        <v>222</v>
      </c>
      <c r="G143" s="77">
        <v>689</v>
      </c>
      <c r="H143" s="126">
        <v>65.599999999999994</v>
      </c>
      <c r="I143" s="124">
        <v>97.09</v>
      </c>
      <c r="J143" s="124">
        <v>0</v>
      </c>
      <c r="K143" s="77">
        <v>450</v>
      </c>
      <c r="L143" s="124">
        <v>547.09</v>
      </c>
    </row>
    <row r="144" spans="1:12" ht="15" customHeight="1" x14ac:dyDescent="0.25">
      <c r="A144" s="78">
        <v>45689</v>
      </c>
      <c r="B144" t="s">
        <v>409</v>
      </c>
      <c r="C144" t="s">
        <v>410</v>
      </c>
      <c r="D144" t="s">
        <v>223</v>
      </c>
      <c r="E144" t="s">
        <v>2304</v>
      </c>
      <c r="F144" t="s">
        <v>222</v>
      </c>
      <c r="G144" s="77">
        <v>912</v>
      </c>
      <c r="H144" s="126">
        <v>86.9</v>
      </c>
      <c r="I144" s="124">
        <v>128.61000000000001</v>
      </c>
      <c r="J144" s="124">
        <v>52.34</v>
      </c>
      <c r="K144" s="77">
        <v>520</v>
      </c>
      <c r="L144" s="124">
        <v>700.95</v>
      </c>
    </row>
    <row r="145" spans="1:12" ht="15" customHeight="1" x14ac:dyDescent="0.25">
      <c r="A145" s="78">
        <v>45689</v>
      </c>
      <c r="B145" t="s">
        <v>488</v>
      </c>
      <c r="C145" t="s">
        <v>489</v>
      </c>
      <c r="D145" t="s">
        <v>225</v>
      </c>
      <c r="E145" t="s">
        <v>2253</v>
      </c>
      <c r="F145" t="s">
        <v>222</v>
      </c>
      <c r="G145" s="77">
        <v>922</v>
      </c>
      <c r="H145" s="126">
        <v>87.8</v>
      </c>
      <c r="I145" s="124">
        <v>129.94</v>
      </c>
      <c r="J145" s="124">
        <v>138.18</v>
      </c>
      <c r="K145" s="77">
        <v>520</v>
      </c>
      <c r="L145" s="124">
        <v>788.12</v>
      </c>
    </row>
    <row r="146" spans="1:12" ht="15" customHeight="1" x14ac:dyDescent="0.25">
      <c r="A146" s="78">
        <v>45689</v>
      </c>
      <c r="B146" t="s">
        <v>488</v>
      </c>
      <c r="C146" t="s">
        <v>489</v>
      </c>
      <c r="D146" t="s">
        <v>225</v>
      </c>
      <c r="E146" t="s">
        <v>2255</v>
      </c>
      <c r="F146" t="s">
        <v>228</v>
      </c>
      <c r="G146" s="77">
        <v>936</v>
      </c>
      <c r="H146" s="126">
        <v>110.1</v>
      </c>
      <c r="I146" s="124">
        <v>162.94999999999999</v>
      </c>
      <c r="J146" s="124">
        <v>366.2</v>
      </c>
      <c r="K146" s="77">
        <v>320</v>
      </c>
      <c r="L146" s="124">
        <v>849.15</v>
      </c>
    </row>
    <row r="147" spans="1:12" ht="15" customHeight="1" x14ac:dyDescent="0.25">
      <c r="A147" s="78">
        <v>45689</v>
      </c>
      <c r="B147" t="s">
        <v>488</v>
      </c>
      <c r="C147" t="s">
        <v>489</v>
      </c>
      <c r="D147" t="s">
        <v>225</v>
      </c>
      <c r="E147" t="s">
        <v>2225</v>
      </c>
      <c r="F147" t="s">
        <v>224</v>
      </c>
      <c r="G147" s="77">
        <v>1131</v>
      </c>
      <c r="H147" s="126">
        <v>133.1</v>
      </c>
      <c r="I147" s="124">
        <v>196.99</v>
      </c>
      <c r="J147" s="124">
        <v>174.04</v>
      </c>
      <c r="K147" s="77">
        <v>450</v>
      </c>
      <c r="L147" s="124">
        <v>821.03</v>
      </c>
    </row>
    <row r="148" spans="1:12" ht="15" customHeight="1" x14ac:dyDescent="0.25">
      <c r="A148" s="78">
        <v>45689</v>
      </c>
      <c r="B148" t="s">
        <v>406</v>
      </c>
      <c r="C148" t="s">
        <v>407</v>
      </c>
      <c r="D148" t="s">
        <v>225</v>
      </c>
      <c r="E148" t="s">
        <v>2266</v>
      </c>
      <c r="F148" t="s">
        <v>228</v>
      </c>
      <c r="G148" s="77">
        <v>1205</v>
      </c>
      <c r="H148" s="126">
        <v>141.80000000000001</v>
      </c>
      <c r="I148" s="124">
        <v>209.86</v>
      </c>
      <c r="J148" s="124">
        <v>158.88999999999999</v>
      </c>
      <c r="K148" s="77">
        <v>450</v>
      </c>
      <c r="L148" s="124">
        <v>818.75</v>
      </c>
    </row>
    <row r="149" spans="1:12" ht="15" customHeight="1" x14ac:dyDescent="0.25">
      <c r="A149" s="78">
        <v>45689</v>
      </c>
      <c r="B149" t="s">
        <v>406</v>
      </c>
      <c r="C149" t="s">
        <v>407</v>
      </c>
      <c r="D149" t="s">
        <v>225</v>
      </c>
      <c r="E149" t="s">
        <v>2309</v>
      </c>
      <c r="F149" t="s">
        <v>226</v>
      </c>
      <c r="G149" s="77">
        <v>1309</v>
      </c>
      <c r="H149" s="126">
        <v>124.7</v>
      </c>
      <c r="I149" s="124">
        <v>184.56</v>
      </c>
      <c r="J149" s="124">
        <v>143.94</v>
      </c>
      <c r="K149" s="77">
        <v>320</v>
      </c>
      <c r="L149" s="124">
        <v>648.5</v>
      </c>
    </row>
    <row r="150" spans="1:12" ht="15" customHeight="1" x14ac:dyDescent="0.25">
      <c r="A150" s="78">
        <v>45689</v>
      </c>
      <c r="B150" t="s">
        <v>406</v>
      </c>
      <c r="C150" t="s">
        <v>407</v>
      </c>
      <c r="D150" t="s">
        <v>225</v>
      </c>
      <c r="E150" t="s">
        <v>2238</v>
      </c>
      <c r="F150" t="s">
        <v>228</v>
      </c>
      <c r="G150" s="77">
        <v>1217</v>
      </c>
      <c r="H150" s="126">
        <v>143.19999999999999</v>
      </c>
      <c r="I150" s="124">
        <v>211.94</v>
      </c>
      <c r="J150" s="124">
        <v>164.25</v>
      </c>
      <c r="K150" s="77">
        <v>380</v>
      </c>
      <c r="L150" s="124">
        <v>756.19</v>
      </c>
    </row>
    <row r="151" spans="1:12" ht="15" customHeight="1" x14ac:dyDescent="0.25">
      <c r="A151" s="78">
        <v>45689</v>
      </c>
      <c r="B151" t="s">
        <v>358</v>
      </c>
      <c r="C151" t="s">
        <v>359</v>
      </c>
      <c r="D151" t="s">
        <v>225</v>
      </c>
      <c r="E151" t="s">
        <v>2286</v>
      </c>
      <c r="F151" t="s">
        <v>222</v>
      </c>
      <c r="G151" s="77">
        <v>661</v>
      </c>
      <c r="H151" s="126">
        <v>63</v>
      </c>
      <c r="I151" s="124">
        <v>93.24</v>
      </c>
      <c r="J151" s="124">
        <v>215.43</v>
      </c>
      <c r="K151" s="77">
        <v>520</v>
      </c>
      <c r="L151" s="124">
        <v>828.67</v>
      </c>
    </row>
    <row r="152" spans="1:12" ht="15" customHeight="1" x14ac:dyDescent="0.25">
      <c r="A152" s="78">
        <v>45689</v>
      </c>
      <c r="B152" t="s">
        <v>358</v>
      </c>
      <c r="C152" t="s">
        <v>359</v>
      </c>
      <c r="D152" t="s">
        <v>225</v>
      </c>
      <c r="E152" t="s">
        <v>2310</v>
      </c>
      <c r="F152" t="s">
        <v>228</v>
      </c>
      <c r="G152" s="77">
        <v>1144</v>
      </c>
      <c r="H152" s="126">
        <v>134.6</v>
      </c>
      <c r="I152" s="124">
        <v>199.21</v>
      </c>
      <c r="J152" s="124">
        <v>177.84</v>
      </c>
      <c r="K152" s="77">
        <v>380</v>
      </c>
      <c r="L152" s="124">
        <v>757.05</v>
      </c>
    </row>
    <row r="153" spans="1:12" ht="15" customHeight="1" x14ac:dyDescent="0.25">
      <c r="A153" s="78">
        <v>45689</v>
      </c>
      <c r="B153" t="s">
        <v>358</v>
      </c>
      <c r="C153" t="s">
        <v>359</v>
      </c>
      <c r="D153" t="s">
        <v>225</v>
      </c>
      <c r="E153" t="s">
        <v>2311</v>
      </c>
      <c r="F153" t="s">
        <v>224</v>
      </c>
      <c r="G153" s="77">
        <v>832</v>
      </c>
      <c r="H153" s="126">
        <v>97.9</v>
      </c>
      <c r="I153" s="124">
        <v>144.88999999999999</v>
      </c>
      <c r="J153" s="124">
        <v>240.03</v>
      </c>
      <c r="K153" s="77">
        <v>520</v>
      </c>
      <c r="L153" s="124">
        <v>904.92</v>
      </c>
    </row>
    <row r="154" spans="1:12" ht="15" customHeight="1" x14ac:dyDescent="0.25">
      <c r="A154" s="78">
        <v>45689</v>
      </c>
      <c r="B154" t="s">
        <v>358</v>
      </c>
      <c r="C154" t="s">
        <v>359</v>
      </c>
      <c r="D154" t="s">
        <v>225</v>
      </c>
      <c r="E154" t="s">
        <v>2239</v>
      </c>
      <c r="F154" t="s">
        <v>224</v>
      </c>
      <c r="G154" s="77">
        <v>752</v>
      </c>
      <c r="H154" s="126">
        <v>88.5</v>
      </c>
      <c r="I154" s="124">
        <v>130.97999999999999</v>
      </c>
      <c r="J154" s="124">
        <v>281.41000000000003</v>
      </c>
      <c r="K154" s="77">
        <v>320</v>
      </c>
      <c r="L154" s="124">
        <v>732.39</v>
      </c>
    </row>
    <row r="155" spans="1:12" ht="15" customHeight="1" x14ac:dyDescent="0.25">
      <c r="A155" s="78">
        <v>45689</v>
      </c>
      <c r="B155" t="s">
        <v>383</v>
      </c>
      <c r="C155" t="s">
        <v>384</v>
      </c>
      <c r="D155" t="s">
        <v>225</v>
      </c>
      <c r="E155" t="s">
        <v>2301</v>
      </c>
      <c r="F155" t="s">
        <v>226</v>
      </c>
      <c r="G155" s="77">
        <v>824</v>
      </c>
      <c r="H155" s="126">
        <v>78.5</v>
      </c>
      <c r="I155" s="124">
        <v>116.18</v>
      </c>
      <c r="J155" s="124">
        <v>201.07</v>
      </c>
      <c r="K155" s="77">
        <v>380</v>
      </c>
      <c r="L155" s="124">
        <v>697.25</v>
      </c>
    </row>
    <row r="156" spans="1:12" ht="15" customHeight="1" x14ac:dyDescent="0.25">
      <c r="A156" s="78">
        <v>45689</v>
      </c>
      <c r="B156" t="s">
        <v>383</v>
      </c>
      <c r="C156" t="s">
        <v>384</v>
      </c>
      <c r="D156" t="s">
        <v>225</v>
      </c>
      <c r="E156" t="s">
        <v>2245</v>
      </c>
      <c r="F156" t="s">
        <v>228</v>
      </c>
      <c r="G156" s="77">
        <v>967</v>
      </c>
      <c r="H156" s="126">
        <v>113.8</v>
      </c>
      <c r="I156" s="124">
        <v>168.42</v>
      </c>
      <c r="J156" s="124">
        <v>298.25</v>
      </c>
      <c r="K156" s="77">
        <v>380</v>
      </c>
      <c r="L156" s="124">
        <v>846.67</v>
      </c>
    </row>
    <row r="157" spans="1:12" ht="15" customHeight="1" x14ac:dyDescent="0.25">
      <c r="A157" s="78">
        <v>45689</v>
      </c>
      <c r="B157" t="s">
        <v>383</v>
      </c>
      <c r="C157" t="s">
        <v>384</v>
      </c>
      <c r="D157" t="s">
        <v>225</v>
      </c>
      <c r="E157" t="s">
        <v>2306</v>
      </c>
      <c r="F157" t="s">
        <v>224</v>
      </c>
      <c r="G157" s="77">
        <v>913</v>
      </c>
      <c r="H157" s="126">
        <v>107.4</v>
      </c>
      <c r="I157" s="124">
        <v>158.94999999999999</v>
      </c>
      <c r="J157" s="124">
        <v>136.97999999999999</v>
      </c>
      <c r="K157" s="77">
        <v>380</v>
      </c>
      <c r="L157" s="124">
        <v>675.93</v>
      </c>
    </row>
    <row r="158" spans="1:12" ht="15" customHeight="1" x14ac:dyDescent="0.25">
      <c r="A158" s="78">
        <v>45689</v>
      </c>
      <c r="B158" t="s">
        <v>383</v>
      </c>
      <c r="C158" t="s">
        <v>384</v>
      </c>
      <c r="D158" t="s">
        <v>225</v>
      </c>
      <c r="E158" t="s">
        <v>2312</v>
      </c>
      <c r="F158" t="s">
        <v>228</v>
      </c>
      <c r="G158" s="77">
        <v>1060</v>
      </c>
      <c r="H158" s="126">
        <v>124.7</v>
      </c>
      <c r="I158" s="124">
        <v>184.56</v>
      </c>
      <c r="J158" s="124">
        <v>169.83</v>
      </c>
      <c r="K158" s="77">
        <v>450</v>
      </c>
      <c r="L158" s="124">
        <v>804.39</v>
      </c>
    </row>
    <row r="159" spans="1:12" ht="15" customHeight="1" x14ac:dyDescent="0.25">
      <c r="A159" s="78">
        <v>45689</v>
      </c>
      <c r="B159" t="s">
        <v>383</v>
      </c>
      <c r="C159" t="s">
        <v>384</v>
      </c>
      <c r="D159" t="s">
        <v>225</v>
      </c>
      <c r="E159" t="s">
        <v>2279</v>
      </c>
      <c r="F159" t="s">
        <v>222</v>
      </c>
      <c r="G159" s="77">
        <v>1235</v>
      </c>
      <c r="H159" s="126">
        <v>117.6</v>
      </c>
      <c r="I159" s="124">
        <v>174.05</v>
      </c>
      <c r="J159" s="124">
        <v>108.94</v>
      </c>
      <c r="K159" s="77">
        <v>450</v>
      </c>
      <c r="L159" s="124">
        <v>732.99</v>
      </c>
    </row>
    <row r="160" spans="1:12" ht="15" customHeight="1" x14ac:dyDescent="0.25">
      <c r="A160" s="78">
        <v>45689</v>
      </c>
      <c r="B160" t="s">
        <v>373</v>
      </c>
      <c r="C160" t="s">
        <v>374</v>
      </c>
      <c r="D160" t="s">
        <v>225</v>
      </c>
      <c r="E160" t="s">
        <v>2261</v>
      </c>
      <c r="F160" t="s">
        <v>224</v>
      </c>
      <c r="G160" s="77">
        <v>992</v>
      </c>
      <c r="H160" s="126">
        <v>116.7</v>
      </c>
      <c r="I160" s="124">
        <v>172.72</v>
      </c>
      <c r="J160" s="124">
        <v>70.45</v>
      </c>
      <c r="K160" s="77">
        <v>450</v>
      </c>
      <c r="L160" s="124">
        <v>693.17</v>
      </c>
    </row>
    <row r="161" spans="1:12" ht="15" customHeight="1" x14ac:dyDescent="0.25">
      <c r="A161" s="78">
        <v>45689</v>
      </c>
      <c r="B161" t="s">
        <v>373</v>
      </c>
      <c r="C161" t="s">
        <v>374</v>
      </c>
      <c r="D161" t="s">
        <v>225</v>
      </c>
      <c r="E161" t="s">
        <v>2305</v>
      </c>
      <c r="F161" t="s">
        <v>228</v>
      </c>
      <c r="G161" s="77">
        <v>409</v>
      </c>
      <c r="H161" s="126">
        <v>48.1</v>
      </c>
      <c r="I161" s="124">
        <v>71.19</v>
      </c>
      <c r="J161" s="124">
        <v>234.72</v>
      </c>
      <c r="K161" s="77">
        <v>520</v>
      </c>
      <c r="L161" s="124">
        <v>825.91</v>
      </c>
    </row>
    <row r="162" spans="1:12" ht="15" customHeight="1" x14ac:dyDescent="0.25">
      <c r="A162" s="78">
        <v>45689</v>
      </c>
      <c r="B162" t="s">
        <v>373</v>
      </c>
      <c r="C162" t="s">
        <v>374</v>
      </c>
      <c r="D162" t="s">
        <v>225</v>
      </c>
      <c r="E162" t="s">
        <v>2313</v>
      </c>
      <c r="F162" t="s">
        <v>228</v>
      </c>
      <c r="G162" s="77">
        <v>1653</v>
      </c>
      <c r="H162" s="126">
        <v>194.5</v>
      </c>
      <c r="I162" s="124">
        <v>287.86</v>
      </c>
      <c r="J162" s="124">
        <v>312.77</v>
      </c>
      <c r="K162" s="77">
        <v>520</v>
      </c>
      <c r="L162" s="124">
        <v>1120.6300000000001</v>
      </c>
    </row>
    <row r="163" spans="1:12" ht="15" customHeight="1" x14ac:dyDescent="0.25">
      <c r="A163" s="78">
        <v>45689</v>
      </c>
      <c r="B163" t="s">
        <v>373</v>
      </c>
      <c r="C163" t="s">
        <v>374</v>
      </c>
      <c r="D163" t="s">
        <v>225</v>
      </c>
      <c r="E163" t="s">
        <v>2314</v>
      </c>
      <c r="F163" t="s">
        <v>224</v>
      </c>
      <c r="G163" s="77">
        <v>1045</v>
      </c>
      <c r="H163" s="126">
        <v>122.9</v>
      </c>
      <c r="I163" s="124">
        <v>181.89</v>
      </c>
      <c r="J163" s="124">
        <v>128.97</v>
      </c>
      <c r="K163" s="77">
        <v>520</v>
      </c>
      <c r="L163" s="124">
        <v>830.86</v>
      </c>
    </row>
    <row r="164" spans="1:12" ht="15" customHeight="1" x14ac:dyDescent="0.25">
      <c r="A164" s="78">
        <v>45689</v>
      </c>
      <c r="B164" t="s">
        <v>373</v>
      </c>
      <c r="C164" t="s">
        <v>374</v>
      </c>
      <c r="D164" t="s">
        <v>225</v>
      </c>
      <c r="E164" t="s">
        <v>2312</v>
      </c>
      <c r="F164" t="s">
        <v>224</v>
      </c>
      <c r="G164" s="77">
        <v>1055</v>
      </c>
      <c r="H164" s="126">
        <v>124.1</v>
      </c>
      <c r="I164" s="124">
        <v>183.67</v>
      </c>
      <c r="J164" s="124">
        <v>193.77</v>
      </c>
      <c r="K164" s="77">
        <v>520</v>
      </c>
      <c r="L164" s="124">
        <v>897.44</v>
      </c>
    </row>
    <row r="165" spans="1:12" ht="15" customHeight="1" x14ac:dyDescent="0.25">
      <c r="A165" s="78">
        <v>45689</v>
      </c>
      <c r="B165" t="s">
        <v>373</v>
      </c>
      <c r="C165" t="s">
        <v>374</v>
      </c>
      <c r="D165" t="s">
        <v>225</v>
      </c>
      <c r="E165" t="s">
        <v>2300</v>
      </c>
      <c r="F165" t="s">
        <v>222</v>
      </c>
      <c r="G165" s="77">
        <v>754</v>
      </c>
      <c r="H165" s="126">
        <v>71.8</v>
      </c>
      <c r="I165" s="124">
        <v>106.26</v>
      </c>
      <c r="J165" s="124">
        <v>239.15</v>
      </c>
      <c r="K165" s="77">
        <v>320</v>
      </c>
      <c r="L165" s="124">
        <v>665.41</v>
      </c>
    </row>
    <row r="166" spans="1:12" ht="15" customHeight="1" x14ac:dyDescent="0.25">
      <c r="A166" s="78">
        <v>45689</v>
      </c>
      <c r="B166" t="s">
        <v>373</v>
      </c>
      <c r="C166" t="s">
        <v>374</v>
      </c>
      <c r="D166" t="s">
        <v>225</v>
      </c>
      <c r="E166" t="s">
        <v>2238</v>
      </c>
      <c r="F166" t="s">
        <v>224</v>
      </c>
      <c r="G166" s="77">
        <v>1228</v>
      </c>
      <c r="H166" s="126">
        <v>144.5</v>
      </c>
      <c r="I166" s="124">
        <v>213.86</v>
      </c>
      <c r="J166" s="124">
        <v>207.45</v>
      </c>
      <c r="K166" s="77">
        <v>320</v>
      </c>
      <c r="L166" s="124">
        <v>741.31</v>
      </c>
    </row>
    <row r="167" spans="1:12" ht="15" customHeight="1" x14ac:dyDescent="0.25">
      <c r="A167" s="78">
        <v>45689</v>
      </c>
      <c r="B167" t="s">
        <v>354</v>
      </c>
      <c r="C167" t="s">
        <v>355</v>
      </c>
      <c r="D167" t="s">
        <v>227</v>
      </c>
      <c r="E167" t="s">
        <v>2301</v>
      </c>
      <c r="F167" t="s">
        <v>226</v>
      </c>
      <c r="G167" s="77">
        <v>1159</v>
      </c>
      <c r="H167" s="126">
        <v>110.4</v>
      </c>
      <c r="I167" s="124">
        <v>163.38999999999999</v>
      </c>
      <c r="J167" s="124">
        <v>151.57</v>
      </c>
      <c r="K167" s="77">
        <v>450</v>
      </c>
      <c r="L167" s="124">
        <v>764.96</v>
      </c>
    </row>
    <row r="168" spans="1:12" ht="15" customHeight="1" x14ac:dyDescent="0.25">
      <c r="A168" s="78">
        <v>45689</v>
      </c>
      <c r="B168" t="s">
        <v>354</v>
      </c>
      <c r="C168" t="s">
        <v>355</v>
      </c>
      <c r="D168" t="s">
        <v>227</v>
      </c>
      <c r="E168" t="s">
        <v>2223</v>
      </c>
      <c r="F168" t="s">
        <v>222</v>
      </c>
      <c r="G168" s="77">
        <v>1218</v>
      </c>
      <c r="H168" s="126">
        <v>116</v>
      </c>
      <c r="I168" s="124">
        <v>171.68</v>
      </c>
      <c r="J168" s="124">
        <v>197.35</v>
      </c>
      <c r="K168" s="77">
        <v>520</v>
      </c>
      <c r="L168" s="124">
        <v>889.03</v>
      </c>
    </row>
    <row r="169" spans="1:12" ht="15" customHeight="1" x14ac:dyDescent="0.25">
      <c r="A169" s="78">
        <v>45689</v>
      </c>
      <c r="B169" t="s">
        <v>354</v>
      </c>
      <c r="C169" t="s">
        <v>355</v>
      </c>
      <c r="D169" t="s">
        <v>227</v>
      </c>
      <c r="E169" t="s">
        <v>2315</v>
      </c>
      <c r="F169" t="s">
        <v>226</v>
      </c>
      <c r="G169" s="77">
        <v>961</v>
      </c>
      <c r="H169" s="126">
        <v>91.5</v>
      </c>
      <c r="I169" s="124">
        <v>135.41999999999999</v>
      </c>
      <c r="J169" s="124">
        <v>104.11</v>
      </c>
      <c r="K169" s="77">
        <v>520</v>
      </c>
      <c r="L169" s="124">
        <v>759.53</v>
      </c>
    </row>
    <row r="170" spans="1:12" ht="15" customHeight="1" x14ac:dyDescent="0.25">
      <c r="A170" s="78">
        <v>45689</v>
      </c>
      <c r="B170" t="s">
        <v>354</v>
      </c>
      <c r="C170" t="s">
        <v>355</v>
      </c>
      <c r="D170" t="s">
        <v>227</v>
      </c>
      <c r="E170" t="s">
        <v>2250</v>
      </c>
      <c r="F170" t="s">
        <v>222</v>
      </c>
      <c r="G170" s="77">
        <v>1075</v>
      </c>
      <c r="H170" s="126">
        <v>102.4</v>
      </c>
      <c r="I170" s="124">
        <v>151.55000000000001</v>
      </c>
      <c r="J170" s="124">
        <v>273.92</v>
      </c>
      <c r="K170" s="77">
        <v>520</v>
      </c>
      <c r="L170" s="124">
        <v>945.47</v>
      </c>
    </row>
    <row r="171" spans="1:12" ht="15" customHeight="1" x14ac:dyDescent="0.25">
      <c r="A171" s="78">
        <v>45689</v>
      </c>
      <c r="B171" t="s">
        <v>370</v>
      </c>
      <c r="C171" t="s">
        <v>371</v>
      </c>
      <c r="D171" t="s">
        <v>227</v>
      </c>
      <c r="E171" t="s">
        <v>2224</v>
      </c>
      <c r="F171" t="s">
        <v>222</v>
      </c>
      <c r="G171" s="77">
        <v>740</v>
      </c>
      <c r="H171" s="126">
        <v>70.5</v>
      </c>
      <c r="I171" s="124">
        <v>104.34</v>
      </c>
      <c r="J171" s="124">
        <v>32.6</v>
      </c>
      <c r="K171" s="77">
        <v>450</v>
      </c>
      <c r="L171" s="124">
        <v>586.94000000000005</v>
      </c>
    </row>
    <row r="172" spans="1:12" ht="15" customHeight="1" x14ac:dyDescent="0.25">
      <c r="A172" s="78">
        <v>45689</v>
      </c>
      <c r="B172" t="s">
        <v>370</v>
      </c>
      <c r="C172" t="s">
        <v>371</v>
      </c>
      <c r="D172" t="s">
        <v>227</v>
      </c>
      <c r="E172" t="s">
        <v>2289</v>
      </c>
      <c r="F172" t="s">
        <v>224</v>
      </c>
      <c r="G172" s="77">
        <v>1091</v>
      </c>
      <c r="H172" s="126">
        <v>128.4</v>
      </c>
      <c r="I172" s="124">
        <v>190.03</v>
      </c>
      <c r="J172" s="124">
        <v>154.07</v>
      </c>
      <c r="K172" s="77">
        <v>450</v>
      </c>
      <c r="L172" s="124">
        <v>794.1</v>
      </c>
    </row>
    <row r="173" spans="1:12" ht="15" customHeight="1" x14ac:dyDescent="0.25">
      <c r="A173" s="78">
        <v>45689</v>
      </c>
      <c r="B173" t="s">
        <v>370</v>
      </c>
      <c r="C173" t="s">
        <v>371</v>
      </c>
      <c r="D173" t="s">
        <v>227</v>
      </c>
      <c r="E173" t="s">
        <v>2316</v>
      </c>
      <c r="F173" t="s">
        <v>222</v>
      </c>
      <c r="G173" s="77">
        <v>1093</v>
      </c>
      <c r="H173" s="126">
        <v>104.1</v>
      </c>
      <c r="I173" s="124">
        <v>154.07</v>
      </c>
      <c r="J173" s="124">
        <v>169.52</v>
      </c>
      <c r="K173" s="77">
        <v>320</v>
      </c>
      <c r="L173" s="124">
        <v>643.59</v>
      </c>
    </row>
    <row r="174" spans="1:12" ht="15" customHeight="1" x14ac:dyDescent="0.25">
      <c r="A174" s="78">
        <v>45689</v>
      </c>
      <c r="B174" t="s">
        <v>370</v>
      </c>
      <c r="C174" t="s">
        <v>371</v>
      </c>
      <c r="D174" t="s">
        <v>227</v>
      </c>
      <c r="E174" t="s">
        <v>2317</v>
      </c>
      <c r="F174" t="s">
        <v>222</v>
      </c>
      <c r="G174" s="77">
        <v>994</v>
      </c>
      <c r="H174" s="126">
        <v>94.7</v>
      </c>
      <c r="I174" s="124">
        <v>140.16</v>
      </c>
      <c r="J174" s="124">
        <v>269.19</v>
      </c>
      <c r="K174" s="77">
        <v>380</v>
      </c>
      <c r="L174" s="124">
        <v>789.35</v>
      </c>
    </row>
    <row r="175" spans="1:12" ht="15" customHeight="1" x14ac:dyDescent="0.25">
      <c r="A175" s="78">
        <v>45689</v>
      </c>
      <c r="B175" t="s">
        <v>370</v>
      </c>
      <c r="C175" t="s">
        <v>371</v>
      </c>
      <c r="D175" t="s">
        <v>227</v>
      </c>
      <c r="E175" t="s">
        <v>2275</v>
      </c>
      <c r="F175" t="s">
        <v>226</v>
      </c>
      <c r="G175" s="77">
        <v>649</v>
      </c>
      <c r="H175" s="126">
        <v>61.8</v>
      </c>
      <c r="I175" s="124">
        <v>91.46</v>
      </c>
      <c r="J175" s="124">
        <v>83.72</v>
      </c>
      <c r="K175" s="77">
        <v>520</v>
      </c>
      <c r="L175" s="124">
        <v>695.18</v>
      </c>
    </row>
    <row r="176" spans="1:12" ht="15" customHeight="1" x14ac:dyDescent="0.25">
      <c r="A176" s="78">
        <v>45689</v>
      </c>
      <c r="B176" t="s">
        <v>370</v>
      </c>
      <c r="C176" t="s">
        <v>371</v>
      </c>
      <c r="D176" t="s">
        <v>227</v>
      </c>
      <c r="E176" t="s">
        <v>2226</v>
      </c>
      <c r="F176" t="s">
        <v>226</v>
      </c>
      <c r="G176" s="77">
        <v>1024</v>
      </c>
      <c r="H176" s="126">
        <v>97.5</v>
      </c>
      <c r="I176" s="124">
        <v>144.30000000000001</v>
      </c>
      <c r="J176" s="124">
        <v>18.54</v>
      </c>
      <c r="K176" s="77">
        <v>380</v>
      </c>
      <c r="L176" s="124">
        <v>542.84</v>
      </c>
    </row>
    <row r="177" spans="1:12" ht="15" customHeight="1" x14ac:dyDescent="0.25">
      <c r="A177" s="78">
        <v>45689</v>
      </c>
      <c r="B177" t="s">
        <v>370</v>
      </c>
      <c r="C177" t="s">
        <v>371</v>
      </c>
      <c r="D177" t="s">
        <v>227</v>
      </c>
      <c r="E177" t="s">
        <v>2288</v>
      </c>
      <c r="F177" t="s">
        <v>226</v>
      </c>
      <c r="G177" s="77">
        <v>1006</v>
      </c>
      <c r="H177" s="126">
        <v>95.8</v>
      </c>
      <c r="I177" s="124">
        <v>141.78</v>
      </c>
      <c r="J177" s="124">
        <v>282.92</v>
      </c>
      <c r="K177" s="77">
        <v>450</v>
      </c>
      <c r="L177" s="124">
        <v>874.7</v>
      </c>
    </row>
    <row r="178" spans="1:12" ht="15" customHeight="1" x14ac:dyDescent="0.25">
      <c r="A178" s="78">
        <v>45689</v>
      </c>
      <c r="B178" t="s">
        <v>398</v>
      </c>
      <c r="C178" t="s">
        <v>399</v>
      </c>
      <c r="D178" t="s">
        <v>227</v>
      </c>
      <c r="E178" t="s">
        <v>2260</v>
      </c>
      <c r="F178" t="s">
        <v>222</v>
      </c>
      <c r="G178" s="77">
        <v>1055</v>
      </c>
      <c r="H178" s="126">
        <v>100.5</v>
      </c>
      <c r="I178" s="124">
        <v>148.74</v>
      </c>
      <c r="J178" s="124">
        <v>168.46</v>
      </c>
      <c r="K178" s="77">
        <v>380</v>
      </c>
      <c r="L178" s="124">
        <v>697.2</v>
      </c>
    </row>
    <row r="179" spans="1:12" ht="15" customHeight="1" x14ac:dyDescent="0.25">
      <c r="A179" s="78">
        <v>45689</v>
      </c>
      <c r="B179" t="s">
        <v>398</v>
      </c>
      <c r="C179" t="s">
        <v>399</v>
      </c>
      <c r="D179" t="s">
        <v>227</v>
      </c>
      <c r="E179" t="s">
        <v>2281</v>
      </c>
      <c r="F179" t="s">
        <v>222</v>
      </c>
      <c r="G179" s="77">
        <v>734</v>
      </c>
      <c r="H179" s="126">
        <v>69.900000000000006</v>
      </c>
      <c r="I179" s="124">
        <v>103.45</v>
      </c>
      <c r="J179" s="124">
        <v>100.69</v>
      </c>
      <c r="K179" s="77">
        <v>320</v>
      </c>
      <c r="L179" s="124">
        <v>524.14</v>
      </c>
    </row>
    <row r="180" spans="1:12" ht="15" customHeight="1" x14ac:dyDescent="0.25">
      <c r="A180" s="78">
        <v>45689</v>
      </c>
      <c r="B180" t="s">
        <v>398</v>
      </c>
      <c r="C180" t="s">
        <v>399</v>
      </c>
      <c r="D180" t="s">
        <v>227</v>
      </c>
      <c r="E180" t="s">
        <v>2248</v>
      </c>
      <c r="F180" t="s">
        <v>226</v>
      </c>
      <c r="G180" s="77">
        <v>956</v>
      </c>
      <c r="H180" s="126">
        <v>91</v>
      </c>
      <c r="I180" s="124">
        <v>134.68</v>
      </c>
      <c r="J180" s="124">
        <v>124.58</v>
      </c>
      <c r="K180" s="77">
        <v>380</v>
      </c>
      <c r="L180" s="124">
        <v>639.26</v>
      </c>
    </row>
    <row r="181" spans="1:12" ht="15" customHeight="1" x14ac:dyDescent="0.25">
      <c r="A181" s="78">
        <v>45689</v>
      </c>
      <c r="B181" t="s">
        <v>398</v>
      </c>
      <c r="C181" t="s">
        <v>399</v>
      </c>
      <c r="D181" t="s">
        <v>227</v>
      </c>
      <c r="E181" t="s">
        <v>2318</v>
      </c>
      <c r="F181" t="s">
        <v>222</v>
      </c>
      <c r="G181" s="77">
        <v>1370</v>
      </c>
      <c r="H181" s="126">
        <v>130.5</v>
      </c>
      <c r="I181" s="124">
        <v>193.14</v>
      </c>
      <c r="J181" s="124">
        <v>194.62</v>
      </c>
      <c r="K181" s="77">
        <v>520</v>
      </c>
      <c r="L181" s="124">
        <v>907.76</v>
      </c>
    </row>
    <row r="182" spans="1:12" ht="15" customHeight="1" x14ac:dyDescent="0.25">
      <c r="A182" s="78">
        <v>45689</v>
      </c>
      <c r="B182" t="s">
        <v>398</v>
      </c>
      <c r="C182" t="s">
        <v>399</v>
      </c>
      <c r="D182" t="s">
        <v>227</v>
      </c>
      <c r="E182" t="s">
        <v>2296</v>
      </c>
      <c r="F182" t="s">
        <v>222</v>
      </c>
      <c r="G182" s="77">
        <v>772</v>
      </c>
      <c r="H182" s="126">
        <v>73.5</v>
      </c>
      <c r="I182" s="124">
        <v>108.78</v>
      </c>
      <c r="J182" s="124">
        <v>169.72</v>
      </c>
      <c r="K182" s="77">
        <v>520</v>
      </c>
      <c r="L182" s="124">
        <v>798.5</v>
      </c>
    </row>
    <row r="183" spans="1:12" ht="15" customHeight="1" x14ac:dyDescent="0.25">
      <c r="A183" s="78">
        <v>45689</v>
      </c>
      <c r="B183" t="s">
        <v>378</v>
      </c>
      <c r="C183" t="s">
        <v>379</v>
      </c>
      <c r="D183" t="s">
        <v>227</v>
      </c>
      <c r="E183" t="s">
        <v>2317</v>
      </c>
      <c r="F183" t="s">
        <v>226</v>
      </c>
      <c r="G183" s="77">
        <v>1174</v>
      </c>
      <c r="H183" s="126">
        <v>111.8</v>
      </c>
      <c r="I183" s="124">
        <v>165.46</v>
      </c>
      <c r="J183" s="124">
        <v>241.21</v>
      </c>
      <c r="K183" s="77">
        <v>450</v>
      </c>
      <c r="L183" s="124">
        <v>856.67</v>
      </c>
    </row>
    <row r="184" spans="1:12" ht="15" customHeight="1" x14ac:dyDescent="0.25">
      <c r="A184" s="78">
        <v>45689</v>
      </c>
      <c r="B184" t="s">
        <v>378</v>
      </c>
      <c r="C184" t="s">
        <v>379</v>
      </c>
      <c r="D184" t="s">
        <v>227</v>
      </c>
      <c r="E184" t="s">
        <v>2225</v>
      </c>
      <c r="F184" t="s">
        <v>224</v>
      </c>
      <c r="G184" s="77">
        <v>1445</v>
      </c>
      <c r="H184" s="126">
        <v>170</v>
      </c>
      <c r="I184" s="124">
        <v>251.6</v>
      </c>
      <c r="J184" s="124">
        <v>68.790000000000006</v>
      </c>
      <c r="K184" s="77">
        <v>320</v>
      </c>
      <c r="L184" s="124">
        <v>640.39</v>
      </c>
    </row>
    <row r="185" spans="1:12" ht="15" customHeight="1" x14ac:dyDescent="0.25">
      <c r="A185" s="78">
        <v>45689</v>
      </c>
      <c r="B185" t="s">
        <v>378</v>
      </c>
      <c r="C185" t="s">
        <v>379</v>
      </c>
      <c r="D185" t="s">
        <v>227</v>
      </c>
      <c r="E185" t="s">
        <v>2220</v>
      </c>
      <c r="F185" t="s">
        <v>224</v>
      </c>
      <c r="G185" s="77">
        <v>847</v>
      </c>
      <c r="H185" s="126">
        <v>99.6</v>
      </c>
      <c r="I185" s="124">
        <v>147.41</v>
      </c>
      <c r="J185" s="124">
        <v>49.39</v>
      </c>
      <c r="K185" s="77">
        <v>380</v>
      </c>
      <c r="L185" s="124">
        <v>576.79999999999995</v>
      </c>
    </row>
    <row r="186" spans="1:12" ht="15" customHeight="1" x14ac:dyDescent="0.25">
      <c r="A186" s="78">
        <v>45689</v>
      </c>
      <c r="B186" t="s">
        <v>378</v>
      </c>
      <c r="C186" t="s">
        <v>379</v>
      </c>
      <c r="D186" t="s">
        <v>227</v>
      </c>
      <c r="E186" t="s">
        <v>2263</v>
      </c>
      <c r="F186" t="s">
        <v>222</v>
      </c>
      <c r="G186" s="77">
        <v>991</v>
      </c>
      <c r="H186" s="126">
        <v>94.4</v>
      </c>
      <c r="I186" s="124">
        <v>139.71</v>
      </c>
      <c r="J186" s="124">
        <v>187.31</v>
      </c>
      <c r="K186" s="77">
        <v>380</v>
      </c>
      <c r="L186" s="124">
        <v>707.02</v>
      </c>
    </row>
    <row r="187" spans="1:12" ht="15" customHeight="1" x14ac:dyDescent="0.25">
      <c r="A187" s="78">
        <v>45689</v>
      </c>
      <c r="B187" t="s">
        <v>378</v>
      </c>
      <c r="C187" t="s">
        <v>379</v>
      </c>
      <c r="D187" t="s">
        <v>227</v>
      </c>
      <c r="E187" t="s">
        <v>2280</v>
      </c>
      <c r="F187" t="s">
        <v>226</v>
      </c>
      <c r="G187" s="77">
        <v>1296</v>
      </c>
      <c r="H187" s="126">
        <v>123.4</v>
      </c>
      <c r="I187" s="124">
        <v>182.63</v>
      </c>
      <c r="J187" s="124">
        <v>143.91999999999999</v>
      </c>
      <c r="K187" s="77">
        <v>380</v>
      </c>
      <c r="L187" s="124">
        <v>706.55</v>
      </c>
    </row>
    <row r="188" spans="1:12" ht="15" customHeight="1" x14ac:dyDescent="0.25">
      <c r="A188" s="78">
        <v>45689</v>
      </c>
      <c r="B188" t="s">
        <v>378</v>
      </c>
      <c r="C188" t="s">
        <v>379</v>
      </c>
      <c r="D188" t="s">
        <v>227</v>
      </c>
      <c r="E188" t="s">
        <v>2319</v>
      </c>
      <c r="F188" t="s">
        <v>226</v>
      </c>
      <c r="G188" s="77">
        <v>970</v>
      </c>
      <c r="H188" s="126">
        <v>92.4</v>
      </c>
      <c r="I188" s="124">
        <v>136.75</v>
      </c>
      <c r="J188" s="124">
        <v>162.13999999999999</v>
      </c>
      <c r="K188" s="77">
        <v>380</v>
      </c>
      <c r="L188" s="124">
        <v>678.89</v>
      </c>
    </row>
    <row r="189" spans="1:12" ht="15" customHeight="1" x14ac:dyDescent="0.25">
      <c r="A189" s="78">
        <v>45689</v>
      </c>
      <c r="B189" t="s">
        <v>393</v>
      </c>
      <c r="C189" t="s">
        <v>394</v>
      </c>
      <c r="D189" t="s">
        <v>227</v>
      </c>
      <c r="E189" t="s">
        <v>2278</v>
      </c>
      <c r="F189" t="s">
        <v>224</v>
      </c>
      <c r="G189" s="77">
        <v>841</v>
      </c>
      <c r="H189" s="126">
        <v>98.9</v>
      </c>
      <c r="I189" s="124">
        <v>146.37</v>
      </c>
      <c r="J189" s="124">
        <v>317.16000000000003</v>
      </c>
      <c r="K189" s="77">
        <v>520</v>
      </c>
      <c r="L189" s="124">
        <v>983.53</v>
      </c>
    </row>
    <row r="190" spans="1:12" ht="15" customHeight="1" x14ac:dyDescent="0.25">
      <c r="A190" s="78">
        <v>45689</v>
      </c>
      <c r="B190" t="s">
        <v>393</v>
      </c>
      <c r="C190" t="s">
        <v>394</v>
      </c>
      <c r="D190" t="s">
        <v>227</v>
      </c>
      <c r="E190" t="s">
        <v>2311</v>
      </c>
      <c r="F190" t="s">
        <v>222</v>
      </c>
      <c r="G190" s="77">
        <v>648</v>
      </c>
      <c r="H190" s="126">
        <v>61.7</v>
      </c>
      <c r="I190" s="124">
        <v>91.32</v>
      </c>
      <c r="J190" s="124">
        <v>164.78</v>
      </c>
      <c r="K190" s="77">
        <v>520</v>
      </c>
      <c r="L190" s="124">
        <v>776.1</v>
      </c>
    </row>
    <row r="191" spans="1:12" ht="15" customHeight="1" x14ac:dyDescent="0.25">
      <c r="A191" s="78">
        <v>45689</v>
      </c>
      <c r="B191" t="s">
        <v>393</v>
      </c>
      <c r="C191" t="s">
        <v>394</v>
      </c>
      <c r="D191" t="s">
        <v>227</v>
      </c>
      <c r="E191" t="s">
        <v>2230</v>
      </c>
      <c r="F191" t="s">
        <v>224</v>
      </c>
      <c r="G191" s="77">
        <v>1555</v>
      </c>
      <c r="H191" s="126">
        <v>182.9</v>
      </c>
      <c r="I191" s="124">
        <v>270.69</v>
      </c>
      <c r="J191" s="124">
        <v>150.54</v>
      </c>
      <c r="K191" s="77">
        <v>520</v>
      </c>
      <c r="L191" s="124">
        <v>941.23</v>
      </c>
    </row>
    <row r="192" spans="1:12" ht="15" customHeight="1" x14ac:dyDescent="0.25">
      <c r="A192" s="78">
        <v>45689</v>
      </c>
      <c r="B192" t="s">
        <v>393</v>
      </c>
      <c r="C192" t="s">
        <v>394</v>
      </c>
      <c r="D192" t="s">
        <v>227</v>
      </c>
      <c r="E192" t="s">
        <v>2268</v>
      </c>
      <c r="F192" t="s">
        <v>226</v>
      </c>
      <c r="G192" s="77">
        <v>1002</v>
      </c>
      <c r="H192" s="126">
        <v>95.4</v>
      </c>
      <c r="I192" s="124">
        <v>141.19</v>
      </c>
      <c r="J192" s="124">
        <v>121.4</v>
      </c>
      <c r="K192" s="77">
        <v>320</v>
      </c>
      <c r="L192" s="124">
        <v>582.59</v>
      </c>
    </row>
    <row r="193" spans="1:12" ht="15" customHeight="1" x14ac:dyDescent="0.25">
      <c r="A193" s="78">
        <v>45689</v>
      </c>
      <c r="B193" t="s">
        <v>393</v>
      </c>
      <c r="C193" t="s">
        <v>394</v>
      </c>
      <c r="D193" t="s">
        <v>227</v>
      </c>
      <c r="E193" t="s">
        <v>2270</v>
      </c>
      <c r="F193" t="s">
        <v>228</v>
      </c>
      <c r="G193" s="77">
        <v>1004</v>
      </c>
      <c r="H193" s="126">
        <v>118.1</v>
      </c>
      <c r="I193" s="124">
        <v>174.79</v>
      </c>
      <c r="J193" s="124">
        <v>359.83</v>
      </c>
      <c r="K193" s="77">
        <v>520</v>
      </c>
      <c r="L193" s="124">
        <v>1054.6199999999999</v>
      </c>
    </row>
    <row r="194" spans="1:12" ht="15" customHeight="1" x14ac:dyDescent="0.25">
      <c r="A194" s="78">
        <v>45689</v>
      </c>
      <c r="B194" t="s">
        <v>393</v>
      </c>
      <c r="C194" t="s">
        <v>394</v>
      </c>
      <c r="D194" t="s">
        <v>227</v>
      </c>
      <c r="E194" t="s">
        <v>2320</v>
      </c>
      <c r="F194" t="s">
        <v>222</v>
      </c>
      <c r="G194" s="77">
        <v>497</v>
      </c>
      <c r="H194" s="126">
        <v>47.3</v>
      </c>
      <c r="I194" s="124">
        <v>70</v>
      </c>
      <c r="J194" s="124">
        <v>272.67</v>
      </c>
      <c r="K194" s="77">
        <v>520</v>
      </c>
      <c r="L194" s="124">
        <v>862.67</v>
      </c>
    </row>
    <row r="195" spans="1:12" ht="15" customHeight="1" x14ac:dyDescent="0.25">
      <c r="A195" s="78">
        <v>45717</v>
      </c>
      <c r="B195" t="s">
        <v>390</v>
      </c>
      <c r="C195" t="s">
        <v>391</v>
      </c>
      <c r="D195" t="s">
        <v>221</v>
      </c>
      <c r="E195" t="s">
        <v>2301</v>
      </c>
      <c r="F195" t="s">
        <v>222</v>
      </c>
      <c r="G195" s="77">
        <v>694</v>
      </c>
      <c r="H195" s="126">
        <v>66.099999999999994</v>
      </c>
      <c r="I195" s="124">
        <v>97.83</v>
      </c>
      <c r="J195" s="124">
        <v>128.66999999999999</v>
      </c>
      <c r="K195" s="77">
        <v>450</v>
      </c>
      <c r="L195" s="124">
        <v>676.5</v>
      </c>
    </row>
    <row r="196" spans="1:12" ht="15" customHeight="1" x14ac:dyDescent="0.25">
      <c r="A196" s="78">
        <v>45717</v>
      </c>
      <c r="B196" t="s">
        <v>390</v>
      </c>
      <c r="C196" t="s">
        <v>391</v>
      </c>
      <c r="D196" t="s">
        <v>221</v>
      </c>
      <c r="E196" t="s">
        <v>2234</v>
      </c>
      <c r="F196" t="s">
        <v>226</v>
      </c>
      <c r="G196" s="77">
        <v>942</v>
      </c>
      <c r="H196" s="126">
        <v>89.7</v>
      </c>
      <c r="I196" s="124">
        <v>132.76</v>
      </c>
      <c r="J196" s="124">
        <v>197.08</v>
      </c>
      <c r="K196" s="77">
        <v>520</v>
      </c>
      <c r="L196" s="124">
        <v>849.84</v>
      </c>
    </row>
    <row r="197" spans="1:12" ht="15" customHeight="1" x14ac:dyDescent="0.25">
      <c r="A197" s="78">
        <v>45717</v>
      </c>
      <c r="B197" t="s">
        <v>390</v>
      </c>
      <c r="C197" t="s">
        <v>391</v>
      </c>
      <c r="D197" t="s">
        <v>221</v>
      </c>
      <c r="E197" t="s">
        <v>2321</v>
      </c>
      <c r="F197" t="s">
        <v>224</v>
      </c>
      <c r="G197" s="77">
        <v>650</v>
      </c>
      <c r="H197" s="126">
        <v>76.5</v>
      </c>
      <c r="I197" s="124">
        <v>113.22</v>
      </c>
      <c r="J197" s="124">
        <v>186.97</v>
      </c>
      <c r="K197" s="77">
        <v>450</v>
      </c>
      <c r="L197" s="124">
        <v>750.19</v>
      </c>
    </row>
    <row r="198" spans="1:12" ht="15" customHeight="1" x14ac:dyDescent="0.25">
      <c r="A198" s="78">
        <v>45717</v>
      </c>
      <c r="B198" t="s">
        <v>401</v>
      </c>
      <c r="C198" t="s">
        <v>402</v>
      </c>
      <c r="D198" t="s">
        <v>221</v>
      </c>
      <c r="E198" t="s">
        <v>2322</v>
      </c>
      <c r="F198" t="s">
        <v>226</v>
      </c>
      <c r="G198" s="77">
        <v>1556</v>
      </c>
      <c r="H198" s="126">
        <v>148.19999999999999</v>
      </c>
      <c r="I198" s="124">
        <v>219.34</v>
      </c>
      <c r="J198" s="124">
        <v>40.950000000000003</v>
      </c>
      <c r="K198" s="77">
        <v>450</v>
      </c>
      <c r="L198" s="124">
        <v>710.29</v>
      </c>
    </row>
    <row r="199" spans="1:12" ht="15" customHeight="1" x14ac:dyDescent="0.25">
      <c r="A199" s="78">
        <v>45717</v>
      </c>
      <c r="B199" t="s">
        <v>401</v>
      </c>
      <c r="C199" t="s">
        <v>402</v>
      </c>
      <c r="D199" t="s">
        <v>221</v>
      </c>
      <c r="E199" t="s">
        <v>2303</v>
      </c>
      <c r="F199" t="s">
        <v>224</v>
      </c>
      <c r="G199" s="77">
        <v>1097</v>
      </c>
      <c r="H199" s="126">
        <v>129.1</v>
      </c>
      <c r="I199" s="124">
        <v>191.07</v>
      </c>
      <c r="J199" s="124">
        <v>97.04</v>
      </c>
      <c r="K199" s="77">
        <v>320</v>
      </c>
      <c r="L199" s="124">
        <v>608.11</v>
      </c>
    </row>
    <row r="200" spans="1:12" ht="15" customHeight="1" x14ac:dyDescent="0.25">
      <c r="A200" s="78">
        <v>45717</v>
      </c>
      <c r="B200" t="s">
        <v>401</v>
      </c>
      <c r="C200" t="s">
        <v>402</v>
      </c>
      <c r="D200" t="s">
        <v>221</v>
      </c>
      <c r="E200" t="s">
        <v>2285</v>
      </c>
      <c r="F200" t="s">
        <v>226</v>
      </c>
      <c r="G200" s="77">
        <v>1156</v>
      </c>
      <c r="H200" s="126">
        <v>110.1</v>
      </c>
      <c r="I200" s="124">
        <v>162.94999999999999</v>
      </c>
      <c r="J200" s="124">
        <v>151.53</v>
      </c>
      <c r="K200" s="77">
        <v>380</v>
      </c>
      <c r="L200" s="124">
        <v>694.48</v>
      </c>
    </row>
    <row r="201" spans="1:12" ht="15" customHeight="1" x14ac:dyDescent="0.25">
      <c r="A201" s="78">
        <v>45717</v>
      </c>
      <c r="B201" t="s">
        <v>431</v>
      </c>
      <c r="C201" t="s">
        <v>432</v>
      </c>
      <c r="D201" t="s">
        <v>221</v>
      </c>
      <c r="E201" t="s">
        <v>2323</v>
      </c>
      <c r="F201" t="s">
        <v>224</v>
      </c>
      <c r="G201" s="77">
        <v>889</v>
      </c>
      <c r="H201" s="126">
        <v>104.6</v>
      </c>
      <c r="I201" s="124">
        <v>154.81</v>
      </c>
      <c r="J201" s="124">
        <v>189.03</v>
      </c>
      <c r="K201" s="77">
        <v>320</v>
      </c>
      <c r="L201" s="124">
        <v>663.84</v>
      </c>
    </row>
    <row r="202" spans="1:12" ht="15" customHeight="1" x14ac:dyDescent="0.25">
      <c r="A202" s="78">
        <v>45717</v>
      </c>
      <c r="B202" t="s">
        <v>431</v>
      </c>
      <c r="C202" t="s">
        <v>432</v>
      </c>
      <c r="D202" t="s">
        <v>221</v>
      </c>
      <c r="E202" t="s">
        <v>2224</v>
      </c>
      <c r="F202" t="s">
        <v>224</v>
      </c>
      <c r="G202" s="77">
        <v>1501</v>
      </c>
      <c r="H202" s="126">
        <v>176.6</v>
      </c>
      <c r="I202" s="124">
        <v>261.37</v>
      </c>
      <c r="J202" s="124">
        <v>134.72999999999999</v>
      </c>
      <c r="K202" s="77">
        <v>520</v>
      </c>
      <c r="L202" s="124">
        <v>916.1</v>
      </c>
    </row>
    <row r="203" spans="1:12" ht="15" customHeight="1" x14ac:dyDescent="0.25">
      <c r="A203" s="78">
        <v>45717</v>
      </c>
      <c r="B203" t="s">
        <v>431</v>
      </c>
      <c r="C203" t="s">
        <v>432</v>
      </c>
      <c r="D203" t="s">
        <v>221</v>
      </c>
      <c r="E203" t="s">
        <v>2238</v>
      </c>
      <c r="F203" t="s">
        <v>224</v>
      </c>
      <c r="G203" s="77">
        <v>1229</v>
      </c>
      <c r="H203" s="126">
        <v>144.6</v>
      </c>
      <c r="I203" s="124">
        <v>214.01</v>
      </c>
      <c r="J203" s="124">
        <v>46.54</v>
      </c>
      <c r="K203" s="77">
        <v>380</v>
      </c>
      <c r="L203" s="124">
        <v>640.54999999999995</v>
      </c>
    </row>
    <row r="204" spans="1:12" ht="15" customHeight="1" x14ac:dyDescent="0.25">
      <c r="A204" s="78">
        <v>45717</v>
      </c>
      <c r="B204" t="s">
        <v>431</v>
      </c>
      <c r="C204" t="s">
        <v>432</v>
      </c>
      <c r="D204" t="s">
        <v>221</v>
      </c>
      <c r="E204" t="s">
        <v>2243</v>
      </c>
      <c r="F204" t="s">
        <v>228</v>
      </c>
      <c r="G204" s="77">
        <v>810</v>
      </c>
      <c r="H204" s="126">
        <v>95.3</v>
      </c>
      <c r="I204" s="124">
        <v>141.04</v>
      </c>
      <c r="J204" s="124">
        <v>287.79000000000002</v>
      </c>
      <c r="K204" s="77">
        <v>380</v>
      </c>
      <c r="L204" s="124">
        <v>808.83</v>
      </c>
    </row>
    <row r="205" spans="1:12" ht="15" customHeight="1" x14ac:dyDescent="0.25">
      <c r="A205" s="78">
        <v>45717</v>
      </c>
      <c r="B205" t="s">
        <v>431</v>
      </c>
      <c r="C205" t="s">
        <v>432</v>
      </c>
      <c r="D205" t="s">
        <v>221</v>
      </c>
      <c r="E205" t="s">
        <v>2301</v>
      </c>
      <c r="F205" t="s">
        <v>228</v>
      </c>
      <c r="G205" s="77">
        <v>1421</v>
      </c>
      <c r="H205" s="126">
        <v>167.2</v>
      </c>
      <c r="I205" s="124">
        <v>247.46</v>
      </c>
      <c r="J205" s="124">
        <v>278.45</v>
      </c>
      <c r="K205" s="77">
        <v>450</v>
      </c>
      <c r="L205" s="124">
        <v>975.91</v>
      </c>
    </row>
    <row r="206" spans="1:12" ht="15" customHeight="1" x14ac:dyDescent="0.25">
      <c r="A206" s="78">
        <v>45717</v>
      </c>
      <c r="B206" t="s">
        <v>366</v>
      </c>
      <c r="C206" t="s">
        <v>367</v>
      </c>
      <c r="D206" t="s">
        <v>221</v>
      </c>
      <c r="E206" t="s">
        <v>2263</v>
      </c>
      <c r="F206" t="s">
        <v>222</v>
      </c>
      <c r="G206" s="77">
        <v>971</v>
      </c>
      <c r="H206" s="126">
        <v>92.5</v>
      </c>
      <c r="I206" s="124">
        <v>136.9</v>
      </c>
      <c r="J206" s="124">
        <v>149.94</v>
      </c>
      <c r="K206" s="77">
        <v>520</v>
      </c>
      <c r="L206" s="124">
        <v>806.84</v>
      </c>
    </row>
    <row r="207" spans="1:12" ht="15" customHeight="1" x14ac:dyDescent="0.25">
      <c r="A207" s="78">
        <v>45717</v>
      </c>
      <c r="B207" t="s">
        <v>366</v>
      </c>
      <c r="C207" t="s">
        <v>367</v>
      </c>
      <c r="D207" t="s">
        <v>221</v>
      </c>
      <c r="E207" t="s">
        <v>2296</v>
      </c>
      <c r="F207" t="s">
        <v>224</v>
      </c>
      <c r="G207" s="77">
        <v>737</v>
      </c>
      <c r="H207" s="126">
        <v>86.7</v>
      </c>
      <c r="I207" s="124">
        <v>128.32</v>
      </c>
      <c r="J207" s="124">
        <v>198.36</v>
      </c>
      <c r="K207" s="77">
        <v>450</v>
      </c>
      <c r="L207" s="124">
        <v>776.68</v>
      </c>
    </row>
    <row r="208" spans="1:12" ht="15" customHeight="1" x14ac:dyDescent="0.25">
      <c r="A208" s="78">
        <v>45717</v>
      </c>
      <c r="B208" t="s">
        <v>366</v>
      </c>
      <c r="C208" t="s">
        <v>367</v>
      </c>
      <c r="D208" t="s">
        <v>221</v>
      </c>
      <c r="E208" t="s">
        <v>2324</v>
      </c>
      <c r="F208" t="s">
        <v>226</v>
      </c>
      <c r="G208" s="77">
        <v>1270</v>
      </c>
      <c r="H208" s="126">
        <v>121</v>
      </c>
      <c r="I208" s="124">
        <v>179.08</v>
      </c>
      <c r="J208" s="124">
        <v>113.83</v>
      </c>
      <c r="K208" s="77">
        <v>380</v>
      </c>
      <c r="L208" s="124">
        <v>672.91</v>
      </c>
    </row>
    <row r="209" spans="1:12" ht="15" customHeight="1" x14ac:dyDescent="0.25">
      <c r="A209" s="78">
        <v>45717</v>
      </c>
      <c r="B209" t="s">
        <v>366</v>
      </c>
      <c r="C209" t="s">
        <v>367</v>
      </c>
      <c r="D209" t="s">
        <v>221</v>
      </c>
      <c r="E209" t="s">
        <v>2236</v>
      </c>
      <c r="F209" t="s">
        <v>222</v>
      </c>
      <c r="G209" s="77">
        <v>932</v>
      </c>
      <c r="H209" s="126">
        <v>88.8</v>
      </c>
      <c r="I209" s="124">
        <v>131.41999999999999</v>
      </c>
      <c r="J209" s="124">
        <v>171.27</v>
      </c>
      <c r="K209" s="77">
        <v>380</v>
      </c>
      <c r="L209" s="124">
        <v>682.69</v>
      </c>
    </row>
    <row r="210" spans="1:12" ht="15" customHeight="1" x14ac:dyDescent="0.25">
      <c r="A210" s="78">
        <v>45717</v>
      </c>
      <c r="B210" t="s">
        <v>366</v>
      </c>
      <c r="C210" t="s">
        <v>367</v>
      </c>
      <c r="D210" t="s">
        <v>221</v>
      </c>
      <c r="E210" t="s">
        <v>2322</v>
      </c>
      <c r="F210" t="s">
        <v>224</v>
      </c>
      <c r="G210" s="77">
        <v>940</v>
      </c>
      <c r="H210" s="126">
        <v>110.6</v>
      </c>
      <c r="I210" s="124">
        <v>163.69</v>
      </c>
      <c r="J210" s="124">
        <v>144.71</v>
      </c>
      <c r="K210" s="77">
        <v>520</v>
      </c>
      <c r="L210" s="124">
        <v>828.4</v>
      </c>
    </row>
    <row r="211" spans="1:12" ht="15" customHeight="1" x14ac:dyDescent="0.25">
      <c r="A211" s="78">
        <v>45717</v>
      </c>
      <c r="B211" t="s">
        <v>366</v>
      </c>
      <c r="C211" t="s">
        <v>367</v>
      </c>
      <c r="D211" t="s">
        <v>221</v>
      </c>
      <c r="E211" t="s">
        <v>2325</v>
      </c>
      <c r="F211" t="s">
        <v>222</v>
      </c>
      <c r="G211" s="77">
        <v>1574</v>
      </c>
      <c r="H211" s="126">
        <v>149.9</v>
      </c>
      <c r="I211" s="124">
        <v>221.85</v>
      </c>
      <c r="J211" s="124">
        <v>130.24</v>
      </c>
      <c r="K211" s="77">
        <v>320</v>
      </c>
      <c r="L211" s="124">
        <v>672.09</v>
      </c>
    </row>
    <row r="212" spans="1:12" ht="15" customHeight="1" x14ac:dyDescent="0.25">
      <c r="A212" s="78">
        <v>45717</v>
      </c>
      <c r="B212" t="s">
        <v>366</v>
      </c>
      <c r="C212" t="s">
        <v>367</v>
      </c>
      <c r="D212" t="s">
        <v>221</v>
      </c>
      <c r="E212" t="s">
        <v>2300</v>
      </c>
      <c r="F212" t="s">
        <v>228</v>
      </c>
      <c r="G212" s="77">
        <v>960</v>
      </c>
      <c r="H212" s="126">
        <v>112.9</v>
      </c>
      <c r="I212" s="124">
        <v>167.09</v>
      </c>
      <c r="J212" s="124">
        <v>198.2</v>
      </c>
      <c r="K212" s="77">
        <v>320</v>
      </c>
      <c r="L212" s="124">
        <v>685.29</v>
      </c>
    </row>
    <row r="213" spans="1:12" ht="15" customHeight="1" x14ac:dyDescent="0.25">
      <c r="A213" s="78">
        <v>45717</v>
      </c>
      <c r="B213" t="s">
        <v>362</v>
      </c>
      <c r="C213" t="s">
        <v>363</v>
      </c>
      <c r="D213" t="s">
        <v>221</v>
      </c>
      <c r="E213" t="s">
        <v>2252</v>
      </c>
      <c r="F213" t="s">
        <v>222</v>
      </c>
      <c r="G213" s="77">
        <v>1236</v>
      </c>
      <c r="H213" s="126">
        <v>117.7</v>
      </c>
      <c r="I213" s="124">
        <v>174.2</v>
      </c>
      <c r="J213" s="124">
        <v>135.5</v>
      </c>
      <c r="K213" s="77">
        <v>380</v>
      </c>
      <c r="L213" s="124">
        <v>689.7</v>
      </c>
    </row>
    <row r="214" spans="1:12" ht="15" customHeight="1" x14ac:dyDescent="0.25">
      <c r="A214" s="78">
        <v>45717</v>
      </c>
      <c r="B214" t="s">
        <v>362</v>
      </c>
      <c r="C214" t="s">
        <v>363</v>
      </c>
      <c r="D214" t="s">
        <v>221</v>
      </c>
      <c r="E214" t="s">
        <v>2321</v>
      </c>
      <c r="F214" t="s">
        <v>228</v>
      </c>
      <c r="G214" s="77">
        <v>887</v>
      </c>
      <c r="H214" s="126">
        <v>104.4</v>
      </c>
      <c r="I214" s="124">
        <v>154.51</v>
      </c>
      <c r="J214" s="124">
        <v>355.7</v>
      </c>
      <c r="K214" s="77">
        <v>320</v>
      </c>
      <c r="L214" s="124">
        <v>830.21</v>
      </c>
    </row>
    <row r="215" spans="1:12" ht="15" customHeight="1" x14ac:dyDescent="0.25">
      <c r="A215" s="78">
        <v>45717</v>
      </c>
      <c r="B215" t="s">
        <v>362</v>
      </c>
      <c r="C215" t="s">
        <v>363</v>
      </c>
      <c r="D215" t="s">
        <v>221</v>
      </c>
      <c r="E215" t="s">
        <v>2250</v>
      </c>
      <c r="F215" t="s">
        <v>224</v>
      </c>
      <c r="G215" s="77">
        <v>1404</v>
      </c>
      <c r="H215" s="126">
        <v>165.2</v>
      </c>
      <c r="I215" s="124">
        <v>244.5</v>
      </c>
      <c r="J215" s="124">
        <v>101.97</v>
      </c>
      <c r="K215" s="77">
        <v>520</v>
      </c>
      <c r="L215" s="124">
        <v>866.47</v>
      </c>
    </row>
    <row r="216" spans="1:12" ht="15" customHeight="1" x14ac:dyDescent="0.25">
      <c r="A216" s="78">
        <v>45717</v>
      </c>
      <c r="B216" t="s">
        <v>335</v>
      </c>
      <c r="C216" t="s">
        <v>336</v>
      </c>
      <c r="D216" t="s">
        <v>223</v>
      </c>
      <c r="E216" t="s">
        <v>2248</v>
      </c>
      <c r="F216" t="s">
        <v>224</v>
      </c>
      <c r="G216" s="77">
        <v>583</v>
      </c>
      <c r="H216" s="126">
        <v>68.599999999999994</v>
      </c>
      <c r="I216" s="124">
        <v>101.53</v>
      </c>
      <c r="J216" s="124">
        <v>230.6</v>
      </c>
      <c r="K216" s="77">
        <v>450</v>
      </c>
      <c r="L216" s="124">
        <v>782.13</v>
      </c>
    </row>
    <row r="217" spans="1:12" ht="15" customHeight="1" x14ac:dyDescent="0.25">
      <c r="A217" s="78">
        <v>45717</v>
      </c>
      <c r="B217" t="s">
        <v>335</v>
      </c>
      <c r="C217" t="s">
        <v>336</v>
      </c>
      <c r="D217" t="s">
        <v>223</v>
      </c>
      <c r="E217" t="s">
        <v>2326</v>
      </c>
      <c r="F217" t="s">
        <v>226</v>
      </c>
      <c r="G217" s="77">
        <v>878</v>
      </c>
      <c r="H217" s="126">
        <v>83.6</v>
      </c>
      <c r="I217" s="124">
        <v>123.73</v>
      </c>
      <c r="J217" s="124">
        <v>213.25</v>
      </c>
      <c r="K217" s="77">
        <v>380</v>
      </c>
      <c r="L217" s="124">
        <v>716.98</v>
      </c>
    </row>
    <row r="218" spans="1:12" ht="15" customHeight="1" x14ac:dyDescent="0.25">
      <c r="A218" s="78">
        <v>45717</v>
      </c>
      <c r="B218" t="s">
        <v>335</v>
      </c>
      <c r="C218" t="s">
        <v>336</v>
      </c>
      <c r="D218" t="s">
        <v>223</v>
      </c>
      <c r="E218" t="s">
        <v>2309</v>
      </c>
      <c r="F218" t="s">
        <v>226</v>
      </c>
      <c r="G218" s="77">
        <v>557</v>
      </c>
      <c r="H218" s="126">
        <v>53</v>
      </c>
      <c r="I218" s="124">
        <v>78.44</v>
      </c>
      <c r="J218" s="124">
        <v>221.41</v>
      </c>
      <c r="K218" s="77">
        <v>520</v>
      </c>
      <c r="L218" s="124">
        <v>819.85</v>
      </c>
    </row>
    <row r="219" spans="1:12" ht="15" customHeight="1" x14ac:dyDescent="0.25">
      <c r="A219" s="78">
        <v>45717</v>
      </c>
      <c r="B219" t="s">
        <v>335</v>
      </c>
      <c r="C219" t="s">
        <v>336</v>
      </c>
      <c r="D219" t="s">
        <v>223</v>
      </c>
      <c r="E219" t="s">
        <v>2231</v>
      </c>
      <c r="F219" t="s">
        <v>226</v>
      </c>
      <c r="G219" s="77">
        <v>747</v>
      </c>
      <c r="H219" s="126">
        <v>71.099999999999994</v>
      </c>
      <c r="I219" s="124">
        <v>105.23</v>
      </c>
      <c r="J219" s="124">
        <v>208.46</v>
      </c>
      <c r="K219" s="77">
        <v>320</v>
      </c>
      <c r="L219" s="124">
        <v>633.69000000000005</v>
      </c>
    </row>
    <row r="220" spans="1:12" ht="15" customHeight="1" x14ac:dyDescent="0.25">
      <c r="A220" s="78">
        <v>45717</v>
      </c>
      <c r="B220" t="s">
        <v>386</v>
      </c>
      <c r="C220" t="s">
        <v>387</v>
      </c>
      <c r="D220" t="s">
        <v>223</v>
      </c>
      <c r="E220" t="s">
        <v>2327</v>
      </c>
      <c r="F220" t="s">
        <v>224</v>
      </c>
      <c r="G220" s="77">
        <v>1053</v>
      </c>
      <c r="H220" s="126">
        <v>123.9</v>
      </c>
      <c r="I220" s="124">
        <v>183.37</v>
      </c>
      <c r="J220" s="124">
        <v>73.680000000000007</v>
      </c>
      <c r="K220" s="77">
        <v>320</v>
      </c>
      <c r="L220" s="124">
        <v>577.04999999999995</v>
      </c>
    </row>
    <row r="221" spans="1:12" ht="15" customHeight="1" x14ac:dyDescent="0.25">
      <c r="A221" s="78">
        <v>45717</v>
      </c>
      <c r="B221" t="s">
        <v>386</v>
      </c>
      <c r="C221" t="s">
        <v>387</v>
      </c>
      <c r="D221" t="s">
        <v>223</v>
      </c>
      <c r="E221" t="s">
        <v>2300</v>
      </c>
      <c r="F221" t="s">
        <v>228</v>
      </c>
      <c r="G221" s="77">
        <v>948</v>
      </c>
      <c r="H221" s="126">
        <v>111.5</v>
      </c>
      <c r="I221" s="124">
        <v>165.02</v>
      </c>
      <c r="J221" s="124">
        <v>304.91000000000003</v>
      </c>
      <c r="K221" s="77">
        <v>380</v>
      </c>
      <c r="L221" s="124">
        <v>849.93</v>
      </c>
    </row>
    <row r="222" spans="1:12" ht="15" customHeight="1" x14ac:dyDescent="0.25">
      <c r="A222" s="78">
        <v>45717</v>
      </c>
      <c r="B222" t="s">
        <v>386</v>
      </c>
      <c r="C222" t="s">
        <v>387</v>
      </c>
      <c r="D222" t="s">
        <v>223</v>
      </c>
      <c r="E222" t="s">
        <v>2294</v>
      </c>
      <c r="F222" t="s">
        <v>224</v>
      </c>
      <c r="G222" s="77">
        <v>1076</v>
      </c>
      <c r="H222" s="126">
        <v>126.6</v>
      </c>
      <c r="I222" s="124">
        <v>187.37</v>
      </c>
      <c r="J222" s="124">
        <v>196.75</v>
      </c>
      <c r="K222" s="77">
        <v>380</v>
      </c>
      <c r="L222" s="124">
        <v>764.12</v>
      </c>
    </row>
    <row r="223" spans="1:12" ht="15" customHeight="1" x14ac:dyDescent="0.25">
      <c r="A223" s="78">
        <v>45717</v>
      </c>
      <c r="B223" t="s">
        <v>386</v>
      </c>
      <c r="C223" t="s">
        <v>387</v>
      </c>
      <c r="D223" t="s">
        <v>223</v>
      </c>
      <c r="E223" t="s">
        <v>2234</v>
      </c>
      <c r="F223" t="s">
        <v>226</v>
      </c>
      <c r="G223" s="77">
        <v>1544</v>
      </c>
      <c r="H223" s="126">
        <v>147</v>
      </c>
      <c r="I223" s="124">
        <v>217.56</v>
      </c>
      <c r="J223" s="124">
        <v>24.86</v>
      </c>
      <c r="K223" s="77">
        <v>520</v>
      </c>
      <c r="L223" s="124">
        <v>762.42</v>
      </c>
    </row>
    <row r="224" spans="1:12" ht="15" customHeight="1" x14ac:dyDescent="0.25">
      <c r="A224" s="78">
        <v>45717</v>
      </c>
      <c r="B224" t="s">
        <v>386</v>
      </c>
      <c r="C224" t="s">
        <v>387</v>
      </c>
      <c r="D224" t="s">
        <v>223</v>
      </c>
      <c r="E224" t="s">
        <v>2238</v>
      </c>
      <c r="F224" t="s">
        <v>228</v>
      </c>
      <c r="G224" s="77">
        <v>1454</v>
      </c>
      <c r="H224" s="126">
        <v>171.1</v>
      </c>
      <c r="I224" s="124">
        <v>253.23</v>
      </c>
      <c r="J224" s="124">
        <v>258.35000000000002</v>
      </c>
      <c r="K224" s="77">
        <v>450</v>
      </c>
      <c r="L224" s="124">
        <v>961.58</v>
      </c>
    </row>
    <row r="225" spans="1:12" ht="15" customHeight="1" x14ac:dyDescent="0.25">
      <c r="A225" s="78">
        <v>45717</v>
      </c>
      <c r="B225" t="s">
        <v>386</v>
      </c>
      <c r="C225" t="s">
        <v>387</v>
      </c>
      <c r="D225" t="s">
        <v>223</v>
      </c>
      <c r="E225" t="s">
        <v>2260</v>
      </c>
      <c r="F225" t="s">
        <v>226</v>
      </c>
      <c r="G225" s="77">
        <v>825</v>
      </c>
      <c r="H225" s="126">
        <v>78.599999999999994</v>
      </c>
      <c r="I225" s="124">
        <v>116.33</v>
      </c>
      <c r="J225" s="124">
        <v>43.57</v>
      </c>
      <c r="K225" s="77">
        <v>320</v>
      </c>
      <c r="L225" s="124">
        <v>479.9</v>
      </c>
    </row>
    <row r="226" spans="1:12" ht="15" customHeight="1" x14ac:dyDescent="0.25">
      <c r="A226" s="78">
        <v>45717</v>
      </c>
      <c r="B226" t="s">
        <v>386</v>
      </c>
      <c r="C226" t="s">
        <v>387</v>
      </c>
      <c r="D226" t="s">
        <v>223</v>
      </c>
      <c r="E226" t="s">
        <v>2227</v>
      </c>
      <c r="F226" t="s">
        <v>224</v>
      </c>
      <c r="G226" s="77">
        <v>1002</v>
      </c>
      <c r="H226" s="126">
        <v>117.9</v>
      </c>
      <c r="I226" s="124">
        <v>174.49</v>
      </c>
      <c r="J226" s="124">
        <v>223.73</v>
      </c>
      <c r="K226" s="77">
        <v>520</v>
      </c>
      <c r="L226" s="124">
        <v>918.22</v>
      </c>
    </row>
    <row r="227" spans="1:12" ht="15" customHeight="1" x14ac:dyDescent="0.25">
      <c r="A227" s="78">
        <v>45717</v>
      </c>
      <c r="B227" t="s">
        <v>341</v>
      </c>
      <c r="C227" t="s">
        <v>342</v>
      </c>
      <c r="D227" t="s">
        <v>223</v>
      </c>
      <c r="E227" t="s">
        <v>2252</v>
      </c>
      <c r="F227" t="s">
        <v>222</v>
      </c>
      <c r="G227" s="77">
        <v>1018</v>
      </c>
      <c r="H227" s="126">
        <v>97</v>
      </c>
      <c r="I227" s="124">
        <v>143.56</v>
      </c>
      <c r="J227" s="124">
        <v>270.89</v>
      </c>
      <c r="K227" s="77">
        <v>520</v>
      </c>
      <c r="L227" s="124">
        <v>934.45</v>
      </c>
    </row>
    <row r="228" spans="1:12" ht="15" customHeight="1" x14ac:dyDescent="0.25">
      <c r="A228" s="78">
        <v>45717</v>
      </c>
      <c r="B228" t="s">
        <v>341</v>
      </c>
      <c r="C228" t="s">
        <v>342</v>
      </c>
      <c r="D228" t="s">
        <v>223</v>
      </c>
      <c r="E228" t="s">
        <v>2310</v>
      </c>
      <c r="F228" t="s">
        <v>226</v>
      </c>
      <c r="G228" s="77">
        <v>687</v>
      </c>
      <c r="H228" s="126">
        <v>65.400000000000006</v>
      </c>
      <c r="I228" s="124">
        <v>96.79</v>
      </c>
      <c r="J228" s="124">
        <v>149.03</v>
      </c>
      <c r="K228" s="77">
        <v>320</v>
      </c>
      <c r="L228" s="124">
        <v>565.82000000000005</v>
      </c>
    </row>
    <row r="229" spans="1:12" ht="15" customHeight="1" x14ac:dyDescent="0.25">
      <c r="A229" s="78">
        <v>45717</v>
      </c>
      <c r="B229" t="s">
        <v>341</v>
      </c>
      <c r="C229" t="s">
        <v>342</v>
      </c>
      <c r="D229" t="s">
        <v>223</v>
      </c>
      <c r="E229" t="s">
        <v>2328</v>
      </c>
      <c r="F229" t="s">
        <v>228</v>
      </c>
      <c r="G229" s="77">
        <v>736</v>
      </c>
      <c r="H229" s="126">
        <v>86.6</v>
      </c>
      <c r="I229" s="124">
        <v>128.16999999999999</v>
      </c>
      <c r="J229" s="124">
        <v>279.08999999999997</v>
      </c>
      <c r="K229" s="77">
        <v>320</v>
      </c>
      <c r="L229" s="124">
        <v>727.26</v>
      </c>
    </row>
    <row r="230" spans="1:12" ht="15" customHeight="1" x14ac:dyDescent="0.25">
      <c r="A230" s="78">
        <v>45717</v>
      </c>
      <c r="B230" t="s">
        <v>341</v>
      </c>
      <c r="C230" t="s">
        <v>342</v>
      </c>
      <c r="D230" t="s">
        <v>223</v>
      </c>
      <c r="E230" t="s">
        <v>2291</v>
      </c>
      <c r="F230" t="s">
        <v>226</v>
      </c>
      <c r="G230" s="77">
        <v>1271</v>
      </c>
      <c r="H230" s="126">
        <v>121</v>
      </c>
      <c r="I230" s="124">
        <v>179.08</v>
      </c>
      <c r="J230" s="124">
        <v>116.34</v>
      </c>
      <c r="K230" s="77">
        <v>450</v>
      </c>
      <c r="L230" s="124">
        <v>745.42</v>
      </c>
    </row>
    <row r="231" spans="1:12" ht="15" customHeight="1" x14ac:dyDescent="0.25">
      <c r="A231" s="78">
        <v>45717</v>
      </c>
      <c r="B231" t="s">
        <v>341</v>
      </c>
      <c r="C231" t="s">
        <v>342</v>
      </c>
      <c r="D231" t="s">
        <v>223</v>
      </c>
      <c r="E231" t="s">
        <v>2220</v>
      </c>
      <c r="F231" t="s">
        <v>228</v>
      </c>
      <c r="G231" s="77">
        <v>398</v>
      </c>
      <c r="H231" s="126">
        <v>46.8</v>
      </c>
      <c r="I231" s="124">
        <v>69.260000000000005</v>
      </c>
      <c r="J231" s="124">
        <v>265.92</v>
      </c>
      <c r="K231" s="77">
        <v>520</v>
      </c>
      <c r="L231" s="124">
        <v>855.18</v>
      </c>
    </row>
    <row r="232" spans="1:12" ht="15" customHeight="1" x14ac:dyDescent="0.25">
      <c r="A232" s="78">
        <v>45717</v>
      </c>
      <c r="B232" t="s">
        <v>341</v>
      </c>
      <c r="C232" t="s">
        <v>342</v>
      </c>
      <c r="D232" t="s">
        <v>223</v>
      </c>
      <c r="E232" t="s">
        <v>2230</v>
      </c>
      <c r="F232" t="s">
        <v>228</v>
      </c>
      <c r="G232" s="77">
        <v>1159</v>
      </c>
      <c r="H232" s="126">
        <v>136.4</v>
      </c>
      <c r="I232" s="124">
        <v>201.87</v>
      </c>
      <c r="J232" s="124">
        <v>282.33999999999997</v>
      </c>
      <c r="K232" s="77">
        <v>320</v>
      </c>
      <c r="L232" s="124">
        <v>804.21</v>
      </c>
    </row>
    <row r="233" spans="1:12" ht="15" customHeight="1" x14ac:dyDescent="0.25">
      <c r="A233" s="78">
        <v>45717</v>
      </c>
      <c r="B233" t="s">
        <v>347</v>
      </c>
      <c r="C233" t="s">
        <v>348</v>
      </c>
      <c r="D233" t="s">
        <v>223</v>
      </c>
      <c r="E233" t="s">
        <v>2308</v>
      </c>
      <c r="F233" t="s">
        <v>228</v>
      </c>
      <c r="G233" s="77">
        <v>1358</v>
      </c>
      <c r="H233" s="126">
        <v>159.80000000000001</v>
      </c>
      <c r="I233" s="124">
        <v>236.5</v>
      </c>
      <c r="J233" s="124">
        <v>164.32</v>
      </c>
      <c r="K233" s="77">
        <v>520</v>
      </c>
      <c r="L233" s="124">
        <v>920.82</v>
      </c>
    </row>
    <row r="234" spans="1:12" ht="15" customHeight="1" x14ac:dyDescent="0.25">
      <c r="A234" s="78">
        <v>45717</v>
      </c>
      <c r="B234" t="s">
        <v>347</v>
      </c>
      <c r="C234" t="s">
        <v>348</v>
      </c>
      <c r="D234" t="s">
        <v>223</v>
      </c>
      <c r="E234" t="s">
        <v>2271</v>
      </c>
      <c r="F234" t="s">
        <v>222</v>
      </c>
      <c r="G234" s="77">
        <v>1220</v>
      </c>
      <c r="H234" s="126">
        <v>116.2</v>
      </c>
      <c r="I234" s="124">
        <v>171.98</v>
      </c>
      <c r="J234" s="124">
        <v>245.4</v>
      </c>
      <c r="K234" s="77">
        <v>320</v>
      </c>
      <c r="L234" s="124">
        <v>737.38</v>
      </c>
    </row>
    <row r="235" spans="1:12" ht="15" customHeight="1" x14ac:dyDescent="0.25">
      <c r="A235" s="78">
        <v>45717</v>
      </c>
      <c r="B235" t="s">
        <v>347</v>
      </c>
      <c r="C235" t="s">
        <v>348</v>
      </c>
      <c r="D235" t="s">
        <v>223</v>
      </c>
      <c r="E235" t="s">
        <v>2265</v>
      </c>
      <c r="F235" t="s">
        <v>224</v>
      </c>
      <c r="G235" s="77">
        <v>605</v>
      </c>
      <c r="H235" s="126">
        <v>71.2</v>
      </c>
      <c r="I235" s="124">
        <v>105.38</v>
      </c>
      <c r="J235" s="124">
        <v>175.57</v>
      </c>
      <c r="K235" s="77">
        <v>450</v>
      </c>
      <c r="L235" s="124">
        <v>730.95</v>
      </c>
    </row>
    <row r="236" spans="1:12" ht="15" customHeight="1" x14ac:dyDescent="0.25">
      <c r="A236" s="78">
        <v>45717</v>
      </c>
      <c r="B236" t="s">
        <v>347</v>
      </c>
      <c r="C236" t="s">
        <v>348</v>
      </c>
      <c r="D236" t="s">
        <v>223</v>
      </c>
      <c r="E236" t="s">
        <v>2277</v>
      </c>
      <c r="F236" t="s">
        <v>222</v>
      </c>
      <c r="G236" s="77">
        <v>923</v>
      </c>
      <c r="H236" s="126">
        <v>87.9</v>
      </c>
      <c r="I236" s="124">
        <v>130.09</v>
      </c>
      <c r="J236" s="124">
        <v>143.47999999999999</v>
      </c>
      <c r="K236" s="77">
        <v>320</v>
      </c>
      <c r="L236" s="124">
        <v>593.57000000000005</v>
      </c>
    </row>
    <row r="237" spans="1:12" ht="15" customHeight="1" x14ac:dyDescent="0.25">
      <c r="A237" s="78">
        <v>45717</v>
      </c>
      <c r="B237" t="s">
        <v>409</v>
      </c>
      <c r="C237" t="s">
        <v>410</v>
      </c>
      <c r="D237" t="s">
        <v>223</v>
      </c>
      <c r="E237" t="s">
        <v>2329</v>
      </c>
      <c r="F237" t="s">
        <v>226</v>
      </c>
      <c r="G237" s="77">
        <v>1136</v>
      </c>
      <c r="H237" s="126">
        <v>108.2</v>
      </c>
      <c r="I237" s="124">
        <v>160.13999999999999</v>
      </c>
      <c r="J237" s="124">
        <v>111.02</v>
      </c>
      <c r="K237" s="77">
        <v>380</v>
      </c>
      <c r="L237" s="124">
        <v>651.16</v>
      </c>
    </row>
    <row r="238" spans="1:12" ht="15" customHeight="1" x14ac:dyDescent="0.25">
      <c r="A238" s="78">
        <v>45717</v>
      </c>
      <c r="B238" t="s">
        <v>409</v>
      </c>
      <c r="C238" t="s">
        <v>410</v>
      </c>
      <c r="D238" t="s">
        <v>223</v>
      </c>
      <c r="E238" t="s">
        <v>2330</v>
      </c>
      <c r="F238" t="s">
        <v>228</v>
      </c>
      <c r="G238" s="77">
        <v>881</v>
      </c>
      <c r="H238" s="126">
        <v>103.6</v>
      </c>
      <c r="I238" s="124">
        <v>153.33000000000001</v>
      </c>
      <c r="J238" s="124">
        <v>252.73</v>
      </c>
      <c r="K238" s="77">
        <v>320</v>
      </c>
      <c r="L238" s="124">
        <v>726.06</v>
      </c>
    </row>
    <row r="239" spans="1:12" ht="15" customHeight="1" x14ac:dyDescent="0.25">
      <c r="A239" s="78">
        <v>45717</v>
      </c>
      <c r="B239" t="s">
        <v>409</v>
      </c>
      <c r="C239" t="s">
        <v>410</v>
      </c>
      <c r="D239" t="s">
        <v>223</v>
      </c>
      <c r="E239" t="s">
        <v>2248</v>
      </c>
      <c r="F239" t="s">
        <v>226</v>
      </c>
      <c r="G239" s="77">
        <v>778</v>
      </c>
      <c r="H239" s="126">
        <v>74.099999999999994</v>
      </c>
      <c r="I239" s="124">
        <v>109.67</v>
      </c>
      <c r="J239" s="124">
        <v>63.13</v>
      </c>
      <c r="K239" s="77">
        <v>520</v>
      </c>
      <c r="L239" s="124">
        <v>692.8</v>
      </c>
    </row>
    <row r="240" spans="1:12" ht="15" customHeight="1" x14ac:dyDescent="0.25">
      <c r="A240" s="78">
        <v>45717</v>
      </c>
      <c r="B240" t="s">
        <v>409</v>
      </c>
      <c r="C240" t="s">
        <v>410</v>
      </c>
      <c r="D240" t="s">
        <v>223</v>
      </c>
      <c r="E240" t="s">
        <v>2288</v>
      </c>
      <c r="F240" t="s">
        <v>222</v>
      </c>
      <c r="G240" s="77">
        <v>1219</v>
      </c>
      <c r="H240" s="126">
        <v>116.1</v>
      </c>
      <c r="I240" s="124">
        <v>171.83</v>
      </c>
      <c r="J240" s="124">
        <v>58.1</v>
      </c>
      <c r="K240" s="77">
        <v>320</v>
      </c>
      <c r="L240" s="124">
        <v>549.92999999999995</v>
      </c>
    </row>
    <row r="241" spans="1:12" ht="15" customHeight="1" x14ac:dyDescent="0.25">
      <c r="A241" s="78">
        <v>45717</v>
      </c>
      <c r="B241" t="s">
        <v>409</v>
      </c>
      <c r="C241" t="s">
        <v>410</v>
      </c>
      <c r="D241" t="s">
        <v>223</v>
      </c>
      <c r="E241" t="s">
        <v>2331</v>
      </c>
      <c r="F241" t="s">
        <v>228</v>
      </c>
      <c r="G241" s="77">
        <v>1216</v>
      </c>
      <c r="H241" s="126">
        <v>143.1</v>
      </c>
      <c r="I241" s="124">
        <v>211.79</v>
      </c>
      <c r="J241" s="124">
        <v>287.01</v>
      </c>
      <c r="K241" s="77">
        <v>320</v>
      </c>
      <c r="L241" s="124">
        <v>818.8</v>
      </c>
    </row>
    <row r="242" spans="1:12" ht="15" customHeight="1" x14ac:dyDescent="0.25">
      <c r="A242" s="78">
        <v>45717</v>
      </c>
      <c r="B242" t="s">
        <v>488</v>
      </c>
      <c r="C242" t="s">
        <v>489</v>
      </c>
      <c r="D242" t="s">
        <v>225</v>
      </c>
      <c r="E242" t="s">
        <v>2310</v>
      </c>
      <c r="F242" t="s">
        <v>222</v>
      </c>
      <c r="G242" s="77">
        <v>618</v>
      </c>
      <c r="H242" s="126">
        <v>58.9</v>
      </c>
      <c r="I242" s="124">
        <v>87.17</v>
      </c>
      <c r="J242" s="124">
        <v>95.79</v>
      </c>
      <c r="K242" s="77">
        <v>520</v>
      </c>
      <c r="L242" s="124">
        <v>702.96</v>
      </c>
    </row>
    <row r="243" spans="1:12" ht="15" customHeight="1" x14ac:dyDescent="0.25">
      <c r="A243" s="78">
        <v>45717</v>
      </c>
      <c r="B243" t="s">
        <v>488</v>
      </c>
      <c r="C243" t="s">
        <v>489</v>
      </c>
      <c r="D243" t="s">
        <v>225</v>
      </c>
      <c r="E243" t="s">
        <v>2278</v>
      </c>
      <c r="F243" t="s">
        <v>226</v>
      </c>
      <c r="G243" s="77">
        <v>1348</v>
      </c>
      <c r="H243" s="126">
        <v>128.4</v>
      </c>
      <c r="I243" s="124">
        <v>190.03</v>
      </c>
      <c r="J243" s="124">
        <v>71.510000000000005</v>
      </c>
      <c r="K243" s="77">
        <v>450</v>
      </c>
      <c r="L243" s="124">
        <v>711.54</v>
      </c>
    </row>
    <row r="244" spans="1:12" ht="15" customHeight="1" x14ac:dyDescent="0.25">
      <c r="A244" s="78">
        <v>45717</v>
      </c>
      <c r="B244" t="s">
        <v>488</v>
      </c>
      <c r="C244" t="s">
        <v>489</v>
      </c>
      <c r="D244" t="s">
        <v>225</v>
      </c>
      <c r="E244" t="s">
        <v>2262</v>
      </c>
      <c r="F244" t="s">
        <v>224</v>
      </c>
      <c r="G244" s="77">
        <v>933</v>
      </c>
      <c r="H244" s="126">
        <v>109.8</v>
      </c>
      <c r="I244" s="124">
        <v>162.5</v>
      </c>
      <c r="J244" s="124">
        <v>186.96</v>
      </c>
      <c r="K244" s="77">
        <v>520</v>
      </c>
      <c r="L244" s="124">
        <v>869.46</v>
      </c>
    </row>
    <row r="245" spans="1:12" ht="15" customHeight="1" x14ac:dyDescent="0.25">
      <c r="A245" s="78">
        <v>45717</v>
      </c>
      <c r="B245" t="s">
        <v>488</v>
      </c>
      <c r="C245" t="s">
        <v>489</v>
      </c>
      <c r="D245" t="s">
        <v>225</v>
      </c>
      <c r="E245" t="s">
        <v>2275</v>
      </c>
      <c r="F245" t="s">
        <v>228</v>
      </c>
      <c r="G245" s="77">
        <v>1245</v>
      </c>
      <c r="H245" s="126">
        <v>146.5</v>
      </c>
      <c r="I245" s="124">
        <v>216.82</v>
      </c>
      <c r="J245" s="124">
        <v>229.88</v>
      </c>
      <c r="K245" s="77">
        <v>380</v>
      </c>
      <c r="L245" s="124">
        <v>826.7</v>
      </c>
    </row>
    <row r="246" spans="1:12" ht="15" customHeight="1" x14ac:dyDescent="0.25">
      <c r="A246" s="78">
        <v>45717</v>
      </c>
      <c r="B246" t="s">
        <v>488</v>
      </c>
      <c r="C246" t="s">
        <v>489</v>
      </c>
      <c r="D246" t="s">
        <v>225</v>
      </c>
      <c r="E246" t="s">
        <v>2332</v>
      </c>
      <c r="F246" t="s">
        <v>222</v>
      </c>
      <c r="G246" s="77">
        <v>900</v>
      </c>
      <c r="H246" s="126">
        <v>85.7</v>
      </c>
      <c r="I246" s="124">
        <v>126.84</v>
      </c>
      <c r="J246" s="124">
        <v>263.79000000000002</v>
      </c>
      <c r="K246" s="77">
        <v>320</v>
      </c>
      <c r="L246" s="124">
        <v>710.63</v>
      </c>
    </row>
    <row r="247" spans="1:12" ht="15" customHeight="1" x14ac:dyDescent="0.25">
      <c r="A247" s="78">
        <v>45717</v>
      </c>
      <c r="B247" t="s">
        <v>488</v>
      </c>
      <c r="C247" t="s">
        <v>489</v>
      </c>
      <c r="D247" t="s">
        <v>225</v>
      </c>
      <c r="E247" t="s">
        <v>2244</v>
      </c>
      <c r="F247" t="s">
        <v>222</v>
      </c>
      <c r="G247" s="77">
        <v>1484</v>
      </c>
      <c r="H247" s="126">
        <v>141.30000000000001</v>
      </c>
      <c r="I247" s="124">
        <v>209.12</v>
      </c>
      <c r="J247" s="124">
        <v>228.31</v>
      </c>
      <c r="K247" s="77">
        <v>380</v>
      </c>
      <c r="L247" s="124">
        <v>817.43</v>
      </c>
    </row>
    <row r="248" spans="1:12" ht="15" customHeight="1" x14ac:dyDescent="0.25">
      <c r="A248" s="78">
        <v>45717</v>
      </c>
      <c r="B248" t="s">
        <v>406</v>
      </c>
      <c r="C248" t="s">
        <v>407</v>
      </c>
      <c r="D248" t="s">
        <v>225</v>
      </c>
      <c r="E248" t="s">
        <v>2274</v>
      </c>
      <c r="F248" t="s">
        <v>224</v>
      </c>
      <c r="G248" s="77">
        <v>1071</v>
      </c>
      <c r="H248" s="126">
        <v>126</v>
      </c>
      <c r="I248" s="124">
        <v>186.48</v>
      </c>
      <c r="J248" s="124">
        <v>85.34</v>
      </c>
      <c r="K248" s="77">
        <v>520</v>
      </c>
      <c r="L248" s="124">
        <v>791.82</v>
      </c>
    </row>
    <row r="249" spans="1:12" ht="15" customHeight="1" x14ac:dyDescent="0.25">
      <c r="A249" s="78">
        <v>45717</v>
      </c>
      <c r="B249" t="s">
        <v>406</v>
      </c>
      <c r="C249" t="s">
        <v>407</v>
      </c>
      <c r="D249" t="s">
        <v>225</v>
      </c>
      <c r="E249" t="s">
        <v>2284</v>
      </c>
      <c r="F249" t="s">
        <v>226</v>
      </c>
      <c r="G249" s="77">
        <v>842</v>
      </c>
      <c r="H249" s="126">
        <v>80.2</v>
      </c>
      <c r="I249" s="124">
        <v>118.7</v>
      </c>
      <c r="J249" s="124">
        <v>191.8</v>
      </c>
      <c r="K249" s="77">
        <v>320</v>
      </c>
      <c r="L249" s="124">
        <v>630.5</v>
      </c>
    </row>
    <row r="250" spans="1:12" ht="15" customHeight="1" x14ac:dyDescent="0.25">
      <c r="A250" s="78">
        <v>45717</v>
      </c>
      <c r="B250" t="s">
        <v>406</v>
      </c>
      <c r="C250" t="s">
        <v>407</v>
      </c>
      <c r="D250" t="s">
        <v>225</v>
      </c>
      <c r="E250" t="s">
        <v>2280</v>
      </c>
      <c r="F250" t="s">
        <v>224</v>
      </c>
      <c r="G250" s="77">
        <v>1154</v>
      </c>
      <c r="H250" s="126">
        <v>135.80000000000001</v>
      </c>
      <c r="I250" s="124">
        <v>200.98</v>
      </c>
      <c r="J250" s="124">
        <v>262.13</v>
      </c>
      <c r="K250" s="77">
        <v>320</v>
      </c>
      <c r="L250" s="124">
        <v>783.11</v>
      </c>
    </row>
    <row r="251" spans="1:12" ht="15" customHeight="1" x14ac:dyDescent="0.25">
      <c r="A251" s="78">
        <v>45717</v>
      </c>
      <c r="B251" t="s">
        <v>406</v>
      </c>
      <c r="C251" t="s">
        <v>407</v>
      </c>
      <c r="D251" t="s">
        <v>225</v>
      </c>
      <c r="E251" t="s">
        <v>2289</v>
      </c>
      <c r="F251" t="s">
        <v>228</v>
      </c>
      <c r="G251" s="77">
        <v>1212</v>
      </c>
      <c r="H251" s="126">
        <v>142.6</v>
      </c>
      <c r="I251" s="124">
        <v>211.05</v>
      </c>
      <c r="J251" s="124">
        <v>129.75</v>
      </c>
      <c r="K251" s="77">
        <v>450</v>
      </c>
      <c r="L251" s="124">
        <v>790.8</v>
      </c>
    </row>
    <row r="252" spans="1:12" ht="15" customHeight="1" x14ac:dyDescent="0.25">
      <c r="A252" s="78">
        <v>45717</v>
      </c>
      <c r="B252" t="s">
        <v>406</v>
      </c>
      <c r="C252" t="s">
        <v>407</v>
      </c>
      <c r="D252" t="s">
        <v>225</v>
      </c>
      <c r="E252" t="s">
        <v>2333</v>
      </c>
      <c r="F252" t="s">
        <v>226</v>
      </c>
      <c r="G252" s="77">
        <v>1312</v>
      </c>
      <c r="H252" s="126">
        <v>125</v>
      </c>
      <c r="I252" s="124">
        <v>185</v>
      </c>
      <c r="J252" s="124">
        <v>70.16</v>
      </c>
      <c r="K252" s="77">
        <v>450</v>
      </c>
      <c r="L252" s="124">
        <v>705.16</v>
      </c>
    </row>
    <row r="253" spans="1:12" ht="15" customHeight="1" x14ac:dyDescent="0.25">
      <c r="A253" s="78">
        <v>45717</v>
      </c>
      <c r="B253" t="s">
        <v>406</v>
      </c>
      <c r="C253" t="s">
        <v>407</v>
      </c>
      <c r="D253" t="s">
        <v>225</v>
      </c>
      <c r="E253" t="s">
        <v>2314</v>
      </c>
      <c r="F253" t="s">
        <v>224</v>
      </c>
      <c r="G253" s="77">
        <v>954</v>
      </c>
      <c r="H253" s="126">
        <v>112.2</v>
      </c>
      <c r="I253" s="124">
        <v>166.06</v>
      </c>
      <c r="J253" s="124">
        <v>170.02</v>
      </c>
      <c r="K253" s="77">
        <v>320</v>
      </c>
      <c r="L253" s="124">
        <v>656.08</v>
      </c>
    </row>
    <row r="254" spans="1:12" ht="15" customHeight="1" x14ac:dyDescent="0.25">
      <c r="A254" s="78">
        <v>45717</v>
      </c>
      <c r="B254" t="s">
        <v>406</v>
      </c>
      <c r="C254" t="s">
        <v>407</v>
      </c>
      <c r="D254" t="s">
        <v>225</v>
      </c>
      <c r="E254" t="s">
        <v>2328</v>
      </c>
      <c r="F254" t="s">
        <v>226</v>
      </c>
      <c r="G254" s="77">
        <v>1548</v>
      </c>
      <c r="H254" s="126">
        <v>147.4</v>
      </c>
      <c r="I254" s="124">
        <v>218.15</v>
      </c>
      <c r="J254" s="124">
        <v>398.79</v>
      </c>
      <c r="K254" s="77">
        <v>380</v>
      </c>
      <c r="L254" s="124">
        <v>996.94</v>
      </c>
    </row>
    <row r="255" spans="1:12" ht="15" customHeight="1" x14ac:dyDescent="0.25">
      <c r="A255" s="78">
        <v>45717</v>
      </c>
      <c r="B255" t="s">
        <v>358</v>
      </c>
      <c r="C255" t="s">
        <v>359</v>
      </c>
      <c r="D255" t="s">
        <v>225</v>
      </c>
      <c r="E255" t="s">
        <v>2298</v>
      </c>
      <c r="F255" t="s">
        <v>222</v>
      </c>
      <c r="G255" s="77">
        <v>1201</v>
      </c>
      <c r="H255" s="126">
        <v>114.4</v>
      </c>
      <c r="I255" s="124">
        <v>169.31</v>
      </c>
      <c r="J255" s="124">
        <v>135.34</v>
      </c>
      <c r="K255" s="77">
        <v>320</v>
      </c>
      <c r="L255" s="124">
        <v>624.65</v>
      </c>
    </row>
    <row r="256" spans="1:12" ht="15" customHeight="1" x14ac:dyDescent="0.25">
      <c r="A256" s="78">
        <v>45717</v>
      </c>
      <c r="B256" t="s">
        <v>358</v>
      </c>
      <c r="C256" t="s">
        <v>359</v>
      </c>
      <c r="D256" t="s">
        <v>225</v>
      </c>
      <c r="E256" t="s">
        <v>2334</v>
      </c>
      <c r="F256" t="s">
        <v>226</v>
      </c>
      <c r="G256" s="77">
        <v>1183</v>
      </c>
      <c r="H256" s="126">
        <v>112.7</v>
      </c>
      <c r="I256" s="124">
        <v>166.8</v>
      </c>
      <c r="J256" s="124">
        <v>221.01</v>
      </c>
      <c r="K256" s="77">
        <v>320</v>
      </c>
      <c r="L256" s="124">
        <v>707.81</v>
      </c>
    </row>
    <row r="257" spans="1:12" ht="15" customHeight="1" x14ac:dyDescent="0.25">
      <c r="A257" s="78">
        <v>45717</v>
      </c>
      <c r="B257" t="s">
        <v>358</v>
      </c>
      <c r="C257" t="s">
        <v>359</v>
      </c>
      <c r="D257" t="s">
        <v>225</v>
      </c>
      <c r="E257" t="s">
        <v>2335</v>
      </c>
      <c r="F257" t="s">
        <v>222</v>
      </c>
      <c r="G257" s="77">
        <v>969</v>
      </c>
      <c r="H257" s="126">
        <v>92.3</v>
      </c>
      <c r="I257" s="124">
        <v>136.6</v>
      </c>
      <c r="J257" s="124">
        <v>293.62</v>
      </c>
      <c r="K257" s="77">
        <v>320</v>
      </c>
      <c r="L257" s="124">
        <v>750.22</v>
      </c>
    </row>
    <row r="258" spans="1:12" ht="15" customHeight="1" x14ac:dyDescent="0.25">
      <c r="A258" s="78">
        <v>45717</v>
      </c>
      <c r="B258" t="s">
        <v>383</v>
      </c>
      <c r="C258" t="s">
        <v>384</v>
      </c>
      <c r="D258" t="s">
        <v>225</v>
      </c>
      <c r="E258" t="s">
        <v>2290</v>
      </c>
      <c r="F258" t="s">
        <v>228</v>
      </c>
      <c r="G258" s="77">
        <v>1107</v>
      </c>
      <c r="H258" s="126">
        <v>130.19999999999999</v>
      </c>
      <c r="I258" s="124">
        <v>192.7</v>
      </c>
      <c r="J258" s="124">
        <v>289.82</v>
      </c>
      <c r="K258" s="77">
        <v>450</v>
      </c>
      <c r="L258" s="124">
        <v>932.52</v>
      </c>
    </row>
    <row r="259" spans="1:12" ht="15" customHeight="1" x14ac:dyDescent="0.25">
      <c r="A259" s="78">
        <v>45717</v>
      </c>
      <c r="B259" t="s">
        <v>383</v>
      </c>
      <c r="C259" t="s">
        <v>384</v>
      </c>
      <c r="D259" t="s">
        <v>225</v>
      </c>
      <c r="E259" t="s">
        <v>2313</v>
      </c>
      <c r="F259" t="s">
        <v>226</v>
      </c>
      <c r="G259" s="77">
        <v>1216</v>
      </c>
      <c r="H259" s="126">
        <v>115.8</v>
      </c>
      <c r="I259" s="124">
        <v>171.38</v>
      </c>
      <c r="J259" s="124">
        <v>183.73</v>
      </c>
      <c r="K259" s="77">
        <v>450</v>
      </c>
      <c r="L259" s="124">
        <v>805.11</v>
      </c>
    </row>
    <row r="260" spans="1:12" ht="15" customHeight="1" x14ac:dyDescent="0.25">
      <c r="A260" s="78">
        <v>45717</v>
      </c>
      <c r="B260" t="s">
        <v>383</v>
      </c>
      <c r="C260" t="s">
        <v>384</v>
      </c>
      <c r="D260" t="s">
        <v>225</v>
      </c>
      <c r="E260" t="s">
        <v>2255</v>
      </c>
      <c r="F260" t="s">
        <v>226</v>
      </c>
      <c r="G260" s="77">
        <v>1259</v>
      </c>
      <c r="H260" s="126">
        <v>119.9</v>
      </c>
      <c r="I260" s="124">
        <v>177.45</v>
      </c>
      <c r="J260" s="124">
        <v>100.62</v>
      </c>
      <c r="K260" s="77">
        <v>520</v>
      </c>
      <c r="L260" s="124">
        <v>798.07</v>
      </c>
    </row>
    <row r="261" spans="1:12" ht="15" customHeight="1" x14ac:dyDescent="0.25">
      <c r="A261" s="78">
        <v>45717</v>
      </c>
      <c r="B261" t="s">
        <v>383</v>
      </c>
      <c r="C261" t="s">
        <v>384</v>
      </c>
      <c r="D261" t="s">
        <v>225</v>
      </c>
      <c r="E261" t="s">
        <v>2324</v>
      </c>
      <c r="F261" t="s">
        <v>224</v>
      </c>
      <c r="G261" s="77">
        <v>910</v>
      </c>
      <c r="H261" s="126">
        <v>107.1</v>
      </c>
      <c r="I261" s="124">
        <v>158.51</v>
      </c>
      <c r="J261" s="124">
        <v>61.99</v>
      </c>
      <c r="K261" s="77">
        <v>320</v>
      </c>
      <c r="L261" s="124">
        <v>540.5</v>
      </c>
    </row>
    <row r="262" spans="1:12" ht="15" customHeight="1" x14ac:dyDescent="0.25">
      <c r="A262" s="78">
        <v>45717</v>
      </c>
      <c r="B262" t="s">
        <v>373</v>
      </c>
      <c r="C262" t="s">
        <v>374</v>
      </c>
      <c r="D262" t="s">
        <v>225</v>
      </c>
      <c r="E262" t="s">
        <v>2271</v>
      </c>
      <c r="F262" t="s">
        <v>226</v>
      </c>
      <c r="G262" s="77">
        <v>1159</v>
      </c>
      <c r="H262" s="126">
        <v>110.4</v>
      </c>
      <c r="I262" s="124">
        <v>163.38999999999999</v>
      </c>
      <c r="J262" s="124">
        <v>212.31</v>
      </c>
      <c r="K262" s="77">
        <v>520</v>
      </c>
      <c r="L262" s="124">
        <v>895.7</v>
      </c>
    </row>
    <row r="263" spans="1:12" ht="15" customHeight="1" x14ac:dyDescent="0.25">
      <c r="A263" s="78">
        <v>45717</v>
      </c>
      <c r="B263" t="s">
        <v>373</v>
      </c>
      <c r="C263" t="s">
        <v>374</v>
      </c>
      <c r="D263" t="s">
        <v>225</v>
      </c>
      <c r="E263" t="s">
        <v>2309</v>
      </c>
      <c r="F263" t="s">
        <v>228</v>
      </c>
      <c r="G263" s="77">
        <v>1164</v>
      </c>
      <c r="H263" s="126">
        <v>136.9</v>
      </c>
      <c r="I263" s="124">
        <v>202.61</v>
      </c>
      <c r="J263" s="124">
        <v>383.96</v>
      </c>
      <c r="K263" s="77">
        <v>380</v>
      </c>
      <c r="L263" s="124">
        <v>966.57</v>
      </c>
    </row>
    <row r="264" spans="1:12" ht="15" customHeight="1" x14ac:dyDescent="0.25">
      <c r="A264" s="78">
        <v>45717</v>
      </c>
      <c r="B264" t="s">
        <v>373</v>
      </c>
      <c r="C264" t="s">
        <v>374</v>
      </c>
      <c r="D264" t="s">
        <v>225</v>
      </c>
      <c r="E264" t="s">
        <v>2305</v>
      </c>
      <c r="F264" t="s">
        <v>224</v>
      </c>
      <c r="G264" s="77">
        <v>1048</v>
      </c>
      <c r="H264" s="126">
        <v>123.3</v>
      </c>
      <c r="I264" s="124">
        <v>182.48</v>
      </c>
      <c r="J264" s="124">
        <v>203.5</v>
      </c>
      <c r="K264" s="77">
        <v>450</v>
      </c>
      <c r="L264" s="124">
        <v>835.98</v>
      </c>
    </row>
    <row r="265" spans="1:12" ht="15" customHeight="1" x14ac:dyDescent="0.25">
      <c r="A265" s="78">
        <v>45717</v>
      </c>
      <c r="B265" t="s">
        <v>354</v>
      </c>
      <c r="C265" t="s">
        <v>355</v>
      </c>
      <c r="D265" t="s">
        <v>227</v>
      </c>
      <c r="E265" t="s">
        <v>2311</v>
      </c>
      <c r="F265" t="s">
        <v>222</v>
      </c>
      <c r="G265" s="77">
        <v>777</v>
      </c>
      <c r="H265" s="126">
        <v>74</v>
      </c>
      <c r="I265" s="124">
        <v>109.52</v>
      </c>
      <c r="J265" s="124">
        <v>119.03</v>
      </c>
      <c r="K265" s="77">
        <v>320</v>
      </c>
      <c r="L265" s="124">
        <v>548.54999999999995</v>
      </c>
    </row>
    <row r="266" spans="1:12" ht="15" customHeight="1" x14ac:dyDescent="0.25">
      <c r="A266" s="78">
        <v>45717</v>
      </c>
      <c r="B266" t="s">
        <v>354</v>
      </c>
      <c r="C266" t="s">
        <v>355</v>
      </c>
      <c r="D266" t="s">
        <v>227</v>
      </c>
      <c r="E266" t="s">
        <v>2223</v>
      </c>
      <c r="F266" t="s">
        <v>228</v>
      </c>
      <c r="G266" s="77">
        <v>1223</v>
      </c>
      <c r="H266" s="126">
        <v>143.9</v>
      </c>
      <c r="I266" s="124">
        <v>212.97</v>
      </c>
      <c r="J266" s="124">
        <v>317.93</v>
      </c>
      <c r="K266" s="77">
        <v>520</v>
      </c>
      <c r="L266" s="124">
        <v>1050.9000000000001</v>
      </c>
    </row>
    <row r="267" spans="1:12" ht="15" customHeight="1" x14ac:dyDescent="0.25">
      <c r="A267" s="78">
        <v>45717</v>
      </c>
      <c r="B267" t="s">
        <v>354</v>
      </c>
      <c r="C267" t="s">
        <v>355</v>
      </c>
      <c r="D267" t="s">
        <v>227</v>
      </c>
      <c r="E267" t="s">
        <v>2257</v>
      </c>
      <c r="F267" t="s">
        <v>224</v>
      </c>
      <c r="G267" s="77">
        <v>976</v>
      </c>
      <c r="H267" s="126">
        <v>114.8</v>
      </c>
      <c r="I267" s="124">
        <v>169.9</v>
      </c>
      <c r="J267" s="124">
        <v>144.27000000000001</v>
      </c>
      <c r="K267" s="77">
        <v>450</v>
      </c>
      <c r="L267" s="124">
        <v>764.17</v>
      </c>
    </row>
    <row r="268" spans="1:12" ht="15" customHeight="1" x14ac:dyDescent="0.25">
      <c r="A268" s="78">
        <v>45717</v>
      </c>
      <c r="B268" t="s">
        <v>354</v>
      </c>
      <c r="C268" t="s">
        <v>355</v>
      </c>
      <c r="D268" t="s">
        <v>227</v>
      </c>
      <c r="E268" t="s">
        <v>2293</v>
      </c>
      <c r="F268" t="s">
        <v>222</v>
      </c>
      <c r="G268" s="77">
        <v>670</v>
      </c>
      <c r="H268" s="126">
        <v>63.8</v>
      </c>
      <c r="I268" s="124">
        <v>94.42</v>
      </c>
      <c r="J268" s="124">
        <v>121.44</v>
      </c>
      <c r="K268" s="77">
        <v>380</v>
      </c>
      <c r="L268" s="124">
        <v>595.86</v>
      </c>
    </row>
    <row r="269" spans="1:12" ht="15" customHeight="1" x14ac:dyDescent="0.25">
      <c r="A269" s="78">
        <v>45717</v>
      </c>
      <c r="B269" t="s">
        <v>354</v>
      </c>
      <c r="C269" t="s">
        <v>355</v>
      </c>
      <c r="D269" t="s">
        <v>227</v>
      </c>
      <c r="E269" t="s">
        <v>2336</v>
      </c>
      <c r="F269" t="s">
        <v>226</v>
      </c>
      <c r="G269" s="77">
        <v>1272</v>
      </c>
      <c r="H269" s="126">
        <v>121.1</v>
      </c>
      <c r="I269" s="124">
        <v>179.23</v>
      </c>
      <c r="J269" s="124">
        <v>196.02</v>
      </c>
      <c r="K269" s="77">
        <v>380</v>
      </c>
      <c r="L269" s="124">
        <v>755.25</v>
      </c>
    </row>
    <row r="270" spans="1:12" ht="15" customHeight="1" x14ac:dyDescent="0.25">
      <c r="A270" s="78">
        <v>45717</v>
      </c>
      <c r="B270" t="s">
        <v>370</v>
      </c>
      <c r="C270" t="s">
        <v>371</v>
      </c>
      <c r="D270" t="s">
        <v>227</v>
      </c>
      <c r="E270" t="s">
        <v>2228</v>
      </c>
      <c r="F270" t="s">
        <v>226</v>
      </c>
      <c r="G270" s="77">
        <v>1175</v>
      </c>
      <c r="H270" s="126">
        <v>111.9</v>
      </c>
      <c r="I270" s="124">
        <v>165.61</v>
      </c>
      <c r="J270" s="124">
        <v>153.97999999999999</v>
      </c>
      <c r="K270" s="77">
        <v>520</v>
      </c>
      <c r="L270" s="124">
        <v>839.59</v>
      </c>
    </row>
    <row r="271" spans="1:12" ht="15" customHeight="1" x14ac:dyDescent="0.25">
      <c r="A271" s="78">
        <v>45717</v>
      </c>
      <c r="B271" t="s">
        <v>370</v>
      </c>
      <c r="C271" t="s">
        <v>371</v>
      </c>
      <c r="D271" t="s">
        <v>227</v>
      </c>
      <c r="E271" t="s">
        <v>2225</v>
      </c>
      <c r="F271" t="s">
        <v>224</v>
      </c>
      <c r="G271" s="77">
        <v>1051</v>
      </c>
      <c r="H271" s="126">
        <v>123.6</v>
      </c>
      <c r="I271" s="124">
        <v>182.93</v>
      </c>
      <c r="J271" s="124">
        <v>97.17</v>
      </c>
      <c r="K271" s="77">
        <v>320</v>
      </c>
      <c r="L271" s="124">
        <v>600.1</v>
      </c>
    </row>
    <row r="272" spans="1:12" ht="15" customHeight="1" x14ac:dyDescent="0.25">
      <c r="A272" s="78">
        <v>45717</v>
      </c>
      <c r="B272" t="s">
        <v>370</v>
      </c>
      <c r="C272" t="s">
        <v>371</v>
      </c>
      <c r="D272" t="s">
        <v>227</v>
      </c>
      <c r="E272" t="s">
        <v>2250</v>
      </c>
      <c r="F272" t="s">
        <v>222</v>
      </c>
      <c r="G272" s="77">
        <v>1224</v>
      </c>
      <c r="H272" s="126">
        <v>116.6</v>
      </c>
      <c r="I272" s="124">
        <v>172.57</v>
      </c>
      <c r="J272" s="124">
        <v>183.68</v>
      </c>
      <c r="K272" s="77">
        <v>520</v>
      </c>
      <c r="L272" s="124">
        <v>876.25</v>
      </c>
    </row>
    <row r="273" spans="1:12" ht="15" customHeight="1" x14ac:dyDescent="0.25">
      <c r="A273" s="78">
        <v>45717</v>
      </c>
      <c r="B273" t="s">
        <v>370</v>
      </c>
      <c r="C273" t="s">
        <v>371</v>
      </c>
      <c r="D273" t="s">
        <v>227</v>
      </c>
      <c r="E273" t="s">
        <v>2302</v>
      </c>
      <c r="F273" t="s">
        <v>222</v>
      </c>
      <c r="G273" s="77">
        <v>1173</v>
      </c>
      <c r="H273" s="126">
        <v>111.7</v>
      </c>
      <c r="I273" s="124">
        <v>165.32</v>
      </c>
      <c r="J273" s="124">
        <v>107.92</v>
      </c>
      <c r="K273" s="77">
        <v>450</v>
      </c>
      <c r="L273" s="124">
        <v>723.24</v>
      </c>
    </row>
    <row r="274" spans="1:12" ht="15" customHeight="1" x14ac:dyDescent="0.25">
      <c r="A274" s="78">
        <v>45717</v>
      </c>
      <c r="B274" t="s">
        <v>370</v>
      </c>
      <c r="C274" t="s">
        <v>371</v>
      </c>
      <c r="D274" t="s">
        <v>227</v>
      </c>
      <c r="E274" t="s">
        <v>2264</v>
      </c>
      <c r="F274" t="s">
        <v>228</v>
      </c>
      <c r="G274" s="77">
        <v>511</v>
      </c>
      <c r="H274" s="126">
        <v>60.1</v>
      </c>
      <c r="I274" s="124">
        <v>88.95</v>
      </c>
      <c r="J274" s="124">
        <v>337.77</v>
      </c>
      <c r="K274" s="77">
        <v>520</v>
      </c>
      <c r="L274" s="124">
        <v>946.72</v>
      </c>
    </row>
    <row r="275" spans="1:12" ht="15" customHeight="1" x14ac:dyDescent="0.25">
      <c r="A275" s="78">
        <v>45717</v>
      </c>
      <c r="B275" t="s">
        <v>398</v>
      </c>
      <c r="C275" t="s">
        <v>399</v>
      </c>
      <c r="D275" t="s">
        <v>227</v>
      </c>
      <c r="E275" t="s">
        <v>2316</v>
      </c>
      <c r="F275" t="s">
        <v>222</v>
      </c>
      <c r="G275" s="77">
        <v>930</v>
      </c>
      <c r="H275" s="126">
        <v>88.6</v>
      </c>
      <c r="I275" s="124">
        <v>131.13</v>
      </c>
      <c r="J275" s="124">
        <v>80.98</v>
      </c>
      <c r="K275" s="77">
        <v>520</v>
      </c>
      <c r="L275" s="124">
        <v>732.11</v>
      </c>
    </row>
    <row r="276" spans="1:12" ht="15" customHeight="1" x14ac:dyDescent="0.25">
      <c r="A276" s="78">
        <v>45717</v>
      </c>
      <c r="B276" t="s">
        <v>398</v>
      </c>
      <c r="C276" t="s">
        <v>399</v>
      </c>
      <c r="D276" t="s">
        <v>227</v>
      </c>
      <c r="E276" t="s">
        <v>2331</v>
      </c>
      <c r="F276" t="s">
        <v>224</v>
      </c>
      <c r="G276" s="77">
        <v>1223</v>
      </c>
      <c r="H276" s="126">
        <v>143.9</v>
      </c>
      <c r="I276" s="124">
        <v>212.97</v>
      </c>
      <c r="J276" s="124">
        <v>118.64</v>
      </c>
      <c r="K276" s="77">
        <v>520</v>
      </c>
      <c r="L276" s="124">
        <v>851.61</v>
      </c>
    </row>
    <row r="277" spans="1:12" ht="15" customHeight="1" x14ac:dyDescent="0.25">
      <c r="A277" s="78">
        <v>45717</v>
      </c>
      <c r="B277" t="s">
        <v>398</v>
      </c>
      <c r="C277" t="s">
        <v>399</v>
      </c>
      <c r="D277" t="s">
        <v>227</v>
      </c>
      <c r="E277" t="s">
        <v>2243</v>
      </c>
      <c r="F277" t="s">
        <v>222</v>
      </c>
      <c r="G277" s="77">
        <v>1314</v>
      </c>
      <c r="H277" s="126">
        <v>125.1</v>
      </c>
      <c r="I277" s="124">
        <v>185.15</v>
      </c>
      <c r="J277" s="124">
        <v>199.36</v>
      </c>
      <c r="K277" s="77">
        <v>380</v>
      </c>
      <c r="L277" s="124">
        <v>764.51</v>
      </c>
    </row>
    <row r="278" spans="1:12" ht="15" customHeight="1" x14ac:dyDescent="0.25">
      <c r="A278" s="78">
        <v>45717</v>
      </c>
      <c r="B278" t="s">
        <v>398</v>
      </c>
      <c r="C278" t="s">
        <v>399</v>
      </c>
      <c r="D278" t="s">
        <v>227</v>
      </c>
      <c r="E278" t="s">
        <v>2246</v>
      </c>
      <c r="F278" t="s">
        <v>226</v>
      </c>
      <c r="G278" s="77">
        <v>1220</v>
      </c>
      <c r="H278" s="126">
        <v>116.2</v>
      </c>
      <c r="I278" s="124">
        <v>171.98</v>
      </c>
      <c r="J278" s="124">
        <v>40.72</v>
      </c>
      <c r="K278" s="77">
        <v>520</v>
      </c>
      <c r="L278" s="124">
        <v>732.7</v>
      </c>
    </row>
    <row r="279" spans="1:12" ht="15" customHeight="1" x14ac:dyDescent="0.25">
      <c r="A279" s="78">
        <v>45717</v>
      </c>
      <c r="B279" t="s">
        <v>398</v>
      </c>
      <c r="C279" t="s">
        <v>399</v>
      </c>
      <c r="D279" t="s">
        <v>227</v>
      </c>
      <c r="E279" t="s">
        <v>2268</v>
      </c>
      <c r="F279" t="s">
        <v>226</v>
      </c>
      <c r="G279" s="77">
        <v>1352</v>
      </c>
      <c r="H279" s="126">
        <v>128.80000000000001</v>
      </c>
      <c r="I279" s="124">
        <v>190.62</v>
      </c>
      <c r="J279" s="124">
        <v>170.9</v>
      </c>
      <c r="K279" s="77">
        <v>520</v>
      </c>
      <c r="L279" s="124">
        <v>881.52</v>
      </c>
    </row>
    <row r="280" spans="1:12" ht="15" customHeight="1" x14ac:dyDescent="0.25">
      <c r="A280" s="78">
        <v>45717</v>
      </c>
      <c r="B280" t="s">
        <v>378</v>
      </c>
      <c r="C280" t="s">
        <v>379</v>
      </c>
      <c r="D280" t="s">
        <v>227</v>
      </c>
      <c r="E280" t="s">
        <v>2289</v>
      </c>
      <c r="F280" t="s">
        <v>228</v>
      </c>
      <c r="G280" s="77">
        <v>957</v>
      </c>
      <c r="H280" s="126">
        <v>112.6</v>
      </c>
      <c r="I280" s="124">
        <v>166.65</v>
      </c>
      <c r="J280" s="124">
        <v>261.47000000000003</v>
      </c>
      <c r="K280" s="77">
        <v>380</v>
      </c>
      <c r="L280" s="124">
        <v>808.12</v>
      </c>
    </row>
    <row r="281" spans="1:12" ht="15" customHeight="1" x14ac:dyDescent="0.25">
      <c r="A281" s="78">
        <v>45717</v>
      </c>
      <c r="B281" t="s">
        <v>378</v>
      </c>
      <c r="C281" t="s">
        <v>379</v>
      </c>
      <c r="D281" t="s">
        <v>227</v>
      </c>
      <c r="E281" t="s">
        <v>2337</v>
      </c>
      <c r="F281" t="s">
        <v>222</v>
      </c>
      <c r="G281" s="77">
        <v>605</v>
      </c>
      <c r="H281" s="126">
        <v>57.6</v>
      </c>
      <c r="I281" s="124">
        <v>85.25</v>
      </c>
      <c r="J281" s="124">
        <v>182.69</v>
      </c>
      <c r="K281" s="77">
        <v>450</v>
      </c>
      <c r="L281" s="124">
        <v>717.94</v>
      </c>
    </row>
    <row r="282" spans="1:12" ht="15" customHeight="1" x14ac:dyDescent="0.25">
      <c r="A282" s="78">
        <v>45717</v>
      </c>
      <c r="B282" t="s">
        <v>378</v>
      </c>
      <c r="C282" t="s">
        <v>379</v>
      </c>
      <c r="D282" t="s">
        <v>227</v>
      </c>
      <c r="E282" t="s">
        <v>2234</v>
      </c>
      <c r="F282" t="s">
        <v>224</v>
      </c>
      <c r="G282" s="77">
        <v>792</v>
      </c>
      <c r="H282" s="126">
        <v>93.2</v>
      </c>
      <c r="I282" s="124">
        <v>137.94</v>
      </c>
      <c r="J282" s="124">
        <v>41.79</v>
      </c>
      <c r="K282" s="77">
        <v>520</v>
      </c>
      <c r="L282" s="124">
        <v>699.73</v>
      </c>
    </row>
    <row r="283" spans="1:12" ht="15" customHeight="1" x14ac:dyDescent="0.25">
      <c r="A283" s="78">
        <v>45717</v>
      </c>
      <c r="B283" t="s">
        <v>378</v>
      </c>
      <c r="C283" t="s">
        <v>379</v>
      </c>
      <c r="D283" t="s">
        <v>227</v>
      </c>
      <c r="E283" t="s">
        <v>2338</v>
      </c>
      <c r="F283" t="s">
        <v>222</v>
      </c>
      <c r="G283" s="77">
        <v>669</v>
      </c>
      <c r="H283" s="126">
        <v>63.7</v>
      </c>
      <c r="I283" s="124">
        <v>94.28</v>
      </c>
      <c r="J283" s="124">
        <v>239.02</v>
      </c>
      <c r="K283" s="77">
        <v>320</v>
      </c>
      <c r="L283" s="124">
        <v>653.29999999999995</v>
      </c>
    </row>
    <row r="284" spans="1:12" ht="15" customHeight="1" x14ac:dyDescent="0.25">
      <c r="A284" s="78">
        <v>45717</v>
      </c>
      <c r="B284" t="s">
        <v>378</v>
      </c>
      <c r="C284" t="s">
        <v>379</v>
      </c>
      <c r="D284" t="s">
        <v>227</v>
      </c>
      <c r="E284" t="s">
        <v>2240</v>
      </c>
      <c r="F284" t="s">
        <v>224</v>
      </c>
      <c r="G284" s="77">
        <v>892</v>
      </c>
      <c r="H284" s="126">
        <v>104.9</v>
      </c>
      <c r="I284" s="124">
        <v>155.25</v>
      </c>
      <c r="J284" s="124">
        <v>272.7</v>
      </c>
      <c r="K284" s="77">
        <v>450</v>
      </c>
      <c r="L284" s="124">
        <v>877.95</v>
      </c>
    </row>
    <row r="285" spans="1:12" ht="15" customHeight="1" x14ac:dyDescent="0.25">
      <c r="A285" s="78">
        <v>45717</v>
      </c>
      <c r="B285" t="s">
        <v>378</v>
      </c>
      <c r="C285" t="s">
        <v>379</v>
      </c>
      <c r="D285" t="s">
        <v>227</v>
      </c>
      <c r="E285" t="s">
        <v>2327</v>
      </c>
      <c r="F285" t="s">
        <v>224</v>
      </c>
      <c r="G285" s="77">
        <v>916</v>
      </c>
      <c r="H285" s="126">
        <v>107.8</v>
      </c>
      <c r="I285" s="124">
        <v>159.54</v>
      </c>
      <c r="J285" s="124">
        <v>13.41</v>
      </c>
      <c r="K285" s="77">
        <v>520</v>
      </c>
      <c r="L285" s="124">
        <v>692.95</v>
      </c>
    </row>
    <row r="286" spans="1:12" ht="15" customHeight="1" x14ac:dyDescent="0.25">
      <c r="A286" s="78">
        <v>45717</v>
      </c>
      <c r="B286" t="s">
        <v>378</v>
      </c>
      <c r="C286" t="s">
        <v>379</v>
      </c>
      <c r="D286" t="s">
        <v>227</v>
      </c>
      <c r="E286" t="s">
        <v>2323</v>
      </c>
      <c r="F286" t="s">
        <v>228</v>
      </c>
      <c r="G286" s="77">
        <v>770</v>
      </c>
      <c r="H286" s="126">
        <v>90.6</v>
      </c>
      <c r="I286" s="124">
        <v>134.09</v>
      </c>
      <c r="J286" s="124">
        <v>348.86</v>
      </c>
      <c r="K286" s="77">
        <v>380</v>
      </c>
      <c r="L286" s="124">
        <v>862.95</v>
      </c>
    </row>
    <row r="287" spans="1:12" ht="15" customHeight="1" x14ac:dyDescent="0.25">
      <c r="A287" s="78">
        <v>45717</v>
      </c>
      <c r="B287" t="s">
        <v>393</v>
      </c>
      <c r="C287" t="s">
        <v>394</v>
      </c>
      <c r="D287" t="s">
        <v>227</v>
      </c>
      <c r="E287" t="s">
        <v>2242</v>
      </c>
      <c r="F287" t="s">
        <v>222</v>
      </c>
      <c r="G287" s="77">
        <v>1011</v>
      </c>
      <c r="H287" s="126">
        <v>96.3</v>
      </c>
      <c r="I287" s="124">
        <v>142.52000000000001</v>
      </c>
      <c r="J287" s="124">
        <v>106.14</v>
      </c>
      <c r="K287" s="77">
        <v>380</v>
      </c>
      <c r="L287" s="124">
        <v>628.66</v>
      </c>
    </row>
    <row r="288" spans="1:12" ht="15" customHeight="1" x14ac:dyDescent="0.25">
      <c r="A288" s="78">
        <v>45717</v>
      </c>
      <c r="B288" t="s">
        <v>393</v>
      </c>
      <c r="C288" t="s">
        <v>394</v>
      </c>
      <c r="D288" t="s">
        <v>227</v>
      </c>
      <c r="E288" t="s">
        <v>2339</v>
      </c>
      <c r="F288" t="s">
        <v>228</v>
      </c>
      <c r="G288" s="77">
        <v>1090</v>
      </c>
      <c r="H288" s="126">
        <v>128.19999999999999</v>
      </c>
      <c r="I288" s="124">
        <v>189.74</v>
      </c>
      <c r="J288" s="124">
        <v>290.14</v>
      </c>
      <c r="K288" s="77">
        <v>450</v>
      </c>
      <c r="L288" s="124">
        <v>929.88</v>
      </c>
    </row>
    <row r="289" spans="1:12" ht="15" customHeight="1" x14ac:dyDescent="0.25">
      <c r="A289" s="78">
        <v>45717</v>
      </c>
      <c r="B289" t="s">
        <v>393</v>
      </c>
      <c r="C289" t="s">
        <v>394</v>
      </c>
      <c r="D289" t="s">
        <v>227</v>
      </c>
      <c r="E289" t="s">
        <v>2262</v>
      </c>
      <c r="F289" t="s">
        <v>224</v>
      </c>
      <c r="G289" s="77">
        <v>1329</v>
      </c>
      <c r="H289" s="126">
        <v>156.4</v>
      </c>
      <c r="I289" s="124">
        <v>231.47</v>
      </c>
      <c r="J289" s="124">
        <v>265.88</v>
      </c>
      <c r="K289" s="77">
        <v>320</v>
      </c>
      <c r="L289" s="124">
        <v>817.35</v>
      </c>
    </row>
    <row r="290" spans="1:12" ht="15" customHeight="1" x14ac:dyDescent="0.25">
      <c r="A290" s="78">
        <v>45717</v>
      </c>
      <c r="B290" t="s">
        <v>393</v>
      </c>
      <c r="C290" t="s">
        <v>394</v>
      </c>
      <c r="D290" t="s">
        <v>227</v>
      </c>
      <c r="E290" t="s">
        <v>2340</v>
      </c>
      <c r="F290" t="s">
        <v>228</v>
      </c>
      <c r="G290" s="77">
        <v>960</v>
      </c>
      <c r="H290" s="126">
        <v>112.9</v>
      </c>
      <c r="I290" s="124">
        <v>167.09</v>
      </c>
      <c r="J290" s="124">
        <v>143.91999999999999</v>
      </c>
      <c r="K290" s="77">
        <v>450</v>
      </c>
      <c r="L290" s="124">
        <v>761.01</v>
      </c>
    </row>
    <row r="291" spans="1:12" ht="15" customHeight="1" x14ac:dyDescent="0.25">
      <c r="A291" s="78">
        <v>45717</v>
      </c>
      <c r="B291" t="s">
        <v>393</v>
      </c>
      <c r="C291" t="s">
        <v>394</v>
      </c>
      <c r="D291" t="s">
        <v>227</v>
      </c>
      <c r="E291" t="s">
        <v>2243</v>
      </c>
      <c r="F291" t="s">
        <v>228</v>
      </c>
      <c r="G291" s="77">
        <v>946</v>
      </c>
      <c r="H291" s="126">
        <v>111.3</v>
      </c>
      <c r="I291" s="124">
        <v>164.72</v>
      </c>
      <c r="J291" s="124">
        <v>270.82</v>
      </c>
      <c r="K291" s="77">
        <v>450</v>
      </c>
      <c r="L291" s="124">
        <v>885.54</v>
      </c>
    </row>
    <row r="292" spans="1:12" ht="15" customHeight="1" x14ac:dyDescent="0.25">
      <c r="A292" s="78">
        <v>45717</v>
      </c>
      <c r="B292" t="s">
        <v>393</v>
      </c>
      <c r="C292" t="s">
        <v>394</v>
      </c>
      <c r="D292" t="s">
        <v>227</v>
      </c>
      <c r="E292" t="s">
        <v>2320</v>
      </c>
      <c r="F292" t="s">
        <v>222</v>
      </c>
      <c r="G292" s="77">
        <v>809</v>
      </c>
      <c r="H292" s="126">
        <v>77</v>
      </c>
      <c r="I292" s="124">
        <v>113.96</v>
      </c>
      <c r="J292" s="124">
        <v>73.430000000000007</v>
      </c>
      <c r="K292" s="77">
        <v>320</v>
      </c>
      <c r="L292" s="124">
        <v>507.39</v>
      </c>
    </row>
    <row r="293" spans="1:12" ht="15" customHeight="1" x14ac:dyDescent="0.25">
      <c r="A293" s="78">
        <v>45748</v>
      </c>
      <c r="B293" t="s">
        <v>390</v>
      </c>
      <c r="C293" t="s">
        <v>391</v>
      </c>
      <c r="D293" t="s">
        <v>221</v>
      </c>
      <c r="E293" t="s">
        <v>2279</v>
      </c>
      <c r="F293" t="s">
        <v>222</v>
      </c>
      <c r="G293" s="77">
        <v>1135</v>
      </c>
      <c r="H293" s="126">
        <v>108.1</v>
      </c>
      <c r="I293" s="124">
        <v>159.99</v>
      </c>
      <c r="J293" s="124">
        <v>146.11000000000001</v>
      </c>
      <c r="K293" s="77">
        <v>520</v>
      </c>
      <c r="L293" s="124">
        <v>826.1</v>
      </c>
    </row>
    <row r="294" spans="1:12" ht="15" customHeight="1" x14ac:dyDescent="0.25">
      <c r="A294" s="78">
        <v>45748</v>
      </c>
      <c r="B294" t="s">
        <v>390</v>
      </c>
      <c r="C294" t="s">
        <v>391</v>
      </c>
      <c r="D294" t="s">
        <v>221</v>
      </c>
      <c r="E294" t="s">
        <v>2272</v>
      </c>
      <c r="F294" t="s">
        <v>222</v>
      </c>
      <c r="G294" s="77">
        <v>1058</v>
      </c>
      <c r="H294" s="126">
        <v>100.8</v>
      </c>
      <c r="I294" s="124">
        <v>149.18</v>
      </c>
      <c r="J294" s="124">
        <v>89.32</v>
      </c>
      <c r="K294" s="77">
        <v>520</v>
      </c>
      <c r="L294" s="124">
        <v>758.5</v>
      </c>
    </row>
    <row r="295" spans="1:12" ht="15" customHeight="1" x14ac:dyDescent="0.25">
      <c r="A295" s="78">
        <v>45748</v>
      </c>
      <c r="B295" t="s">
        <v>390</v>
      </c>
      <c r="C295" t="s">
        <v>391</v>
      </c>
      <c r="D295" t="s">
        <v>221</v>
      </c>
      <c r="E295" t="s">
        <v>2233</v>
      </c>
      <c r="F295" t="s">
        <v>222</v>
      </c>
      <c r="G295" s="77">
        <v>992</v>
      </c>
      <c r="H295" s="126">
        <v>94.5</v>
      </c>
      <c r="I295" s="124">
        <v>139.86000000000001</v>
      </c>
      <c r="J295" s="124">
        <v>76.06</v>
      </c>
      <c r="K295" s="77">
        <v>450</v>
      </c>
      <c r="L295" s="124">
        <v>665.92</v>
      </c>
    </row>
    <row r="296" spans="1:12" ht="15" customHeight="1" x14ac:dyDescent="0.25">
      <c r="A296" s="78">
        <v>45748</v>
      </c>
      <c r="B296" t="s">
        <v>390</v>
      </c>
      <c r="C296" t="s">
        <v>391</v>
      </c>
      <c r="D296" t="s">
        <v>221</v>
      </c>
      <c r="E296" t="s">
        <v>2321</v>
      </c>
      <c r="F296" t="s">
        <v>224</v>
      </c>
      <c r="G296" s="77">
        <v>1272</v>
      </c>
      <c r="H296" s="126">
        <v>149.6</v>
      </c>
      <c r="I296" s="124">
        <v>221.41</v>
      </c>
      <c r="J296" s="124">
        <v>232.82</v>
      </c>
      <c r="K296" s="77">
        <v>380</v>
      </c>
      <c r="L296" s="124">
        <v>834.23</v>
      </c>
    </row>
    <row r="297" spans="1:12" ht="15" customHeight="1" x14ac:dyDescent="0.25">
      <c r="A297" s="78">
        <v>45748</v>
      </c>
      <c r="B297" t="s">
        <v>390</v>
      </c>
      <c r="C297" t="s">
        <v>391</v>
      </c>
      <c r="D297" t="s">
        <v>221</v>
      </c>
      <c r="E297" t="s">
        <v>2261</v>
      </c>
      <c r="F297" t="s">
        <v>224</v>
      </c>
      <c r="G297" s="77">
        <v>588</v>
      </c>
      <c r="H297" s="126">
        <v>69.2</v>
      </c>
      <c r="I297" s="124">
        <v>102.42</v>
      </c>
      <c r="J297" s="124">
        <v>75.64</v>
      </c>
      <c r="K297" s="77">
        <v>320</v>
      </c>
      <c r="L297" s="124">
        <v>498.06</v>
      </c>
    </row>
    <row r="298" spans="1:12" ht="15" customHeight="1" x14ac:dyDescent="0.25">
      <c r="A298" s="78">
        <v>45748</v>
      </c>
      <c r="B298" t="s">
        <v>401</v>
      </c>
      <c r="C298" t="s">
        <v>402</v>
      </c>
      <c r="D298" t="s">
        <v>221</v>
      </c>
      <c r="E298" t="s">
        <v>2310</v>
      </c>
      <c r="F298" t="s">
        <v>228</v>
      </c>
      <c r="G298" s="77">
        <v>675</v>
      </c>
      <c r="H298" s="126">
        <v>79.400000000000006</v>
      </c>
      <c r="I298" s="124">
        <v>117.51</v>
      </c>
      <c r="J298" s="124">
        <v>198</v>
      </c>
      <c r="K298" s="77">
        <v>450</v>
      </c>
      <c r="L298" s="124">
        <v>765.51</v>
      </c>
    </row>
    <row r="299" spans="1:12" ht="15" customHeight="1" x14ac:dyDescent="0.25">
      <c r="A299" s="78">
        <v>45748</v>
      </c>
      <c r="B299" t="s">
        <v>401</v>
      </c>
      <c r="C299" t="s">
        <v>402</v>
      </c>
      <c r="D299" t="s">
        <v>221</v>
      </c>
      <c r="E299" t="s">
        <v>2320</v>
      </c>
      <c r="F299" t="s">
        <v>224</v>
      </c>
      <c r="G299" s="77">
        <v>1029</v>
      </c>
      <c r="H299" s="126">
        <v>121.1</v>
      </c>
      <c r="I299" s="124">
        <v>179.23</v>
      </c>
      <c r="J299" s="124">
        <v>34.03</v>
      </c>
      <c r="K299" s="77">
        <v>380</v>
      </c>
      <c r="L299" s="124">
        <v>593.26</v>
      </c>
    </row>
    <row r="300" spans="1:12" ht="15" customHeight="1" x14ac:dyDescent="0.25">
      <c r="A300" s="78">
        <v>45748</v>
      </c>
      <c r="B300" t="s">
        <v>401</v>
      </c>
      <c r="C300" t="s">
        <v>402</v>
      </c>
      <c r="D300" t="s">
        <v>221</v>
      </c>
      <c r="E300" t="s">
        <v>2295</v>
      </c>
      <c r="F300" t="s">
        <v>226</v>
      </c>
      <c r="G300" s="77">
        <v>819</v>
      </c>
      <c r="H300" s="126">
        <v>78</v>
      </c>
      <c r="I300" s="124">
        <v>115.44</v>
      </c>
      <c r="J300" s="124">
        <v>69.680000000000007</v>
      </c>
      <c r="K300" s="77">
        <v>380</v>
      </c>
      <c r="L300" s="124">
        <v>565.12</v>
      </c>
    </row>
    <row r="301" spans="1:12" ht="15" customHeight="1" x14ac:dyDescent="0.25">
      <c r="A301" s="78">
        <v>45748</v>
      </c>
      <c r="B301" t="s">
        <v>401</v>
      </c>
      <c r="C301" t="s">
        <v>402</v>
      </c>
      <c r="D301" t="s">
        <v>221</v>
      </c>
      <c r="E301" t="s">
        <v>2251</v>
      </c>
      <c r="F301" t="s">
        <v>226</v>
      </c>
      <c r="G301" s="77">
        <v>1101</v>
      </c>
      <c r="H301" s="126">
        <v>104.9</v>
      </c>
      <c r="I301" s="124">
        <v>155.25</v>
      </c>
      <c r="J301" s="124">
        <v>155.55000000000001</v>
      </c>
      <c r="K301" s="77">
        <v>320</v>
      </c>
      <c r="L301" s="124">
        <v>630.79999999999995</v>
      </c>
    </row>
    <row r="302" spans="1:12" ht="15" customHeight="1" x14ac:dyDescent="0.25">
      <c r="A302" s="78">
        <v>45748</v>
      </c>
      <c r="B302" t="s">
        <v>401</v>
      </c>
      <c r="C302" t="s">
        <v>402</v>
      </c>
      <c r="D302" t="s">
        <v>221</v>
      </c>
      <c r="E302" t="s">
        <v>2290</v>
      </c>
      <c r="F302" t="s">
        <v>226</v>
      </c>
      <c r="G302" s="77">
        <v>869</v>
      </c>
      <c r="H302" s="126">
        <v>82.8</v>
      </c>
      <c r="I302" s="124">
        <v>122.54</v>
      </c>
      <c r="J302" s="124">
        <v>164.15</v>
      </c>
      <c r="K302" s="77">
        <v>320</v>
      </c>
      <c r="L302" s="124">
        <v>606.69000000000005</v>
      </c>
    </row>
    <row r="303" spans="1:12" ht="15" customHeight="1" x14ac:dyDescent="0.25">
      <c r="A303" s="78">
        <v>45748</v>
      </c>
      <c r="B303" t="s">
        <v>401</v>
      </c>
      <c r="C303" t="s">
        <v>402</v>
      </c>
      <c r="D303" t="s">
        <v>221</v>
      </c>
      <c r="E303" t="s">
        <v>2313</v>
      </c>
      <c r="F303" t="s">
        <v>222</v>
      </c>
      <c r="G303" s="77">
        <v>913</v>
      </c>
      <c r="H303" s="126">
        <v>87</v>
      </c>
      <c r="I303" s="124">
        <v>128.76</v>
      </c>
      <c r="J303" s="124">
        <v>128.27000000000001</v>
      </c>
      <c r="K303" s="77">
        <v>380</v>
      </c>
      <c r="L303" s="124">
        <v>637.03</v>
      </c>
    </row>
    <row r="304" spans="1:12" ht="15" customHeight="1" x14ac:dyDescent="0.25">
      <c r="A304" s="78">
        <v>45748</v>
      </c>
      <c r="B304" t="s">
        <v>401</v>
      </c>
      <c r="C304" t="s">
        <v>402</v>
      </c>
      <c r="D304" t="s">
        <v>221</v>
      </c>
      <c r="E304" t="s">
        <v>2330</v>
      </c>
      <c r="F304" t="s">
        <v>224</v>
      </c>
      <c r="G304" s="77">
        <v>1468</v>
      </c>
      <c r="H304" s="126">
        <v>172.7</v>
      </c>
      <c r="I304" s="124">
        <v>255.6</v>
      </c>
      <c r="J304" s="124">
        <v>257.24</v>
      </c>
      <c r="K304" s="77">
        <v>450</v>
      </c>
      <c r="L304" s="124">
        <v>962.84</v>
      </c>
    </row>
    <row r="305" spans="1:12" ht="15" customHeight="1" x14ac:dyDescent="0.25">
      <c r="A305" s="78">
        <v>45748</v>
      </c>
      <c r="B305" t="s">
        <v>431</v>
      </c>
      <c r="C305" t="s">
        <v>432</v>
      </c>
      <c r="D305" t="s">
        <v>221</v>
      </c>
      <c r="E305" t="s">
        <v>2334</v>
      </c>
      <c r="F305" t="s">
        <v>228</v>
      </c>
      <c r="G305" s="77">
        <v>725</v>
      </c>
      <c r="H305" s="126">
        <v>85.3</v>
      </c>
      <c r="I305" s="124">
        <v>126.24</v>
      </c>
      <c r="J305" s="124">
        <v>316.38</v>
      </c>
      <c r="K305" s="77">
        <v>320</v>
      </c>
      <c r="L305" s="124">
        <v>762.62</v>
      </c>
    </row>
    <row r="306" spans="1:12" ht="15" customHeight="1" x14ac:dyDescent="0.25">
      <c r="A306" s="78">
        <v>45748</v>
      </c>
      <c r="B306" t="s">
        <v>431</v>
      </c>
      <c r="C306" t="s">
        <v>432</v>
      </c>
      <c r="D306" t="s">
        <v>221</v>
      </c>
      <c r="E306" t="s">
        <v>2331</v>
      </c>
      <c r="F306" t="s">
        <v>228</v>
      </c>
      <c r="G306" s="77">
        <v>1252</v>
      </c>
      <c r="H306" s="126">
        <v>147.30000000000001</v>
      </c>
      <c r="I306" s="124">
        <v>218</v>
      </c>
      <c r="J306" s="124">
        <v>158.13999999999999</v>
      </c>
      <c r="K306" s="77">
        <v>320</v>
      </c>
      <c r="L306" s="124">
        <v>696.14</v>
      </c>
    </row>
    <row r="307" spans="1:12" ht="15" customHeight="1" x14ac:dyDescent="0.25">
      <c r="A307" s="78">
        <v>45748</v>
      </c>
      <c r="B307" t="s">
        <v>431</v>
      </c>
      <c r="C307" t="s">
        <v>432</v>
      </c>
      <c r="D307" t="s">
        <v>221</v>
      </c>
      <c r="E307" t="s">
        <v>2330</v>
      </c>
      <c r="F307" t="s">
        <v>226</v>
      </c>
      <c r="G307" s="77">
        <v>1254</v>
      </c>
      <c r="H307" s="126">
        <v>119.4</v>
      </c>
      <c r="I307" s="124">
        <v>176.71</v>
      </c>
      <c r="J307" s="124">
        <v>273.02999999999997</v>
      </c>
      <c r="K307" s="77">
        <v>450</v>
      </c>
      <c r="L307" s="124">
        <v>899.74</v>
      </c>
    </row>
    <row r="308" spans="1:12" ht="15" customHeight="1" x14ac:dyDescent="0.25">
      <c r="A308" s="78">
        <v>45748</v>
      </c>
      <c r="B308" t="s">
        <v>366</v>
      </c>
      <c r="C308" t="s">
        <v>367</v>
      </c>
      <c r="D308" t="s">
        <v>221</v>
      </c>
      <c r="E308" t="s">
        <v>2271</v>
      </c>
      <c r="F308" t="s">
        <v>222</v>
      </c>
      <c r="G308" s="77">
        <v>769</v>
      </c>
      <c r="H308" s="126">
        <v>73.2</v>
      </c>
      <c r="I308" s="124">
        <v>108.34</v>
      </c>
      <c r="J308" s="124">
        <v>76.599999999999994</v>
      </c>
      <c r="K308" s="77">
        <v>320</v>
      </c>
      <c r="L308" s="124">
        <v>504.94</v>
      </c>
    </row>
    <row r="309" spans="1:12" ht="15" customHeight="1" x14ac:dyDescent="0.25">
      <c r="A309" s="78">
        <v>45748</v>
      </c>
      <c r="B309" t="s">
        <v>366</v>
      </c>
      <c r="C309" t="s">
        <v>367</v>
      </c>
      <c r="D309" t="s">
        <v>221</v>
      </c>
      <c r="E309" t="s">
        <v>2341</v>
      </c>
      <c r="F309" t="s">
        <v>226</v>
      </c>
      <c r="G309" s="77">
        <v>1304</v>
      </c>
      <c r="H309" s="126">
        <v>124.2</v>
      </c>
      <c r="I309" s="124">
        <v>183.82</v>
      </c>
      <c r="J309" s="124">
        <v>171.72</v>
      </c>
      <c r="K309" s="77">
        <v>380</v>
      </c>
      <c r="L309" s="124">
        <v>735.54</v>
      </c>
    </row>
    <row r="310" spans="1:12" ht="15" customHeight="1" x14ac:dyDescent="0.25">
      <c r="A310" s="78">
        <v>45748</v>
      </c>
      <c r="B310" t="s">
        <v>366</v>
      </c>
      <c r="C310" t="s">
        <v>367</v>
      </c>
      <c r="D310" t="s">
        <v>221</v>
      </c>
      <c r="E310" t="s">
        <v>2321</v>
      </c>
      <c r="F310" t="s">
        <v>228</v>
      </c>
      <c r="G310" s="77">
        <v>1187</v>
      </c>
      <c r="H310" s="126">
        <v>139.6</v>
      </c>
      <c r="I310" s="124">
        <v>206.61</v>
      </c>
      <c r="J310" s="124">
        <v>277.25</v>
      </c>
      <c r="K310" s="77">
        <v>450</v>
      </c>
      <c r="L310" s="124">
        <v>933.86</v>
      </c>
    </row>
    <row r="311" spans="1:12" ht="15" customHeight="1" x14ac:dyDescent="0.25">
      <c r="A311" s="78">
        <v>45748</v>
      </c>
      <c r="B311" t="s">
        <v>362</v>
      </c>
      <c r="C311" t="s">
        <v>363</v>
      </c>
      <c r="D311" t="s">
        <v>221</v>
      </c>
      <c r="E311" t="s">
        <v>2252</v>
      </c>
      <c r="F311" t="s">
        <v>228</v>
      </c>
      <c r="G311" s="77">
        <v>1147</v>
      </c>
      <c r="H311" s="126">
        <v>134.9</v>
      </c>
      <c r="I311" s="124">
        <v>199.65</v>
      </c>
      <c r="J311" s="124">
        <v>143.88</v>
      </c>
      <c r="K311" s="77">
        <v>450</v>
      </c>
      <c r="L311" s="124">
        <v>793.53</v>
      </c>
    </row>
    <row r="312" spans="1:12" ht="15" customHeight="1" x14ac:dyDescent="0.25">
      <c r="A312" s="78">
        <v>45748</v>
      </c>
      <c r="B312" t="s">
        <v>362</v>
      </c>
      <c r="C312" t="s">
        <v>363</v>
      </c>
      <c r="D312" t="s">
        <v>221</v>
      </c>
      <c r="E312" t="s">
        <v>2247</v>
      </c>
      <c r="F312" t="s">
        <v>224</v>
      </c>
      <c r="G312" s="77">
        <v>1311</v>
      </c>
      <c r="H312" s="126">
        <v>154.19999999999999</v>
      </c>
      <c r="I312" s="124">
        <v>228.22</v>
      </c>
      <c r="J312" s="124">
        <v>243.57</v>
      </c>
      <c r="K312" s="77">
        <v>450</v>
      </c>
      <c r="L312" s="124">
        <v>921.79</v>
      </c>
    </row>
    <row r="313" spans="1:12" ht="15" customHeight="1" x14ac:dyDescent="0.25">
      <c r="A313" s="78">
        <v>45748</v>
      </c>
      <c r="B313" t="s">
        <v>362</v>
      </c>
      <c r="C313" t="s">
        <v>363</v>
      </c>
      <c r="D313" t="s">
        <v>221</v>
      </c>
      <c r="E313" t="s">
        <v>2255</v>
      </c>
      <c r="F313" t="s">
        <v>224</v>
      </c>
      <c r="G313" s="77">
        <v>992</v>
      </c>
      <c r="H313" s="126">
        <v>116.7</v>
      </c>
      <c r="I313" s="124">
        <v>172.72</v>
      </c>
      <c r="J313" s="124">
        <v>146.52000000000001</v>
      </c>
      <c r="K313" s="77">
        <v>450</v>
      </c>
      <c r="L313" s="124">
        <v>769.24</v>
      </c>
    </row>
    <row r="314" spans="1:12" ht="15" customHeight="1" x14ac:dyDescent="0.25">
      <c r="A314" s="78">
        <v>45748</v>
      </c>
      <c r="B314" t="s">
        <v>362</v>
      </c>
      <c r="C314" t="s">
        <v>363</v>
      </c>
      <c r="D314" t="s">
        <v>221</v>
      </c>
      <c r="E314" t="s">
        <v>2302</v>
      </c>
      <c r="F314" t="s">
        <v>222</v>
      </c>
      <c r="G314" s="77">
        <v>667</v>
      </c>
      <c r="H314" s="126">
        <v>63.5</v>
      </c>
      <c r="I314" s="124">
        <v>93.98</v>
      </c>
      <c r="J314" s="124">
        <v>191.14</v>
      </c>
      <c r="K314" s="77">
        <v>380</v>
      </c>
      <c r="L314" s="124">
        <v>665.12</v>
      </c>
    </row>
    <row r="315" spans="1:12" ht="15" customHeight="1" x14ac:dyDescent="0.25">
      <c r="A315" s="78">
        <v>45748</v>
      </c>
      <c r="B315" t="s">
        <v>362</v>
      </c>
      <c r="C315" t="s">
        <v>363</v>
      </c>
      <c r="D315" t="s">
        <v>221</v>
      </c>
      <c r="E315" t="s">
        <v>2327</v>
      </c>
      <c r="F315" t="s">
        <v>228</v>
      </c>
      <c r="G315" s="77">
        <v>1193</v>
      </c>
      <c r="H315" s="126">
        <v>140.4</v>
      </c>
      <c r="I315" s="124">
        <v>207.79</v>
      </c>
      <c r="J315" s="124">
        <v>245.02</v>
      </c>
      <c r="K315" s="77">
        <v>320</v>
      </c>
      <c r="L315" s="124">
        <v>772.81</v>
      </c>
    </row>
    <row r="316" spans="1:12" ht="15" customHeight="1" x14ac:dyDescent="0.25">
      <c r="A316" s="78">
        <v>45748</v>
      </c>
      <c r="B316" t="s">
        <v>362</v>
      </c>
      <c r="C316" t="s">
        <v>363</v>
      </c>
      <c r="D316" t="s">
        <v>221</v>
      </c>
      <c r="E316" t="s">
        <v>2237</v>
      </c>
      <c r="F316" t="s">
        <v>228</v>
      </c>
      <c r="G316" s="77">
        <v>1331</v>
      </c>
      <c r="H316" s="126">
        <v>156.6</v>
      </c>
      <c r="I316" s="124">
        <v>231.77</v>
      </c>
      <c r="J316" s="124">
        <v>223.27</v>
      </c>
      <c r="K316" s="77">
        <v>380</v>
      </c>
      <c r="L316" s="124">
        <v>835.04</v>
      </c>
    </row>
    <row r="317" spans="1:12" ht="15" customHeight="1" x14ac:dyDescent="0.25">
      <c r="A317" s="78">
        <v>45748</v>
      </c>
      <c r="B317" t="s">
        <v>335</v>
      </c>
      <c r="C317" t="s">
        <v>336</v>
      </c>
      <c r="D317" t="s">
        <v>223</v>
      </c>
      <c r="E317" t="s">
        <v>2327</v>
      </c>
      <c r="F317" t="s">
        <v>224</v>
      </c>
      <c r="G317" s="77">
        <v>1191</v>
      </c>
      <c r="H317" s="126">
        <v>140.1</v>
      </c>
      <c r="I317" s="124">
        <v>207.35</v>
      </c>
      <c r="J317" s="124">
        <v>68.430000000000007</v>
      </c>
      <c r="K317" s="77">
        <v>320</v>
      </c>
      <c r="L317" s="124">
        <v>595.78</v>
      </c>
    </row>
    <row r="318" spans="1:12" ht="15" customHeight="1" x14ac:dyDescent="0.25">
      <c r="A318" s="78">
        <v>45748</v>
      </c>
      <c r="B318" t="s">
        <v>335</v>
      </c>
      <c r="C318" t="s">
        <v>336</v>
      </c>
      <c r="D318" t="s">
        <v>223</v>
      </c>
      <c r="E318" t="s">
        <v>2226</v>
      </c>
      <c r="F318" t="s">
        <v>226</v>
      </c>
      <c r="G318" s="77">
        <v>1044</v>
      </c>
      <c r="H318" s="126">
        <v>99.4</v>
      </c>
      <c r="I318" s="124">
        <v>147.11000000000001</v>
      </c>
      <c r="J318" s="124">
        <v>136.05000000000001</v>
      </c>
      <c r="K318" s="77">
        <v>520</v>
      </c>
      <c r="L318" s="124">
        <v>803.16</v>
      </c>
    </row>
    <row r="319" spans="1:12" ht="15" customHeight="1" x14ac:dyDescent="0.25">
      <c r="A319" s="78">
        <v>45748</v>
      </c>
      <c r="B319" t="s">
        <v>335</v>
      </c>
      <c r="C319" t="s">
        <v>336</v>
      </c>
      <c r="D319" t="s">
        <v>223</v>
      </c>
      <c r="E319" t="s">
        <v>2256</v>
      </c>
      <c r="F319" t="s">
        <v>222</v>
      </c>
      <c r="G319" s="77">
        <v>1106</v>
      </c>
      <c r="H319" s="126">
        <v>105.3</v>
      </c>
      <c r="I319" s="124">
        <v>155.84</v>
      </c>
      <c r="J319" s="124">
        <v>120.44</v>
      </c>
      <c r="K319" s="77">
        <v>320</v>
      </c>
      <c r="L319" s="124">
        <v>596.28</v>
      </c>
    </row>
    <row r="320" spans="1:12" ht="15" customHeight="1" x14ac:dyDescent="0.25">
      <c r="A320" s="78">
        <v>45748</v>
      </c>
      <c r="B320" t="s">
        <v>335</v>
      </c>
      <c r="C320" t="s">
        <v>336</v>
      </c>
      <c r="D320" t="s">
        <v>223</v>
      </c>
      <c r="E320" t="s">
        <v>2295</v>
      </c>
      <c r="F320" t="s">
        <v>226</v>
      </c>
      <c r="G320" s="77">
        <v>1017</v>
      </c>
      <c r="H320" s="126">
        <v>96.9</v>
      </c>
      <c r="I320" s="124">
        <v>143.41</v>
      </c>
      <c r="J320" s="124">
        <v>216.08</v>
      </c>
      <c r="K320" s="77">
        <v>520</v>
      </c>
      <c r="L320" s="124">
        <v>879.49</v>
      </c>
    </row>
    <row r="321" spans="1:12" ht="15" customHeight="1" x14ac:dyDescent="0.25">
      <c r="A321" s="78">
        <v>45748</v>
      </c>
      <c r="B321" t="s">
        <v>335</v>
      </c>
      <c r="C321" t="s">
        <v>336</v>
      </c>
      <c r="D321" t="s">
        <v>223</v>
      </c>
      <c r="E321" t="s">
        <v>2287</v>
      </c>
      <c r="F321" t="s">
        <v>222</v>
      </c>
      <c r="G321" s="77">
        <v>940</v>
      </c>
      <c r="H321" s="126">
        <v>89.5</v>
      </c>
      <c r="I321" s="124">
        <v>132.46</v>
      </c>
      <c r="J321" s="124">
        <v>21.47</v>
      </c>
      <c r="K321" s="77">
        <v>320</v>
      </c>
      <c r="L321" s="124">
        <v>473.93</v>
      </c>
    </row>
    <row r="322" spans="1:12" ht="15" customHeight="1" x14ac:dyDescent="0.25">
      <c r="A322" s="78">
        <v>45748</v>
      </c>
      <c r="B322" t="s">
        <v>335</v>
      </c>
      <c r="C322" t="s">
        <v>336</v>
      </c>
      <c r="D322" t="s">
        <v>223</v>
      </c>
      <c r="E322" t="s">
        <v>2307</v>
      </c>
      <c r="F322" t="s">
        <v>224</v>
      </c>
      <c r="G322" s="77">
        <v>1487</v>
      </c>
      <c r="H322" s="126">
        <v>174.9</v>
      </c>
      <c r="I322" s="124">
        <v>258.85000000000002</v>
      </c>
      <c r="J322" s="124">
        <v>260.52</v>
      </c>
      <c r="K322" s="77">
        <v>520</v>
      </c>
      <c r="L322" s="124">
        <v>1039.3699999999999</v>
      </c>
    </row>
    <row r="323" spans="1:12" ht="15" customHeight="1" x14ac:dyDescent="0.25">
      <c r="A323" s="78">
        <v>45748</v>
      </c>
      <c r="B323" t="s">
        <v>335</v>
      </c>
      <c r="C323" t="s">
        <v>336</v>
      </c>
      <c r="D323" t="s">
        <v>223</v>
      </c>
      <c r="E323" t="s">
        <v>2253</v>
      </c>
      <c r="F323" t="s">
        <v>228</v>
      </c>
      <c r="G323" s="77">
        <v>726</v>
      </c>
      <c r="H323" s="126">
        <v>85.4</v>
      </c>
      <c r="I323" s="124">
        <v>126.39</v>
      </c>
      <c r="J323" s="124">
        <v>305.18</v>
      </c>
      <c r="K323" s="77">
        <v>450</v>
      </c>
      <c r="L323" s="124">
        <v>881.57</v>
      </c>
    </row>
    <row r="324" spans="1:12" ht="15" customHeight="1" x14ac:dyDescent="0.25">
      <c r="A324" s="78">
        <v>45748</v>
      </c>
      <c r="B324" t="s">
        <v>386</v>
      </c>
      <c r="C324" t="s">
        <v>387</v>
      </c>
      <c r="D324" t="s">
        <v>223</v>
      </c>
      <c r="E324" t="s">
        <v>2241</v>
      </c>
      <c r="F324" t="s">
        <v>226</v>
      </c>
      <c r="G324" s="77">
        <v>924</v>
      </c>
      <c r="H324" s="126">
        <v>88</v>
      </c>
      <c r="I324" s="124">
        <v>130.24</v>
      </c>
      <c r="J324" s="124">
        <v>171.08</v>
      </c>
      <c r="K324" s="77">
        <v>520</v>
      </c>
      <c r="L324" s="124">
        <v>821.32</v>
      </c>
    </row>
    <row r="325" spans="1:12" ht="15" customHeight="1" x14ac:dyDescent="0.25">
      <c r="A325" s="78">
        <v>45748</v>
      </c>
      <c r="B325" t="s">
        <v>386</v>
      </c>
      <c r="C325" t="s">
        <v>387</v>
      </c>
      <c r="D325" t="s">
        <v>223</v>
      </c>
      <c r="E325" t="s">
        <v>2223</v>
      </c>
      <c r="F325" t="s">
        <v>228</v>
      </c>
      <c r="G325" s="77">
        <v>1123</v>
      </c>
      <c r="H325" s="126">
        <v>132.1</v>
      </c>
      <c r="I325" s="124">
        <v>195.51</v>
      </c>
      <c r="J325" s="124">
        <v>231.25</v>
      </c>
      <c r="K325" s="77">
        <v>320</v>
      </c>
      <c r="L325" s="124">
        <v>746.76</v>
      </c>
    </row>
    <row r="326" spans="1:12" ht="15" customHeight="1" x14ac:dyDescent="0.25">
      <c r="A326" s="78">
        <v>45748</v>
      </c>
      <c r="B326" t="s">
        <v>386</v>
      </c>
      <c r="C326" t="s">
        <v>387</v>
      </c>
      <c r="D326" t="s">
        <v>223</v>
      </c>
      <c r="E326" t="s">
        <v>2273</v>
      </c>
      <c r="F326" t="s">
        <v>226</v>
      </c>
      <c r="G326" s="77">
        <v>854</v>
      </c>
      <c r="H326" s="126">
        <v>81.3</v>
      </c>
      <c r="I326" s="124">
        <v>120.32</v>
      </c>
      <c r="J326" s="124">
        <v>94.76</v>
      </c>
      <c r="K326" s="77">
        <v>520</v>
      </c>
      <c r="L326" s="124">
        <v>735.08</v>
      </c>
    </row>
    <row r="327" spans="1:12" ht="15" customHeight="1" x14ac:dyDescent="0.25">
      <c r="A327" s="78">
        <v>45748</v>
      </c>
      <c r="B327" t="s">
        <v>386</v>
      </c>
      <c r="C327" t="s">
        <v>387</v>
      </c>
      <c r="D327" t="s">
        <v>223</v>
      </c>
      <c r="E327" t="s">
        <v>2227</v>
      </c>
      <c r="F327" t="s">
        <v>224</v>
      </c>
      <c r="G327" s="77">
        <v>820</v>
      </c>
      <c r="H327" s="126">
        <v>96.5</v>
      </c>
      <c r="I327" s="124">
        <v>142.82</v>
      </c>
      <c r="J327" s="124">
        <v>83.45</v>
      </c>
      <c r="K327" s="77">
        <v>450</v>
      </c>
      <c r="L327" s="124">
        <v>676.27</v>
      </c>
    </row>
    <row r="328" spans="1:12" ht="15" customHeight="1" x14ac:dyDescent="0.25">
      <c r="A328" s="78">
        <v>45748</v>
      </c>
      <c r="B328" t="s">
        <v>341</v>
      </c>
      <c r="C328" t="s">
        <v>342</v>
      </c>
      <c r="D328" t="s">
        <v>223</v>
      </c>
      <c r="E328" t="s">
        <v>2249</v>
      </c>
      <c r="F328" t="s">
        <v>228</v>
      </c>
      <c r="G328" s="77">
        <v>1033</v>
      </c>
      <c r="H328" s="126">
        <v>121.5</v>
      </c>
      <c r="I328" s="124">
        <v>179.82</v>
      </c>
      <c r="J328" s="124">
        <v>192.74</v>
      </c>
      <c r="K328" s="77">
        <v>520</v>
      </c>
      <c r="L328" s="124">
        <v>892.56</v>
      </c>
    </row>
    <row r="329" spans="1:12" ht="15" customHeight="1" x14ac:dyDescent="0.25">
      <c r="A329" s="78">
        <v>45748</v>
      </c>
      <c r="B329" t="s">
        <v>341</v>
      </c>
      <c r="C329" t="s">
        <v>342</v>
      </c>
      <c r="D329" t="s">
        <v>223</v>
      </c>
      <c r="E329" t="s">
        <v>2341</v>
      </c>
      <c r="F329" t="s">
        <v>226</v>
      </c>
      <c r="G329" s="77">
        <v>1220</v>
      </c>
      <c r="H329" s="126">
        <v>116.2</v>
      </c>
      <c r="I329" s="124">
        <v>171.98</v>
      </c>
      <c r="J329" s="124">
        <v>268.98</v>
      </c>
      <c r="K329" s="77">
        <v>520</v>
      </c>
      <c r="L329" s="124">
        <v>960.96</v>
      </c>
    </row>
    <row r="330" spans="1:12" ht="15" customHeight="1" x14ac:dyDescent="0.25">
      <c r="A330" s="78">
        <v>45748</v>
      </c>
      <c r="B330" t="s">
        <v>341</v>
      </c>
      <c r="C330" t="s">
        <v>342</v>
      </c>
      <c r="D330" t="s">
        <v>223</v>
      </c>
      <c r="E330" t="s">
        <v>2271</v>
      </c>
      <c r="F330" t="s">
        <v>224</v>
      </c>
      <c r="G330" s="77">
        <v>904</v>
      </c>
      <c r="H330" s="126">
        <v>106.4</v>
      </c>
      <c r="I330" s="124">
        <v>157.47</v>
      </c>
      <c r="J330" s="124">
        <v>169.15</v>
      </c>
      <c r="K330" s="77">
        <v>380</v>
      </c>
      <c r="L330" s="124">
        <v>706.62</v>
      </c>
    </row>
    <row r="331" spans="1:12" ht="15" customHeight="1" x14ac:dyDescent="0.25">
      <c r="A331" s="78">
        <v>45748</v>
      </c>
      <c r="B331" t="s">
        <v>347</v>
      </c>
      <c r="C331" t="s">
        <v>348</v>
      </c>
      <c r="D331" t="s">
        <v>223</v>
      </c>
      <c r="E331" t="s">
        <v>2328</v>
      </c>
      <c r="F331" t="s">
        <v>228</v>
      </c>
      <c r="G331" s="77">
        <v>1174</v>
      </c>
      <c r="H331" s="126">
        <v>138.1</v>
      </c>
      <c r="I331" s="124">
        <v>204.39</v>
      </c>
      <c r="J331" s="124">
        <v>287.76</v>
      </c>
      <c r="K331" s="77">
        <v>450</v>
      </c>
      <c r="L331" s="124">
        <v>942.15</v>
      </c>
    </row>
    <row r="332" spans="1:12" ht="15" customHeight="1" x14ac:dyDescent="0.25">
      <c r="A332" s="78">
        <v>45748</v>
      </c>
      <c r="B332" t="s">
        <v>347</v>
      </c>
      <c r="C332" t="s">
        <v>348</v>
      </c>
      <c r="D332" t="s">
        <v>223</v>
      </c>
      <c r="E332" t="s">
        <v>2222</v>
      </c>
      <c r="F332" t="s">
        <v>222</v>
      </c>
      <c r="G332" s="77">
        <v>1068</v>
      </c>
      <c r="H332" s="126">
        <v>101.7</v>
      </c>
      <c r="I332" s="124">
        <v>150.52000000000001</v>
      </c>
      <c r="J332" s="124">
        <v>209.41</v>
      </c>
      <c r="K332" s="77">
        <v>320</v>
      </c>
      <c r="L332" s="124">
        <v>679.93</v>
      </c>
    </row>
    <row r="333" spans="1:12" ht="15" customHeight="1" x14ac:dyDescent="0.25">
      <c r="A333" s="78">
        <v>45748</v>
      </c>
      <c r="B333" t="s">
        <v>347</v>
      </c>
      <c r="C333" t="s">
        <v>348</v>
      </c>
      <c r="D333" t="s">
        <v>223</v>
      </c>
      <c r="E333" t="s">
        <v>2223</v>
      </c>
      <c r="F333" t="s">
        <v>224</v>
      </c>
      <c r="G333" s="77">
        <v>1170</v>
      </c>
      <c r="H333" s="126">
        <v>137.6</v>
      </c>
      <c r="I333" s="124">
        <v>203.65</v>
      </c>
      <c r="J333" s="124">
        <v>50.99</v>
      </c>
      <c r="K333" s="77">
        <v>520</v>
      </c>
      <c r="L333" s="124">
        <v>774.64</v>
      </c>
    </row>
    <row r="334" spans="1:12" ht="15" customHeight="1" x14ac:dyDescent="0.25">
      <c r="A334" s="78">
        <v>45748</v>
      </c>
      <c r="B334" t="s">
        <v>347</v>
      </c>
      <c r="C334" t="s">
        <v>348</v>
      </c>
      <c r="D334" t="s">
        <v>223</v>
      </c>
      <c r="E334" t="s">
        <v>2342</v>
      </c>
      <c r="F334" t="s">
        <v>226</v>
      </c>
      <c r="G334" s="77">
        <v>1267</v>
      </c>
      <c r="H334" s="126">
        <v>120.7</v>
      </c>
      <c r="I334" s="124">
        <v>178.64</v>
      </c>
      <c r="J334" s="124">
        <v>220.98</v>
      </c>
      <c r="K334" s="77">
        <v>520</v>
      </c>
      <c r="L334" s="124">
        <v>919.62</v>
      </c>
    </row>
    <row r="335" spans="1:12" ht="15" customHeight="1" x14ac:dyDescent="0.25">
      <c r="A335" s="78">
        <v>45748</v>
      </c>
      <c r="B335" t="s">
        <v>347</v>
      </c>
      <c r="C335" t="s">
        <v>348</v>
      </c>
      <c r="D335" t="s">
        <v>223</v>
      </c>
      <c r="E335" t="s">
        <v>2238</v>
      </c>
      <c r="F335" t="s">
        <v>226</v>
      </c>
      <c r="G335" s="77">
        <v>859</v>
      </c>
      <c r="H335" s="126">
        <v>81.8</v>
      </c>
      <c r="I335" s="124">
        <v>121.06</v>
      </c>
      <c r="J335" s="124">
        <v>153.04</v>
      </c>
      <c r="K335" s="77">
        <v>380</v>
      </c>
      <c r="L335" s="124">
        <v>654.1</v>
      </c>
    </row>
    <row r="336" spans="1:12" ht="15" customHeight="1" x14ac:dyDescent="0.25">
      <c r="A336" s="78">
        <v>45748</v>
      </c>
      <c r="B336" t="s">
        <v>347</v>
      </c>
      <c r="C336" t="s">
        <v>348</v>
      </c>
      <c r="D336" t="s">
        <v>223</v>
      </c>
      <c r="E336" t="s">
        <v>2330</v>
      </c>
      <c r="F336" t="s">
        <v>224</v>
      </c>
      <c r="G336" s="77">
        <v>1220</v>
      </c>
      <c r="H336" s="126">
        <v>143.5</v>
      </c>
      <c r="I336" s="124">
        <v>212.38</v>
      </c>
      <c r="J336" s="124">
        <v>133.25</v>
      </c>
      <c r="K336" s="77">
        <v>320</v>
      </c>
      <c r="L336" s="124">
        <v>665.63</v>
      </c>
    </row>
    <row r="337" spans="1:12" ht="15" customHeight="1" x14ac:dyDescent="0.25">
      <c r="A337" s="78">
        <v>45748</v>
      </c>
      <c r="B337" t="s">
        <v>347</v>
      </c>
      <c r="C337" t="s">
        <v>348</v>
      </c>
      <c r="D337" t="s">
        <v>223</v>
      </c>
      <c r="E337" t="s">
        <v>2308</v>
      </c>
      <c r="F337" t="s">
        <v>226</v>
      </c>
      <c r="G337" s="77">
        <v>1318</v>
      </c>
      <c r="H337" s="126">
        <v>125.5</v>
      </c>
      <c r="I337" s="124">
        <v>185.74</v>
      </c>
      <c r="J337" s="124">
        <v>339.11</v>
      </c>
      <c r="K337" s="77">
        <v>320</v>
      </c>
      <c r="L337" s="124">
        <v>844.85</v>
      </c>
    </row>
    <row r="338" spans="1:12" ht="15" customHeight="1" x14ac:dyDescent="0.25">
      <c r="A338" s="78">
        <v>45748</v>
      </c>
      <c r="B338" t="s">
        <v>409</v>
      </c>
      <c r="C338" t="s">
        <v>410</v>
      </c>
      <c r="D338" t="s">
        <v>223</v>
      </c>
      <c r="E338" t="s">
        <v>2272</v>
      </c>
      <c r="F338" t="s">
        <v>222</v>
      </c>
      <c r="G338" s="77">
        <v>853</v>
      </c>
      <c r="H338" s="126">
        <v>81.2</v>
      </c>
      <c r="I338" s="124">
        <v>120.18</v>
      </c>
      <c r="J338" s="124">
        <v>39.520000000000003</v>
      </c>
      <c r="K338" s="77">
        <v>380</v>
      </c>
      <c r="L338" s="124">
        <v>539.70000000000005</v>
      </c>
    </row>
    <row r="339" spans="1:12" ht="15" customHeight="1" x14ac:dyDescent="0.25">
      <c r="A339" s="78">
        <v>45748</v>
      </c>
      <c r="B339" t="s">
        <v>409</v>
      </c>
      <c r="C339" t="s">
        <v>410</v>
      </c>
      <c r="D339" t="s">
        <v>223</v>
      </c>
      <c r="E339" t="s">
        <v>2343</v>
      </c>
      <c r="F339" t="s">
        <v>222</v>
      </c>
      <c r="G339" s="77">
        <v>1125</v>
      </c>
      <c r="H339" s="126">
        <v>107.1</v>
      </c>
      <c r="I339" s="124">
        <v>158.51</v>
      </c>
      <c r="J339" s="124">
        <v>207.73</v>
      </c>
      <c r="K339" s="77">
        <v>380</v>
      </c>
      <c r="L339" s="124">
        <v>746.24</v>
      </c>
    </row>
    <row r="340" spans="1:12" ht="15" customHeight="1" x14ac:dyDescent="0.25">
      <c r="A340" s="78">
        <v>45748</v>
      </c>
      <c r="B340" t="s">
        <v>409</v>
      </c>
      <c r="C340" t="s">
        <v>410</v>
      </c>
      <c r="D340" t="s">
        <v>223</v>
      </c>
      <c r="E340" t="s">
        <v>2230</v>
      </c>
      <c r="F340" t="s">
        <v>224</v>
      </c>
      <c r="G340" s="77">
        <v>992</v>
      </c>
      <c r="H340" s="126">
        <v>116.7</v>
      </c>
      <c r="I340" s="124">
        <v>172.72</v>
      </c>
      <c r="J340" s="124">
        <v>266.26</v>
      </c>
      <c r="K340" s="77">
        <v>520</v>
      </c>
      <c r="L340" s="124">
        <v>958.98</v>
      </c>
    </row>
    <row r="341" spans="1:12" ht="15" customHeight="1" x14ac:dyDescent="0.25">
      <c r="A341" s="78">
        <v>45748</v>
      </c>
      <c r="B341" t="s">
        <v>409</v>
      </c>
      <c r="C341" t="s">
        <v>410</v>
      </c>
      <c r="D341" t="s">
        <v>223</v>
      </c>
      <c r="E341" t="s">
        <v>2328</v>
      </c>
      <c r="F341" t="s">
        <v>228</v>
      </c>
      <c r="G341" s="77">
        <v>715</v>
      </c>
      <c r="H341" s="126">
        <v>84.1</v>
      </c>
      <c r="I341" s="124">
        <v>124.47</v>
      </c>
      <c r="J341" s="124">
        <v>305.43</v>
      </c>
      <c r="K341" s="77">
        <v>380</v>
      </c>
      <c r="L341" s="124">
        <v>809.9</v>
      </c>
    </row>
    <row r="342" spans="1:12" ht="15" customHeight="1" x14ac:dyDescent="0.25">
      <c r="A342" s="78">
        <v>45748</v>
      </c>
      <c r="B342" t="s">
        <v>409</v>
      </c>
      <c r="C342" t="s">
        <v>410</v>
      </c>
      <c r="D342" t="s">
        <v>223</v>
      </c>
      <c r="E342" t="s">
        <v>2234</v>
      </c>
      <c r="F342" t="s">
        <v>224</v>
      </c>
      <c r="G342" s="77">
        <v>898</v>
      </c>
      <c r="H342" s="126">
        <v>105.6</v>
      </c>
      <c r="I342" s="124">
        <v>156.29</v>
      </c>
      <c r="J342" s="124">
        <v>287.55</v>
      </c>
      <c r="K342" s="77">
        <v>380</v>
      </c>
      <c r="L342" s="124">
        <v>823.84</v>
      </c>
    </row>
    <row r="343" spans="1:12" ht="15" customHeight="1" x14ac:dyDescent="0.25">
      <c r="A343" s="78">
        <v>45748</v>
      </c>
      <c r="B343" t="s">
        <v>409</v>
      </c>
      <c r="C343" t="s">
        <v>410</v>
      </c>
      <c r="D343" t="s">
        <v>223</v>
      </c>
      <c r="E343" t="s">
        <v>2286</v>
      </c>
      <c r="F343" t="s">
        <v>228</v>
      </c>
      <c r="G343" s="77">
        <v>1548</v>
      </c>
      <c r="H343" s="126">
        <v>182.1</v>
      </c>
      <c r="I343" s="124">
        <v>269.51</v>
      </c>
      <c r="J343" s="124">
        <v>188.67</v>
      </c>
      <c r="K343" s="77">
        <v>320</v>
      </c>
      <c r="L343" s="124">
        <v>778.18</v>
      </c>
    </row>
    <row r="344" spans="1:12" ht="15" customHeight="1" x14ac:dyDescent="0.25">
      <c r="A344" s="78">
        <v>45748</v>
      </c>
      <c r="B344" t="s">
        <v>488</v>
      </c>
      <c r="C344" t="s">
        <v>489</v>
      </c>
      <c r="D344" t="s">
        <v>225</v>
      </c>
      <c r="E344" t="s">
        <v>2323</v>
      </c>
      <c r="F344" t="s">
        <v>224</v>
      </c>
      <c r="G344" s="77">
        <v>912</v>
      </c>
      <c r="H344" s="126">
        <v>107.3</v>
      </c>
      <c r="I344" s="124">
        <v>158.80000000000001</v>
      </c>
      <c r="J344" s="124">
        <v>218.77</v>
      </c>
      <c r="K344" s="77">
        <v>520</v>
      </c>
      <c r="L344" s="124">
        <v>897.57</v>
      </c>
    </row>
    <row r="345" spans="1:12" ht="15" customHeight="1" x14ac:dyDescent="0.25">
      <c r="A345" s="78">
        <v>45748</v>
      </c>
      <c r="B345" t="s">
        <v>488</v>
      </c>
      <c r="C345" t="s">
        <v>489</v>
      </c>
      <c r="D345" t="s">
        <v>225</v>
      </c>
      <c r="E345" t="s">
        <v>2226</v>
      </c>
      <c r="F345" t="s">
        <v>224</v>
      </c>
      <c r="G345" s="77">
        <v>953</v>
      </c>
      <c r="H345" s="126">
        <v>112.1</v>
      </c>
      <c r="I345" s="124">
        <v>165.91</v>
      </c>
      <c r="J345" s="124">
        <v>146.37</v>
      </c>
      <c r="K345" s="77">
        <v>520</v>
      </c>
      <c r="L345" s="124">
        <v>832.28</v>
      </c>
    </row>
    <row r="346" spans="1:12" ht="15" customHeight="1" x14ac:dyDescent="0.25">
      <c r="A346" s="78">
        <v>45748</v>
      </c>
      <c r="B346" t="s">
        <v>488</v>
      </c>
      <c r="C346" t="s">
        <v>489</v>
      </c>
      <c r="D346" t="s">
        <v>225</v>
      </c>
      <c r="E346" t="s">
        <v>2324</v>
      </c>
      <c r="F346" t="s">
        <v>228</v>
      </c>
      <c r="G346" s="77">
        <v>1056</v>
      </c>
      <c r="H346" s="126">
        <v>124.2</v>
      </c>
      <c r="I346" s="124">
        <v>183.82</v>
      </c>
      <c r="J346" s="124">
        <v>96.43</v>
      </c>
      <c r="K346" s="77">
        <v>520</v>
      </c>
      <c r="L346" s="124">
        <v>800.25</v>
      </c>
    </row>
    <row r="347" spans="1:12" ht="15" customHeight="1" x14ac:dyDescent="0.25">
      <c r="A347" s="78">
        <v>45748</v>
      </c>
      <c r="B347" t="s">
        <v>488</v>
      </c>
      <c r="C347" t="s">
        <v>489</v>
      </c>
      <c r="D347" t="s">
        <v>225</v>
      </c>
      <c r="E347" t="s">
        <v>2252</v>
      </c>
      <c r="F347" t="s">
        <v>226</v>
      </c>
      <c r="G347" s="77">
        <v>1046</v>
      </c>
      <c r="H347" s="126">
        <v>99.6</v>
      </c>
      <c r="I347" s="124">
        <v>147.41</v>
      </c>
      <c r="J347" s="124">
        <v>94.82</v>
      </c>
      <c r="K347" s="77">
        <v>380</v>
      </c>
      <c r="L347" s="124">
        <v>622.23</v>
      </c>
    </row>
    <row r="348" spans="1:12" ht="15" customHeight="1" x14ac:dyDescent="0.25">
      <c r="A348" s="78">
        <v>45748</v>
      </c>
      <c r="B348" t="s">
        <v>488</v>
      </c>
      <c r="C348" t="s">
        <v>489</v>
      </c>
      <c r="D348" t="s">
        <v>225</v>
      </c>
      <c r="E348" t="s">
        <v>2249</v>
      </c>
      <c r="F348" t="s">
        <v>222</v>
      </c>
      <c r="G348" s="77">
        <v>926</v>
      </c>
      <c r="H348" s="126">
        <v>88.2</v>
      </c>
      <c r="I348" s="124">
        <v>130.54</v>
      </c>
      <c r="J348" s="124">
        <v>265.49</v>
      </c>
      <c r="K348" s="77">
        <v>380</v>
      </c>
      <c r="L348" s="124">
        <v>776.03</v>
      </c>
    </row>
    <row r="349" spans="1:12" ht="15" customHeight="1" x14ac:dyDescent="0.25">
      <c r="A349" s="78">
        <v>45748</v>
      </c>
      <c r="B349" t="s">
        <v>406</v>
      </c>
      <c r="C349" t="s">
        <v>407</v>
      </c>
      <c r="D349" t="s">
        <v>225</v>
      </c>
      <c r="E349" t="s">
        <v>2270</v>
      </c>
      <c r="F349" t="s">
        <v>228</v>
      </c>
      <c r="G349" s="77">
        <v>735</v>
      </c>
      <c r="H349" s="126">
        <v>86.5</v>
      </c>
      <c r="I349" s="124">
        <v>128.02000000000001</v>
      </c>
      <c r="J349" s="124">
        <v>315.06</v>
      </c>
      <c r="K349" s="77">
        <v>520</v>
      </c>
      <c r="L349" s="124">
        <v>963.08</v>
      </c>
    </row>
    <row r="350" spans="1:12" ht="15" customHeight="1" x14ac:dyDescent="0.25">
      <c r="A350" s="78">
        <v>45748</v>
      </c>
      <c r="B350" t="s">
        <v>406</v>
      </c>
      <c r="C350" t="s">
        <v>407</v>
      </c>
      <c r="D350" t="s">
        <v>225</v>
      </c>
      <c r="E350" t="s">
        <v>2267</v>
      </c>
      <c r="F350" t="s">
        <v>226</v>
      </c>
      <c r="G350" s="77">
        <v>980</v>
      </c>
      <c r="H350" s="126">
        <v>93.3</v>
      </c>
      <c r="I350" s="124">
        <v>138.08000000000001</v>
      </c>
      <c r="J350" s="124">
        <v>127.62</v>
      </c>
      <c r="K350" s="77">
        <v>450</v>
      </c>
      <c r="L350" s="124">
        <v>715.7</v>
      </c>
    </row>
    <row r="351" spans="1:12" ht="15" customHeight="1" x14ac:dyDescent="0.25">
      <c r="A351" s="78">
        <v>45748</v>
      </c>
      <c r="B351" t="s">
        <v>406</v>
      </c>
      <c r="C351" t="s">
        <v>407</v>
      </c>
      <c r="D351" t="s">
        <v>225</v>
      </c>
      <c r="E351" t="s">
        <v>2274</v>
      </c>
      <c r="F351" t="s">
        <v>222</v>
      </c>
      <c r="G351" s="77">
        <v>1247</v>
      </c>
      <c r="H351" s="126">
        <v>118.8</v>
      </c>
      <c r="I351" s="124">
        <v>175.82</v>
      </c>
      <c r="J351" s="124">
        <v>177.2</v>
      </c>
      <c r="K351" s="77">
        <v>380</v>
      </c>
      <c r="L351" s="124">
        <v>733.02</v>
      </c>
    </row>
    <row r="352" spans="1:12" ht="15" customHeight="1" x14ac:dyDescent="0.25">
      <c r="A352" s="78">
        <v>45748</v>
      </c>
      <c r="B352" t="s">
        <v>358</v>
      </c>
      <c r="C352" t="s">
        <v>359</v>
      </c>
      <c r="D352" t="s">
        <v>225</v>
      </c>
      <c r="E352" t="s">
        <v>2268</v>
      </c>
      <c r="F352" t="s">
        <v>224</v>
      </c>
      <c r="G352" s="77">
        <v>1192</v>
      </c>
      <c r="H352" s="126">
        <v>140.19999999999999</v>
      </c>
      <c r="I352" s="124">
        <v>207.5</v>
      </c>
      <c r="J352" s="124">
        <v>227.45</v>
      </c>
      <c r="K352" s="77">
        <v>450</v>
      </c>
      <c r="L352" s="124">
        <v>884.95</v>
      </c>
    </row>
    <row r="353" spans="1:12" ht="15" customHeight="1" x14ac:dyDescent="0.25">
      <c r="A353" s="78">
        <v>45748</v>
      </c>
      <c r="B353" t="s">
        <v>358</v>
      </c>
      <c r="C353" t="s">
        <v>359</v>
      </c>
      <c r="D353" t="s">
        <v>225</v>
      </c>
      <c r="E353" t="s">
        <v>2344</v>
      </c>
      <c r="F353" t="s">
        <v>228</v>
      </c>
      <c r="G353" s="77">
        <v>967</v>
      </c>
      <c r="H353" s="126">
        <v>113.8</v>
      </c>
      <c r="I353" s="124">
        <v>168.42</v>
      </c>
      <c r="J353" s="124">
        <v>201.02</v>
      </c>
      <c r="K353" s="77">
        <v>520</v>
      </c>
      <c r="L353" s="124">
        <v>889.44</v>
      </c>
    </row>
    <row r="354" spans="1:12" ht="15" customHeight="1" x14ac:dyDescent="0.25">
      <c r="A354" s="78">
        <v>45748</v>
      </c>
      <c r="B354" t="s">
        <v>358</v>
      </c>
      <c r="C354" t="s">
        <v>359</v>
      </c>
      <c r="D354" t="s">
        <v>225</v>
      </c>
      <c r="E354" t="s">
        <v>2266</v>
      </c>
      <c r="F354" t="s">
        <v>228</v>
      </c>
      <c r="G354" s="77">
        <v>778</v>
      </c>
      <c r="H354" s="126">
        <v>91.5</v>
      </c>
      <c r="I354" s="124">
        <v>135.41999999999999</v>
      </c>
      <c r="J354" s="124">
        <v>183.97</v>
      </c>
      <c r="K354" s="77">
        <v>380</v>
      </c>
      <c r="L354" s="124">
        <v>699.39</v>
      </c>
    </row>
    <row r="355" spans="1:12" ht="15" customHeight="1" x14ac:dyDescent="0.25">
      <c r="A355" s="78">
        <v>45748</v>
      </c>
      <c r="B355" t="s">
        <v>358</v>
      </c>
      <c r="C355" t="s">
        <v>359</v>
      </c>
      <c r="D355" t="s">
        <v>225</v>
      </c>
      <c r="E355" t="s">
        <v>2291</v>
      </c>
      <c r="F355" t="s">
        <v>226</v>
      </c>
      <c r="G355" s="77">
        <v>1787</v>
      </c>
      <c r="H355" s="126">
        <v>170.2</v>
      </c>
      <c r="I355" s="124">
        <v>251.9</v>
      </c>
      <c r="J355" s="124">
        <v>249.57</v>
      </c>
      <c r="K355" s="77">
        <v>320</v>
      </c>
      <c r="L355" s="124">
        <v>821.47</v>
      </c>
    </row>
    <row r="356" spans="1:12" ht="15" customHeight="1" x14ac:dyDescent="0.25">
      <c r="A356" s="78">
        <v>45748</v>
      </c>
      <c r="B356" t="s">
        <v>358</v>
      </c>
      <c r="C356" t="s">
        <v>359</v>
      </c>
      <c r="D356" t="s">
        <v>225</v>
      </c>
      <c r="E356" t="s">
        <v>2257</v>
      </c>
      <c r="F356" t="s">
        <v>226</v>
      </c>
      <c r="G356" s="77">
        <v>712</v>
      </c>
      <c r="H356" s="126">
        <v>67.8</v>
      </c>
      <c r="I356" s="124">
        <v>100.34</v>
      </c>
      <c r="J356" s="124">
        <v>44.2</v>
      </c>
      <c r="K356" s="77">
        <v>520</v>
      </c>
      <c r="L356" s="124">
        <v>664.54</v>
      </c>
    </row>
    <row r="357" spans="1:12" ht="15" customHeight="1" x14ac:dyDescent="0.25">
      <c r="A357" s="78">
        <v>45748</v>
      </c>
      <c r="B357" t="s">
        <v>383</v>
      </c>
      <c r="C357" t="s">
        <v>384</v>
      </c>
      <c r="D357" t="s">
        <v>225</v>
      </c>
      <c r="E357" t="s">
        <v>2243</v>
      </c>
      <c r="F357" t="s">
        <v>228</v>
      </c>
      <c r="G357" s="77">
        <v>1170</v>
      </c>
      <c r="H357" s="126">
        <v>137.6</v>
      </c>
      <c r="I357" s="124">
        <v>203.65</v>
      </c>
      <c r="J357" s="124">
        <v>293.77999999999997</v>
      </c>
      <c r="K357" s="77">
        <v>450</v>
      </c>
      <c r="L357" s="124">
        <v>947.43</v>
      </c>
    </row>
    <row r="358" spans="1:12" ht="15" customHeight="1" x14ac:dyDescent="0.25">
      <c r="A358" s="78">
        <v>45748</v>
      </c>
      <c r="B358" t="s">
        <v>383</v>
      </c>
      <c r="C358" t="s">
        <v>384</v>
      </c>
      <c r="D358" t="s">
        <v>225</v>
      </c>
      <c r="E358" t="s">
        <v>2295</v>
      </c>
      <c r="F358" t="s">
        <v>224</v>
      </c>
      <c r="G358" s="77">
        <v>1187</v>
      </c>
      <c r="H358" s="126">
        <v>139.6</v>
      </c>
      <c r="I358" s="124">
        <v>206.61</v>
      </c>
      <c r="J358" s="124">
        <v>129.6</v>
      </c>
      <c r="K358" s="77">
        <v>520</v>
      </c>
      <c r="L358" s="124">
        <v>856.21</v>
      </c>
    </row>
    <row r="359" spans="1:12" ht="15" customHeight="1" x14ac:dyDescent="0.25">
      <c r="A359" s="78">
        <v>45748</v>
      </c>
      <c r="B359" t="s">
        <v>383</v>
      </c>
      <c r="C359" t="s">
        <v>384</v>
      </c>
      <c r="D359" t="s">
        <v>225</v>
      </c>
      <c r="E359" t="s">
        <v>2230</v>
      </c>
      <c r="F359" t="s">
        <v>226</v>
      </c>
      <c r="G359" s="77">
        <v>1018</v>
      </c>
      <c r="H359" s="126">
        <v>97</v>
      </c>
      <c r="I359" s="124">
        <v>143.56</v>
      </c>
      <c r="J359" s="124">
        <v>176.23</v>
      </c>
      <c r="K359" s="77">
        <v>380</v>
      </c>
      <c r="L359" s="124">
        <v>699.79</v>
      </c>
    </row>
    <row r="360" spans="1:12" ht="15" customHeight="1" x14ac:dyDescent="0.25">
      <c r="A360" s="78">
        <v>45748</v>
      </c>
      <c r="B360" t="s">
        <v>383</v>
      </c>
      <c r="C360" t="s">
        <v>384</v>
      </c>
      <c r="D360" t="s">
        <v>225</v>
      </c>
      <c r="E360" t="s">
        <v>2307</v>
      </c>
      <c r="F360" t="s">
        <v>228</v>
      </c>
      <c r="G360" s="77">
        <v>1071</v>
      </c>
      <c r="H360" s="126">
        <v>126</v>
      </c>
      <c r="I360" s="124">
        <v>186.48</v>
      </c>
      <c r="J360" s="124">
        <v>72.459999999999994</v>
      </c>
      <c r="K360" s="77">
        <v>450</v>
      </c>
      <c r="L360" s="124">
        <v>708.94</v>
      </c>
    </row>
    <row r="361" spans="1:12" ht="15" customHeight="1" x14ac:dyDescent="0.25">
      <c r="A361" s="78">
        <v>45748</v>
      </c>
      <c r="B361" t="s">
        <v>383</v>
      </c>
      <c r="C361" t="s">
        <v>384</v>
      </c>
      <c r="D361" t="s">
        <v>225</v>
      </c>
      <c r="E361" t="s">
        <v>2255</v>
      </c>
      <c r="F361" t="s">
        <v>222</v>
      </c>
      <c r="G361" s="77">
        <v>992</v>
      </c>
      <c r="H361" s="126">
        <v>94.5</v>
      </c>
      <c r="I361" s="124">
        <v>139.86000000000001</v>
      </c>
      <c r="J361" s="124">
        <v>81.89</v>
      </c>
      <c r="K361" s="77">
        <v>380</v>
      </c>
      <c r="L361" s="124">
        <v>601.75</v>
      </c>
    </row>
    <row r="362" spans="1:12" ht="15" customHeight="1" x14ac:dyDescent="0.25">
      <c r="A362" s="78">
        <v>45748</v>
      </c>
      <c r="B362" t="s">
        <v>383</v>
      </c>
      <c r="C362" t="s">
        <v>384</v>
      </c>
      <c r="D362" t="s">
        <v>225</v>
      </c>
      <c r="E362" t="s">
        <v>2297</v>
      </c>
      <c r="F362" t="s">
        <v>228</v>
      </c>
      <c r="G362" s="77">
        <v>1093</v>
      </c>
      <c r="H362" s="126">
        <v>128.6</v>
      </c>
      <c r="I362" s="124">
        <v>190.33</v>
      </c>
      <c r="J362" s="124">
        <v>488.82</v>
      </c>
      <c r="K362" s="77">
        <v>380</v>
      </c>
      <c r="L362" s="124">
        <v>1059.1500000000001</v>
      </c>
    </row>
    <row r="363" spans="1:12" ht="15" customHeight="1" x14ac:dyDescent="0.25">
      <c r="A363" s="78">
        <v>45748</v>
      </c>
      <c r="B363" t="s">
        <v>383</v>
      </c>
      <c r="C363" t="s">
        <v>384</v>
      </c>
      <c r="D363" t="s">
        <v>225</v>
      </c>
      <c r="E363" t="s">
        <v>2235</v>
      </c>
      <c r="F363" t="s">
        <v>222</v>
      </c>
      <c r="G363" s="77">
        <v>1141</v>
      </c>
      <c r="H363" s="126">
        <v>108.7</v>
      </c>
      <c r="I363" s="124">
        <v>160.88</v>
      </c>
      <c r="J363" s="124">
        <v>124.92</v>
      </c>
      <c r="K363" s="77">
        <v>380</v>
      </c>
      <c r="L363" s="124">
        <v>665.8</v>
      </c>
    </row>
    <row r="364" spans="1:12" ht="15" customHeight="1" x14ac:dyDescent="0.25">
      <c r="A364" s="78">
        <v>45748</v>
      </c>
      <c r="B364" t="s">
        <v>373</v>
      </c>
      <c r="C364" t="s">
        <v>374</v>
      </c>
      <c r="D364" t="s">
        <v>225</v>
      </c>
      <c r="E364" t="s">
        <v>2287</v>
      </c>
      <c r="F364" t="s">
        <v>222</v>
      </c>
      <c r="G364" s="77">
        <v>1280</v>
      </c>
      <c r="H364" s="126">
        <v>121.9</v>
      </c>
      <c r="I364" s="124">
        <v>180.41</v>
      </c>
      <c r="J364" s="124">
        <v>188.62</v>
      </c>
      <c r="K364" s="77">
        <v>520</v>
      </c>
      <c r="L364" s="124">
        <v>889.03</v>
      </c>
    </row>
    <row r="365" spans="1:12" ht="15" customHeight="1" x14ac:dyDescent="0.25">
      <c r="A365" s="78">
        <v>45748</v>
      </c>
      <c r="B365" t="s">
        <v>373</v>
      </c>
      <c r="C365" t="s">
        <v>374</v>
      </c>
      <c r="D365" t="s">
        <v>225</v>
      </c>
      <c r="E365" t="s">
        <v>2259</v>
      </c>
      <c r="F365" t="s">
        <v>222</v>
      </c>
      <c r="G365" s="77">
        <v>1155</v>
      </c>
      <c r="H365" s="126">
        <v>110</v>
      </c>
      <c r="I365" s="124">
        <v>162.80000000000001</v>
      </c>
      <c r="J365" s="124">
        <v>198.55</v>
      </c>
      <c r="K365" s="77">
        <v>450</v>
      </c>
      <c r="L365" s="124">
        <v>811.35</v>
      </c>
    </row>
    <row r="366" spans="1:12" ht="15" customHeight="1" x14ac:dyDescent="0.25">
      <c r="A366" s="78">
        <v>45748</v>
      </c>
      <c r="B366" t="s">
        <v>373</v>
      </c>
      <c r="C366" t="s">
        <v>374</v>
      </c>
      <c r="D366" t="s">
        <v>225</v>
      </c>
      <c r="E366" t="s">
        <v>2236</v>
      </c>
      <c r="F366" t="s">
        <v>226</v>
      </c>
      <c r="G366" s="77">
        <v>1564</v>
      </c>
      <c r="H366" s="126">
        <v>149</v>
      </c>
      <c r="I366" s="124">
        <v>220.52</v>
      </c>
      <c r="J366" s="124">
        <v>59.53</v>
      </c>
      <c r="K366" s="77">
        <v>450</v>
      </c>
      <c r="L366" s="124">
        <v>730.05</v>
      </c>
    </row>
    <row r="367" spans="1:12" ht="15" customHeight="1" x14ac:dyDescent="0.25">
      <c r="A367" s="78">
        <v>45748</v>
      </c>
      <c r="B367" t="s">
        <v>373</v>
      </c>
      <c r="C367" t="s">
        <v>374</v>
      </c>
      <c r="D367" t="s">
        <v>225</v>
      </c>
      <c r="E367" t="s">
        <v>2332</v>
      </c>
      <c r="F367" t="s">
        <v>224</v>
      </c>
      <c r="G367" s="77">
        <v>1168</v>
      </c>
      <c r="H367" s="126">
        <v>137.4</v>
      </c>
      <c r="I367" s="124">
        <v>203.35</v>
      </c>
      <c r="J367" s="124">
        <v>75.89</v>
      </c>
      <c r="K367" s="77">
        <v>520</v>
      </c>
      <c r="L367" s="124">
        <v>799.24</v>
      </c>
    </row>
    <row r="368" spans="1:12" ht="15" customHeight="1" x14ac:dyDescent="0.25">
      <c r="A368" s="78">
        <v>45748</v>
      </c>
      <c r="B368" t="s">
        <v>373</v>
      </c>
      <c r="C368" t="s">
        <v>374</v>
      </c>
      <c r="D368" t="s">
        <v>225</v>
      </c>
      <c r="E368" t="s">
        <v>2338</v>
      </c>
      <c r="F368" t="s">
        <v>226</v>
      </c>
      <c r="G368" s="77">
        <v>1188</v>
      </c>
      <c r="H368" s="126">
        <v>113.1</v>
      </c>
      <c r="I368" s="124">
        <v>167.39</v>
      </c>
      <c r="J368" s="124">
        <v>76.510000000000005</v>
      </c>
      <c r="K368" s="77">
        <v>520</v>
      </c>
      <c r="L368" s="124">
        <v>763.9</v>
      </c>
    </row>
    <row r="369" spans="1:12" ht="15" customHeight="1" x14ac:dyDescent="0.25">
      <c r="A369" s="78">
        <v>45748</v>
      </c>
      <c r="B369" t="s">
        <v>373</v>
      </c>
      <c r="C369" t="s">
        <v>374</v>
      </c>
      <c r="D369" t="s">
        <v>225</v>
      </c>
      <c r="E369" t="s">
        <v>2222</v>
      </c>
      <c r="F369" t="s">
        <v>228</v>
      </c>
      <c r="G369" s="77">
        <v>945</v>
      </c>
      <c r="H369" s="126">
        <v>111.2</v>
      </c>
      <c r="I369" s="124">
        <v>164.58</v>
      </c>
      <c r="J369" s="124">
        <v>226.39</v>
      </c>
      <c r="K369" s="77">
        <v>320</v>
      </c>
      <c r="L369" s="124">
        <v>710.97</v>
      </c>
    </row>
    <row r="370" spans="1:12" ht="15" customHeight="1" x14ac:dyDescent="0.25">
      <c r="A370" s="78">
        <v>45748</v>
      </c>
      <c r="B370" t="s">
        <v>373</v>
      </c>
      <c r="C370" t="s">
        <v>374</v>
      </c>
      <c r="D370" t="s">
        <v>225</v>
      </c>
      <c r="E370" t="s">
        <v>2221</v>
      </c>
      <c r="F370" t="s">
        <v>222</v>
      </c>
      <c r="G370" s="77">
        <v>1293</v>
      </c>
      <c r="H370" s="126">
        <v>123.1</v>
      </c>
      <c r="I370" s="124">
        <v>182.19</v>
      </c>
      <c r="J370" s="124">
        <v>223.48</v>
      </c>
      <c r="K370" s="77">
        <v>520</v>
      </c>
      <c r="L370" s="124">
        <v>925.67</v>
      </c>
    </row>
    <row r="371" spans="1:12" ht="15" customHeight="1" x14ac:dyDescent="0.25">
      <c r="A371" s="78">
        <v>45748</v>
      </c>
      <c r="B371" t="s">
        <v>354</v>
      </c>
      <c r="C371" t="s">
        <v>355</v>
      </c>
      <c r="D371" t="s">
        <v>227</v>
      </c>
      <c r="E371" t="s">
        <v>2268</v>
      </c>
      <c r="F371" t="s">
        <v>228</v>
      </c>
      <c r="G371" s="77">
        <v>738</v>
      </c>
      <c r="H371" s="126">
        <v>86.8</v>
      </c>
      <c r="I371" s="124">
        <v>128.46</v>
      </c>
      <c r="J371" s="124">
        <v>254.39</v>
      </c>
      <c r="K371" s="77">
        <v>320</v>
      </c>
      <c r="L371" s="124">
        <v>702.85</v>
      </c>
    </row>
    <row r="372" spans="1:12" ht="15" customHeight="1" x14ac:dyDescent="0.25">
      <c r="A372" s="78">
        <v>45748</v>
      </c>
      <c r="B372" t="s">
        <v>354</v>
      </c>
      <c r="C372" t="s">
        <v>355</v>
      </c>
      <c r="D372" t="s">
        <v>227</v>
      </c>
      <c r="E372" t="s">
        <v>2272</v>
      </c>
      <c r="F372" t="s">
        <v>226</v>
      </c>
      <c r="G372" s="77">
        <v>872</v>
      </c>
      <c r="H372" s="126">
        <v>83</v>
      </c>
      <c r="I372" s="124">
        <v>122.84</v>
      </c>
      <c r="J372" s="124">
        <v>49.32</v>
      </c>
      <c r="K372" s="77">
        <v>320</v>
      </c>
      <c r="L372" s="124">
        <v>492.16</v>
      </c>
    </row>
    <row r="373" spans="1:12" ht="15" customHeight="1" x14ac:dyDescent="0.25">
      <c r="A373" s="78">
        <v>45748</v>
      </c>
      <c r="B373" t="s">
        <v>354</v>
      </c>
      <c r="C373" t="s">
        <v>355</v>
      </c>
      <c r="D373" t="s">
        <v>227</v>
      </c>
      <c r="E373" t="s">
        <v>2345</v>
      </c>
      <c r="F373" t="s">
        <v>228</v>
      </c>
      <c r="G373" s="77">
        <v>995</v>
      </c>
      <c r="H373" s="126">
        <v>117.1</v>
      </c>
      <c r="I373" s="124">
        <v>173.31</v>
      </c>
      <c r="J373" s="124">
        <v>225.32</v>
      </c>
      <c r="K373" s="77">
        <v>380</v>
      </c>
      <c r="L373" s="124">
        <v>778.63</v>
      </c>
    </row>
    <row r="374" spans="1:12" ht="15" customHeight="1" x14ac:dyDescent="0.25">
      <c r="A374" s="78">
        <v>45748</v>
      </c>
      <c r="B374" t="s">
        <v>354</v>
      </c>
      <c r="C374" t="s">
        <v>355</v>
      </c>
      <c r="D374" t="s">
        <v>227</v>
      </c>
      <c r="E374" t="s">
        <v>2238</v>
      </c>
      <c r="F374" t="s">
        <v>228</v>
      </c>
      <c r="G374" s="77">
        <v>1656</v>
      </c>
      <c r="H374" s="126">
        <v>194.8</v>
      </c>
      <c r="I374" s="124">
        <v>288.3</v>
      </c>
      <c r="J374" s="124">
        <v>284.64</v>
      </c>
      <c r="K374" s="77">
        <v>450</v>
      </c>
      <c r="L374" s="124">
        <v>1022.94</v>
      </c>
    </row>
    <row r="375" spans="1:12" ht="15" customHeight="1" x14ac:dyDescent="0.25">
      <c r="A375" s="78">
        <v>45748</v>
      </c>
      <c r="B375" t="s">
        <v>354</v>
      </c>
      <c r="C375" t="s">
        <v>355</v>
      </c>
      <c r="D375" t="s">
        <v>227</v>
      </c>
      <c r="E375" t="s">
        <v>2243</v>
      </c>
      <c r="F375" t="s">
        <v>224</v>
      </c>
      <c r="G375" s="77">
        <v>705</v>
      </c>
      <c r="H375" s="126">
        <v>82.9</v>
      </c>
      <c r="I375" s="124">
        <v>122.69</v>
      </c>
      <c r="J375" s="124">
        <v>104.82</v>
      </c>
      <c r="K375" s="77">
        <v>320</v>
      </c>
      <c r="L375" s="124">
        <v>547.51</v>
      </c>
    </row>
    <row r="376" spans="1:12" ht="15" customHeight="1" x14ac:dyDescent="0.25">
      <c r="A376" s="78">
        <v>45748</v>
      </c>
      <c r="B376" t="s">
        <v>354</v>
      </c>
      <c r="C376" t="s">
        <v>355</v>
      </c>
      <c r="D376" t="s">
        <v>227</v>
      </c>
      <c r="E376" t="s">
        <v>2318</v>
      </c>
      <c r="F376" t="s">
        <v>228</v>
      </c>
      <c r="G376" s="77">
        <v>1305</v>
      </c>
      <c r="H376" s="126">
        <v>153.5</v>
      </c>
      <c r="I376" s="124">
        <v>227.18</v>
      </c>
      <c r="J376" s="124">
        <v>417.08</v>
      </c>
      <c r="K376" s="77">
        <v>320</v>
      </c>
      <c r="L376" s="124">
        <v>964.26</v>
      </c>
    </row>
    <row r="377" spans="1:12" ht="15" customHeight="1" x14ac:dyDescent="0.25">
      <c r="A377" s="78">
        <v>45748</v>
      </c>
      <c r="B377" t="s">
        <v>370</v>
      </c>
      <c r="C377" t="s">
        <v>371</v>
      </c>
      <c r="D377" t="s">
        <v>227</v>
      </c>
      <c r="E377" t="s">
        <v>2230</v>
      </c>
      <c r="F377" t="s">
        <v>226</v>
      </c>
      <c r="G377" s="77">
        <v>653</v>
      </c>
      <c r="H377" s="126">
        <v>62.2</v>
      </c>
      <c r="I377" s="124">
        <v>92.06</v>
      </c>
      <c r="J377" s="124">
        <v>0</v>
      </c>
      <c r="K377" s="77">
        <v>380</v>
      </c>
      <c r="L377" s="124">
        <v>472.06</v>
      </c>
    </row>
    <row r="378" spans="1:12" ht="15" customHeight="1" x14ac:dyDescent="0.25">
      <c r="A378" s="78">
        <v>45748</v>
      </c>
      <c r="B378" t="s">
        <v>370</v>
      </c>
      <c r="C378" t="s">
        <v>371</v>
      </c>
      <c r="D378" t="s">
        <v>227</v>
      </c>
      <c r="E378" t="s">
        <v>2346</v>
      </c>
      <c r="F378" t="s">
        <v>224</v>
      </c>
      <c r="G378" s="77">
        <v>1517</v>
      </c>
      <c r="H378" s="126">
        <v>178.5</v>
      </c>
      <c r="I378" s="124">
        <v>264.18</v>
      </c>
      <c r="J378" s="124">
        <v>181.17</v>
      </c>
      <c r="K378" s="77">
        <v>380</v>
      </c>
      <c r="L378" s="124">
        <v>825.35</v>
      </c>
    </row>
    <row r="379" spans="1:12" ht="15" customHeight="1" x14ac:dyDescent="0.25">
      <c r="A379" s="78">
        <v>45748</v>
      </c>
      <c r="B379" t="s">
        <v>370</v>
      </c>
      <c r="C379" t="s">
        <v>371</v>
      </c>
      <c r="D379" t="s">
        <v>227</v>
      </c>
      <c r="E379" t="s">
        <v>2336</v>
      </c>
      <c r="F379" t="s">
        <v>226</v>
      </c>
      <c r="G379" s="77">
        <v>832</v>
      </c>
      <c r="H379" s="126">
        <v>79.2</v>
      </c>
      <c r="I379" s="124">
        <v>117.22</v>
      </c>
      <c r="J379" s="124">
        <v>192.77</v>
      </c>
      <c r="K379" s="77">
        <v>450</v>
      </c>
      <c r="L379" s="124">
        <v>759.99</v>
      </c>
    </row>
    <row r="380" spans="1:12" ht="15" customHeight="1" x14ac:dyDescent="0.25">
      <c r="A380" s="78">
        <v>45748</v>
      </c>
      <c r="B380" t="s">
        <v>370</v>
      </c>
      <c r="C380" t="s">
        <v>371</v>
      </c>
      <c r="D380" t="s">
        <v>227</v>
      </c>
      <c r="E380" t="s">
        <v>2269</v>
      </c>
      <c r="F380" t="s">
        <v>224</v>
      </c>
      <c r="G380" s="77">
        <v>391</v>
      </c>
      <c r="H380" s="126">
        <v>46</v>
      </c>
      <c r="I380" s="124">
        <v>68.08</v>
      </c>
      <c r="J380" s="124">
        <v>150.27000000000001</v>
      </c>
      <c r="K380" s="77">
        <v>380</v>
      </c>
      <c r="L380" s="124">
        <v>598.35</v>
      </c>
    </row>
    <row r="381" spans="1:12" ht="15" customHeight="1" x14ac:dyDescent="0.25">
      <c r="A381" s="78">
        <v>45748</v>
      </c>
      <c r="B381" t="s">
        <v>370</v>
      </c>
      <c r="C381" t="s">
        <v>371</v>
      </c>
      <c r="D381" t="s">
        <v>227</v>
      </c>
      <c r="E381" t="s">
        <v>2264</v>
      </c>
      <c r="F381" t="s">
        <v>224</v>
      </c>
      <c r="G381" s="77">
        <v>1131</v>
      </c>
      <c r="H381" s="126">
        <v>133.1</v>
      </c>
      <c r="I381" s="124">
        <v>196.99</v>
      </c>
      <c r="J381" s="124">
        <v>223.94</v>
      </c>
      <c r="K381" s="77">
        <v>380</v>
      </c>
      <c r="L381" s="124">
        <v>800.93</v>
      </c>
    </row>
    <row r="382" spans="1:12" ht="15" customHeight="1" x14ac:dyDescent="0.25">
      <c r="A382" s="78">
        <v>45748</v>
      </c>
      <c r="B382" t="s">
        <v>370</v>
      </c>
      <c r="C382" t="s">
        <v>371</v>
      </c>
      <c r="D382" t="s">
        <v>227</v>
      </c>
      <c r="E382" t="s">
        <v>2298</v>
      </c>
      <c r="F382" t="s">
        <v>224</v>
      </c>
      <c r="G382" s="77">
        <v>796</v>
      </c>
      <c r="H382" s="126">
        <v>93.6</v>
      </c>
      <c r="I382" s="124">
        <v>138.53</v>
      </c>
      <c r="J382" s="124">
        <v>156.85</v>
      </c>
      <c r="K382" s="77">
        <v>450</v>
      </c>
      <c r="L382" s="124">
        <v>745.38</v>
      </c>
    </row>
    <row r="383" spans="1:12" ht="15" customHeight="1" x14ac:dyDescent="0.25">
      <c r="A383" s="78">
        <v>45748</v>
      </c>
      <c r="B383" t="s">
        <v>398</v>
      </c>
      <c r="C383" t="s">
        <v>399</v>
      </c>
      <c r="D383" t="s">
        <v>227</v>
      </c>
      <c r="E383" t="s">
        <v>2326</v>
      </c>
      <c r="F383" t="s">
        <v>222</v>
      </c>
      <c r="G383" s="77">
        <v>818</v>
      </c>
      <c r="H383" s="126">
        <v>77.900000000000006</v>
      </c>
      <c r="I383" s="124">
        <v>115.29</v>
      </c>
      <c r="J383" s="124">
        <v>170.43</v>
      </c>
      <c r="K383" s="77">
        <v>520</v>
      </c>
      <c r="L383" s="124">
        <v>805.72</v>
      </c>
    </row>
    <row r="384" spans="1:12" ht="15" customHeight="1" x14ac:dyDescent="0.25">
      <c r="A384" s="78">
        <v>45748</v>
      </c>
      <c r="B384" t="s">
        <v>398</v>
      </c>
      <c r="C384" t="s">
        <v>399</v>
      </c>
      <c r="D384" t="s">
        <v>227</v>
      </c>
      <c r="E384" t="s">
        <v>2345</v>
      </c>
      <c r="F384" t="s">
        <v>222</v>
      </c>
      <c r="G384" s="77">
        <v>826</v>
      </c>
      <c r="H384" s="126">
        <v>78.7</v>
      </c>
      <c r="I384" s="124">
        <v>116.48</v>
      </c>
      <c r="J384" s="124">
        <v>117.35</v>
      </c>
      <c r="K384" s="77">
        <v>520</v>
      </c>
      <c r="L384" s="124">
        <v>753.83</v>
      </c>
    </row>
    <row r="385" spans="1:12" ht="15" customHeight="1" x14ac:dyDescent="0.25">
      <c r="A385" s="78">
        <v>45748</v>
      </c>
      <c r="B385" t="s">
        <v>398</v>
      </c>
      <c r="C385" t="s">
        <v>399</v>
      </c>
      <c r="D385" t="s">
        <v>227</v>
      </c>
      <c r="E385" t="s">
        <v>2291</v>
      </c>
      <c r="F385" t="s">
        <v>226</v>
      </c>
      <c r="G385" s="77">
        <v>801</v>
      </c>
      <c r="H385" s="126">
        <v>76.3</v>
      </c>
      <c r="I385" s="124">
        <v>112.92</v>
      </c>
      <c r="J385" s="124">
        <v>202.09</v>
      </c>
      <c r="K385" s="77">
        <v>380</v>
      </c>
      <c r="L385" s="124">
        <v>695.01</v>
      </c>
    </row>
    <row r="386" spans="1:12" ht="15" customHeight="1" x14ac:dyDescent="0.25">
      <c r="A386" s="78">
        <v>45748</v>
      </c>
      <c r="B386" t="s">
        <v>398</v>
      </c>
      <c r="C386" t="s">
        <v>399</v>
      </c>
      <c r="D386" t="s">
        <v>227</v>
      </c>
      <c r="E386" t="s">
        <v>2256</v>
      </c>
      <c r="F386" t="s">
        <v>222</v>
      </c>
      <c r="G386" s="77">
        <v>1264</v>
      </c>
      <c r="H386" s="126">
        <v>120.4</v>
      </c>
      <c r="I386" s="124">
        <v>178.19</v>
      </c>
      <c r="J386" s="124">
        <v>131.22999999999999</v>
      </c>
      <c r="K386" s="77">
        <v>520</v>
      </c>
      <c r="L386" s="124">
        <v>829.42</v>
      </c>
    </row>
    <row r="387" spans="1:12" ht="15" customHeight="1" x14ac:dyDescent="0.25">
      <c r="A387" s="78">
        <v>45748</v>
      </c>
      <c r="B387" t="s">
        <v>378</v>
      </c>
      <c r="C387" t="s">
        <v>379</v>
      </c>
      <c r="D387" t="s">
        <v>227</v>
      </c>
      <c r="E387" t="s">
        <v>2274</v>
      </c>
      <c r="F387" t="s">
        <v>226</v>
      </c>
      <c r="G387" s="77">
        <v>1059</v>
      </c>
      <c r="H387" s="126">
        <v>100.9</v>
      </c>
      <c r="I387" s="124">
        <v>149.33000000000001</v>
      </c>
      <c r="J387" s="124">
        <v>34.11</v>
      </c>
      <c r="K387" s="77">
        <v>450</v>
      </c>
      <c r="L387" s="124">
        <v>633.44000000000005</v>
      </c>
    </row>
    <row r="388" spans="1:12" ht="15" customHeight="1" x14ac:dyDescent="0.25">
      <c r="A388" s="78">
        <v>45748</v>
      </c>
      <c r="B388" t="s">
        <v>378</v>
      </c>
      <c r="C388" t="s">
        <v>379</v>
      </c>
      <c r="D388" t="s">
        <v>227</v>
      </c>
      <c r="E388" t="s">
        <v>2339</v>
      </c>
      <c r="F388" t="s">
        <v>226</v>
      </c>
      <c r="G388" s="77">
        <v>975</v>
      </c>
      <c r="H388" s="126">
        <v>92.9</v>
      </c>
      <c r="I388" s="124">
        <v>137.49</v>
      </c>
      <c r="J388" s="124">
        <v>145.97999999999999</v>
      </c>
      <c r="K388" s="77">
        <v>450</v>
      </c>
      <c r="L388" s="124">
        <v>733.47</v>
      </c>
    </row>
    <row r="389" spans="1:12" ht="15" customHeight="1" x14ac:dyDescent="0.25">
      <c r="A389" s="78">
        <v>45748</v>
      </c>
      <c r="B389" t="s">
        <v>378</v>
      </c>
      <c r="C389" t="s">
        <v>379</v>
      </c>
      <c r="D389" t="s">
        <v>227</v>
      </c>
      <c r="E389" t="s">
        <v>2240</v>
      </c>
      <c r="F389" t="s">
        <v>224</v>
      </c>
      <c r="G389" s="77">
        <v>1705</v>
      </c>
      <c r="H389" s="126">
        <v>200.6</v>
      </c>
      <c r="I389" s="124">
        <v>296.89</v>
      </c>
      <c r="J389" s="124">
        <v>61.04</v>
      </c>
      <c r="K389" s="77">
        <v>520</v>
      </c>
      <c r="L389" s="124">
        <v>877.93</v>
      </c>
    </row>
    <row r="390" spans="1:12" ht="15" customHeight="1" x14ac:dyDescent="0.25">
      <c r="A390" s="78">
        <v>45748</v>
      </c>
      <c r="B390" t="s">
        <v>378</v>
      </c>
      <c r="C390" t="s">
        <v>379</v>
      </c>
      <c r="D390" t="s">
        <v>227</v>
      </c>
      <c r="E390" t="s">
        <v>2280</v>
      </c>
      <c r="F390" t="s">
        <v>224</v>
      </c>
      <c r="G390" s="77">
        <v>1416</v>
      </c>
      <c r="H390" s="126">
        <v>166.6</v>
      </c>
      <c r="I390" s="124">
        <v>246.57</v>
      </c>
      <c r="J390" s="124">
        <v>229.75</v>
      </c>
      <c r="K390" s="77">
        <v>450</v>
      </c>
      <c r="L390" s="124">
        <v>926.32</v>
      </c>
    </row>
    <row r="391" spans="1:12" ht="15" customHeight="1" x14ac:dyDescent="0.25">
      <c r="A391" s="78">
        <v>45748</v>
      </c>
      <c r="B391" t="s">
        <v>378</v>
      </c>
      <c r="C391" t="s">
        <v>379</v>
      </c>
      <c r="D391" t="s">
        <v>227</v>
      </c>
      <c r="E391" t="s">
        <v>2276</v>
      </c>
      <c r="F391" t="s">
        <v>224</v>
      </c>
      <c r="G391" s="77">
        <v>1120</v>
      </c>
      <c r="H391" s="126">
        <v>131.80000000000001</v>
      </c>
      <c r="I391" s="124">
        <v>195.06</v>
      </c>
      <c r="J391" s="124">
        <v>290.69</v>
      </c>
      <c r="K391" s="77">
        <v>450</v>
      </c>
      <c r="L391" s="124">
        <v>935.75</v>
      </c>
    </row>
    <row r="392" spans="1:12" ht="15" customHeight="1" x14ac:dyDescent="0.25">
      <c r="A392" s="78">
        <v>45748</v>
      </c>
      <c r="B392" t="s">
        <v>393</v>
      </c>
      <c r="C392" t="s">
        <v>394</v>
      </c>
      <c r="D392" t="s">
        <v>227</v>
      </c>
      <c r="E392" t="s">
        <v>2239</v>
      </c>
      <c r="F392" t="s">
        <v>224</v>
      </c>
      <c r="G392" s="77">
        <v>1143</v>
      </c>
      <c r="H392" s="126">
        <v>134.5</v>
      </c>
      <c r="I392" s="124">
        <v>199.06</v>
      </c>
      <c r="J392" s="124">
        <v>181.13</v>
      </c>
      <c r="K392" s="77">
        <v>520</v>
      </c>
      <c r="L392" s="124">
        <v>900.19</v>
      </c>
    </row>
    <row r="393" spans="1:12" ht="15" customHeight="1" x14ac:dyDescent="0.25">
      <c r="A393" s="78">
        <v>45748</v>
      </c>
      <c r="B393" t="s">
        <v>393</v>
      </c>
      <c r="C393" t="s">
        <v>394</v>
      </c>
      <c r="D393" t="s">
        <v>227</v>
      </c>
      <c r="E393" t="s">
        <v>2283</v>
      </c>
      <c r="F393" t="s">
        <v>228</v>
      </c>
      <c r="G393" s="77">
        <v>1036</v>
      </c>
      <c r="H393" s="126">
        <v>121.9</v>
      </c>
      <c r="I393" s="124">
        <v>180.41</v>
      </c>
      <c r="J393" s="124">
        <v>347.89</v>
      </c>
      <c r="K393" s="77">
        <v>380</v>
      </c>
      <c r="L393" s="124">
        <v>908.3</v>
      </c>
    </row>
    <row r="394" spans="1:12" ht="15" customHeight="1" x14ac:dyDescent="0.25">
      <c r="A394" s="78">
        <v>45748</v>
      </c>
      <c r="B394" t="s">
        <v>393</v>
      </c>
      <c r="C394" t="s">
        <v>394</v>
      </c>
      <c r="D394" t="s">
        <v>227</v>
      </c>
      <c r="E394" t="s">
        <v>2308</v>
      </c>
      <c r="F394" t="s">
        <v>224</v>
      </c>
      <c r="G394" s="77">
        <v>1324</v>
      </c>
      <c r="H394" s="126">
        <v>155.80000000000001</v>
      </c>
      <c r="I394" s="124">
        <v>230.58</v>
      </c>
      <c r="J394" s="124">
        <v>99.95</v>
      </c>
      <c r="K394" s="77">
        <v>320</v>
      </c>
      <c r="L394" s="124">
        <v>650.53</v>
      </c>
    </row>
    <row r="395" spans="1:12" ht="15" customHeight="1" x14ac:dyDescent="0.25">
      <c r="A395" s="78">
        <v>45778</v>
      </c>
      <c r="B395" t="s">
        <v>390</v>
      </c>
      <c r="C395" t="s">
        <v>391</v>
      </c>
      <c r="D395" t="s">
        <v>221</v>
      </c>
      <c r="E395" t="s">
        <v>2261</v>
      </c>
      <c r="F395" t="s">
        <v>224</v>
      </c>
      <c r="G395" s="77">
        <v>720</v>
      </c>
      <c r="H395" s="126">
        <v>84.7</v>
      </c>
      <c r="I395" s="124">
        <v>125.36</v>
      </c>
      <c r="J395" s="124">
        <v>133.76</v>
      </c>
      <c r="K395" s="77">
        <v>380</v>
      </c>
      <c r="L395" s="124">
        <v>639.12</v>
      </c>
    </row>
    <row r="396" spans="1:12" ht="15" customHeight="1" x14ac:dyDescent="0.25">
      <c r="A396" s="78">
        <v>45778</v>
      </c>
      <c r="B396" t="s">
        <v>390</v>
      </c>
      <c r="C396" t="s">
        <v>391</v>
      </c>
      <c r="D396" t="s">
        <v>221</v>
      </c>
      <c r="E396" t="s">
        <v>2336</v>
      </c>
      <c r="F396" t="s">
        <v>224</v>
      </c>
      <c r="G396" s="77">
        <v>849</v>
      </c>
      <c r="H396" s="126">
        <v>99.9</v>
      </c>
      <c r="I396" s="124">
        <v>147.85</v>
      </c>
      <c r="J396" s="124">
        <v>144.91999999999999</v>
      </c>
      <c r="K396" s="77">
        <v>520</v>
      </c>
      <c r="L396" s="124">
        <v>812.77</v>
      </c>
    </row>
    <row r="397" spans="1:12" ht="15" customHeight="1" x14ac:dyDescent="0.25">
      <c r="A397" s="78">
        <v>45778</v>
      </c>
      <c r="B397" t="s">
        <v>390</v>
      </c>
      <c r="C397" t="s">
        <v>391</v>
      </c>
      <c r="D397" t="s">
        <v>221</v>
      </c>
      <c r="E397" t="s">
        <v>2318</v>
      </c>
      <c r="F397" t="s">
        <v>224</v>
      </c>
      <c r="G397" s="77">
        <v>1359</v>
      </c>
      <c r="H397" s="126">
        <v>159.9</v>
      </c>
      <c r="I397" s="124">
        <v>236.65</v>
      </c>
      <c r="J397" s="124">
        <v>113.42</v>
      </c>
      <c r="K397" s="77">
        <v>380</v>
      </c>
      <c r="L397" s="124">
        <v>730.07</v>
      </c>
    </row>
    <row r="398" spans="1:12" ht="15" customHeight="1" x14ac:dyDescent="0.25">
      <c r="A398" s="78">
        <v>45778</v>
      </c>
      <c r="B398" t="s">
        <v>390</v>
      </c>
      <c r="C398" t="s">
        <v>391</v>
      </c>
      <c r="D398" t="s">
        <v>221</v>
      </c>
      <c r="E398" t="s">
        <v>2307</v>
      </c>
      <c r="F398" t="s">
        <v>222</v>
      </c>
      <c r="G398" s="77">
        <v>1039</v>
      </c>
      <c r="H398" s="126">
        <v>99</v>
      </c>
      <c r="I398" s="124">
        <v>146.52000000000001</v>
      </c>
      <c r="J398" s="124">
        <v>154.63999999999999</v>
      </c>
      <c r="K398" s="77">
        <v>450</v>
      </c>
      <c r="L398" s="124">
        <v>751.16</v>
      </c>
    </row>
    <row r="399" spans="1:12" ht="15" customHeight="1" x14ac:dyDescent="0.25">
      <c r="A399" s="78">
        <v>45778</v>
      </c>
      <c r="B399" t="s">
        <v>401</v>
      </c>
      <c r="C399" t="s">
        <v>402</v>
      </c>
      <c r="D399" t="s">
        <v>221</v>
      </c>
      <c r="E399" t="s">
        <v>2341</v>
      </c>
      <c r="F399" t="s">
        <v>228</v>
      </c>
      <c r="G399" s="77">
        <v>1262</v>
      </c>
      <c r="H399" s="126">
        <v>148.5</v>
      </c>
      <c r="I399" s="124">
        <v>219.78</v>
      </c>
      <c r="J399" s="124">
        <v>70.25</v>
      </c>
      <c r="K399" s="77">
        <v>450</v>
      </c>
      <c r="L399" s="124">
        <v>740.03</v>
      </c>
    </row>
    <row r="400" spans="1:12" ht="15" customHeight="1" x14ac:dyDescent="0.25">
      <c r="A400" s="78">
        <v>45778</v>
      </c>
      <c r="B400" t="s">
        <v>401</v>
      </c>
      <c r="C400" t="s">
        <v>402</v>
      </c>
      <c r="D400" t="s">
        <v>221</v>
      </c>
      <c r="E400" t="s">
        <v>2253</v>
      </c>
      <c r="F400" t="s">
        <v>224</v>
      </c>
      <c r="G400" s="77">
        <v>898</v>
      </c>
      <c r="H400" s="126">
        <v>105.6</v>
      </c>
      <c r="I400" s="124">
        <v>156.29</v>
      </c>
      <c r="J400" s="124">
        <v>166.9</v>
      </c>
      <c r="K400" s="77">
        <v>520</v>
      </c>
      <c r="L400" s="124">
        <v>843.19</v>
      </c>
    </row>
    <row r="401" spans="1:12" ht="15" customHeight="1" x14ac:dyDescent="0.25">
      <c r="A401" s="78">
        <v>45778</v>
      </c>
      <c r="B401" t="s">
        <v>401</v>
      </c>
      <c r="C401" t="s">
        <v>402</v>
      </c>
      <c r="D401" t="s">
        <v>221</v>
      </c>
      <c r="E401" t="s">
        <v>2342</v>
      </c>
      <c r="F401" t="s">
        <v>224</v>
      </c>
      <c r="G401" s="77">
        <v>1350</v>
      </c>
      <c r="H401" s="126">
        <v>158.80000000000001</v>
      </c>
      <c r="I401" s="124">
        <v>235.02</v>
      </c>
      <c r="J401" s="124">
        <v>110.65</v>
      </c>
      <c r="K401" s="77">
        <v>520</v>
      </c>
      <c r="L401" s="124">
        <v>865.67</v>
      </c>
    </row>
    <row r="402" spans="1:12" ht="15" customHeight="1" x14ac:dyDescent="0.25">
      <c r="A402" s="78">
        <v>45778</v>
      </c>
      <c r="B402" t="s">
        <v>401</v>
      </c>
      <c r="C402" t="s">
        <v>402</v>
      </c>
      <c r="D402" t="s">
        <v>221</v>
      </c>
      <c r="E402" t="s">
        <v>2331</v>
      </c>
      <c r="F402" t="s">
        <v>224</v>
      </c>
      <c r="G402" s="77">
        <v>580</v>
      </c>
      <c r="H402" s="126">
        <v>68.2</v>
      </c>
      <c r="I402" s="124">
        <v>100.94</v>
      </c>
      <c r="J402" s="124">
        <v>199.58</v>
      </c>
      <c r="K402" s="77">
        <v>450</v>
      </c>
      <c r="L402" s="124">
        <v>750.52</v>
      </c>
    </row>
    <row r="403" spans="1:12" ht="15" customHeight="1" x14ac:dyDescent="0.25">
      <c r="A403" s="78">
        <v>45778</v>
      </c>
      <c r="B403" t="s">
        <v>401</v>
      </c>
      <c r="C403" t="s">
        <v>402</v>
      </c>
      <c r="D403" t="s">
        <v>221</v>
      </c>
      <c r="E403" t="s">
        <v>2279</v>
      </c>
      <c r="F403" t="s">
        <v>222</v>
      </c>
      <c r="G403" s="77">
        <v>891</v>
      </c>
      <c r="H403" s="126">
        <v>84.9</v>
      </c>
      <c r="I403" s="124">
        <v>125.65</v>
      </c>
      <c r="J403" s="124">
        <v>54.83</v>
      </c>
      <c r="K403" s="77">
        <v>450</v>
      </c>
      <c r="L403" s="124">
        <v>630.48</v>
      </c>
    </row>
    <row r="404" spans="1:12" ht="15" customHeight="1" x14ac:dyDescent="0.25">
      <c r="A404" s="78">
        <v>45778</v>
      </c>
      <c r="B404" t="s">
        <v>431</v>
      </c>
      <c r="C404" t="s">
        <v>432</v>
      </c>
      <c r="D404" t="s">
        <v>221</v>
      </c>
      <c r="E404" t="s">
        <v>2239</v>
      </c>
      <c r="F404" t="s">
        <v>226</v>
      </c>
      <c r="G404" s="77">
        <v>893</v>
      </c>
      <c r="H404" s="126">
        <v>85</v>
      </c>
      <c r="I404" s="124">
        <v>125.8</v>
      </c>
      <c r="J404" s="124">
        <v>135.24</v>
      </c>
      <c r="K404" s="77">
        <v>380</v>
      </c>
      <c r="L404" s="124">
        <v>641.04</v>
      </c>
    </row>
    <row r="405" spans="1:12" ht="15" customHeight="1" x14ac:dyDescent="0.25">
      <c r="A405" s="78">
        <v>45778</v>
      </c>
      <c r="B405" t="s">
        <v>431</v>
      </c>
      <c r="C405" t="s">
        <v>432</v>
      </c>
      <c r="D405" t="s">
        <v>221</v>
      </c>
      <c r="E405" t="s">
        <v>2323</v>
      </c>
      <c r="F405" t="s">
        <v>226</v>
      </c>
      <c r="G405" s="77">
        <v>898</v>
      </c>
      <c r="H405" s="126">
        <v>85.5</v>
      </c>
      <c r="I405" s="124">
        <v>126.54</v>
      </c>
      <c r="J405" s="124">
        <v>0</v>
      </c>
      <c r="K405" s="77">
        <v>320</v>
      </c>
      <c r="L405" s="124">
        <v>446.54</v>
      </c>
    </row>
    <row r="406" spans="1:12" ht="15" customHeight="1" x14ac:dyDescent="0.25">
      <c r="A406" s="78">
        <v>45778</v>
      </c>
      <c r="B406" t="s">
        <v>431</v>
      </c>
      <c r="C406" t="s">
        <v>432</v>
      </c>
      <c r="D406" t="s">
        <v>221</v>
      </c>
      <c r="E406" t="s">
        <v>2324</v>
      </c>
      <c r="F406" t="s">
        <v>228</v>
      </c>
      <c r="G406" s="77">
        <v>1274</v>
      </c>
      <c r="H406" s="126">
        <v>149.9</v>
      </c>
      <c r="I406" s="124">
        <v>221.85</v>
      </c>
      <c r="J406" s="124">
        <v>351.99</v>
      </c>
      <c r="K406" s="77">
        <v>380</v>
      </c>
      <c r="L406" s="124">
        <v>953.84</v>
      </c>
    </row>
    <row r="407" spans="1:12" ht="15" customHeight="1" x14ac:dyDescent="0.25">
      <c r="A407" s="78">
        <v>45778</v>
      </c>
      <c r="B407" t="s">
        <v>431</v>
      </c>
      <c r="C407" t="s">
        <v>432</v>
      </c>
      <c r="D407" t="s">
        <v>221</v>
      </c>
      <c r="E407" t="s">
        <v>2337</v>
      </c>
      <c r="F407" t="s">
        <v>222</v>
      </c>
      <c r="G407" s="77">
        <v>1212</v>
      </c>
      <c r="H407" s="126">
        <v>115.4</v>
      </c>
      <c r="I407" s="124">
        <v>170.79</v>
      </c>
      <c r="J407" s="124">
        <v>58.99</v>
      </c>
      <c r="K407" s="77">
        <v>320</v>
      </c>
      <c r="L407" s="124">
        <v>549.78</v>
      </c>
    </row>
    <row r="408" spans="1:12" ht="15" customHeight="1" x14ac:dyDescent="0.25">
      <c r="A408" s="78">
        <v>45778</v>
      </c>
      <c r="B408" t="s">
        <v>431</v>
      </c>
      <c r="C408" t="s">
        <v>432</v>
      </c>
      <c r="D408" t="s">
        <v>221</v>
      </c>
      <c r="E408" t="s">
        <v>2347</v>
      </c>
      <c r="F408" t="s">
        <v>224</v>
      </c>
      <c r="G408" s="77">
        <v>999</v>
      </c>
      <c r="H408" s="126">
        <v>117.5</v>
      </c>
      <c r="I408" s="124">
        <v>173.9</v>
      </c>
      <c r="J408" s="124">
        <v>149.47999999999999</v>
      </c>
      <c r="K408" s="77">
        <v>320</v>
      </c>
      <c r="L408" s="124">
        <v>643.38</v>
      </c>
    </row>
    <row r="409" spans="1:12" ht="15" customHeight="1" x14ac:dyDescent="0.25">
      <c r="A409" s="78">
        <v>45778</v>
      </c>
      <c r="B409" t="s">
        <v>431</v>
      </c>
      <c r="C409" t="s">
        <v>432</v>
      </c>
      <c r="D409" t="s">
        <v>221</v>
      </c>
      <c r="E409" t="s">
        <v>2342</v>
      </c>
      <c r="F409" t="s">
        <v>228</v>
      </c>
      <c r="G409" s="77">
        <v>1199</v>
      </c>
      <c r="H409" s="126">
        <v>141.1</v>
      </c>
      <c r="I409" s="124">
        <v>208.83</v>
      </c>
      <c r="J409" s="124">
        <v>303.47000000000003</v>
      </c>
      <c r="K409" s="77">
        <v>450</v>
      </c>
      <c r="L409" s="124">
        <v>962.3</v>
      </c>
    </row>
    <row r="410" spans="1:12" ht="15" customHeight="1" x14ac:dyDescent="0.25">
      <c r="A410" s="78">
        <v>45778</v>
      </c>
      <c r="B410" t="s">
        <v>366</v>
      </c>
      <c r="C410" t="s">
        <v>367</v>
      </c>
      <c r="D410" t="s">
        <v>221</v>
      </c>
      <c r="E410" t="s">
        <v>2251</v>
      </c>
      <c r="F410" t="s">
        <v>226</v>
      </c>
      <c r="G410" s="77">
        <v>866</v>
      </c>
      <c r="H410" s="126">
        <v>82.5</v>
      </c>
      <c r="I410" s="124">
        <v>122.1</v>
      </c>
      <c r="J410" s="124">
        <v>156.56</v>
      </c>
      <c r="K410" s="77">
        <v>520</v>
      </c>
      <c r="L410" s="124">
        <v>798.66</v>
      </c>
    </row>
    <row r="411" spans="1:12" ht="15" customHeight="1" x14ac:dyDescent="0.25">
      <c r="A411" s="78">
        <v>45778</v>
      </c>
      <c r="B411" t="s">
        <v>366</v>
      </c>
      <c r="C411" t="s">
        <v>367</v>
      </c>
      <c r="D411" t="s">
        <v>221</v>
      </c>
      <c r="E411" t="s">
        <v>2266</v>
      </c>
      <c r="F411" t="s">
        <v>226</v>
      </c>
      <c r="G411" s="77">
        <v>1164</v>
      </c>
      <c r="H411" s="126">
        <v>110.9</v>
      </c>
      <c r="I411" s="124">
        <v>164.13</v>
      </c>
      <c r="J411" s="124">
        <v>266.47000000000003</v>
      </c>
      <c r="K411" s="77">
        <v>450</v>
      </c>
      <c r="L411" s="124">
        <v>880.6</v>
      </c>
    </row>
    <row r="412" spans="1:12" ht="15" customHeight="1" x14ac:dyDescent="0.25">
      <c r="A412" s="78">
        <v>45778</v>
      </c>
      <c r="B412" t="s">
        <v>366</v>
      </c>
      <c r="C412" t="s">
        <v>367</v>
      </c>
      <c r="D412" t="s">
        <v>221</v>
      </c>
      <c r="E412" t="s">
        <v>2291</v>
      </c>
      <c r="F412" t="s">
        <v>226</v>
      </c>
      <c r="G412" s="77">
        <v>1226</v>
      </c>
      <c r="H412" s="126">
        <v>116.8</v>
      </c>
      <c r="I412" s="124">
        <v>172.86</v>
      </c>
      <c r="J412" s="124">
        <v>213.12</v>
      </c>
      <c r="K412" s="77">
        <v>450</v>
      </c>
      <c r="L412" s="124">
        <v>835.98</v>
      </c>
    </row>
    <row r="413" spans="1:12" ht="15" customHeight="1" x14ac:dyDescent="0.25">
      <c r="A413" s="78">
        <v>45778</v>
      </c>
      <c r="B413" t="s">
        <v>366</v>
      </c>
      <c r="C413" t="s">
        <v>367</v>
      </c>
      <c r="D413" t="s">
        <v>221</v>
      </c>
      <c r="E413" t="s">
        <v>2228</v>
      </c>
      <c r="F413" t="s">
        <v>228</v>
      </c>
      <c r="G413" s="77">
        <v>1070</v>
      </c>
      <c r="H413" s="126">
        <v>125.9</v>
      </c>
      <c r="I413" s="124">
        <v>186.33</v>
      </c>
      <c r="J413" s="124">
        <v>362.84</v>
      </c>
      <c r="K413" s="77">
        <v>520</v>
      </c>
      <c r="L413" s="124">
        <v>1069.17</v>
      </c>
    </row>
    <row r="414" spans="1:12" ht="15" customHeight="1" x14ac:dyDescent="0.25">
      <c r="A414" s="78">
        <v>45778</v>
      </c>
      <c r="B414" t="s">
        <v>366</v>
      </c>
      <c r="C414" t="s">
        <v>367</v>
      </c>
      <c r="D414" t="s">
        <v>221</v>
      </c>
      <c r="E414" t="s">
        <v>2227</v>
      </c>
      <c r="F414" t="s">
        <v>226</v>
      </c>
      <c r="G414" s="77">
        <v>1152</v>
      </c>
      <c r="H414" s="126">
        <v>109.7</v>
      </c>
      <c r="I414" s="124">
        <v>162.36000000000001</v>
      </c>
      <c r="J414" s="124">
        <v>81.11</v>
      </c>
      <c r="K414" s="77">
        <v>380</v>
      </c>
      <c r="L414" s="124">
        <v>623.47</v>
      </c>
    </row>
    <row r="415" spans="1:12" ht="15" customHeight="1" x14ac:dyDescent="0.25">
      <c r="A415" s="78">
        <v>45778</v>
      </c>
      <c r="B415" t="s">
        <v>366</v>
      </c>
      <c r="C415" t="s">
        <v>367</v>
      </c>
      <c r="D415" t="s">
        <v>221</v>
      </c>
      <c r="E415" t="s">
        <v>2222</v>
      </c>
      <c r="F415" t="s">
        <v>222</v>
      </c>
      <c r="G415" s="77">
        <v>1400</v>
      </c>
      <c r="H415" s="126">
        <v>133.30000000000001</v>
      </c>
      <c r="I415" s="124">
        <v>197.28</v>
      </c>
      <c r="J415" s="124">
        <v>205.83</v>
      </c>
      <c r="K415" s="77">
        <v>320</v>
      </c>
      <c r="L415" s="124">
        <v>723.11</v>
      </c>
    </row>
    <row r="416" spans="1:12" ht="15" customHeight="1" x14ac:dyDescent="0.25">
      <c r="A416" s="78">
        <v>45778</v>
      </c>
      <c r="B416" t="s">
        <v>366</v>
      </c>
      <c r="C416" t="s">
        <v>367</v>
      </c>
      <c r="D416" t="s">
        <v>221</v>
      </c>
      <c r="E416" t="s">
        <v>2326</v>
      </c>
      <c r="F416" t="s">
        <v>222</v>
      </c>
      <c r="G416" s="77">
        <v>939</v>
      </c>
      <c r="H416" s="126">
        <v>89.4</v>
      </c>
      <c r="I416" s="124">
        <v>132.31</v>
      </c>
      <c r="J416" s="124">
        <v>111.64</v>
      </c>
      <c r="K416" s="77">
        <v>320</v>
      </c>
      <c r="L416" s="124">
        <v>563.95000000000005</v>
      </c>
    </row>
    <row r="417" spans="1:12" ht="15" customHeight="1" x14ac:dyDescent="0.25">
      <c r="A417" s="78">
        <v>45778</v>
      </c>
      <c r="B417" t="s">
        <v>362</v>
      </c>
      <c r="C417" t="s">
        <v>363</v>
      </c>
      <c r="D417" t="s">
        <v>221</v>
      </c>
      <c r="E417" t="s">
        <v>2348</v>
      </c>
      <c r="F417" t="s">
        <v>226</v>
      </c>
      <c r="G417" s="77">
        <v>1124</v>
      </c>
      <c r="H417" s="126">
        <v>107</v>
      </c>
      <c r="I417" s="124">
        <v>158.36000000000001</v>
      </c>
      <c r="J417" s="124">
        <v>187.05</v>
      </c>
      <c r="K417" s="77">
        <v>380</v>
      </c>
      <c r="L417" s="124">
        <v>725.41</v>
      </c>
    </row>
    <row r="418" spans="1:12" ht="15" customHeight="1" x14ac:dyDescent="0.25">
      <c r="A418" s="78">
        <v>45778</v>
      </c>
      <c r="B418" t="s">
        <v>362</v>
      </c>
      <c r="C418" t="s">
        <v>363</v>
      </c>
      <c r="D418" t="s">
        <v>221</v>
      </c>
      <c r="E418" t="s">
        <v>2281</v>
      </c>
      <c r="F418" t="s">
        <v>222</v>
      </c>
      <c r="G418" s="77">
        <v>1099</v>
      </c>
      <c r="H418" s="126">
        <v>104.7</v>
      </c>
      <c r="I418" s="124">
        <v>154.96</v>
      </c>
      <c r="J418" s="124">
        <v>174.9</v>
      </c>
      <c r="K418" s="77">
        <v>450</v>
      </c>
      <c r="L418" s="124">
        <v>779.86</v>
      </c>
    </row>
    <row r="419" spans="1:12" ht="15" customHeight="1" x14ac:dyDescent="0.25">
      <c r="A419" s="78">
        <v>45778</v>
      </c>
      <c r="B419" t="s">
        <v>362</v>
      </c>
      <c r="C419" t="s">
        <v>363</v>
      </c>
      <c r="D419" t="s">
        <v>221</v>
      </c>
      <c r="E419" t="s">
        <v>2332</v>
      </c>
      <c r="F419" t="s">
        <v>222</v>
      </c>
      <c r="G419" s="77">
        <v>1474</v>
      </c>
      <c r="H419" s="126">
        <v>140.4</v>
      </c>
      <c r="I419" s="124">
        <v>207.79</v>
      </c>
      <c r="J419" s="124">
        <v>235.72</v>
      </c>
      <c r="K419" s="77">
        <v>520</v>
      </c>
      <c r="L419" s="124">
        <v>963.51</v>
      </c>
    </row>
    <row r="420" spans="1:12" ht="15" customHeight="1" x14ac:dyDescent="0.25">
      <c r="A420" s="78">
        <v>45778</v>
      </c>
      <c r="B420" t="s">
        <v>362</v>
      </c>
      <c r="C420" t="s">
        <v>363</v>
      </c>
      <c r="D420" t="s">
        <v>221</v>
      </c>
      <c r="E420" t="s">
        <v>2322</v>
      </c>
      <c r="F420" t="s">
        <v>224</v>
      </c>
      <c r="G420" s="77">
        <v>1097</v>
      </c>
      <c r="H420" s="126">
        <v>129.1</v>
      </c>
      <c r="I420" s="124">
        <v>191.07</v>
      </c>
      <c r="J420" s="124">
        <v>225.3</v>
      </c>
      <c r="K420" s="77">
        <v>380</v>
      </c>
      <c r="L420" s="124">
        <v>796.37</v>
      </c>
    </row>
    <row r="421" spans="1:12" ht="15" customHeight="1" x14ac:dyDescent="0.25">
      <c r="A421" s="78">
        <v>45778</v>
      </c>
      <c r="B421" t="s">
        <v>362</v>
      </c>
      <c r="C421" t="s">
        <v>363</v>
      </c>
      <c r="D421" t="s">
        <v>221</v>
      </c>
      <c r="E421" t="s">
        <v>2255</v>
      </c>
      <c r="F421" t="s">
        <v>228</v>
      </c>
      <c r="G421" s="77">
        <v>791</v>
      </c>
      <c r="H421" s="126">
        <v>93.1</v>
      </c>
      <c r="I421" s="124">
        <v>137.79</v>
      </c>
      <c r="J421" s="124">
        <v>281.83</v>
      </c>
      <c r="K421" s="77">
        <v>320</v>
      </c>
      <c r="L421" s="124">
        <v>739.62</v>
      </c>
    </row>
    <row r="422" spans="1:12" ht="15" customHeight="1" x14ac:dyDescent="0.25">
      <c r="A422" s="78">
        <v>45778</v>
      </c>
      <c r="B422" t="s">
        <v>362</v>
      </c>
      <c r="C422" t="s">
        <v>363</v>
      </c>
      <c r="D422" t="s">
        <v>221</v>
      </c>
      <c r="E422" t="s">
        <v>2301</v>
      </c>
      <c r="F422" t="s">
        <v>222</v>
      </c>
      <c r="G422" s="77">
        <v>1502</v>
      </c>
      <c r="H422" s="126">
        <v>143</v>
      </c>
      <c r="I422" s="124">
        <v>211.64</v>
      </c>
      <c r="J422" s="124">
        <v>132.56</v>
      </c>
      <c r="K422" s="77">
        <v>320</v>
      </c>
      <c r="L422" s="124">
        <v>664.2</v>
      </c>
    </row>
    <row r="423" spans="1:12" ht="15" customHeight="1" x14ac:dyDescent="0.25">
      <c r="A423" s="78">
        <v>45778</v>
      </c>
      <c r="B423" t="s">
        <v>362</v>
      </c>
      <c r="C423" t="s">
        <v>363</v>
      </c>
      <c r="D423" t="s">
        <v>221</v>
      </c>
      <c r="E423" t="s">
        <v>2327</v>
      </c>
      <c r="F423" t="s">
        <v>224</v>
      </c>
      <c r="G423" s="77">
        <v>838</v>
      </c>
      <c r="H423" s="126">
        <v>98.6</v>
      </c>
      <c r="I423" s="124">
        <v>145.93</v>
      </c>
      <c r="J423" s="124">
        <v>97.83</v>
      </c>
      <c r="K423" s="77">
        <v>320</v>
      </c>
      <c r="L423" s="124">
        <v>563.76</v>
      </c>
    </row>
    <row r="424" spans="1:12" ht="15" customHeight="1" x14ac:dyDescent="0.25">
      <c r="A424" s="78">
        <v>45778</v>
      </c>
      <c r="B424" t="s">
        <v>335</v>
      </c>
      <c r="C424" t="s">
        <v>336</v>
      </c>
      <c r="D424" t="s">
        <v>223</v>
      </c>
      <c r="E424" t="s">
        <v>2338</v>
      </c>
      <c r="F424" t="s">
        <v>224</v>
      </c>
      <c r="G424" s="77">
        <v>777</v>
      </c>
      <c r="H424" s="126">
        <v>91.4</v>
      </c>
      <c r="I424" s="124">
        <v>135.27000000000001</v>
      </c>
      <c r="J424" s="124">
        <v>87.22</v>
      </c>
      <c r="K424" s="77">
        <v>380</v>
      </c>
      <c r="L424" s="124">
        <v>602.49</v>
      </c>
    </row>
    <row r="425" spans="1:12" ht="15" customHeight="1" x14ac:dyDescent="0.25">
      <c r="A425" s="78">
        <v>45778</v>
      </c>
      <c r="B425" t="s">
        <v>335</v>
      </c>
      <c r="C425" t="s">
        <v>336</v>
      </c>
      <c r="D425" t="s">
        <v>223</v>
      </c>
      <c r="E425" t="s">
        <v>2349</v>
      </c>
      <c r="F425" t="s">
        <v>228</v>
      </c>
      <c r="G425" s="77">
        <v>957</v>
      </c>
      <c r="H425" s="126">
        <v>112.6</v>
      </c>
      <c r="I425" s="124">
        <v>166.65</v>
      </c>
      <c r="J425" s="124">
        <v>137.55000000000001</v>
      </c>
      <c r="K425" s="77">
        <v>450</v>
      </c>
      <c r="L425" s="124">
        <v>754.2</v>
      </c>
    </row>
    <row r="426" spans="1:12" ht="15" customHeight="1" x14ac:dyDescent="0.25">
      <c r="A426" s="78">
        <v>45778</v>
      </c>
      <c r="B426" t="s">
        <v>335</v>
      </c>
      <c r="C426" t="s">
        <v>336</v>
      </c>
      <c r="D426" t="s">
        <v>223</v>
      </c>
      <c r="E426" t="s">
        <v>2300</v>
      </c>
      <c r="F426" t="s">
        <v>224</v>
      </c>
      <c r="G426" s="77">
        <v>1053</v>
      </c>
      <c r="H426" s="126">
        <v>123.9</v>
      </c>
      <c r="I426" s="124">
        <v>183.37</v>
      </c>
      <c r="J426" s="124">
        <v>222.18</v>
      </c>
      <c r="K426" s="77">
        <v>320</v>
      </c>
      <c r="L426" s="124">
        <v>725.55</v>
      </c>
    </row>
    <row r="427" spans="1:12" ht="15" customHeight="1" x14ac:dyDescent="0.25">
      <c r="A427" s="78">
        <v>45778</v>
      </c>
      <c r="B427" t="s">
        <v>386</v>
      </c>
      <c r="C427" t="s">
        <v>387</v>
      </c>
      <c r="D427" t="s">
        <v>223</v>
      </c>
      <c r="E427" t="s">
        <v>2320</v>
      </c>
      <c r="F427" t="s">
        <v>224</v>
      </c>
      <c r="G427" s="77">
        <v>823</v>
      </c>
      <c r="H427" s="126">
        <v>96.8</v>
      </c>
      <c r="I427" s="124">
        <v>143.26</v>
      </c>
      <c r="J427" s="124">
        <v>271.54000000000002</v>
      </c>
      <c r="K427" s="77">
        <v>520</v>
      </c>
      <c r="L427" s="124">
        <v>934.8</v>
      </c>
    </row>
    <row r="428" spans="1:12" ht="15" customHeight="1" x14ac:dyDescent="0.25">
      <c r="A428" s="78">
        <v>45778</v>
      </c>
      <c r="B428" t="s">
        <v>386</v>
      </c>
      <c r="C428" t="s">
        <v>387</v>
      </c>
      <c r="D428" t="s">
        <v>223</v>
      </c>
      <c r="E428" t="s">
        <v>2224</v>
      </c>
      <c r="F428" t="s">
        <v>228</v>
      </c>
      <c r="G428" s="77">
        <v>1177</v>
      </c>
      <c r="H428" s="126">
        <v>138.5</v>
      </c>
      <c r="I428" s="124">
        <v>204.98</v>
      </c>
      <c r="J428" s="124">
        <v>332.45</v>
      </c>
      <c r="K428" s="77">
        <v>520</v>
      </c>
      <c r="L428" s="124">
        <v>1057.43</v>
      </c>
    </row>
    <row r="429" spans="1:12" ht="15" customHeight="1" x14ac:dyDescent="0.25">
      <c r="A429" s="78">
        <v>45778</v>
      </c>
      <c r="B429" t="s">
        <v>386</v>
      </c>
      <c r="C429" t="s">
        <v>387</v>
      </c>
      <c r="D429" t="s">
        <v>223</v>
      </c>
      <c r="E429" t="s">
        <v>2248</v>
      </c>
      <c r="F429" t="s">
        <v>222</v>
      </c>
      <c r="G429" s="77">
        <v>885</v>
      </c>
      <c r="H429" s="126">
        <v>84.3</v>
      </c>
      <c r="I429" s="124">
        <v>124.76</v>
      </c>
      <c r="J429" s="124">
        <v>218.36</v>
      </c>
      <c r="K429" s="77">
        <v>380</v>
      </c>
      <c r="L429" s="124">
        <v>723.12</v>
      </c>
    </row>
    <row r="430" spans="1:12" ht="15" customHeight="1" x14ac:dyDescent="0.25">
      <c r="A430" s="78">
        <v>45778</v>
      </c>
      <c r="B430" t="s">
        <v>386</v>
      </c>
      <c r="C430" t="s">
        <v>387</v>
      </c>
      <c r="D430" t="s">
        <v>223</v>
      </c>
      <c r="E430" t="s">
        <v>2230</v>
      </c>
      <c r="F430" t="s">
        <v>224</v>
      </c>
      <c r="G430" s="77">
        <v>777</v>
      </c>
      <c r="H430" s="126">
        <v>91.4</v>
      </c>
      <c r="I430" s="124">
        <v>135.27000000000001</v>
      </c>
      <c r="J430" s="124">
        <v>221.22</v>
      </c>
      <c r="K430" s="77">
        <v>450</v>
      </c>
      <c r="L430" s="124">
        <v>806.49</v>
      </c>
    </row>
    <row r="431" spans="1:12" ht="15" customHeight="1" x14ac:dyDescent="0.25">
      <c r="A431" s="78">
        <v>45778</v>
      </c>
      <c r="B431" t="s">
        <v>386</v>
      </c>
      <c r="C431" t="s">
        <v>387</v>
      </c>
      <c r="D431" t="s">
        <v>223</v>
      </c>
      <c r="E431" t="s">
        <v>2272</v>
      </c>
      <c r="F431" t="s">
        <v>224</v>
      </c>
      <c r="G431" s="77">
        <v>1092</v>
      </c>
      <c r="H431" s="126">
        <v>128.5</v>
      </c>
      <c r="I431" s="124">
        <v>190.18</v>
      </c>
      <c r="J431" s="124">
        <v>194.26</v>
      </c>
      <c r="K431" s="77">
        <v>450</v>
      </c>
      <c r="L431" s="124">
        <v>834.44</v>
      </c>
    </row>
    <row r="432" spans="1:12" ht="15" customHeight="1" x14ac:dyDescent="0.25">
      <c r="A432" s="78">
        <v>45778</v>
      </c>
      <c r="B432" t="s">
        <v>341</v>
      </c>
      <c r="C432" t="s">
        <v>342</v>
      </c>
      <c r="D432" t="s">
        <v>223</v>
      </c>
      <c r="E432" t="s">
        <v>2341</v>
      </c>
      <c r="F432" t="s">
        <v>222</v>
      </c>
      <c r="G432" s="77">
        <v>756</v>
      </c>
      <c r="H432" s="126">
        <v>72</v>
      </c>
      <c r="I432" s="124">
        <v>106.56</v>
      </c>
      <c r="J432" s="124">
        <v>78.39</v>
      </c>
      <c r="K432" s="77">
        <v>520</v>
      </c>
      <c r="L432" s="124">
        <v>704.95</v>
      </c>
    </row>
    <row r="433" spans="1:12" ht="15" customHeight="1" x14ac:dyDescent="0.25">
      <c r="A433" s="78">
        <v>45778</v>
      </c>
      <c r="B433" t="s">
        <v>341</v>
      </c>
      <c r="C433" t="s">
        <v>342</v>
      </c>
      <c r="D433" t="s">
        <v>223</v>
      </c>
      <c r="E433" t="s">
        <v>2223</v>
      </c>
      <c r="F433" t="s">
        <v>226</v>
      </c>
      <c r="G433" s="77">
        <v>1199</v>
      </c>
      <c r="H433" s="126">
        <v>114.2</v>
      </c>
      <c r="I433" s="124">
        <v>169.02</v>
      </c>
      <c r="J433" s="124">
        <v>74.13</v>
      </c>
      <c r="K433" s="77">
        <v>320</v>
      </c>
      <c r="L433" s="124">
        <v>563.15</v>
      </c>
    </row>
    <row r="434" spans="1:12" ht="15" customHeight="1" x14ac:dyDescent="0.25">
      <c r="A434" s="78">
        <v>45778</v>
      </c>
      <c r="B434" t="s">
        <v>341</v>
      </c>
      <c r="C434" t="s">
        <v>342</v>
      </c>
      <c r="D434" t="s">
        <v>223</v>
      </c>
      <c r="E434" t="s">
        <v>2274</v>
      </c>
      <c r="F434" t="s">
        <v>224</v>
      </c>
      <c r="G434" s="77">
        <v>1165</v>
      </c>
      <c r="H434" s="126">
        <v>137.1</v>
      </c>
      <c r="I434" s="124">
        <v>202.91</v>
      </c>
      <c r="J434" s="124">
        <v>40.630000000000003</v>
      </c>
      <c r="K434" s="77">
        <v>380</v>
      </c>
      <c r="L434" s="124">
        <v>623.54</v>
      </c>
    </row>
    <row r="435" spans="1:12" ht="15" customHeight="1" x14ac:dyDescent="0.25">
      <c r="A435" s="78">
        <v>45778</v>
      </c>
      <c r="B435" t="s">
        <v>341</v>
      </c>
      <c r="C435" t="s">
        <v>342</v>
      </c>
      <c r="D435" t="s">
        <v>223</v>
      </c>
      <c r="E435" t="s">
        <v>2284</v>
      </c>
      <c r="F435" t="s">
        <v>224</v>
      </c>
      <c r="G435" s="77">
        <v>1262</v>
      </c>
      <c r="H435" s="126">
        <v>148.5</v>
      </c>
      <c r="I435" s="124">
        <v>219.78</v>
      </c>
      <c r="J435" s="124">
        <v>51.4</v>
      </c>
      <c r="K435" s="77">
        <v>450</v>
      </c>
      <c r="L435" s="124">
        <v>721.18</v>
      </c>
    </row>
    <row r="436" spans="1:12" ht="15" customHeight="1" x14ac:dyDescent="0.25">
      <c r="A436" s="78">
        <v>45778</v>
      </c>
      <c r="B436" t="s">
        <v>341</v>
      </c>
      <c r="C436" t="s">
        <v>342</v>
      </c>
      <c r="D436" t="s">
        <v>223</v>
      </c>
      <c r="E436" t="s">
        <v>2304</v>
      </c>
      <c r="F436" t="s">
        <v>224</v>
      </c>
      <c r="G436" s="77">
        <v>1188</v>
      </c>
      <c r="H436" s="126">
        <v>139.80000000000001</v>
      </c>
      <c r="I436" s="124">
        <v>206.9</v>
      </c>
      <c r="J436" s="124">
        <v>200.05</v>
      </c>
      <c r="K436" s="77">
        <v>320</v>
      </c>
      <c r="L436" s="124">
        <v>726.95</v>
      </c>
    </row>
    <row r="437" spans="1:12" ht="15" customHeight="1" x14ac:dyDescent="0.25">
      <c r="A437" s="78">
        <v>45778</v>
      </c>
      <c r="B437" t="s">
        <v>341</v>
      </c>
      <c r="C437" t="s">
        <v>342</v>
      </c>
      <c r="D437" t="s">
        <v>223</v>
      </c>
      <c r="E437" t="s">
        <v>2229</v>
      </c>
      <c r="F437" t="s">
        <v>228</v>
      </c>
      <c r="G437" s="77">
        <v>875</v>
      </c>
      <c r="H437" s="126">
        <v>102.9</v>
      </c>
      <c r="I437" s="124">
        <v>152.29</v>
      </c>
      <c r="J437" s="124">
        <v>296.56</v>
      </c>
      <c r="K437" s="77">
        <v>450</v>
      </c>
      <c r="L437" s="124">
        <v>898.85</v>
      </c>
    </row>
    <row r="438" spans="1:12" ht="15" customHeight="1" x14ac:dyDescent="0.25">
      <c r="A438" s="78">
        <v>45778</v>
      </c>
      <c r="B438" t="s">
        <v>341</v>
      </c>
      <c r="C438" t="s">
        <v>342</v>
      </c>
      <c r="D438" t="s">
        <v>223</v>
      </c>
      <c r="E438" t="s">
        <v>2250</v>
      </c>
      <c r="F438" t="s">
        <v>226</v>
      </c>
      <c r="G438" s="77">
        <v>1115</v>
      </c>
      <c r="H438" s="126">
        <v>106.2</v>
      </c>
      <c r="I438" s="124">
        <v>157.18</v>
      </c>
      <c r="J438" s="124">
        <v>106.89</v>
      </c>
      <c r="K438" s="77">
        <v>320</v>
      </c>
      <c r="L438" s="124">
        <v>584.07000000000005</v>
      </c>
    </row>
    <row r="439" spans="1:12" ht="15" customHeight="1" x14ac:dyDescent="0.25">
      <c r="A439" s="78">
        <v>45778</v>
      </c>
      <c r="B439" t="s">
        <v>347</v>
      </c>
      <c r="C439" t="s">
        <v>348</v>
      </c>
      <c r="D439" t="s">
        <v>223</v>
      </c>
      <c r="E439" t="s">
        <v>2259</v>
      </c>
      <c r="F439" t="s">
        <v>226</v>
      </c>
      <c r="G439" s="77">
        <v>797</v>
      </c>
      <c r="H439" s="126">
        <v>75.900000000000006</v>
      </c>
      <c r="I439" s="124">
        <v>112.33</v>
      </c>
      <c r="J439" s="124">
        <v>0</v>
      </c>
      <c r="K439" s="77">
        <v>320</v>
      </c>
      <c r="L439" s="124">
        <v>432.33</v>
      </c>
    </row>
    <row r="440" spans="1:12" ht="15" customHeight="1" x14ac:dyDescent="0.25">
      <c r="A440" s="78">
        <v>45778</v>
      </c>
      <c r="B440" t="s">
        <v>347</v>
      </c>
      <c r="C440" t="s">
        <v>348</v>
      </c>
      <c r="D440" t="s">
        <v>223</v>
      </c>
      <c r="E440" t="s">
        <v>2228</v>
      </c>
      <c r="F440" t="s">
        <v>226</v>
      </c>
      <c r="G440" s="77">
        <v>1137</v>
      </c>
      <c r="H440" s="126">
        <v>108.3</v>
      </c>
      <c r="I440" s="124">
        <v>160.28</v>
      </c>
      <c r="J440" s="124">
        <v>24.82</v>
      </c>
      <c r="K440" s="77">
        <v>520</v>
      </c>
      <c r="L440" s="124">
        <v>705.1</v>
      </c>
    </row>
    <row r="441" spans="1:12" ht="15" customHeight="1" x14ac:dyDescent="0.25">
      <c r="A441" s="78">
        <v>45778</v>
      </c>
      <c r="B441" t="s">
        <v>347</v>
      </c>
      <c r="C441" t="s">
        <v>348</v>
      </c>
      <c r="D441" t="s">
        <v>223</v>
      </c>
      <c r="E441" t="s">
        <v>2231</v>
      </c>
      <c r="F441" t="s">
        <v>224</v>
      </c>
      <c r="G441" s="77">
        <v>1073</v>
      </c>
      <c r="H441" s="126">
        <v>126.2</v>
      </c>
      <c r="I441" s="124">
        <v>186.78</v>
      </c>
      <c r="J441" s="124">
        <v>128.91999999999999</v>
      </c>
      <c r="K441" s="77">
        <v>380</v>
      </c>
      <c r="L441" s="124">
        <v>695.7</v>
      </c>
    </row>
    <row r="442" spans="1:12" ht="15" customHeight="1" x14ac:dyDescent="0.25">
      <c r="A442" s="78">
        <v>45778</v>
      </c>
      <c r="B442" t="s">
        <v>409</v>
      </c>
      <c r="C442" t="s">
        <v>410</v>
      </c>
      <c r="D442" t="s">
        <v>223</v>
      </c>
      <c r="E442" t="s">
        <v>2268</v>
      </c>
      <c r="F442" t="s">
        <v>228</v>
      </c>
      <c r="G442" s="77">
        <v>1219</v>
      </c>
      <c r="H442" s="126">
        <v>143.4</v>
      </c>
      <c r="I442" s="124">
        <v>212.23</v>
      </c>
      <c r="J442" s="124">
        <v>225.84</v>
      </c>
      <c r="K442" s="77">
        <v>450</v>
      </c>
      <c r="L442" s="124">
        <v>888.07</v>
      </c>
    </row>
    <row r="443" spans="1:12" ht="15" customHeight="1" x14ac:dyDescent="0.25">
      <c r="A443" s="78">
        <v>45778</v>
      </c>
      <c r="B443" t="s">
        <v>409</v>
      </c>
      <c r="C443" t="s">
        <v>410</v>
      </c>
      <c r="D443" t="s">
        <v>223</v>
      </c>
      <c r="E443" t="s">
        <v>2309</v>
      </c>
      <c r="F443" t="s">
        <v>226</v>
      </c>
      <c r="G443" s="77">
        <v>967</v>
      </c>
      <c r="H443" s="126">
        <v>92.1</v>
      </c>
      <c r="I443" s="124">
        <v>136.31</v>
      </c>
      <c r="J443" s="124">
        <v>208.55</v>
      </c>
      <c r="K443" s="77">
        <v>320</v>
      </c>
      <c r="L443" s="124">
        <v>664.86</v>
      </c>
    </row>
    <row r="444" spans="1:12" ht="15" customHeight="1" x14ac:dyDescent="0.25">
      <c r="A444" s="78">
        <v>45778</v>
      </c>
      <c r="B444" t="s">
        <v>409</v>
      </c>
      <c r="C444" t="s">
        <v>410</v>
      </c>
      <c r="D444" t="s">
        <v>223</v>
      </c>
      <c r="E444" t="s">
        <v>2335</v>
      </c>
      <c r="F444" t="s">
        <v>228</v>
      </c>
      <c r="G444" s="77">
        <v>1133</v>
      </c>
      <c r="H444" s="126">
        <v>133.30000000000001</v>
      </c>
      <c r="I444" s="124">
        <v>197.28</v>
      </c>
      <c r="J444" s="124">
        <v>275.29000000000002</v>
      </c>
      <c r="K444" s="77">
        <v>520</v>
      </c>
      <c r="L444" s="124">
        <v>992.57</v>
      </c>
    </row>
    <row r="445" spans="1:12" ht="15" customHeight="1" x14ac:dyDescent="0.25">
      <c r="A445" s="78">
        <v>45778</v>
      </c>
      <c r="B445" t="s">
        <v>488</v>
      </c>
      <c r="C445" t="s">
        <v>489</v>
      </c>
      <c r="D445" t="s">
        <v>225</v>
      </c>
      <c r="E445" t="s">
        <v>2293</v>
      </c>
      <c r="F445" t="s">
        <v>224</v>
      </c>
      <c r="G445" s="77">
        <v>1167</v>
      </c>
      <c r="H445" s="126">
        <v>137.30000000000001</v>
      </c>
      <c r="I445" s="124">
        <v>203.2</v>
      </c>
      <c r="J445" s="124">
        <v>27.15</v>
      </c>
      <c r="K445" s="77">
        <v>450</v>
      </c>
      <c r="L445" s="124">
        <v>680.35</v>
      </c>
    </row>
    <row r="446" spans="1:12" ht="15" customHeight="1" x14ac:dyDescent="0.25">
      <c r="A446" s="78">
        <v>45778</v>
      </c>
      <c r="B446" t="s">
        <v>488</v>
      </c>
      <c r="C446" t="s">
        <v>489</v>
      </c>
      <c r="D446" t="s">
        <v>225</v>
      </c>
      <c r="E446" t="s">
        <v>2228</v>
      </c>
      <c r="F446" t="s">
        <v>226</v>
      </c>
      <c r="G446" s="77">
        <v>1239</v>
      </c>
      <c r="H446" s="126">
        <v>118</v>
      </c>
      <c r="I446" s="124">
        <v>174.64</v>
      </c>
      <c r="J446" s="124">
        <v>199</v>
      </c>
      <c r="K446" s="77">
        <v>450</v>
      </c>
      <c r="L446" s="124">
        <v>823.64</v>
      </c>
    </row>
    <row r="447" spans="1:12" ht="15" customHeight="1" x14ac:dyDescent="0.25">
      <c r="A447" s="78">
        <v>45778</v>
      </c>
      <c r="B447" t="s">
        <v>488</v>
      </c>
      <c r="C447" t="s">
        <v>489</v>
      </c>
      <c r="D447" t="s">
        <v>225</v>
      </c>
      <c r="E447" t="s">
        <v>2231</v>
      </c>
      <c r="F447" t="s">
        <v>224</v>
      </c>
      <c r="G447" s="77">
        <v>795</v>
      </c>
      <c r="H447" s="126">
        <v>93.5</v>
      </c>
      <c r="I447" s="124">
        <v>138.38</v>
      </c>
      <c r="J447" s="124">
        <v>130.47</v>
      </c>
      <c r="K447" s="77">
        <v>520</v>
      </c>
      <c r="L447" s="124">
        <v>788.85</v>
      </c>
    </row>
    <row r="448" spans="1:12" ht="15" customHeight="1" x14ac:dyDescent="0.25">
      <c r="A448" s="78">
        <v>45778</v>
      </c>
      <c r="B448" t="s">
        <v>406</v>
      </c>
      <c r="C448" t="s">
        <v>407</v>
      </c>
      <c r="D448" t="s">
        <v>225</v>
      </c>
      <c r="E448" t="s">
        <v>2310</v>
      </c>
      <c r="F448" t="s">
        <v>226</v>
      </c>
      <c r="G448" s="77">
        <v>1040</v>
      </c>
      <c r="H448" s="126">
        <v>99</v>
      </c>
      <c r="I448" s="124">
        <v>146.52000000000001</v>
      </c>
      <c r="J448" s="124">
        <v>139.24</v>
      </c>
      <c r="K448" s="77">
        <v>320</v>
      </c>
      <c r="L448" s="124">
        <v>605.76</v>
      </c>
    </row>
    <row r="449" spans="1:12" ht="15" customHeight="1" x14ac:dyDescent="0.25">
      <c r="A449" s="78">
        <v>45778</v>
      </c>
      <c r="B449" t="s">
        <v>406</v>
      </c>
      <c r="C449" t="s">
        <v>407</v>
      </c>
      <c r="D449" t="s">
        <v>225</v>
      </c>
      <c r="E449" t="s">
        <v>2244</v>
      </c>
      <c r="F449" t="s">
        <v>226</v>
      </c>
      <c r="G449" s="77">
        <v>1133</v>
      </c>
      <c r="H449" s="126">
        <v>107.9</v>
      </c>
      <c r="I449" s="124">
        <v>159.69</v>
      </c>
      <c r="J449" s="124">
        <v>264.51</v>
      </c>
      <c r="K449" s="77">
        <v>380</v>
      </c>
      <c r="L449" s="124">
        <v>804.2</v>
      </c>
    </row>
    <row r="450" spans="1:12" ht="15" customHeight="1" x14ac:dyDescent="0.25">
      <c r="A450" s="78">
        <v>45778</v>
      </c>
      <c r="B450" t="s">
        <v>406</v>
      </c>
      <c r="C450" t="s">
        <v>407</v>
      </c>
      <c r="D450" t="s">
        <v>225</v>
      </c>
      <c r="E450" t="s">
        <v>2350</v>
      </c>
      <c r="F450" t="s">
        <v>224</v>
      </c>
      <c r="G450" s="77">
        <v>1320</v>
      </c>
      <c r="H450" s="126">
        <v>155.30000000000001</v>
      </c>
      <c r="I450" s="124">
        <v>229.84</v>
      </c>
      <c r="J450" s="124">
        <v>45.02</v>
      </c>
      <c r="K450" s="77">
        <v>320</v>
      </c>
      <c r="L450" s="124">
        <v>594.86</v>
      </c>
    </row>
    <row r="451" spans="1:12" ht="15" customHeight="1" x14ac:dyDescent="0.25">
      <c r="A451" s="78">
        <v>45778</v>
      </c>
      <c r="B451" t="s">
        <v>406</v>
      </c>
      <c r="C451" t="s">
        <v>407</v>
      </c>
      <c r="D451" t="s">
        <v>225</v>
      </c>
      <c r="E451" t="s">
        <v>2271</v>
      </c>
      <c r="F451" t="s">
        <v>222</v>
      </c>
      <c r="G451" s="77">
        <v>1205</v>
      </c>
      <c r="H451" s="126">
        <v>114.8</v>
      </c>
      <c r="I451" s="124">
        <v>169.9</v>
      </c>
      <c r="J451" s="124">
        <v>256.31</v>
      </c>
      <c r="K451" s="77">
        <v>520</v>
      </c>
      <c r="L451" s="124">
        <v>946.21</v>
      </c>
    </row>
    <row r="452" spans="1:12" ht="15" customHeight="1" x14ac:dyDescent="0.25">
      <c r="A452" s="78">
        <v>45778</v>
      </c>
      <c r="B452" t="s">
        <v>406</v>
      </c>
      <c r="C452" t="s">
        <v>407</v>
      </c>
      <c r="D452" t="s">
        <v>225</v>
      </c>
      <c r="E452" t="s">
        <v>2314</v>
      </c>
      <c r="F452" t="s">
        <v>224</v>
      </c>
      <c r="G452" s="77">
        <v>1146</v>
      </c>
      <c r="H452" s="126">
        <v>134.80000000000001</v>
      </c>
      <c r="I452" s="124">
        <v>199.5</v>
      </c>
      <c r="J452" s="124">
        <v>237.28</v>
      </c>
      <c r="K452" s="77">
        <v>380</v>
      </c>
      <c r="L452" s="124">
        <v>816.78</v>
      </c>
    </row>
    <row r="453" spans="1:12" ht="15" customHeight="1" x14ac:dyDescent="0.25">
      <c r="A453" s="78">
        <v>45778</v>
      </c>
      <c r="B453" t="s">
        <v>406</v>
      </c>
      <c r="C453" t="s">
        <v>407</v>
      </c>
      <c r="D453" t="s">
        <v>225</v>
      </c>
      <c r="E453" t="s">
        <v>2328</v>
      </c>
      <c r="F453" t="s">
        <v>224</v>
      </c>
      <c r="G453" s="77">
        <v>1553</v>
      </c>
      <c r="H453" s="126">
        <v>182.7</v>
      </c>
      <c r="I453" s="124">
        <v>270.39999999999998</v>
      </c>
      <c r="J453" s="124">
        <v>231.9</v>
      </c>
      <c r="K453" s="77">
        <v>380</v>
      </c>
      <c r="L453" s="124">
        <v>882.3</v>
      </c>
    </row>
    <row r="454" spans="1:12" ht="15" customHeight="1" x14ac:dyDescent="0.25">
      <c r="A454" s="78">
        <v>45778</v>
      </c>
      <c r="B454" t="s">
        <v>406</v>
      </c>
      <c r="C454" t="s">
        <v>407</v>
      </c>
      <c r="D454" t="s">
        <v>225</v>
      </c>
      <c r="E454" t="s">
        <v>2340</v>
      </c>
      <c r="F454" t="s">
        <v>224</v>
      </c>
      <c r="G454" s="77">
        <v>1112</v>
      </c>
      <c r="H454" s="126">
        <v>130.80000000000001</v>
      </c>
      <c r="I454" s="124">
        <v>193.58</v>
      </c>
      <c r="J454" s="124">
        <v>233.61</v>
      </c>
      <c r="K454" s="77">
        <v>520</v>
      </c>
      <c r="L454" s="124">
        <v>947.19</v>
      </c>
    </row>
    <row r="455" spans="1:12" ht="15" customHeight="1" x14ac:dyDescent="0.25">
      <c r="A455" s="78">
        <v>45778</v>
      </c>
      <c r="B455" t="s">
        <v>358</v>
      </c>
      <c r="C455" t="s">
        <v>359</v>
      </c>
      <c r="D455" t="s">
        <v>225</v>
      </c>
      <c r="E455" t="s">
        <v>2241</v>
      </c>
      <c r="F455" t="s">
        <v>228</v>
      </c>
      <c r="G455" s="77">
        <v>1086</v>
      </c>
      <c r="H455" s="126">
        <v>127.8</v>
      </c>
      <c r="I455" s="124">
        <v>189.14</v>
      </c>
      <c r="J455" s="124">
        <v>251.91</v>
      </c>
      <c r="K455" s="77">
        <v>450</v>
      </c>
      <c r="L455" s="124">
        <v>891.05</v>
      </c>
    </row>
    <row r="456" spans="1:12" ht="15" customHeight="1" x14ac:dyDescent="0.25">
      <c r="A456" s="78">
        <v>45778</v>
      </c>
      <c r="B456" t="s">
        <v>358</v>
      </c>
      <c r="C456" t="s">
        <v>359</v>
      </c>
      <c r="D456" t="s">
        <v>225</v>
      </c>
      <c r="E456" t="s">
        <v>2235</v>
      </c>
      <c r="F456" t="s">
        <v>228</v>
      </c>
      <c r="G456" s="77">
        <v>962</v>
      </c>
      <c r="H456" s="126">
        <v>113.2</v>
      </c>
      <c r="I456" s="124">
        <v>167.54</v>
      </c>
      <c r="J456" s="124">
        <v>375.07</v>
      </c>
      <c r="K456" s="77">
        <v>450</v>
      </c>
      <c r="L456" s="124">
        <v>992.61</v>
      </c>
    </row>
    <row r="457" spans="1:12" ht="15" customHeight="1" x14ac:dyDescent="0.25">
      <c r="A457" s="78">
        <v>45778</v>
      </c>
      <c r="B457" t="s">
        <v>358</v>
      </c>
      <c r="C457" t="s">
        <v>359</v>
      </c>
      <c r="D457" t="s">
        <v>225</v>
      </c>
      <c r="E457" t="s">
        <v>2312</v>
      </c>
      <c r="F457" t="s">
        <v>226</v>
      </c>
      <c r="G457" s="77">
        <v>845</v>
      </c>
      <c r="H457" s="126">
        <v>80.5</v>
      </c>
      <c r="I457" s="124">
        <v>119.14</v>
      </c>
      <c r="J457" s="124">
        <v>272.58999999999997</v>
      </c>
      <c r="K457" s="77">
        <v>380</v>
      </c>
      <c r="L457" s="124">
        <v>771.73</v>
      </c>
    </row>
    <row r="458" spans="1:12" ht="15" customHeight="1" x14ac:dyDescent="0.25">
      <c r="A458" s="78">
        <v>45778</v>
      </c>
      <c r="B458" t="s">
        <v>383</v>
      </c>
      <c r="C458" t="s">
        <v>384</v>
      </c>
      <c r="D458" t="s">
        <v>225</v>
      </c>
      <c r="E458" t="s">
        <v>2346</v>
      </c>
      <c r="F458" t="s">
        <v>224</v>
      </c>
      <c r="G458" s="77">
        <v>1174</v>
      </c>
      <c r="H458" s="126">
        <v>138.1</v>
      </c>
      <c r="I458" s="124">
        <v>204.39</v>
      </c>
      <c r="J458" s="124">
        <v>38.06</v>
      </c>
      <c r="K458" s="77">
        <v>520</v>
      </c>
      <c r="L458" s="124">
        <v>762.45</v>
      </c>
    </row>
    <row r="459" spans="1:12" ht="15" customHeight="1" x14ac:dyDescent="0.25">
      <c r="A459" s="78">
        <v>45778</v>
      </c>
      <c r="B459" t="s">
        <v>383</v>
      </c>
      <c r="C459" t="s">
        <v>384</v>
      </c>
      <c r="D459" t="s">
        <v>225</v>
      </c>
      <c r="E459" t="s">
        <v>2294</v>
      </c>
      <c r="F459" t="s">
        <v>226</v>
      </c>
      <c r="G459" s="77">
        <v>1141</v>
      </c>
      <c r="H459" s="126">
        <v>108.7</v>
      </c>
      <c r="I459" s="124">
        <v>160.88</v>
      </c>
      <c r="J459" s="124">
        <v>0</v>
      </c>
      <c r="K459" s="77">
        <v>450</v>
      </c>
      <c r="L459" s="124">
        <v>610.88</v>
      </c>
    </row>
    <row r="460" spans="1:12" ht="15" customHeight="1" x14ac:dyDescent="0.25">
      <c r="A460" s="78">
        <v>45778</v>
      </c>
      <c r="B460" t="s">
        <v>383</v>
      </c>
      <c r="C460" t="s">
        <v>384</v>
      </c>
      <c r="D460" t="s">
        <v>225</v>
      </c>
      <c r="E460" t="s">
        <v>2250</v>
      </c>
      <c r="F460" t="s">
        <v>226</v>
      </c>
      <c r="G460" s="77">
        <v>1206</v>
      </c>
      <c r="H460" s="126">
        <v>114.9</v>
      </c>
      <c r="I460" s="124">
        <v>170.05</v>
      </c>
      <c r="J460" s="124">
        <v>220.82</v>
      </c>
      <c r="K460" s="77">
        <v>380</v>
      </c>
      <c r="L460" s="124">
        <v>770.87</v>
      </c>
    </row>
    <row r="461" spans="1:12" ht="15" customHeight="1" x14ac:dyDescent="0.25">
      <c r="A461" s="78">
        <v>45778</v>
      </c>
      <c r="B461" t="s">
        <v>383</v>
      </c>
      <c r="C461" t="s">
        <v>384</v>
      </c>
      <c r="D461" t="s">
        <v>225</v>
      </c>
      <c r="E461" t="s">
        <v>2291</v>
      </c>
      <c r="F461" t="s">
        <v>224</v>
      </c>
      <c r="G461" s="77">
        <v>901</v>
      </c>
      <c r="H461" s="126">
        <v>106</v>
      </c>
      <c r="I461" s="124">
        <v>156.88</v>
      </c>
      <c r="J461" s="124">
        <v>159.88</v>
      </c>
      <c r="K461" s="77">
        <v>320</v>
      </c>
      <c r="L461" s="124">
        <v>636.76</v>
      </c>
    </row>
    <row r="462" spans="1:12" ht="15" customHeight="1" x14ac:dyDescent="0.25">
      <c r="A462" s="78">
        <v>45778</v>
      </c>
      <c r="B462" t="s">
        <v>383</v>
      </c>
      <c r="C462" t="s">
        <v>384</v>
      </c>
      <c r="D462" t="s">
        <v>225</v>
      </c>
      <c r="E462" t="s">
        <v>2309</v>
      </c>
      <c r="F462" t="s">
        <v>228</v>
      </c>
      <c r="G462" s="77">
        <v>1538</v>
      </c>
      <c r="H462" s="126">
        <v>180.9</v>
      </c>
      <c r="I462" s="124">
        <v>267.73</v>
      </c>
      <c r="J462" s="124">
        <v>209.54</v>
      </c>
      <c r="K462" s="77">
        <v>520</v>
      </c>
      <c r="L462" s="124">
        <v>997.27</v>
      </c>
    </row>
    <row r="463" spans="1:12" ht="15" customHeight="1" x14ac:dyDescent="0.25">
      <c r="A463" s="78">
        <v>45778</v>
      </c>
      <c r="B463" t="s">
        <v>373</v>
      </c>
      <c r="C463" t="s">
        <v>374</v>
      </c>
      <c r="D463" t="s">
        <v>225</v>
      </c>
      <c r="E463" t="s">
        <v>2349</v>
      </c>
      <c r="F463" t="s">
        <v>228</v>
      </c>
      <c r="G463" s="77">
        <v>785</v>
      </c>
      <c r="H463" s="126">
        <v>92.4</v>
      </c>
      <c r="I463" s="124">
        <v>136.75</v>
      </c>
      <c r="J463" s="124">
        <v>368.53</v>
      </c>
      <c r="K463" s="77">
        <v>380</v>
      </c>
      <c r="L463" s="124">
        <v>885.28</v>
      </c>
    </row>
    <row r="464" spans="1:12" ht="15" customHeight="1" x14ac:dyDescent="0.25">
      <c r="A464" s="78">
        <v>45778</v>
      </c>
      <c r="B464" t="s">
        <v>373</v>
      </c>
      <c r="C464" t="s">
        <v>374</v>
      </c>
      <c r="D464" t="s">
        <v>225</v>
      </c>
      <c r="E464" t="s">
        <v>2343</v>
      </c>
      <c r="F464" t="s">
        <v>226</v>
      </c>
      <c r="G464" s="77">
        <v>1540</v>
      </c>
      <c r="H464" s="126">
        <v>146.69999999999999</v>
      </c>
      <c r="I464" s="124">
        <v>217.12</v>
      </c>
      <c r="J464" s="124">
        <v>150.30000000000001</v>
      </c>
      <c r="K464" s="77">
        <v>320</v>
      </c>
      <c r="L464" s="124">
        <v>687.42</v>
      </c>
    </row>
    <row r="465" spans="1:12" ht="15" customHeight="1" x14ac:dyDescent="0.25">
      <c r="A465" s="78">
        <v>45778</v>
      </c>
      <c r="B465" t="s">
        <v>373</v>
      </c>
      <c r="C465" t="s">
        <v>374</v>
      </c>
      <c r="D465" t="s">
        <v>225</v>
      </c>
      <c r="E465" t="s">
        <v>2296</v>
      </c>
      <c r="F465" t="s">
        <v>224</v>
      </c>
      <c r="G465" s="77">
        <v>1302</v>
      </c>
      <c r="H465" s="126">
        <v>153.19999999999999</v>
      </c>
      <c r="I465" s="124">
        <v>226.74</v>
      </c>
      <c r="J465" s="124">
        <v>257.32</v>
      </c>
      <c r="K465" s="77">
        <v>450</v>
      </c>
      <c r="L465" s="124">
        <v>934.06</v>
      </c>
    </row>
    <row r="466" spans="1:12" ht="15" customHeight="1" x14ac:dyDescent="0.25">
      <c r="A466" s="78">
        <v>45778</v>
      </c>
      <c r="B466" t="s">
        <v>373</v>
      </c>
      <c r="C466" t="s">
        <v>374</v>
      </c>
      <c r="D466" t="s">
        <v>225</v>
      </c>
      <c r="E466" t="s">
        <v>2260</v>
      </c>
      <c r="F466" t="s">
        <v>222</v>
      </c>
      <c r="G466" s="77">
        <v>864</v>
      </c>
      <c r="H466" s="126">
        <v>82.3</v>
      </c>
      <c r="I466" s="124">
        <v>121.8</v>
      </c>
      <c r="J466" s="124">
        <v>111.18</v>
      </c>
      <c r="K466" s="77">
        <v>320</v>
      </c>
      <c r="L466" s="124">
        <v>552.98</v>
      </c>
    </row>
    <row r="467" spans="1:12" ht="15" customHeight="1" x14ac:dyDescent="0.25">
      <c r="A467" s="78">
        <v>45778</v>
      </c>
      <c r="B467" t="s">
        <v>354</v>
      </c>
      <c r="C467" t="s">
        <v>355</v>
      </c>
      <c r="D467" t="s">
        <v>227</v>
      </c>
      <c r="E467" t="s">
        <v>2242</v>
      </c>
      <c r="F467" t="s">
        <v>226</v>
      </c>
      <c r="G467" s="77">
        <v>1357</v>
      </c>
      <c r="H467" s="126">
        <v>129.19999999999999</v>
      </c>
      <c r="I467" s="124">
        <v>191.22</v>
      </c>
      <c r="J467" s="124">
        <v>284.8</v>
      </c>
      <c r="K467" s="77">
        <v>450</v>
      </c>
      <c r="L467" s="124">
        <v>926.02</v>
      </c>
    </row>
    <row r="468" spans="1:12" ht="15" customHeight="1" x14ac:dyDescent="0.25">
      <c r="A468" s="78">
        <v>45778</v>
      </c>
      <c r="B468" t="s">
        <v>354</v>
      </c>
      <c r="C468" t="s">
        <v>355</v>
      </c>
      <c r="D468" t="s">
        <v>227</v>
      </c>
      <c r="E468" t="s">
        <v>2322</v>
      </c>
      <c r="F468" t="s">
        <v>228</v>
      </c>
      <c r="G468" s="77">
        <v>1190</v>
      </c>
      <c r="H468" s="126">
        <v>140</v>
      </c>
      <c r="I468" s="124">
        <v>207.2</v>
      </c>
      <c r="J468" s="124">
        <v>179.61</v>
      </c>
      <c r="K468" s="77">
        <v>520</v>
      </c>
      <c r="L468" s="124">
        <v>906.81</v>
      </c>
    </row>
    <row r="469" spans="1:12" ht="15" customHeight="1" x14ac:dyDescent="0.25">
      <c r="A469" s="78">
        <v>45778</v>
      </c>
      <c r="B469" t="s">
        <v>354</v>
      </c>
      <c r="C469" t="s">
        <v>355</v>
      </c>
      <c r="D469" t="s">
        <v>227</v>
      </c>
      <c r="E469" t="s">
        <v>2296</v>
      </c>
      <c r="F469" t="s">
        <v>228</v>
      </c>
      <c r="G469" s="77">
        <v>1546</v>
      </c>
      <c r="H469" s="126">
        <v>181.9</v>
      </c>
      <c r="I469" s="124">
        <v>269.20999999999998</v>
      </c>
      <c r="J469" s="124">
        <v>207.52</v>
      </c>
      <c r="K469" s="77">
        <v>450</v>
      </c>
      <c r="L469" s="124">
        <v>926.73</v>
      </c>
    </row>
    <row r="470" spans="1:12" ht="15" customHeight="1" x14ac:dyDescent="0.25">
      <c r="A470" s="78">
        <v>45778</v>
      </c>
      <c r="B470" t="s">
        <v>354</v>
      </c>
      <c r="C470" t="s">
        <v>355</v>
      </c>
      <c r="D470" t="s">
        <v>227</v>
      </c>
      <c r="E470" t="s">
        <v>2240</v>
      </c>
      <c r="F470" t="s">
        <v>224</v>
      </c>
      <c r="G470" s="77">
        <v>966</v>
      </c>
      <c r="H470" s="126">
        <v>113.6</v>
      </c>
      <c r="I470" s="124">
        <v>168.13</v>
      </c>
      <c r="J470" s="124">
        <v>177.39</v>
      </c>
      <c r="K470" s="77">
        <v>450</v>
      </c>
      <c r="L470" s="124">
        <v>795.52</v>
      </c>
    </row>
    <row r="471" spans="1:12" ht="15" customHeight="1" x14ac:dyDescent="0.25">
      <c r="A471" s="78">
        <v>45778</v>
      </c>
      <c r="B471" t="s">
        <v>354</v>
      </c>
      <c r="C471" t="s">
        <v>355</v>
      </c>
      <c r="D471" t="s">
        <v>227</v>
      </c>
      <c r="E471" t="s">
        <v>2351</v>
      </c>
      <c r="F471" t="s">
        <v>226</v>
      </c>
      <c r="G471" s="77">
        <v>1438</v>
      </c>
      <c r="H471" s="126">
        <v>137</v>
      </c>
      <c r="I471" s="124">
        <v>202.76</v>
      </c>
      <c r="J471" s="124">
        <v>218.32</v>
      </c>
      <c r="K471" s="77">
        <v>320</v>
      </c>
      <c r="L471" s="124">
        <v>741.08</v>
      </c>
    </row>
    <row r="472" spans="1:12" ht="15" customHeight="1" x14ac:dyDescent="0.25">
      <c r="A472" s="78">
        <v>45778</v>
      </c>
      <c r="B472" t="s">
        <v>354</v>
      </c>
      <c r="C472" t="s">
        <v>355</v>
      </c>
      <c r="D472" t="s">
        <v>227</v>
      </c>
      <c r="E472" t="s">
        <v>2307</v>
      </c>
      <c r="F472" t="s">
        <v>226</v>
      </c>
      <c r="G472" s="77">
        <v>1153</v>
      </c>
      <c r="H472" s="126">
        <v>109.8</v>
      </c>
      <c r="I472" s="124">
        <v>162.5</v>
      </c>
      <c r="J472" s="124">
        <v>187.06</v>
      </c>
      <c r="K472" s="77">
        <v>320</v>
      </c>
      <c r="L472" s="124">
        <v>669.56</v>
      </c>
    </row>
    <row r="473" spans="1:12" ht="15" customHeight="1" x14ac:dyDescent="0.25">
      <c r="A473" s="78">
        <v>45778</v>
      </c>
      <c r="B473" t="s">
        <v>354</v>
      </c>
      <c r="C473" t="s">
        <v>355</v>
      </c>
      <c r="D473" t="s">
        <v>227</v>
      </c>
      <c r="E473" t="s">
        <v>2340</v>
      </c>
      <c r="F473" t="s">
        <v>226</v>
      </c>
      <c r="G473" s="77">
        <v>1060</v>
      </c>
      <c r="H473" s="126">
        <v>101</v>
      </c>
      <c r="I473" s="124">
        <v>149.47999999999999</v>
      </c>
      <c r="J473" s="124">
        <v>194.65</v>
      </c>
      <c r="K473" s="77">
        <v>450</v>
      </c>
      <c r="L473" s="124">
        <v>794.13</v>
      </c>
    </row>
    <row r="474" spans="1:12" ht="15" customHeight="1" x14ac:dyDescent="0.25">
      <c r="A474" s="78">
        <v>45778</v>
      </c>
      <c r="B474" t="s">
        <v>370</v>
      </c>
      <c r="C474" t="s">
        <v>371</v>
      </c>
      <c r="D474" t="s">
        <v>227</v>
      </c>
      <c r="E474" t="s">
        <v>2272</v>
      </c>
      <c r="F474" t="s">
        <v>224</v>
      </c>
      <c r="G474" s="77">
        <v>417</v>
      </c>
      <c r="H474" s="126">
        <v>49.1</v>
      </c>
      <c r="I474" s="124">
        <v>72.67</v>
      </c>
      <c r="J474" s="124">
        <v>126.27</v>
      </c>
      <c r="K474" s="77">
        <v>450</v>
      </c>
      <c r="L474" s="124">
        <v>648.94000000000005</v>
      </c>
    </row>
    <row r="475" spans="1:12" ht="15" customHeight="1" x14ac:dyDescent="0.25">
      <c r="A475" s="78">
        <v>45778</v>
      </c>
      <c r="B475" t="s">
        <v>370</v>
      </c>
      <c r="C475" t="s">
        <v>371</v>
      </c>
      <c r="D475" t="s">
        <v>227</v>
      </c>
      <c r="E475" t="s">
        <v>2244</v>
      </c>
      <c r="F475" t="s">
        <v>228</v>
      </c>
      <c r="G475" s="77">
        <v>1110</v>
      </c>
      <c r="H475" s="126">
        <v>130.6</v>
      </c>
      <c r="I475" s="124">
        <v>193.29</v>
      </c>
      <c r="J475" s="124">
        <v>157.91999999999999</v>
      </c>
      <c r="K475" s="77">
        <v>520</v>
      </c>
      <c r="L475" s="124">
        <v>871.21</v>
      </c>
    </row>
    <row r="476" spans="1:12" ht="15" customHeight="1" x14ac:dyDescent="0.25">
      <c r="A476" s="78">
        <v>45778</v>
      </c>
      <c r="B476" t="s">
        <v>370</v>
      </c>
      <c r="C476" t="s">
        <v>371</v>
      </c>
      <c r="D476" t="s">
        <v>227</v>
      </c>
      <c r="E476" t="s">
        <v>2328</v>
      </c>
      <c r="F476" t="s">
        <v>226</v>
      </c>
      <c r="G476" s="77">
        <v>1146</v>
      </c>
      <c r="H476" s="126">
        <v>109.1</v>
      </c>
      <c r="I476" s="124">
        <v>161.47</v>
      </c>
      <c r="J476" s="124">
        <v>133.63999999999999</v>
      </c>
      <c r="K476" s="77">
        <v>380</v>
      </c>
      <c r="L476" s="124">
        <v>675.11</v>
      </c>
    </row>
    <row r="477" spans="1:12" ht="15" customHeight="1" x14ac:dyDescent="0.25">
      <c r="A477" s="78">
        <v>45778</v>
      </c>
      <c r="B477" t="s">
        <v>370</v>
      </c>
      <c r="C477" t="s">
        <v>371</v>
      </c>
      <c r="D477" t="s">
        <v>227</v>
      </c>
      <c r="E477" t="s">
        <v>2346</v>
      </c>
      <c r="F477" t="s">
        <v>222</v>
      </c>
      <c r="G477" s="77">
        <v>1488</v>
      </c>
      <c r="H477" s="126">
        <v>141.69999999999999</v>
      </c>
      <c r="I477" s="124">
        <v>209.72</v>
      </c>
      <c r="J477" s="124">
        <v>275.83999999999997</v>
      </c>
      <c r="K477" s="77">
        <v>380</v>
      </c>
      <c r="L477" s="124">
        <v>865.56</v>
      </c>
    </row>
    <row r="478" spans="1:12" ht="15" customHeight="1" x14ac:dyDescent="0.25">
      <c r="A478" s="78">
        <v>45778</v>
      </c>
      <c r="B478" t="s">
        <v>398</v>
      </c>
      <c r="C478" t="s">
        <v>399</v>
      </c>
      <c r="D478" t="s">
        <v>227</v>
      </c>
      <c r="E478" t="s">
        <v>2352</v>
      </c>
      <c r="F478" t="s">
        <v>224</v>
      </c>
      <c r="G478" s="77">
        <v>933</v>
      </c>
      <c r="H478" s="126">
        <v>109.8</v>
      </c>
      <c r="I478" s="124">
        <v>162.5</v>
      </c>
      <c r="J478" s="124">
        <v>137.93</v>
      </c>
      <c r="K478" s="77">
        <v>320</v>
      </c>
      <c r="L478" s="124">
        <v>620.42999999999995</v>
      </c>
    </row>
    <row r="479" spans="1:12" ht="15" customHeight="1" x14ac:dyDescent="0.25">
      <c r="A479" s="78">
        <v>45778</v>
      </c>
      <c r="B479" t="s">
        <v>398</v>
      </c>
      <c r="C479" t="s">
        <v>399</v>
      </c>
      <c r="D479" t="s">
        <v>227</v>
      </c>
      <c r="E479" t="s">
        <v>2254</v>
      </c>
      <c r="F479" t="s">
        <v>228</v>
      </c>
      <c r="G479" s="77">
        <v>1031</v>
      </c>
      <c r="H479" s="126">
        <v>121.3</v>
      </c>
      <c r="I479" s="124">
        <v>179.52</v>
      </c>
      <c r="J479" s="124">
        <v>213.87</v>
      </c>
      <c r="K479" s="77">
        <v>320</v>
      </c>
      <c r="L479" s="124">
        <v>713.39</v>
      </c>
    </row>
    <row r="480" spans="1:12" ht="15" customHeight="1" x14ac:dyDescent="0.25">
      <c r="A480" s="78">
        <v>45778</v>
      </c>
      <c r="B480" t="s">
        <v>398</v>
      </c>
      <c r="C480" t="s">
        <v>399</v>
      </c>
      <c r="D480" t="s">
        <v>227</v>
      </c>
      <c r="E480" t="s">
        <v>2302</v>
      </c>
      <c r="F480" t="s">
        <v>222</v>
      </c>
      <c r="G480" s="77">
        <v>1098</v>
      </c>
      <c r="H480" s="126">
        <v>104.6</v>
      </c>
      <c r="I480" s="124">
        <v>154.81</v>
      </c>
      <c r="J480" s="124">
        <v>89.34</v>
      </c>
      <c r="K480" s="77">
        <v>380</v>
      </c>
      <c r="L480" s="124">
        <v>624.15</v>
      </c>
    </row>
    <row r="481" spans="1:12" ht="15" customHeight="1" x14ac:dyDescent="0.25">
      <c r="A481" s="78">
        <v>45778</v>
      </c>
      <c r="B481" t="s">
        <v>398</v>
      </c>
      <c r="C481" t="s">
        <v>399</v>
      </c>
      <c r="D481" t="s">
        <v>227</v>
      </c>
      <c r="E481" t="s">
        <v>2297</v>
      </c>
      <c r="F481" t="s">
        <v>224</v>
      </c>
      <c r="G481" s="77">
        <v>767</v>
      </c>
      <c r="H481" s="126">
        <v>90.2</v>
      </c>
      <c r="I481" s="124">
        <v>133.5</v>
      </c>
      <c r="J481" s="124">
        <v>199.82</v>
      </c>
      <c r="K481" s="77">
        <v>520</v>
      </c>
      <c r="L481" s="124">
        <v>853.32</v>
      </c>
    </row>
    <row r="482" spans="1:12" ht="15" customHeight="1" x14ac:dyDescent="0.25">
      <c r="A482" s="78">
        <v>45778</v>
      </c>
      <c r="B482" t="s">
        <v>378</v>
      </c>
      <c r="C482" t="s">
        <v>379</v>
      </c>
      <c r="D482" t="s">
        <v>227</v>
      </c>
      <c r="E482" t="s">
        <v>2237</v>
      </c>
      <c r="F482" t="s">
        <v>224</v>
      </c>
      <c r="G482" s="77">
        <v>1207</v>
      </c>
      <c r="H482" s="126">
        <v>142</v>
      </c>
      <c r="I482" s="124">
        <v>210.16</v>
      </c>
      <c r="J482" s="124">
        <v>85.65</v>
      </c>
      <c r="K482" s="77">
        <v>520</v>
      </c>
      <c r="L482" s="124">
        <v>815.81</v>
      </c>
    </row>
    <row r="483" spans="1:12" ht="15" customHeight="1" x14ac:dyDescent="0.25">
      <c r="A483" s="78">
        <v>45778</v>
      </c>
      <c r="B483" t="s">
        <v>378</v>
      </c>
      <c r="C483" t="s">
        <v>379</v>
      </c>
      <c r="D483" t="s">
        <v>227</v>
      </c>
      <c r="E483" t="s">
        <v>2301</v>
      </c>
      <c r="F483" t="s">
        <v>224</v>
      </c>
      <c r="G483" s="77">
        <v>1273</v>
      </c>
      <c r="H483" s="126">
        <v>149.80000000000001</v>
      </c>
      <c r="I483" s="124">
        <v>221.7</v>
      </c>
      <c r="J483" s="124">
        <v>99.47</v>
      </c>
      <c r="K483" s="77">
        <v>450</v>
      </c>
      <c r="L483" s="124">
        <v>771.17</v>
      </c>
    </row>
    <row r="484" spans="1:12" ht="15" customHeight="1" x14ac:dyDescent="0.25">
      <c r="A484" s="78">
        <v>45778</v>
      </c>
      <c r="B484" t="s">
        <v>378</v>
      </c>
      <c r="C484" t="s">
        <v>379</v>
      </c>
      <c r="D484" t="s">
        <v>227</v>
      </c>
      <c r="E484" t="s">
        <v>2285</v>
      </c>
      <c r="F484" t="s">
        <v>228</v>
      </c>
      <c r="G484" s="77">
        <v>1113</v>
      </c>
      <c r="H484" s="126">
        <v>130.9</v>
      </c>
      <c r="I484" s="124">
        <v>193.73</v>
      </c>
      <c r="J484" s="124">
        <v>315.63</v>
      </c>
      <c r="K484" s="77">
        <v>450</v>
      </c>
      <c r="L484" s="124">
        <v>959.36</v>
      </c>
    </row>
    <row r="485" spans="1:12" ht="15" customHeight="1" x14ac:dyDescent="0.25">
      <c r="A485" s="78">
        <v>45778</v>
      </c>
      <c r="B485" t="s">
        <v>378</v>
      </c>
      <c r="C485" t="s">
        <v>379</v>
      </c>
      <c r="D485" t="s">
        <v>227</v>
      </c>
      <c r="E485" t="s">
        <v>2235</v>
      </c>
      <c r="F485" t="s">
        <v>222</v>
      </c>
      <c r="G485" s="77">
        <v>1041</v>
      </c>
      <c r="H485" s="126">
        <v>99.1</v>
      </c>
      <c r="I485" s="124">
        <v>146.66999999999999</v>
      </c>
      <c r="J485" s="124">
        <v>186.38</v>
      </c>
      <c r="K485" s="77">
        <v>380</v>
      </c>
      <c r="L485" s="124">
        <v>713.05</v>
      </c>
    </row>
    <row r="486" spans="1:12" ht="15" customHeight="1" x14ac:dyDescent="0.25">
      <c r="A486" s="78">
        <v>45778</v>
      </c>
      <c r="B486" t="s">
        <v>378</v>
      </c>
      <c r="C486" t="s">
        <v>379</v>
      </c>
      <c r="D486" t="s">
        <v>227</v>
      </c>
      <c r="E486" t="s">
        <v>2277</v>
      </c>
      <c r="F486" t="s">
        <v>226</v>
      </c>
      <c r="G486" s="77">
        <v>920</v>
      </c>
      <c r="H486" s="126">
        <v>87.6</v>
      </c>
      <c r="I486" s="124">
        <v>129.65</v>
      </c>
      <c r="J486" s="124">
        <v>134.28</v>
      </c>
      <c r="K486" s="77">
        <v>450</v>
      </c>
      <c r="L486" s="124">
        <v>713.93</v>
      </c>
    </row>
    <row r="487" spans="1:12" ht="15" customHeight="1" x14ac:dyDescent="0.25">
      <c r="A487" s="78">
        <v>45778</v>
      </c>
      <c r="B487" t="s">
        <v>378</v>
      </c>
      <c r="C487" t="s">
        <v>379</v>
      </c>
      <c r="D487" t="s">
        <v>227</v>
      </c>
      <c r="E487" t="s">
        <v>2229</v>
      </c>
      <c r="F487" t="s">
        <v>226</v>
      </c>
      <c r="G487" s="77">
        <v>998</v>
      </c>
      <c r="H487" s="126">
        <v>95</v>
      </c>
      <c r="I487" s="124">
        <v>140.6</v>
      </c>
      <c r="J487" s="124">
        <v>90.27</v>
      </c>
      <c r="K487" s="77">
        <v>520</v>
      </c>
      <c r="L487" s="124">
        <v>750.87</v>
      </c>
    </row>
    <row r="488" spans="1:12" ht="15" customHeight="1" x14ac:dyDescent="0.25">
      <c r="A488" s="78">
        <v>45778</v>
      </c>
      <c r="B488" t="s">
        <v>393</v>
      </c>
      <c r="C488" t="s">
        <v>394</v>
      </c>
      <c r="D488" t="s">
        <v>227</v>
      </c>
      <c r="E488" t="s">
        <v>2321</v>
      </c>
      <c r="F488" t="s">
        <v>222</v>
      </c>
      <c r="G488" s="77">
        <v>1005</v>
      </c>
      <c r="H488" s="126">
        <v>95.7</v>
      </c>
      <c r="I488" s="124">
        <v>141.63999999999999</v>
      </c>
      <c r="J488" s="124">
        <v>26.11</v>
      </c>
      <c r="K488" s="77">
        <v>450</v>
      </c>
      <c r="L488" s="124">
        <v>617.75</v>
      </c>
    </row>
    <row r="489" spans="1:12" ht="15" customHeight="1" x14ac:dyDescent="0.25">
      <c r="A489" s="78">
        <v>45778</v>
      </c>
      <c r="B489" t="s">
        <v>393</v>
      </c>
      <c r="C489" t="s">
        <v>394</v>
      </c>
      <c r="D489" t="s">
        <v>227</v>
      </c>
      <c r="E489" t="s">
        <v>2231</v>
      </c>
      <c r="F489" t="s">
        <v>224</v>
      </c>
      <c r="G489" s="77">
        <v>927</v>
      </c>
      <c r="H489" s="126">
        <v>109.1</v>
      </c>
      <c r="I489" s="124">
        <v>161.47</v>
      </c>
      <c r="J489" s="124">
        <v>127.21</v>
      </c>
      <c r="K489" s="77">
        <v>450</v>
      </c>
      <c r="L489" s="124">
        <v>738.68</v>
      </c>
    </row>
    <row r="490" spans="1:12" ht="15" customHeight="1" x14ac:dyDescent="0.25">
      <c r="A490" s="78">
        <v>45778</v>
      </c>
      <c r="B490" t="s">
        <v>393</v>
      </c>
      <c r="C490" t="s">
        <v>394</v>
      </c>
      <c r="D490" t="s">
        <v>227</v>
      </c>
      <c r="E490" t="s">
        <v>2309</v>
      </c>
      <c r="F490" t="s">
        <v>224</v>
      </c>
      <c r="G490" s="77">
        <v>985</v>
      </c>
      <c r="H490" s="126">
        <v>115.9</v>
      </c>
      <c r="I490" s="124">
        <v>171.53</v>
      </c>
      <c r="J490" s="124">
        <v>130.68</v>
      </c>
      <c r="K490" s="77">
        <v>380</v>
      </c>
      <c r="L490" s="124">
        <v>682.21</v>
      </c>
    </row>
    <row r="491" spans="1:12" ht="15" customHeight="1" x14ac:dyDescent="0.25">
      <c r="A491" s="78">
        <v>45778</v>
      </c>
      <c r="B491" t="s">
        <v>393</v>
      </c>
      <c r="C491" t="s">
        <v>394</v>
      </c>
      <c r="D491" t="s">
        <v>227</v>
      </c>
      <c r="E491" t="s">
        <v>2235</v>
      </c>
      <c r="F491" t="s">
        <v>226</v>
      </c>
      <c r="G491" s="77">
        <v>1034</v>
      </c>
      <c r="H491" s="126">
        <v>98.5</v>
      </c>
      <c r="I491" s="124">
        <v>145.78</v>
      </c>
      <c r="J491" s="124">
        <v>188.36</v>
      </c>
      <c r="K491" s="77">
        <v>520</v>
      </c>
      <c r="L491" s="124">
        <v>854.14</v>
      </c>
    </row>
    <row r="492" spans="1:12" ht="15" customHeight="1" x14ac:dyDescent="0.25">
      <c r="A492" s="78">
        <v>45778</v>
      </c>
      <c r="B492" t="s">
        <v>393</v>
      </c>
      <c r="C492" t="s">
        <v>394</v>
      </c>
      <c r="D492" t="s">
        <v>227</v>
      </c>
      <c r="E492" t="s">
        <v>2312</v>
      </c>
      <c r="F492" t="s">
        <v>228</v>
      </c>
      <c r="G492" s="77">
        <v>1268</v>
      </c>
      <c r="H492" s="126">
        <v>149.19999999999999</v>
      </c>
      <c r="I492" s="124">
        <v>220.82</v>
      </c>
      <c r="J492" s="124">
        <v>198.02</v>
      </c>
      <c r="K492" s="77">
        <v>380</v>
      </c>
      <c r="L492" s="124">
        <v>798.84</v>
      </c>
    </row>
    <row r="493" spans="1:12" ht="15" customHeight="1" x14ac:dyDescent="0.25">
      <c r="A493" s="78">
        <v>45778</v>
      </c>
      <c r="B493" t="s">
        <v>393</v>
      </c>
      <c r="C493" t="s">
        <v>394</v>
      </c>
      <c r="D493" t="s">
        <v>227</v>
      </c>
      <c r="E493" t="s">
        <v>2240</v>
      </c>
      <c r="F493" t="s">
        <v>222</v>
      </c>
      <c r="G493" s="77">
        <v>749</v>
      </c>
      <c r="H493" s="126">
        <v>71.3</v>
      </c>
      <c r="I493" s="124">
        <v>105.52</v>
      </c>
      <c r="J493" s="124">
        <v>66.64</v>
      </c>
      <c r="K493" s="77">
        <v>380</v>
      </c>
      <c r="L493" s="124">
        <v>552.16</v>
      </c>
    </row>
    <row r="494" spans="1:12" ht="15" customHeight="1" x14ac:dyDescent="0.25">
      <c r="A494" s="78">
        <v>45778</v>
      </c>
      <c r="B494" t="s">
        <v>393</v>
      </c>
      <c r="C494" t="s">
        <v>394</v>
      </c>
      <c r="D494" t="s">
        <v>227</v>
      </c>
      <c r="E494" t="s">
        <v>2233</v>
      </c>
      <c r="F494" t="s">
        <v>224</v>
      </c>
      <c r="G494" s="77">
        <v>928</v>
      </c>
      <c r="H494" s="126">
        <v>109.2</v>
      </c>
      <c r="I494" s="124">
        <v>161.62</v>
      </c>
      <c r="J494" s="124">
        <v>121.85</v>
      </c>
      <c r="K494" s="77">
        <v>450</v>
      </c>
      <c r="L494" s="124">
        <v>733.47</v>
      </c>
    </row>
    <row r="495" spans="1:12" ht="15" customHeight="1" x14ac:dyDescent="0.25">
      <c r="A495" s="78">
        <v>45809</v>
      </c>
      <c r="B495" t="s">
        <v>390</v>
      </c>
      <c r="C495" t="s">
        <v>391</v>
      </c>
      <c r="D495" t="s">
        <v>221</v>
      </c>
      <c r="E495" t="s">
        <v>2221</v>
      </c>
      <c r="F495" t="s">
        <v>222</v>
      </c>
      <c r="G495" s="77">
        <v>857</v>
      </c>
      <c r="H495" s="126">
        <v>81.599999999999994</v>
      </c>
      <c r="I495" s="124">
        <v>120.77</v>
      </c>
      <c r="J495" s="124">
        <v>46.31</v>
      </c>
      <c r="K495" s="77">
        <v>450</v>
      </c>
      <c r="L495" s="124">
        <v>617.08000000000004</v>
      </c>
    </row>
    <row r="496" spans="1:12" ht="15" customHeight="1" x14ac:dyDescent="0.25">
      <c r="A496" s="78">
        <v>45809</v>
      </c>
      <c r="B496" t="s">
        <v>390</v>
      </c>
      <c r="C496" t="s">
        <v>391</v>
      </c>
      <c r="D496" t="s">
        <v>221</v>
      </c>
      <c r="E496" t="s">
        <v>2260</v>
      </c>
      <c r="F496" t="s">
        <v>222</v>
      </c>
      <c r="G496" s="77">
        <v>935</v>
      </c>
      <c r="H496" s="126">
        <v>89</v>
      </c>
      <c r="I496" s="124">
        <v>131.72</v>
      </c>
      <c r="J496" s="124">
        <v>164.51</v>
      </c>
      <c r="K496" s="77">
        <v>450</v>
      </c>
      <c r="L496" s="124">
        <v>746.23</v>
      </c>
    </row>
    <row r="497" spans="1:12" ht="15" customHeight="1" x14ac:dyDescent="0.25">
      <c r="A497" s="78">
        <v>45809</v>
      </c>
      <c r="B497" t="s">
        <v>390</v>
      </c>
      <c r="C497" t="s">
        <v>391</v>
      </c>
      <c r="D497" t="s">
        <v>221</v>
      </c>
      <c r="E497" t="s">
        <v>2245</v>
      </c>
      <c r="F497" t="s">
        <v>224</v>
      </c>
      <c r="G497" s="77">
        <v>1198</v>
      </c>
      <c r="H497" s="126">
        <v>140.9</v>
      </c>
      <c r="I497" s="124">
        <v>208.53</v>
      </c>
      <c r="J497" s="124">
        <v>105.41</v>
      </c>
      <c r="K497" s="77">
        <v>520</v>
      </c>
      <c r="L497" s="124">
        <v>833.94</v>
      </c>
    </row>
    <row r="498" spans="1:12" ht="15" customHeight="1" x14ac:dyDescent="0.25">
      <c r="A498" s="78">
        <v>45809</v>
      </c>
      <c r="B498" t="s">
        <v>390</v>
      </c>
      <c r="C498" t="s">
        <v>391</v>
      </c>
      <c r="D498" t="s">
        <v>221</v>
      </c>
      <c r="E498" t="s">
        <v>2273</v>
      </c>
      <c r="F498" t="s">
        <v>222</v>
      </c>
      <c r="G498" s="77">
        <v>946</v>
      </c>
      <c r="H498" s="126">
        <v>90.1</v>
      </c>
      <c r="I498" s="124">
        <v>133.35</v>
      </c>
      <c r="J498" s="124">
        <v>75.86</v>
      </c>
      <c r="K498" s="77">
        <v>450</v>
      </c>
      <c r="L498" s="124">
        <v>659.21</v>
      </c>
    </row>
    <row r="499" spans="1:12" ht="15" customHeight="1" x14ac:dyDescent="0.25">
      <c r="A499" s="78">
        <v>45809</v>
      </c>
      <c r="B499" t="s">
        <v>390</v>
      </c>
      <c r="C499" t="s">
        <v>391</v>
      </c>
      <c r="D499" t="s">
        <v>221</v>
      </c>
      <c r="E499" t="s">
        <v>2300</v>
      </c>
      <c r="F499" t="s">
        <v>228</v>
      </c>
      <c r="G499" s="77">
        <v>1042</v>
      </c>
      <c r="H499" s="126">
        <v>122.6</v>
      </c>
      <c r="I499" s="124">
        <v>181.45</v>
      </c>
      <c r="J499" s="124">
        <v>182.13</v>
      </c>
      <c r="K499" s="77">
        <v>320</v>
      </c>
      <c r="L499" s="124">
        <v>683.58</v>
      </c>
    </row>
    <row r="500" spans="1:12" ht="15" customHeight="1" x14ac:dyDescent="0.25">
      <c r="A500" s="78">
        <v>45809</v>
      </c>
      <c r="B500" t="s">
        <v>390</v>
      </c>
      <c r="C500" t="s">
        <v>391</v>
      </c>
      <c r="D500" t="s">
        <v>221</v>
      </c>
      <c r="E500" t="s">
        <v>2270</v>
      </c>
      <c r="F500" t="s">
        <v>222</v>
      </c>
      <c r="G500" s="77">
        <v>1193</v>
      </c>
      <c r="H500" s="126">
        <v>113.6</v>
      </c>
      <c r="I500" s="124">
        <v>168.13</v>
      </c>
      <c r="J500" s="124">
        <v>7.13</v>
      </c>
      <c r="K500" s="77">
        <v>520</v>
      </c>
      <c r="L500" s="124">
        <v>695.26</v>
      </c>
    </row>
    <row r="501" spans="1:12" ht="15" customHeight="1" x14ac:dyDescent="0.25">
      <c r="A501" s="78">
        <v>45809</v>
      </c>
      <c r="B501" t="s">
        <v>390</v>
      </c>
      <c r="C501" t="s">
        <v>391</v>
      </c>
      <c r="D501" t="s">
        <v>221</v>
      </c>
      <c r="E501" t="s">
        <v>2309</v>
      </c>
      <c r="F501" t="s">
        <v>224</v>
      </c>
      <c r="G501" s="77">
        <v>960</v>
      </c>
      <c r="H501" s="126">
        <v>112.9</v>
      </c>
      <c r="I501" s="124">
        <v>167.09</v>
      </c>
      <c r="J501" s="124">
        <v>174.09</v>
      </c>
      <c r="K501" s="77">
        <v>520</v>
      </c>
      <c r="L501" s="124">
        <v>861.18</v>
      </c>
    </row>
    <row r="502" spans="1:12" ht="15" customHeight="1" x14ac:dyDescent="0.25">
      <c r="A502" s="78">
        <v>45809</v>
      </c>
      <c r="B502" t="s">
        <v>401</v>
      </c>
      <c r="C502" t="s">
        <v>402</v>
      </c>
      <c r="D502" t="s">
        <v>221</v>
      </c>
      <c r="E502" t="s">
        <v>2299</v>
      </c>
      <c r="F502" t="s">
        <v>228</v>
      </c>
      <c r="G502" s="77">
        <v>1095</v>
      </c>
      <c r="H502" s="126">
        <v>128.80000000000001</v>
      </c>
      <c r="I502" s="124">
        <v>190.62</v>
      </c>
      <c r="J502" s="124">
        <v>465.44</v>
      </c>
      <c r="K502" s="77">
        <v>320</v>
      </c>
      <c r="L502" s="124">
        <v>976.06</v>
      </c>
    </row>
    <row r="503" spans="1:12" ht="15" customHeight="1" x14ac:dyDescent="0.25">
      <c r="A503" s="78">
        <v>45809</v>
      </c>
      <c r="B503" t="s">
        <v>401</v>
      </c>
      <c r="C503" t="s">
        <v>402</v>
      </c>
      <c r="D503" t="s">
        <v>221</v>
      </c>
      <c r="E503" t="s">
        <v>2305</v>
      </c>
      <c r="F503" t="s">
        <v>226</v>
      </c>
      <c r="G503" s="77">
        <v>1137</v>
      </c>
      <c r="H503" s="126">
        <v>108.3</v>
      </c>
      <c r="I503" s="124">
        <v>160.28</v>
      </c>
      <c r="J503" s="124">
        <v>69.680000000000007</v>
      </c>
      <c r="K503" s="77">
        <v>380</v>
      </c>
      <c r="L503" s="124">
        <v>609.96</v>
      </c>
    </row>
    <row r="504" spans="1:12" ht="15" customHeight="1" x14ac:dyDescent="0.25">
      <c r="A504" s="78">
        <v>45809</v>
      </c>
      <c r="B504" t="s">
        <v>401</v>
      </c>
      <c r="C504" t="s">
        <v>402</v>
      </c>
      <c r="D504" t="s">
        <v>221</v>
      </c>
      <c r="E504" t="s">
        <v>2244</v>
      </c>
      <c r="F504" t="s">
        <v>226</v>
      </c>
      <c r="G504" s="77">
        <v>1026</v>
      </c>
      <c r="H504" s="126">
        <v>97.7</v>
      </c>
      <c r="I504" s="124">
        <v>144.6</v>
      </c>
      <c r="J504" s="124">
        <v>7.9</v>
      </c>
      <c r="K504" s="77">
        <v>320</v>
      </c>
      <c r="L504" s="124">
        <v>472.5</v>
      </c>
    </row>
    <row r="505" spans="1:12" ht="15" customHeight="1" x14ac:dyDescent="0.25">
      <c r="A505" s="78">
        <v>45809</v>
      </c>
      <c r="B505" t="s">
        <v>401</v>
      </c>
      <c r="C505" t="s">
        <v>402</v>
      </c>
      <c r="D505" t="s">
        <v>221</v>
      </c>
      <c r="E505" t="s">
        <v>2264</v>
      </c>
      <c r="F505" t="s">
        <v>224</v>
      </c>
      <c r="G505" s="77">
        <v>1029</v>
      </c>
      <c r="H505" s="126">
        <v>121.1</v>
      </c>
      <c r="I505" s="124">
        <v>179.23</v>
      </c>
      <c r="J505" s="124">
        <v>83.36</v>
      </c>
      <c r="K505" s="77">
        <v>320</v>
      </c>
      <c r="L505" s="124">
        <v>582.59</v>
      </c>
    </row>
    <row r="506" spans="1:12" ht="15" customHeight="1" x14ac:dyDescent="0.25">
      <c r="A506" s="78">
        <v>45809</v>
      </c>
      <c r="B506" t="s">
        <v>431</v>
      </c>
      <c r="C506" t="s">
        <v>432</v>
      </c>
      <c r="D506" t="s">
        <v>221</v>
      </c>
      <c r="E506" t="s">
        <v>2321</v>
      </c>
      <c r="F506" t="s">
        <v>222</v>
      </c>
      <c r="G506" s="77">
        <v>1278</v>
      </c>
      <c r="H506" s="126">
        <v>121.7</v>
      </c>
      <c r="I506" s="124">
        <v>180.12</v>
      </c>
      <c r="J506" s="124">
        <v>106.04</v>
      </c>
      <c r="K506" s="77">
        <v>450</v>
      </c>
      <c r="L506" s="124">
        <v>736.16</v>
      </c>
    </row>
    <row r="507" spans="1:12" ht="15" customHeight="1" x14ac:dyDescent="0.25">
      <c r="A507" s="78">
        <v>45809</v>
      </c>
      <c r="B507" t="s">
        <v>431</v>
      </c>
      <c r="C507" t="s">
        <v>432</v>
      </c>
      <c r="D507" t="s">
        <v>221</v>
      </c>
      <c r="E507" t="s">
        <v>2331</v>
      </c>
      <c r="F507" t="s">
        <v>226</v>
      </c>
      <c r="G507" s="77">
        <v>1020</v>
      </c>
      <c r="H507" s="126">
        <v>97.1</v>
      </c>
      <c r="I507" s="124">
        <v>143.71</v>
      </c>
      <c r="J507" s="124">
        <v>99.16</v>
      </c>
      <c r="K507" s="77">
        <v>320</v>
      </c>
      <c r="L507" s="124">
        <v>562.87</v>
      </c>
    </row>
    <row r="508" spans="1:12" ht="15" customHeight="1" x14ac:dyDescent="0.25">
      <c r="A508" s="78">
        <v>45809</v>
      </c>
      <c r="B508" t="s">
        <v>431</v>
      </c>
      <c r="C508" t="s">
        <v>432</v>
      </c>
      <c r="D508" t="s">
        <v>221</v>
      </c>
      <c r="E508" t="s">
        <v>2295</v>
      </c>
      <c r="F508" t="s">
        <v>228</v>
      </c>
      <c r="G508" s="77">
        <v>1484</v>
      </c>
      <c r="H508" s="126">
        <v>174.6</v>
      </c>
      <c r="I508" s="124">
        <v>258.41000000000003</v>
      </c>
      <c r="J508" s="124">
        <v>224.3</v>
      </c>
      <c r="K508" s="77">
        <v>450</v>
      </c>
      <c r="L508" s="124">
        <v>932.71</v>
      </c>
    </row>
    <row r="509" spans="1:12" ht="15" customHeight="1" x14ac:dyDescent="0.25">
      <c r="A509" s="78">
        <v>45809</v>
      </c>
      <c r="B509" t="s">
        <v>366</v>
      </c>
      <c r="C509" t="s">
        <v>367</v>
      </c>
      <c r="D509" t="s">
        <v>221</v>
      </c>
      <c r="E509" t="s">
        <v>2282</v>
      </c>
      <c r="F509" t="s">
        <v>224</v>
      </c>
      <c r="G509" s="77">
        <v>1508</v>
      </c>
      <c r="H509" s="126">
        <v>177.4</v>
      </c>
      <c r="I509" s="124">
        <v>262.55</v>
      </c>
      <c r="J509" s="124">
        <v>215.13</v>
      </c>
      <c r="K509" s="77">
        <v>320</v>
      </c>
      <c r="L509" s="124">
        <v>797.68</v>
      </c>
    </row>
    <row r="510" spans="1:12" ht="15" customHeight="1" x14ac:dyDescent="0.25">
      <c r="A510" s="78">
        <v>45809</v>
      </c>
      <c r="B510" t="s">
        <v>366</v>
      </c>
      <c r="C510" t="s">
        <v>367</v>
      </c>
      <c r="D510" t="s">
        <v>221</v>
      </c>
      <c r="E510" t="s">
        <v>2291</v>
      </c>
      <c r="F510" t="s">
        <v>222</v>
      </c>
      <c r="G510" s="77">
        <v>1170</v>
      </c>
      <c r="H510" s="126">
        <v>111.4</v>
      </c>
      <c r="I510" s="124">
        <v>164.87</v>
      </c>
      <c r="J510" s="124">
        <v>179.5</v>
      </c>
      <c r="K510" s="77">
        <v>380</v>
      </c>
      <c r="L510" s="124">
        <v>724.37</v>
      </c>
    </row>
    <row r="511" spans="1:12" ht="15" customHeight="1" x14ac:dyDescent="0.25">
      <c r="A511" s="78">
        <v>45809</v>
      </c>
      <c r="B511" t="s">
        <v>366</v>
      </c>
      <c r="C511" t="s">
        <v>367</v>
      </c>
      <c r="D511" t="s">
        <v>221</v>
      </c>
      <c r="E511" t="s">
        <v>2340</v>
      </c>
      <c r="F511" t="s">
        <v>226</v>
      </c>
      <c r="G511" s="77">
        <v>1148</v>
      </c>
      <c r="H511" s="126">
        <v>109.3</v>
      </c>
      <c r="I511" s="124">
        <v>161.76</v>
      </c>
      <c r="J511" s="124">
        <v>0</v>
      </c>
      <c r="K511" s="77">
        <v>450</v>
      </c>
      <c r="L511" s="124">
        <v>611.76</v>
      </c>
    </row>
    <row r="512" spans="1:12" ht="15" customHeight="1" x14ac:dyDescent="0.25">
      <c r="A512" s="78">
        <v>45809</v>
      </c>
      <c r="B512" t="s">
        <v>366</v>
      </c>
      <c r="C512" t="s">
        <v>367</v>
      </c>
      <c r="D512" t="s">
        <v>221</v>
      </c>
      <c r="E512" t="s">
        <v>2263</v>
      </c>
      <c r="F512" t="s">
        <v>222</v>
      </c>
      <c r="G512" s="77">
        <v>980</v>
      </c>
      <c r="H512" s="126">
        <v>93.3</v>
      </c>
      <c r="I512" s="124">
        <v>138.08000000000001</v>
      </c>
      <c r="J512" s="124">
        <v>217.61</v>
      </c>
      <c r="K512" s="77">
        <v>380</v>
      </c>
      <c r="L512" s="124">
        <v>735.69</v>
      </c>
    </row>
    <row r="513" spans="1:12" ht="15" customHeight="1" x14ac:dyDescent="0.25">
      <c r="A513" s="78">
        <v>45809</v>
      </c>
      <c r="B513" t="s">
        <v>362</v>
      </c>
      <c r="C513" t="s">
        <v>363</v>
      </c>
      <c r="D513" t="s">
        <v>221</v>
      </c>
      <c r="E513" t="s">
        <v>2324</v>
      </c>
      <c r="F513" t="s">
        <v>222</v>
      </c>
      <c r="G513" s="77">
        <v>1037</v>
      </c>
      <c r="H513" s="126">
        <v>98.8</v>
      </c>
      <c r="I513" s="124">
        <v>146.22</v>
      </c>
      <c r="J513" s="124">
        <v>37.58</v>
      </c>
      <c r="K513" s="77">
        <v>450</v>
      </c>
      <c r="L513" s="124">
        <v>633.79999999999995</v>
      </c>
    </row>
    <row r="514" spans="1:12" ht="15" customHeight="1" x14ac:dyDescent="0.25">
      <c r="A514" s="78">
        <v>45809</v>
      </c>
      <c r="B514" t="s">
        <v>362</v>
      </c>
      <c r="C514" t="s">
        <v>363</v>
      </c>
      <c r="D514" t="s">
        <v>221</v>
      </c>
      <c r="E514" t="s">
        <v>2320</v>
      </c>
      <c r="F514" t="s">
        <v>228</v>
      </c>
      <c r="G514" s="77">
        <v>1036</v>
      </c>
      <c r="H514" s="126">
        <v>121.9</v>
      </c>
      <c r="I514" s="124">
        <v>180.41</v>
      </c>
      <c r="J514" s="124">
        <v>386.33</v>
      </c>
      <c r="K514" s="77">
        <v>450</v>
      </c>
      <c r="L514" s="124">
        <v>1016.74</v>
      </c>
    </row>
    <row r="515" spans="1:12" ht="15" customHeight="1" x14ac:dyDescent="0.25">
      <c r="A515" s="78">
        <v>45809</v>
      </c>
      <c r="B515" t="s">
        <v>362</v>
      </c>
      <c r="C515" t="s">
        <v>363</v>
      </c>
      <c r="D515" t="s">
        <v>221</v>
      </c>
      <c r="E515" t="s">
        <v>2326</v>
      </c>
      <c r="F515" t="s">
        <v>222</v>
      </c>
      <c r="G515" s="77">
        <v>1361</v>
      </c>
      <c r="H515" s="126">
        <v>129.6</v>
      </c>
      <c r="I515" s="124">
        <v>191.81</v>
      </c>
      <c r="J515" s="124">
        <v>145.04</v>
      </c>
      <c r="K515" s="77">
        <v>450</v>
      </c>
      <c r="L515" s="124">
        <v>786.85</v>
      </c>
    </row>
    <row r="516" spans="1:12" ht="15" customHeight="1" x14ac:dyDescent="0.25">
      <c r="A516" s="78">
        <v>45809</v>
      </c>
      <c r="B516" t="s">
        <v>362</v>
      </c>
      <c r="C516" t="s">
        <v>363</v>
      </c>
      <c r="D516" t="s">
        <v>221</v>
      </c>
      <c r="E516" t="s">
        <v>2341</v>
      </c>
      <c r="F516" t="s">
        <v>224</v>
      </c>
      <c r="G516" s="77">
        <v>1287</v>
      </c>
      <c r="H516" s="126">
        <v>151.4</v>
      </c>
      <c r="I516" s="124">
        <v>224.07</v>
      </c>
      <c r="J516" s="124">
        <v>120.68</v>
      </c>
      <c r="K516" s="77">
        <v>320</v>
      </c>
      <c r="L516" s="124">
        <v>664.75</v>
      </c>
    </row>
    <row r="517" spans="1:12" ht="15" customHeight="1" x14ac:dyDescent="0.25">
      <c r="A517" s="78">
        <v>45809</v>
      </c>
      <c r="B517" t="s">
        <v>362</v>
      </c>
      <c r="C517" t="s">
        <v>363</v>
      </c>
      <c r="D517" t="s">
        <v>221</v>
      </c>
      <c r="E517" t="s">
        <v>2342</v>
      </c>
      <c r="F517" t="s">
        <v>224</v>
      </c>
      <c r="G517" s="77">
        <v>624</v>
      </c>
      <c r="H517" s="126">
        <v>73.400000000000006</v>
      </c>
      <c r="I517" s="124">
        <v>108.63</v>
      </c>
      <c r="J517" s="124">
        <v>76.040000000000006</v>
      </c>
      <c r="K517" s="77">
        <v>320</v>
      </c>
      <c r="L517" s="124">
        <v>504.67</v>
      </c>
    </row>
    <row r="518" spans="1:12" ht="15" customHeight="1" x14ac:dyDescent="0.25">
      <c r="A518" s="78">
        <v>45809</v>
      </c>
      <c r="B518" t="s">
        <v>362</v>
      </c>
      <c r="C518" t="s">
        <v>363</v>
      </c>
      <c r="D518" t="s">
        <v>221</v>
      </c>
      <c r="E518" t="s">
        <v>2306</v>
      </c>
      <c r="F518" t="s">
        <v>222</v>
      </c>
      <c r="G518" s="77">
        <v>1440</v>
      </c>
      <c r="H518" s="126">
        <v>137.1</v>
      </c>
      <c r="I518" s="124">
        <v>202.91</v>
      </c>
      <c r="J518" s="124">
        <v>128.08000000000001</v>
      </c>
      <c r="K518" s="77">
        <v>320</v>
      </c>
      <c r="L518" s="124">
        <v>650.99</v>
      </c>
    </row>
    <row r="519" spans="1:12" ht="15" customHeight="1" x14ac:dyDescent="0.25">
      <c r="A519" s="78">
        <v>45809</v>
      </c>
      <c r="B519" t="s">
        <v>335</v>
      </c>
      <c r="C519" t="s">
        <v>336</v>
      </c>
      <c r="D519" t="s">
        <v>223</v>
      </c>
      <c r="E519" t="s">
        <v>2345</v>
      </c>
      <c r="F519" t="s">
        <v>226</v>
      </c>
      <c r="G519" s="77">
        <v>989</v>
      </c>
      <c r="H519" s="126">
        <v>94.2</v>
      </c>
      <c r="I519" s="124">
        <v>139.41999999999999</v>
      </c>
      <c r="J519" s="124">
        <v>126.01</v>
      </c>
      <c r="K519" s="77">
        <v>320</v>
      </c>
      <c r="L519" s="124">
        <v>585.42999999999995</v>
      </c>
    </row>
    <row r="520" spans="1:12" ht="15" customHeight="1" x14ac:dyDescent="0.25">
      <c r="A520" s="78">
        <v>45809</v>
      </c>
      <c r="B520" t="s">
        <v>335</v>
      </c>
      <c r="C520" t="s">
        <v>336</v>
      </c>
      <c r="D520" t="s">
        <v>223</v>
      </c>
      <c r="E520" t="s">
        <v>2319</v>
      </c>
      <c r="F520" t="s">
        <v>226</v>
      </c>
      <c r="G520" s="77">
        <v>1526</v>
      </c>
      <c r="H520" s="126">
        <v>145.30000000000001</v>
      </c>
      <c r="I520" s="124">
        <v>215.04</v>
      </c>
      <c r="J520" s="124">
        <v>280.08</v>
      </c>
      <c r="K520" s="77">
        <v>450</v>
      </c>
      <c r="L520" s="124">
        <v>945.12</v>
      </c>
    </row>
    <row r="521" spans="1:12" ht="15" customHeight="1" x14ac:dyDescent="0.25">
      <c r="A521" s="78">
        <v>45809</v>
      </c>
      <c r="B521" t="s">
        <v>335</v>
      </c>
      <c r="C521" t="s">
        <v>336</v>
      </c>
      <c r="D521" t="s">
        <v>223</v>
      </c>
      <c r="E521" t="s">
        <v>2336</v>
      </c>
      <c r="F521" t="s">
        <v>224</v>
      </c>
      <c r="G521" s="77">
        <v>1604</v>
      </c>
      <c r="H521" s="126">
        <v>188.7</v>
      </c>
      <c r="I521" s="124">
        <v>279.27999999999997</v>
      </c>
      <c r="J521" s="124">
        <v>137.28</v>
      </c>
      <c r="K521" s="77">
        <v>320</v>
      </c>
      <c r="L521" s="124">
        <v>736.56</v>
      </c>
    </row>
    <row r="522" spans="1:12" ht="15" customHeight="1" x14ac:dyDescent="0.25">
      <c r="A522" s="78">
        <v>45809</v>
      </c>
      <c r="B522" t="s">
        <v>335</v>
      </c>
      <c r="C522" t="s">
        <v>336</v>
      </c>
      <c r="D522" t="s">
        <v>223</v>
      </c>
      <c r="E522" t="s">
        <v>2232</v>
      </c>
      <c r="F522" t="s">
        <v>226</v>
      </c>
      <c r="G522" s="77">
        <v>1123</v>
      </c>
      <c r="H522" s="126">
        <v>107</v>
      </c>
      <c r="I522" s="124">
        <v>158.36000000000001</v>
      </c>
      <c r="J522" s="124">
        <v>28.67</v>
      </c>
      <c r="K522" s="77">
        <v>450</v>
      </c>
      <c r="L522" s="124">
        <v>637.03</v>
      </c>
    </row>
    <row r="523" spans="1:12" ht="15" customHeight="1" x14ac:dyDescent="0.25">
      <c r="A523" s="78">
        <v>45809</v>
      </c>
      <c r="B523" t="s">
        <v>386</v>
      </c>
      <c r="C523" t="s">
        <v>387</v>
      </c>
      <c r="D523" t="s">
        <v>223</v>
      </c>
      <c r="E523" t="s">
        <v>2262</v>
      </c>
      <c r="F523" t="s">
        <v>228</v>
      </c>
      <c r="G523" s="77">
        <v>1419</v>
      </c>
      <c r="H523" s="126">
        <v>166.9</v>
      </c>
      <c r="I523" s="124">
        <v>247.01</v>
      </c>
      <c r="J523" s="124">
        <v>156.58000000000001</v>
      </c>
      <c r="K523" s="77">
        <v>380</v>
      </c>
      <c r="L523" s="124">
        <v>783.59</v>
      </c>
    </row>
    <row r="524" spans="1:12" ht="15" customHeight="1" x14ac:dyDescent="0.25">
      <c r="A524" s="78">
        <v>45809</v>
      </c>
      <c r="B524" t="s">
        <v>386</v>
      </c>
      <c r="C524" t="s">
        <v>387</v>
      </c>
      <c r="D524" t="s">
        <v>223</v>
      </c>
      <c r="E524" t="s">
        <v>2245</v>
      </c>
      <c r="F524" t="s">
        <v>228</v>
      </c>
      <c r="G524" s="77">
        <v>1104</v>
      </c>
      <c r="H524" s="126">
        <v>129.9</v>
      </c>
      <c r="I524" s="124">
        <v>192.25</v>
      </c>
      <c r="J524" s="124">
        <v>162.22</v>
      </c>
      <c r="K524" s="77">
        <v>380</v>
      </c>
      <c r="L524" s="124">
        <v>734.47</v>
      </c>
    </row>
    <row r="525" spans="1:12" ht="15" customHeight="1" x14ac:dyDescent="0.25">
      <c r="A525" s="78">
        <v>45809</v>
      </c>
      <c r="B525" t="s">
        <v>386</v>
      </c>
      <c r="C525" t="s">
        <v>387</v>
      </c>
      <c r="D525" t="s">
        <v>223</v>
      </c>
      <c r="E525" t="s">
        <v>2289</v>
      </c>
      <c r="F525" t="s">
        <v>228</v>
      </c>
      <c r="G525" s="77">
        <v>902</v>
      </c>
      <c r="H525" s="126">
        <v>106.1</v>
      </c>
      <c r="I525" s="124">
        <v>157.03</v>
      </c>
      <c r="J525" s="124">
        <v>183.02</v>
      </c>
      <c r="K525" s="77">
        <v>520</v>
      </c>
      <c r="L525" s="124">
        <v>860.05</v>
      </c>
    </row>
    <row r="526" spans="1:12" ht="15" customHeight="1" x14ac:dyDescent="0.25">
      <c r="A526" s="78">
        <v>45809</v>
      </c>
      <c r="B526" t="s">
        <v>386</v>
      </c>
      <c r="C526" t="s">
        <v>387</v>
      </c>
      <c r="D526" t="s">
        <v>223</v>
      </c>
      <c r="E526" t="s">
        <v>2274</v>
      </c>
      <c r="F526" t="s">
        <v>226</v>
      </c>
      <c r="G526" s="77">
        <v>898</v>
      </c>
      <c r="H526" s="126">
        <v>85.5</v>
      </c>
      <c r="I526" s="124">
        <v>126.54</v>
      </c>
      <c r="J526" s="124">
        <v>106.87</v>
      </c>
      <c r="K526" s="77">
        <v>380</v>
      </c>
      <c r="L526" s="124">
        <v>613.41</v>
      </c>
    </row>
    <row r="527" spans="1:12" ht="15" customHeight="1" x14ac:dyDescent="0.25">
      <c r="A527" s="78">
        <v>45809</v>
      </c>
      <c r="B527" t="s">
        <v>341</v>
      </c>
      <c r="C527" t="s">
        <v>342</v>
      </c>
      <c r="D527" t="s">
        <v>223</v>
      </c>
      <c r="E527" t="s">
        <v>2248</v>
      </c>
      <c r="F527" t="s">
        <v>228</v>
      </c>
      <c r="G527" s="77">
        <v>912</v>
      </c>
      <c r="H527" s="126">
        <v>107.3</v>
      </c>
      <c r="I527" s="124">
        <v>158.80000000000001</v>
      </c>
      <c r="J527" s="124">
        <v>316.67</v>
      </c>
      <c r="K527" s="77">
        <v>320</v>
      </c>
      <c r="L527" s="124">
        <v>795.47</v>
      </c>
    </row>
    <row r="528" spans="1:12" ht="15" customHeight="1" x14ac:dyDescent="0.25">
      <c r="A528" s="78">
        <v>45809</v>
      </c>
      <c r="B528" t="s">
        <v>341</v>
      </c>
      <c r="C528" t="s">
        <v>342</v>
      </c>
      <c r="D528" t="s">
        <v>223</v>
      </c>
      <c r="E528" t="s">
        <v>2233</v>
      </c>
      <c r="F528" t="s">
        <v>224</v>
      </c>
      <c r="G528" s="77">
        <v>773</v>
      </c>
      <c r="H528" s="126">
        <v>90.9</v>
      </c>
      <c r="I528" s="124">
        <v>134.53</v>
      </c>
      <c r="J528" s="124">
        <v>167.64</v>
      </c>
      <c r="K528" s="77">
        <v>450</v>
      </c>
      <c r="L528" s="124">
        <v>752.17</v>
      </c>
    </row>
    <row r="529" spans="1:12" ht="15" customHeight="1" x14ac:dyDescent="0.25">
      <c r="A529" s="78">
        <v>45809</v>
      </c>
      <c r="B529" t="s">
        <v>341</v>
      </c>
      <c r="C529" t="s">
        <v>342</v>
      </c>
      <c r="D529" t="s">
        <v>223</v>
      </c>
      <c r="E529" t="s">
        <v>2241</v>
      </c>
      <c r="F529" t="s">
        <v>228</v>
      </c>
      <c r="G529" s="77">
        <v>1354</v>
      </c>
      <c r="H529" s="126">
        <v>159.30000000000001</v>
      </c>
      <c r="I529" s="124">
        <v>235.76</v>
      </c>
      <c r="J529" s="124">
        <v>208.94</v>
      </c>
      <c r="K529" s="77">
        <v>450</v>
      </c>
      <c r="L529" s="124">
        <v>894.7</v>
      </c>
    </row>
    <row r="530" spans="1:12" ht="15" customHeight="1" x14ac:dyDescent="0.25">
      <c r="A530" s="78">
        <v>45809</v>
      </c>
      <c r="B530" t="s">
        <v>341</v>
      </c>
      <c r="C530" t="s">
        <v>342</v>
      </c>
      <c r="D530" t="s">
        <v>223</v>
      </c>
      <c r="E530" t="s">
        <v>2330</v>
      </c>
      <c r="F530" t="s">
        <v>224</v>
      </c>
      <c r="G530" s="77">
        <v>870</v>
      </c>
      <c r="H530" s="126">
        <v>102.4</v>
      </c>
      <c r="I530" s="124">
        <v>151.55000000000001</v>
      </c>
      <c r="J530" s="124">
        <v>131.56</v>
      </c>
      <c r="K530" s="77">
        <v>380</v>
      </c>
      <c r="L530" s="124">
        <v>663.11</v>
      </c>
    </row>
    <row r="531" spans="1:12" ht="15" customHeight="1" x14ac:dyDescent="0.25">
      <c r="A531" s="78">
        <v>45809</v>
      </c>
      <c r="B531" t="s">
        <v>341</v>
      </c>
      <c r="C531" t="s">
        <v>342</v>
      </c>
      <c r="D531" t="s">
        <v>223</v>
      </c>
      <c r="E531" t="s">
        <v>2290</v>
      </c>
      <c r="F531" t="s">
        <v>222</v>
      </c>
      <c r="G531" s="77">
        <v>1344</v>
      </c>
      <c r="H531" s="126">
        <v>128</v>
      </c>
      <c r="I531" s="124">
        <v>189.44</v>
      </c>
      <c r="J531" s="124">
        <v>165.53</v>
      </c>
      <c r="K531" s="77">
        <v>520</v>
      </c>
      <c r="L531" s="124">
        <v>874.97</v>
      </c>
    </row>
    <row r="532" spans="1:12" ht="15" customHeight="1" x14ac:dyDescent="0.25">
      <c r="A532" s="78">
        <v>45809</v>
      </c>
      <c r="B532" t="s">
        <v>347</v>
      </c>
      <c r="C532" t="s">
        <v>348</v>
      </c>
      <c r="D532" t="s">
        <v>223</v>
      </c>
      <c r="E532" t="s">
        <v>2222</v>
      </c>
      <c r="F532" t="s">
        <v>228</v>
      </c>
      <c r="G532" s="77">
        <v>917</v>
      </c>
      <c r="H532" s="126">
        <v>107.9</v>
      </c>
      <c r="I532" s="124">
        <v>159.69</v>
      </c>
      <c r="J532" s="124">
        <v>288.70999999999998</v>
      </c>
      <c r="K532" s="77">
        <v>380</v>
      </c>
      <c r="L532" s="124">
        <v>828.4</v>
      </c>
    </row>
    <row r="533" spans="1:12" ht="15" customHeight="1" x14ac:dyDescent="0.25">
      <c r="A533" s="78">
        <v>45809</v>
      </c>
      <c r="B533" t="s">
        <v>347</v>
      </c>
      <c r="C533" t="s">
        <v>348</v>
      </c>
      <c r="D533" t="s">
        <v>223</v>
      </c>
      <c r="E533" t="s">
        <v>2228</v>
      </c>
      <c r="F533" t="s">
        <v>228</v>
      </c>
      <c r="G533" s="77">
        <v>774</v>
      </c>
      <c r="H533" s="126">
        <v>91.1</v>
      </c>
      <c r="I533" s="124">
        <v>134.83000000000001</v>
      </c>
      <c r="J533" s="124">
        <v>304.51</v>
      </c>
      <c r="K533" s="77">
        <v>450</v>
      </c>
      <c r="L533" s="124">
        <v>889.34</v>
      </c>
    </row>
    <row r="534" spans="1:12" ht="15" customHeight="1" x14ac:dyDescent="0.25">
      <c r="A534" s="78">
        <v>45809</v>
      </c>
      <c r="B534" t="s">
        <v>347</v>
      </c>
      <c r="C534" t="s">
        <v>348</v>
      </c>
      <c r="D534" t="s">
        <v>223</v>
      </c>
      <c r="E534" t="s">
        <v>2312</v>
      </c>
      <c r="F534" t="s">
        <v>222</v>
      </c>
      <c r="G534" s="77">
        <v>1152</v>
      </c>
      <c r="H534" s="126">
        <v>109.7</v>
      </c>
      <c r="I534" s="124">
        <v>162.36000000000001</v>
      </c>
      <c r="J534" s="124">
        <v>125.38</v>
      </c>
      <c r="K534" s="77">
        <v>380</v>
      </c>
      <c r="L534" s="124">
        <v>667.74</v>
      </c>
    </row>
    <row r="535" spans="1:12" ht="15" customHeight="1" x14ac:dyDescent="0.25">
      <c r="A535" s="78">
        <v>45809</v>
      </c>
      <c r="B535" t="s">
        <v>347</v>
      </c>
      <c r="C535" t="s">
        <v>348</v>
      </c>
      <c r="D535" t="s">
        <v>223</v>
      </c>
      <c r="E535" t="s">
        <v>2307</v>
      </c>
      <c r="F535" t="s">
        <v>228</v>
      </c>
      <c r="G535" s="77">
        <v>840</v>
      </c>
      <c r="H535" s="126">
        <v>98.8</v>
      </c>
      <c r="I535" s="124">
        <v>146.22</v>
      </c>
      <c r="J535" s="124">
        <v>179.07</v>
      </c>
      <c r="K535" s="77">
        <v>380</v>
      </c>
      <c r="L535" s="124">
        <v>705.29</v>
      </c>
    </row>
    <row r="536" spans="1:12" ht="15" customHeight="1" x14ac:dyDescent="0.25">
      <c r="A536" s="78">
        <v>45809</v>
      </c>
      <c r="B536" t="s">
        <v>409</v>
      </c>
      <c r="C536" t="s">
        <v>410</v>
      </c>
      <c r="D536" t="s">
        <v>223</v>
      </c>
      <c r="E536" t="s">
        <v>2330</v>
      </c>
      <c r="F536" t="s">
        <v>226</v>
      </c>
      <c r="G536" s="77">
        <v>1183</v>
      </c>
      <c r="H536" s="126">
        <v>112.7</v>
      </c>
      <c r="I536" s="124">
        <v>166.8</v>
      </c>
      <c r="J536" s="124">
        <v>248.32</v>
      </c>
      <c r="K536" s="77">
        <v>520</v>
      </c>
      <c r="L536" s="124">
        <v>935.12</v>
      </c>
    </row>
    <row r="537" spans="1:12" ht="15" customHeight="1" x14ac:dyDescent="0.25">
      <c r="A537" s="78">
        <v>45809</v>
      </c>
      <c r="B537" t="s">
        <v>409</v>
      </c>
      <c r="C537" t="s">
        <v>410</v>
      </c>
      <c r="D537" t="s">
        <v>223</v>
      </c>
      <c r="E537" t="s">
        <v>2234</v>
      </c>
      <c r="F537" t="s">
        <v>228</v>
      </c>
      <c r="G537" s="77">
        <v>890</v>
      </c>
      <c r="H537" s="126">
        <v>104.7</v>
      </c>
      <c r="I537" s="124">
        <v>154.96</v>
      </c>
      <c r="J537" s="124">
        <v>286.67</v>
      </c>
      <c r="K537" s="77">
        <v>450</v>
      </c>
      <c r="L537" s="124">
        <v>891.63</v>
      </c>
    </row>
    <row r="538" spans="1:12" ht="15" customHeight="1" x14ac:dyDescent="0.25">
      <c r="A538" s="78">
        <v>45809</v>
      </c>
      <c r="B538" t="s">
        <v>409</v>
      </c>
      <c r="C538" t="s">
        <v>410</v>
      </c>
      <c r="D538" t="s">
        <v>223</v>
      </c>
      <c r="E538" t="s">
        <v>2318</v>
      </c>
      <c r="F538" t="s">
        <v>224</v>
      </c>
      <c r="G538" s="77">
        <v>528</v>
      </c>
      <c r="H538" s="126">
        <v>62.1</v>
      </c>
      <c r="I538" s="124">
        <v>91.91</v>
      </c>
      <c r="J538" s="124">
        <v>103.23</v>
      </c>
      <c r="K538" s="77">
        <v>320</v>
      </c>
      <c r="L538" s="124">
        <v>515.14</v>
      </c>
    </row>
    <row r="539" spans="1:12" ht="15" customHeight="1" x14ac:dyDescent="0.25">
      <c r="A539" s="78">
        <v>45809</v>
      </c>
      <c r="B539" t="s">
        <v>409</v>
      </c>
      <c r="C539" t="s">
        <v>410</v>
      </c>
      <c r="D539" t="s">
        <v>223</v>
      </c>
      <c r="E539" t="s">
        <v>2291</v>
      </c>
      <c r="F539" t="s">
        <v>228</v>
      </c>
      <c r="G539" s="77">
        <v>1042</v>
      </c>
      <c r="H539" s="126">
        <v>122.6</v>
      </c>
      <c r="I539" s="124">
        <v>181.45</v>
      </c>
      <c r="J539" s="124">
        <v>177.23</v>
      </c>
      <c r="K539" s="77">
        <v>320</v>
      </c>
      <c r="L539" s="124">
        <v>678.68</v>
      </c>
    </row>
    <row r="540" spans="1:12" ht="15" customHeight="1" x14ac:dyDescent="0.25">
      <c r="A540" s="78">
        <v>45809</v>
      </c>
      <c r="B540" t="s">
        <v>409</v>
      </c>
      <c r="C540" t="s">
        <v>410</v>
      </c>
      <c r="D540" t="s">
        <v>223</v>
      </c>
      <c r="E540" t="s">
        <v>2319</v>
      </c>
      <c r="F540" t="s">
        <v>228</v>
      </c>
      <c r="G540" s="77">
        <v>815</v>
      </c>
      <c r="H540" s="126">
        <v>95.9</v>
      </c>
      <c r="I540" s="124">
        <v>141.93</v>
      </c>
      <c r="J540" s="124">
        <v>196.58</v>
      </c>
      <c r="K540" s="77">
        <v>320</v>
      </c>
      <c r="L540" s="124">
        <v>658.51</v>
      </c>
    </row>
    <row r="541" spans="1:12" ht="15" customHeight="1" x14ac:dyDescent="0.25">
      <c r="A541" s="78">
        <v>45809</v>
      </c>
      <c r="B541" t="s">
        <v>409</v>
      </c>
      <c r="C541" t="s">
        <v>410</v>
      </c>
      <c r="D541" t="s">
        <v>223</v>
      </c>
      <c r="E541" t="s">
        <v>2299</v>
      </c>
      <c r="F541" t="s">
        <v>226</v>
      </c>
      <c r="G541" s="77">
        <v>1123</v>
      </c>
      <c r="H541" s="126">
        <v>107</v>
      </c>
      <c r="I541" s="124">
        <v>158.36000000000001</v>
      </c>
      <c r="J541" s="124">
        <v>135.01</v>
      </c>
      <c r="K541" s="77">
        <v>520</v>
      </c>
      <c r="L541" s="124">
        <v>813.37</v>
      </c>
    </row>
    <row r="542" spans="1:12" ht="15" customHeight="1" x14ac:dyDescent="0.25">
      <c r="A542" s="78">
        <v>45809</v>
      </c>
      <c r="B542" t="s">
        <v>488</v>
      </c>
      <c r="C542" t="s">
        <v>489</v>
      </c>
      <c r="D542" t="s">
        <v>225</v>
      </c>
      <c r="E542" t="s">
        <v>2288</v>
      </c>
      <c r="F542" t="s">
        <v>226</v>
      </c>
      <c r="G542" s="77">
        <v>490</v>
      </c>
      <c r="H542" s="126">
        <v>46.7</v>
      </c>
      <c r="I542" s="124">
        <v>69.12</v>
      </c>
      <c r="J542" s="124">
        <v>0</v>
      </c>
      <c r="K542" s="77">
        <v>520</v>
      </c>
      <c r="L542" s="124">
        <v>589.12</v>
      </c>
    </row>
    <row r="543" spans="1:12" ht="15" customHeight="1" x14ac:dyDescent="0.25">
      <c r="A543" s="78">
        <v>45809</v>
      </c>
      <c r="B543" t="s">
        <v>488</v>
      </c>
      <c r="C543" t="s">
        <v>489</v>
      </c>
      <c r="D543" t="s">
        <v>225</v>
      </c>
      <c r="E543" t="s">
        <v>2323</v>
      </c>
      <c r="F543" t="s">
        <v>226</v>
      </c>
      <c r="G543" s="77">
        <v>898</v>
      </c>
      <c r="H543" s="126">
        <v>85.5</v>
      </c>
      <c r="I543" s="124">
        <v>126.54</v>
      </c>
      <c r="J543" s="124">
        <v>186.61</v>
      </c>
      <c r="K543" s="77">
        <v>320</v>
      </c>
      <c r="L543" s="124">
        <v>633.15</v>
      </c>
    </row>
    <row r="544" spans="1:12" ht="15" customHeight="1" x14ac:dyDescent="0.25">
      <c r="A544" s="78">
        <v>45809</v>
      </c>
      <c r="B544" t="s">
        <v>488</v>
      </c>
      <c r="C544" t="s">
        <v>489</v>
      </c>
      <c r="D544" t="s">
        <v>225</v>
      </c>
      <c r="E544" t="s">
        <v>2230</v>
      </c>
      <c r="F544" t="s">
        <v>224</v>
      </c>
      <c r="G544" s="77">
        <v>363</v>
      </c>
      <c r="H544" s="126">
        <v>42.7</v>
      </c>
      <c r="I544" s="124">
        <v>63.2</v>
      </c>
      <c r="J544" s="124">
        <v>110.02</v>
      </c>
      <c r="K544" s="77">
        <v>520</v>
      </c>
      <c r="L544" s="124">
        <v>693.22</v>
      </c>
    </row>
    <row r="545" spans="1:12" ht="15" customHeight="1" x14ac:dyDescent="0.25">
      <c r="A545" s="78">
        <v>45809</v>
      </c>
      <c r="B545" t="s">
        <v>488</v>
      </c>
      <c r="C545" t="s">
        <v>489</v>
      </c>
      <c r="D545" t="s">
        <v>225</v>
      </c>
      <c r="E545" t="s">
        <v>2319</v>
      </c>
      <c r="F545" t="s">
        <v>224</v>
      </c>
      <c r="G545" s="77">
        <v>918</v>
      </c>
      <c r="H545" s="126">
        <v>108</v>
      </c>
      <c r="I545" s="124">
        <v>159.84</v>
      </c>
      <c r="J545" s="124">
        <v>261.07</v>
      </c>
      <c r="K545" s="77">
        <v>520</v>
      </c>
      <c r="L545" s="124">
        <v>940.91</v>
      </c>
    </row>
    <row r="546" spans="1:12" ht="15" customHeight="1" x14ac:dyDescent="0.25">
      <c r="A546" s="78">
        <v>45809</v>
      </c>
      <c r="B546" t="s">
        <v>488</v>
      </c>
      <c r="C546" t="s">
        <v>489</v>
      </c>
      <c r="D546" t="s">
        <v>225</v>
      </c>
      <c r="E546" t="s">
        <v>2303</v>
      </c>
      <c r="F546" t="s">
        <v>224</v>
      </c>
      <c r="G546" s="77">
        <v>953</v>
      </c>
      <c r="H546" s="126">
        <v>112.1</v>
      </c>
      <c r="I546" s="124">
        <v>165.91</v>
      </c>
      <c r="J546" s="124">
        <v>180.64</v>
      </c>
      <c r="K546" s="77">
        <v>380</v>
      </c>
      <c r="L546" s="124">
        <v>726.55</v>
      </c>
    </row>
    <row r="547" spans="1:12" ht="15" customHeight="1" x14ac:dyDescent="0.25">
      <c r="A547" s="78">
        <v>45809</v>
      </c>
      <c r="B547" t="s">
        <v>488</v>
      </c>
      <c r="C547" t="s">
        <v>489</v>
      </c>
      <c r="D547" t="s">
        <v>225</v>
      </c>
      <c r="E547" t="s">
        <v>2337</v>
      </c>
      <c r="F547" t="s">
        <v>228</v>
      </c>
      <c r="G547" s="77">
        <v>1085</v>
      </c>
      <c r="H547" s="126">
        <v>127.6</v>
      </c>
      <c r="I547" s="124">
        <v>188.85</v>
      </c>
      <c r="J547" s="124">
        <v>79.55</v>
      </c>
      <c r="K547" s="77">
        <v>450</v>
      </c>
      <c r="L547" s="124">
        <v>718.4</v>
      </c>
    </row>
    <row r="548" spans="1:12" ht="15" customHeight="1" x14ac:dyDescent="0.25">
      <c r="A548" s="78">
        <v>45809</v>
      </c>
      <c r="B548" t="s">
        <v>406</v>
      </c>
      <c r="C548" t="s">
        <v>407</v>
      </c>
      <c r="D548" t="s">
        <v>225</v>
      </c>
      <c r="E548" t="s">
        <v>2323</v>
      </c>
      <c r="F548" t="s">
        <v>222</v>
      </c>
      <c r="G548" s="77">
        <v>1242</v>
      </c>
      <c r="H548" s="126">
        <v>118.3</v>
      </c>
      <c r="I548" s="124">
        <v>175.08</v>
      </c>
      <c r="J548" s="124">
        <v>167.23</v>
      </c>
      <c r="K548" s="77">
        <v>520</v>
      </c>
      <c r="L548" s="124">
        <v>862.31</v>
      </c>
    </row>
    <row r="549" spans="1:12" ht="15" customHeight="1" x14ac:dyDescent="0.25">
      <c r="A549" s="78">
        <v>45809</v>
      </c>
      <c r="B549" t="s">
        <v>406</v>
      </c>
      <c r="C549" t="s">
        <v>407</v>
      </c>
      <c r="D549" t="s">
        <v>225</v>
      </c>
      <c r="E549" t="s">
        <v>2280</v>
      </c>
      <c r="F549" t="s">
        <v>224</v>
      </c>
      <c r="G549" s="77">
        <v>1177</v>
      </c>
      <c r="H549" s="126">
        <v>138.5</v>
      </c>
      <c r="I549" s="124">
        <v>204.98</v>
      </c>
      <c r="J549" s="124">
        <v>464.1</v>
      </c>
      <c r="K549" s="77">
        <v>450</v>
      </c>
      <c r="L549" s="124">
        <v>1119.08</v>
      </c>
    </row>
    <row r="550" spans="1:12" ht="15" customHeight="1" x14ac:dyDescent="0.25">
      <c r="A550" s="78">
        <v>45809</v>
      </c>
      <c r="B550" t="s">
        <v>406</v>
      </c>
      <c r="C550" t="s">
        <v>407</v>
      </c>
      <c r="D550" t="s">
        <v>225</v>
      </c>
      <c r="E550" t="s">
        <v>2353</v>
      </c>
      <c r="F550" t="s">
        <v>224</v>
      </c>
      <c r="G550" s="77">
        <v>528</v>
      </c>
      <c r="H550" s="126">
        <v>62.1</v>
      </c>
      <c r="I550" s="124">
        <v>91.91</v>
      </c>
      <c r="J550" s="124">
        <v>287.98</v>
      </c>
      <c r="K550" s="77">
        <v>320</v>
      </c>
      <c r="L550" s="124">
        <v>699.89</v>
      </c>
    </row>
    <row r="551" spans="1:12" ht="15" customHeight="1" x14ac:dyDescent="0.25">
      <c r="A551" s="78">
        <v>45809</v>
      </c>
      <c r="B551" t="s">
        <v>406</v>
      </c>
      <c r="C551" t="s">
        <v>407</v>
      </c>
      <c r="D551" t="s">
        <v>225</v>
      </c>
      <c r="E551" t="s">
        <v>2220</v>
      </c>
      <c r="F551" t="s">
        <v>226</v>
      </c>
      <c r="G551" s="77">
        <v>978</v>
      </c>
      <c r="H551" s="126">
        <v>93.1</v>
      </c>
      <c r="I551" s="124">
        <v>137.79</v>
      </c>
      <c r="J551" s="124">
        <v>172.99</v>
      </c>
      <c r="K551" s="77">
        <v>380</v>
      </c>
      <c r="L551" s="124">
        <v>690.78</v>
      </c>
    </row>
    <row r="552" spans="1:12" ht="15" customHeight="1" x14ac:dyDescent="0.25">
      <c r="A552" s="78">
        <v>45809</v>
      </c>
      <c r="B552" t="s">
        <v>406</v>
      </c>
      <c r="C552" t="s">
        <v>407</v>
      </c>
      <c r="D552" t="s">
        <v>225</v>
      </c>
      <c r="E552" t="s">
        <v>2332</v>
      </c>
      <c r="F552" t="s">
        <v>228</v>
      </c>
      <c r="G552" s="77">
        <v>1038</v>
      </c>
      <c r="H552" s="126">
        <v>122.1</v>
      </c>
      <c r="I552" s="124">
        <v>180.71</v>
      </c>
      <c r="J552" s="124">
        <v>216.06</v>
      </c>
      <c r="K552" s="77">
        <v>380</v>
      </c>
      <c r="L552" s="124">
        <v>776.77</v>
      </c>
    </row>
    <row r="553" spans="1:12" ht="15" customHeight="1" x14ac:dyDescent="0.25">
      <c r="A553" s="78">
        <v>45809</v>
      </c>
      <c r="B553" t="s">
        <v>406</v>
      </c>
      <c r="C553" t="s">
        <v>407</v>
      </c>
      <c r="D553" t="s">
        <v>225</v>
      </c>
      <c r="E553" t="s">
        <v>2325</v>
      </c>
      <c r="F553" t="s">
        <v>226</v>
      </c>
      <c r="G553" s="77">
        <v>907</v>
      </c>
      <c r="H553" s="126">
        <v>86.4</v>
      </c>
      <c r="I553" s="124">
        <v>127.87</v>
      </c>
      <c r="J553" s="124">
        <v>176.36</v>
      </c>
      <c r="K553" s="77">
        <v>380</v>
      </c>
      <c r="L553" s="124">
        <v>684.23</v>
      </c>
    </row>
    <row r="554" spans="1:12" ht="15" customHeight="1" x14ac:dyDescent="0.25">
      <c r="A554" s="78">
        <v>45809</v>
      </c>
      <c r="B554" t="s">
        <v>406</v>
      </c>
      <c r="C554" t="s">
        <v>407</v>
      </c>
      <c r="D554" t="s">
        <v>225</v>
      </c>
      <c r="E554" t="s">
        <v>2341</v>
      </c>
      <c r="F554" t="s">
        <v>228</v>
      </c>
      <c r="G554" s="77">
        <v>670</v>
      </c>
      <c r="H554" s="126">
        <v>78.8</v>
      </c>
      <c r="I554" s="124">
        <v>116.62</v>
      </c>
      <c r="J554" s="124">
        <v>310.05</v>
      </c>
      <c r="K554" s="77">
        <v>320</v>
      </c>
      <c r="L554" s="124">
        <v>746.67</v>
      </c>
    </row>
    <row r="555" spans="1:12" ht="15" customHeight="1" x14ac:dyDescent="0.25">
      <c r="A555" s="78">
        <v>45809</v>
      </c>
      <c r="B555" t="s">
        <v>358</v>
      </c>
      <c r="C555" t="s">
        <v>359</v>
      </c>
      <c r="D555" t="s">
        <v>225</v>
      </c>
      <c r="E555" t="s">
        <v>2245</v>
      </c>
      <c r="F555" t="s">
        <v>224</v>
      </c>
      <c r="G555" s="77">
        <v>945</v>
      </c>
      <c r="H555" s="126">
        <v>111.2</v>
      </c>
      <c r="I555" s="124">
        <v>164.58</v>
      </c>
      <c r="J555" s="124">
        <v>59.59</v>
      </c>
      <c r="K555" s="77">
        <v>520</v>
      </c>
      <c r="L555" s="124">
        <v>744.17</v>
      </c>
    </row>
    <row r="556" spans="1:12" ht="15" customHeight="1" x14ac:dyDescent="0.25">
      <c r="A556" s="78">
        <v>45809</v>
      </c>
      <c r="B556" t="s">
        <v>358</v>
      </c>
      <c r="C556" t="s">
        <v>359</v>
      </c>
      <c r="D556" t="s">
        <v>225</v>
      </c>
      <c r="E556" t="s">
        <v>2302</v>
      </c>
      <c r="F556" t="s">
        <v>226</v>
      </c>
      <c r="G556" s="77">
        <v>937</v>
      </c>
      <c r="H556" s="126">
        <v>89.2</v>
      </c>
      <c r="I556" s="124">
        <v>132.02000000000001</v>
      </c>
      <c r="J556" s="124">
        <v>250.57</v>
      </c>
      <c r="K556" s="77">
        <v>520</v>
      </c>
      <c r="L556" s="124">
        <v>902.59</v>
      </c>
    </row>
    <row r="557" spans="1:12" ht="15" customHeight="1" x14ac:dyDescent="0.25">
      <c r="A557" s="78">
        <v>45809</v>
      </c>
      <c r="B557" t="s">
        <v>358</v>
      </c>
      <c r="C557" t="s">
        <v>359</v>
      </c>
      <c r="D557" t="s">
        <v>225</v>
      </c>
      <c r="E557" t="s">
        <v>2307</v>
      </c>
      <c r="F557" t="s">
        <v>222</v>
      </c>
      <c r="G557" s="77">
        <v>916</v>
      </c>
      <c r="H557" s="126">
        <v>87.2</v>
      </c>
      <c r="I557" s="124">
        <v>129.06</v>
      </c>
      <c r="J557" s="124">
        <v>178.68</v>
      </c>
      <c r="K557" s="77">
        <v>380</v>
      </c>
      <c r="L557" s="124">
        <v>687.74</v>
      </c>
    </row>
    <row r="558" spans="1:12" ht="15" customHeight="1" x14ac:dyDescent="0.25">
      <c r="A558" s="78">
        <v>45809</v>
      </c>
      <c r="B558" t="s">
        <v>383</v>
      </c>
      <c r="C558" t="s">
        <v>384</v>
      </c>
      <c r="D558" t="s">
        <v>225</v>
      </c>
      <c r="E558" t="s">
        <v>2306</v>
      </c>
      <c r="F558" t="s">
        <v>226</v>
      </c>
      <c r="G558" s="77">
        <v>867</v>
      </c>
      <c r="H558" s="126">
        <v>82.6</v>
      </c>
      <c r="I558" s="124">
        <v>122.25</v>
      </c>
      <c r="J558" s="124">
        <v>210.63</v>
      </c>
      <c r="K558" s="77">
        <v>380</v>
      </c>
      <c r="L558" s="124">
        <v>712.88</v>
      </c>
    </row>
    <row r="559" spans="1:12" ht="15" customHeight="1" x14ac:dyDescent="0.25">
      <c r="A559" s="78">
        <v>45809</v>
      </c>
      <c r="B559" t="s">
        <v>383</v>
      </c>
      <c r="C559" t="s">
        <v>384</v>
      </c>
      <c r="D559" t="s">
        <v>225</v>
      </c>
      <c r="E559" t="s">
        <v>2301</v>
      </c>
      <c r="F559" t="s">
        <v>226</v>
      </c>
      <c r="G559" s="77">
        <v>1221</v>
      </c>
      <c r="H559" s="126">
        <v>116.3</v>
      </c>
      <c r="I559" s="124">
        <v>172.12</v>
      </c>
      <c r="J559" s="124">
        <v>297.89</v>
      </c>
      <c r="K559" s="77">
        <v>520</v>
      </c>
      <c r="L559" s="124">
        <v>990.01</v>
      </c>
    </row>
    <row r="560" spans="1:12" ht="15" customHeight="1" x14ac:dyDescent="0.25">
      <c r="A560" s="78">
        <v>45809</v>
      </c>
      <c r="B560" t="s">
        <v>383</v>
      </c>
      <c r="C560" t="s">
        <v>384</v>
      </c>
      <c r="D560" t="s">
        <v>225</v>
      </c>
      <c r="E560" t="s">
        <v>2337</v>
      </c>
      <c r="F560" t="s">
        <v>222</v>
      </c>
      <c r="G560" s="77">
        <v>1006</v>
      </c>
      <c r="H560" s="126">
        <v>95.8</v>
      </c>
      <c r="I560" s="124">
        <v>141.78</v>
      </c>
      <c r="J560" s="124">
        <v>203.49</v>
      </c>
      <c r="K560" s="77">
        <v>380</v>
      </c>
      <c r="L560" s="124">
        <v>725.27</v>
      </c>
    </row>
    <row r="561" spans="1:12" ht="15" customHeight="1" x14ac:dyDescent="0.25">
      <c r="A561" s="78">
        <v>45809</v>
      </c>
      <c r="B561" t="s">
        <v>383</v>
      </c>
      <c r="C561" t="s">
        <v>384</v>
      </c>
      <c r="D561" t="s">
        <v>225</v>
      </c>
      <c r="E561" t="s">
        <v>2310</v>
      </c>
      <c r="F561" t="s">
        <v>226</v>
      </c>
      <c r="G561" s="77">
        <v>1074</v>
      </c>
      <c r="H561" s="126">
        <v>102.3</v>
      </c>
      <c r="I561" s="124">
        <v>151.4</v>
      </c>
      <c r="J561" s="124">
        <v>253.67</v>
      </c>
      <c r="K561" s="77">
        <v>450</v>
      </c>
      <c r="L561" s="124">
        <v>855.07</v>
      </c>
    </row>
    <row r="562" spans="1:12" ht="15" customHeight="1" x14ac:dyDescent="0.25">
      <c r="A562" s="78">
        <v>45809</v>
      </c>
      <c r="B562" t="s">
        <v>373</v>
      </c>
      <c r="C562" t="s">
        <v>374</v>
      </c>
      <c r="D562" t="s">
        <v>225</v>
      </c>
      <c r="E562" t="s">
        <v>2278</v>
      </c>
      <c r="F562" t="s">
        <v>222</v>
      </c>
      <c r="G562" s="77">
        <v>870</v>
      </c>
      <c r="H562" s="126">
        <v>82.9</v>
      </c>
      <c r="I562" s="124">
        <v>122.69</v>
      </c>
      <c r="J562" s="124">
        <v>209.6</v>
      </c>
      <c r="K562" s="77">
        <v>520</v>
      </c>
      <c r="L562" s="124">
        <v>852.29</v>
      </c>
    </row>
    <row r="563" spans="1:12" ht="15" customHeight="1" x14ac:dyDescent="0.25">
      <c r="A563" s="78">
        <v>45809</v>
      </c>
      <c r="B563" t="s">
        <v>373</v>
      </c>
      <c r="C563" t="s">
        <v>374</v>
      </c>
      <c r="D563" t="s">
        <v>225</v>
      </c>
      <c r="E563" t="s">
        <v>2322</v>
      </c>
      <c r="F563" t="s">
        <v>224</v>
      </c>
      <c r="G563" s="77">
        <v>1001</v>
      </c>
      <c r="H563" s="126">
        <v>117.8</v>
      </c>
      <c r="I563" s="124">
        <v>174.34</v>
      </c>
      <c r="J563" s="124">
        <v>144.86000000000001</v>
      </c>
      <c r="K563" s="77">
        <v>380</v>
      </c>
      <c r="L563" s="124">
        <v>699.2</v>
      </c>
    </row>
    <row r="564" spans="1:12" ht="15" customHeight="1" x14ac:dyDescent="0.25">
      <c r="A564" s="78">
        <v>45809</v>
      </c>
      <c r="B564" t="s">
        <v>373</v>
      </c>
      <c r="C564" t="s">
        <v>374</v>
      </c>
      <c r="D564" t="s">
        <v>225</v>
      </c>
      <c r="E564" t="s">
        <v>2307</v>
      </c>
      <c r="F564" t="s">
        <v>224</v>
      </c>
      <c r="G564" s="77">
        <v>1072</v>
      </c>
      <c r="H564" s="126">
        <v>126.1</v>
      </c>
      <c r="I564" s="124">
        <v>186.63</v>
      </c>
      <c r="J564" s="124">
        <v>170.18</v>
      </c>
      <c r="K564" s="77">
        <v>520</v>
      </c>
      <c r="L564" s="124">
        <v>876.81</v>
      </c>
    </row>
    <row r="565" spans="1:12" ht="15" customHeight="1" x14ac:dyDescent="0.25">
      <c r="A565" s="78">
        <v>45809</v>
      </c>
      <c r="B565" t="s">
        <v>354</v>
      </c>
      <c r="C565" t="s">
        <v>355</v>
      </c>
      <c r="D565" t="s">
        <v>227</v>
      </c>
      <c r="E565" t="s">
        <v>2223</v>
      </c>
      <c r="F565" t="s">
        <v>224</v>
      </c>
      <c r="G565" s="77">
        <v>1020</v>
      </c>
      <c r="H565" s="126">
        <v>120</v>
      </c>
      <c r="I565" s="124">
        <v>177.6</v>
      </c>
      <c r="J565" s="124">
        <v>167.18</v>
      </c>
      <c r="K565" s="77">
        <v>450</v>
      </c>
      <c r="L565" s="124">
        <v>794.78</v>
      </c>
    </row>
    <row r="566" spans="1:12" ht="15" customHeight="1" x14ac:dyDescent="0.25">
      <c r="A566" s="78">
        <v>45809</v>
      </c>
      <c r="B566" t="s">
        <v>354</v>
      </c>
      <c r="C566" t="s">
        <v>355</v>
      </c>
      <c r="D566" t="s">
        <v>227</v>
      </c>
      <c r="E566" t="s">
        <v>2300</v>
      </c>
      <c r="F566" t="s">
        <v>228</v>
      </c>
      <c r="G566" s="77">
        <v>1444</v>
      </c>
      <c r="H566" s="126">
        <v>169.9</v>
      </c>
      <c r="I566" s="124">
        <v>251.45</v>
      </c>
      <c r="J566" s="124">
        <v>328.84</v>
      </c>
      <c r="K566" s="77">
        <v>520</v>
      </c>
      <c r="L566" s="124">
        <v>1100.29</v>
      </c>
    </row>
    <row r="567" spans="1:12" ht="15" customHeight="1" x14ac:dyDescent="0.25">
      <c r="A567" s="78">
        <v>45809</v>
      </c>
      <c r="B567" t="s">
        <v>354</v>
      </c>
      <c r="C567" t="s">
        <v>355</v>
      </c>
      <c r="D567" t="s">
        <v>227</v>
      </c>
      <c r="E567" t="s">
        <v>2333</v>
      </c>
      <c r="F567" t="s">
        <v>224</v>
      </c>
      <c r="G567" s="77">
        <v>1267</v>
      </c>
      <c r="H567" s="126">
        <v>149.1</v>
      </c>
      <c r="I567" s="124">
        <v>220.67</v>
      </c>
      <c r="J567" s="124">
        <v>113.56</v>
      </c>
      <c r="K567" s="77">
        <v>320</v>
      </c>
      <c r="L567" s="124">
        <v>654.23</v>
      </c>
    </row>
    <row r="568" spans="1:12" ht="15" customHeight="1" x14ac:dyDescent="0.25">
      <c r="A568" s="78">
        <v>45809</v>
      </c>
      <c r="B568" t="s">
        <v>354</v>
      </c>
      <c r="C568" t="s">
        <v>355</v>
      </c>
      <c r="D568" t="s">
        <v>227</v>
      </c>
      <c r="E568" t="s">
        <v>2328</v>
      </c>
      <c r="F568" t="s">
        <v>228</v>
      </c>
      <c r="G568" s="77">
        <v>827</v>
      </c>
      <c r="H568" s="126">
        <v>97.3</v>
      </c>
      <c r="I568" s="124">
        <v>144</v>
      </c>
      <c r="J568" s="124">
        <v>326.42</v>
      </c>
      <c r="K568" s="77">
        <v>520</v>
      </c>
      <c r="L568" s="124">
        <v>990.42</v>
      </c>
    </row>
    <row r="569" spans="1:12" ht="15" customHeight="1" x14ac:dyDescent="0.25">
      <c r="A569" s="78">
        <v>45809</v>
      </c>
      <c r="B569" t="s">
        <v>354</v>
      </c>
      <c r="C569" t="s">
        <v>355</v>
      </c>
      <c r="D569" t="s">
        <v>227</v>
      </c>
      <c r="E569" t="s">
        <v>2336</v>
      </c>
      <c r="F569" t="s">
        <v>222</v>
      </c>
      <c r="G569" s="77">
        <v>1269</v>
      </c>
      <c r="H569" s="126">
        <v>120.9</v>
      </c>
      <c r="I569" s="124">
        <v>178.93</v>
      </c>
      <c r="J569" s="124">
        <v>267.81</v>
      </c>
      <c r="K569" s="77">
        <v>380</v>
      </c>
      <c r="L569" s="124">
        <v>826.74</v>
      </c>
    </row>
    <row r="570" spans="1:12" ht="15" customHeight="1" x14ac:dyDescent="0.25">
      <c r="A570" s="78">
        <v>45809</v>
      </c>
      <c r="B570" t="s">
        <v>354</v>
      </c>
      <c r="C570" t="s">
        <v>355</v>
      </c>
      <c r="D570" t="s">
        <v>227</v>
      </c>
      <c r="E570" t="s">
        <v>2354</v>
      </c>
      <c r="F570" t="s">
        <v>226</v>
      </c>
      <c r="G570" s="77">
        <v>899</v>
      </c>
      <c r="H570" s="126">
        <v>85.6</v>
      </c>
      <c r="I570" s="124">
        <v>126.69</v>
      </c>
      <c r="J570" s="124">
        <v>131.63999999999999</v>
      </c>
      <c r="K570" s="77">
        <v>380</v>
      </c>
      <c r="L570" s="124">
        <v>638.33000000000004</v>
      </c>
    </row>
    <row r="571" spans="1:12" ht="15" customHeight="1" x14ac:dyDescent="0.25">
      <c r="A571" s="78">
        <v>45809</v>
      </c>
      <c r="B571" t="s">
        <v>370</v>
      </c>
      <c r="C571" t="s">
        <v>371</v>
      </c>
      <c r="D571" t="s">
        <v>227</v>
      </c>
      <c r="E571" t="s">
        <v>2227</v>
      </c>
      <c r="F571" t="s">
        <v>222</v>
      </c>
      <c r="G571" s="77">
        <v>640</v>
      </c>
      <c r="H571" s="126">
        <v>61</v>
      </c>
      <c r="I571" s="124">
        <v>90.28</v>
      </c>
      <c r="J571" s="124">
        <v>118.6</v>
      </c>
      <c r="K571" s="77">
        <v>380</v>
      </c>
      <c r="L571" s="124">
        <v>588.88</v>
      </c>
    </row>
    <row r="572" spans="1:12" ht="15" customHeight="1" x14ac:dyDescent="0.25">
      <c r="A572" s="78">
        <v>45809</v>
      </c>
      <c r="B572" t="s">
        <v>370</v>
      </c>
      <c r="C572" t="s">
        <v>371</v>
      </c>
      <c r="D572" t="s">
        <v>227</v>
      </c>
      <c r="E572" t="s">
        <v>2344</v>
      </c>
      <c r="F572" t="s">
        <v>226</v>
      </c>
      <c r="G572" s="77">
        <v>1299</v>
      </c>
      <c r="H572" s="126">
        <v>123.7</v>
      </c>
      <c r="I572" s="124">
        <v>183.08</v>
      </c>
      <c r="J572" s="124">
        <v>112.68</v>
      </c>
      <c r="K572" s="77">
        <v>520</v>
      </c>
      <c r="L572" s="124">
        <v>815.76</v>
      </c>
    </row>
    <row r="573" spans="1:12" ht="15" customHeight="1" x14ac:dyDescent="0.25">
      <c r="A573" s="78">
        <v>45809</v>
      </c>
      <c r="B573" t="s">
        <v>370</v>
      </c>
      <c r="C573" t="s">
        <v>371</v>
      </c>
      <c r="D573" t="s">
        <v>227</v>
      </c>
      <c r="E573" t="s">
        <v>2285</v>
      </c>
      <c r="F573" t="s">
        <v>226</v>
      </c>
      <c r="G573" s="77">
        <v>1210</v>
      </c>
      <c r="H573" s="126">
        <v>115.2</v>
      </c>
      <c r="I573" s="124">
        <v>170.5</v>
      </c>
      <c r="J573" s="124">
        <v>134.76</v>
      </c>
      <c r="K573" s="77">
        <v>320</v>
      </c>
      <c r="L573" s="124">
        <v>625.26</v>
      </c>
    </row>
    <row r="574" spans="1:12" ht="15" customHeight="1" x14ac:dyDescent="0.25">
      <c r="A574" s="78">
        <v>45809</v>
      </c>
      <c r="B574" t="s">
        <v>370</v>
      </c>
      <c r="C574" t="s">
        <v>371</v>
      </c>
      <c r="D574" t="s">
        <v>227</v>
      </c>
      <c r="E574" t="s">
        <v>2355</v>
      </c>
      <c r="F574" t="s">
        <v>226</v>
      </c>
      <c r="G574" s="77">
        <v>1131</v>
      </c>
      <c r="H574" s="126">
        <v>107.7</v>
      </c>
      <c r="I574" s="124">
        <v>159.4</v>
      </c>
      <c r="J574" s="124">
        <v>58.18</v>
      </c>
      <c r="K574" s="77">
        <v>450</v>
      </c>
      <c r="L574" s="124">
        <v>667.58</v>
      </c>
    </row>
    <row r="575" spans="1:12" ht="15" customHeight="1" x14ac:dyDescent="0.25">
      <c r="A575" s="78">
        <v>45809</v>
      </c>
      <c r="B575" t="s">
        <v>370</v>
      </c>
      <c r="C575" t="s">
        <v>371</v>
      </c>
      <c r="D575" t="s">
        <v>227</v>
      </c>
      <c r="E575" t="s">
        <v>2348</v>
      </c>
      <c r="F575" t="s">
        <v>224</v>
      </c>
      <c r="G575" s="77">
        <v>1071</v>
      </c>
      <c r="H575" s="126">
        <v>126</v>
      </c>
      <c r="I575" s="124">
        <v>186.48</v>
      </c>
      <c r="J575" s="124">
        <v>0</v>
      </c>
      <c r="K575" s="77">
        <v>320</v>
      </c>
      <c r="L575" s="124">
        <v>506.48</v>
      </c>
    </row>
    <row r="576" spans="1:12" ht="15" customHeight="1" x14ac:dyDescent="0.25">
      <c r="A576" s="78">
        <v>45809</v>
      </c>
      <c r="B576" t="s">
        <v>398</v>
      </c>
      <c r="C576" t="s">
        <v>399</v>
      </c>
      <c r="D576" t="s">
        <v>227</v>
      </c>
      <c r="E576" t="s">
        <v>2246</v>
      </c>
      <c r="F576" t="s">
        <v>228</v>
      </c>
      <c r="G576" s="77">
        <v>1003</v>
      </c>
      <c r="H576" s="126">
        <v>118</v>
      </c>
      <c r="I576" s="124">
        <v>174.64</v>
      </c>
      <c r="J576" s="124">
        <v>119.56</v>
      </c>
      <c r="K576" s="77">
        <v>520</v>
      </c>
      <c r="L576" s="124">
        <v>814.2</v>
      </c>
    </row>
    <row r="577" spans="1:12" ht="15" customHeight="1" x14ac:dyDescent="0.25">
      <c r="A577" s="78">
        <v>45809</v>
      </c>
      <c r="B577" t="s">
        <v>398</v>
      </c>
      <c r="C577" t="s">
        <v>399</v>
      </c>
      <c r="D577" t="s">
        <v>227</v>
      </c>
      <c r="E577" t="s">
        <v>2313</v>
      </c>
      <c r="F577" t="s">
        <v>224</v>
      </c>
      <c r="G577" s="77">
        <v>1351</v>
      </c>
      <c r="H577" s="126">
        <v>158.9</v>
      </c>
      <c r="I577" s="124">
        <v>235.17</v>
      </c>
      <c r="J577" s="124">
        <v>212.19</v>
      </c>
      <c r="K577" s="77">
        <v>320</v>
      </c>
      <c r="L577" s="124">
        <v>767.36</v>
      </c>
    </row>
    <row r="578" spans="1:12" ht="15" customHeight="1" x14ac:dyDescent="0.25">
      <c r="A578" s="78">
        <v>45809</v>
      </c>
      <c r="B578" t="s">
        <v>398</v>
      </c>
      <c r="C578" t="s">
        <v>399</v>
      </c>
      <c r="D578" t="s">
        <v>227</v>
      </c>
      <c r="E578" t="s">
        <v>2350</v>
      </c>
      <c r="F578" t="s">
        <v>228</v>
      </c>
      <c r="G578" s="77">
        <v>1166</v>
      </c>
      <c r="H578" s="126">
        <v>137.19999999999999</v>
      </c>
      <c r="I578" s="124">
        <v>203.06</v>
      </c>
      <c r="J578" s="124">
        <v>371.68</v>
      </c>
      <c r="K578" s="77">
        <v>520</v>
      </c>
      <c r="L578" s="124">
        <v>1094.74</v>
      </c>
    </row>
    <row r="579" spans="1:12" ht="15" customHeight="1" x14ac:dyDescent="0.25">
      <c r="A579" s="78">
        <v>45809</v>
      </c>
      <c r="B579" t="s">
        <v>398</v>
      </c>
      <c r="C579" t="s">
        <v>399</v>
      </c>
      <c r="D579" t="s">
        <v>227</v>
      </c>
      <c r="E579" t="s">
        <v>2349</v>
      </c>
      <c r="F579" t="s">
        <v>226</v>
      </c>
      <c r="G579" s="77">
        <v>812</v>
      </c>
      <c r="H579" s="126">
        <v>77.3</v>
      </c>
      <c r="I579" s="124">
        <v>114.4</v>
      </c>
      <c r="J579" s="124">
        <v>289.79000000000002</v>
      </c>
      <c r="K579" s="77">
        <v>380</v>
      </c>
      <c r="L579" s="124">
        <v>784.19</v>
      </c>
    </row>
    <row r="580" spans="1:12" ht="15" customHeight="1" x14ac:dyDescent="0.25">
      <c r="A580" s="78">
        <v>45809</v>
      </c>
      <c r="B580" t="s">
        <v>398</v>
      </c>
      <c r="C580" t="s">
        <v>399</v>
      </c>
      <c r="D580" t="s">
        <v>227</v>
      </c>
      <c r="E580" t="s">
        <v>2255</v>
      </c>
      <c r="F580" t="s">
        <v>224</v>
      </c>
      <c r="G580" s="77">
        <v>1283</v>
      </c>
      <c r="H580" s="126">
        <v>150.9</v>
      </c>
      <c r="I580" s="124">
        <v>223.33</v>
      </c>
      <c r="J580" s="124">
        <v>131.08000000000001</v>
      </c>
      <c r="K580" s="77">
        <v>320</v>
      </c>
      <c r="L580" s="124">
        <v>674.41</v>
      </c>
    </row>
    <row r="581" spans="1:12" ht="15" customHeight="1" x14ac:dyDescent="0.25">
      <c r="A581" s="78">
        <v>45809</v>
      </c>
      <c r="B581" t="s">
        <v>378</v>
      </c>
      <c r="C581" t="s">
        <v>379</v>
      </c>
      <c r="D581" t="s">
        <v>227</v>
      </c>
      <c r="E581" t="s">
        <v>2316</v>
      </c>
      <c r="F581" t="s">
        <v>228</v>
      </c>
      <c r="G581" s="77">
        <v>1333</v>
      </c>
      <c r="H581" s="126">
        <v>156.80000000000001</v>
      </c>
      <c r="I581" s="124">
        <v>232.06</v>
      </c>
      <c r="J581" s="124">
        <v>161.5</v>
      </c>
      <c r="K581" s="77">
        <v>380</v>
      </c>
      <c r="L581" s="124">
        <v>773.56</v>
      </c>
    </row>
    <row r="582" spans="1:12" ht="15" customHeight="1" x14ac:dyDescent="0.25">
      <c r="A582" s="78">
        <v>45809</v>
      </c>
      <c r="B582" t="s">
        <v>378</v>
      </c>
      <c r="C582" t="s">
        <v>379</v>
      </c>
      <c r="D582" t="s">
        <v>227</v>
      </c>
      <c r="E582" t="s">
        <v>2307</v>
      </c>
      <c r="F582" t="s">
        <v>224</v>
      </c>
      <c r="G582" s="77">
        <v>843</v>
      </c>
      <c r="H582" s="126">
        <v>99.2</v>
      </c>
      <c r="I582" s="124">
        <v>146.82</v>
      </c>
      <c r="J582" s="124">
        <v>101.31</v>
      </c>
      <c r="K582" s="77">
        <v>520</v>
      </c>
      <c r="L582" s="124">
        <v>768.13</v>
      </c>
    </row>
    <row r="583" spans="1:12" ht="15" customHeight="1" x14ac:dyDescent="0.25">
      <c r="A583" s="78">
        <v>45809</v>
      </c>
      <c r="B583" t="s">
        <v>378</v>
      </c>
      <c r="C583" t="s">
        <v>379</v>
      </c>
      <c r="D583" t="s">
        <v>227</v>
      </c>
      <c r="E583" t="s">
        <v>2230</v>
      </c>
      <c r="F583" t="s">
        <v>222</v>
      </c>
      <c r="G583" s="77">
        <v>917</v>
      </c>
      <c r="H583" s="126">
        <v>87.3</v>
      </c>
      <c r="I583" s="124">
        <v>129.19999999999999</v>
      </c>
      <c r="J583" s="124">
        <v>65.48</v>
      </c>
      <c r="K583" s="77">
        <v>520</v>
      </c>
      <c r="L583" s="124">
        <v>714.68</v>
      </c>
    </row>
    <row r="584" spans="1:12" ht="15" customHeight="1" x14ac:dyDescent="0.25">
      <c r="A584" s="78">
        <v>45809</v>
      </c>
      <c r="B584" t="s">
        <v>378</v>
      </c>
      <c r="C584" t="s">
        <v>379</v>
      </c>
      <c r="D584" t="s">
        <v>227</v>
      </c>
      <c r="E584" t="s">
        <v>2263</v>
      </c>
      <c r="F584" t="s">
        <v>224</v>
      </c>
      <c r="G584" s="77">
        <v>1355</v>
      </c>
      <c r="H584" s="126">
        <v>159.4</v>
      </c>
      <c r="I584" s="124">
        <v>235.91</v>
      </c>
      <c r="J584" s="124">
        <v>129.29</v>
      </c>
      <c r="K584" s="77">
        <v>520</v>
      </c>
      <c r="L584" s="124">
        <v>885.2</v>
      </c>
    </row>
    <row r="585" spans="1:12" ht="15" customHeight="1" x14ac:dyDescent="0.25">
      <c r="A585" s="78">
        <v>45809</v>
      </c>
      <c r="B585" t="s">
        <v>378</v>
      </c>
      <c r="C585" t="s">
        <v>379</v>
      </c>
      <c r="D585" t="s">
        <v>227</v>
      </c>
      <c r="E585" t="s">
        <v>2340</v>
      </c>
      <c r="F585" t="s">
        <v>222</v>
      </c>
      <c r="G585" s="77">
        <v>1138</v>
      </c>
      <c r="H585" s="126">
        <v>108.4</v>
      </c>
      <c r="I585" s="124">
        <v>160.43</v>
      </c>
      <c r="J585" s="124">
        <v>104.37</v>
      </c>
      <c r="K585" s="77">
        <v>450</v>
      </c>
      <c r="L585" s="124">
        <v>714.8</v>
      </c>
    </row>
    <row r="586" spans="1:12" ht="15" customHeight="1" x14ac:dyDescent="0.25">
      <c r="A586" s="78">
        <v>45809</v>
      </c>
      <c r="B586" t="s">
        <v>378</v>
      </c>
      <c r="C586" t="s">
        <v>379</v>
      </c>
      <c r="D586" t="s">
        <v>227</v>
      </c>
      <c r="E586" t="s">
        <v>2356</v>
      </c>
      <c r="F586" t="s">
        <v>224</v>
      </c>
      <c r="G586" s="77">
        <v>594</v>
      </c>
      <c r="H586" s="126">
        <v>69.900000000000006</v>
      </c>
      <c r="I586" s="124">
        <v>103.45</v>
      </c>
      <c r="J586" s="124">
        <v>171.6</v>
      </c>
      <c r="K586" s="77">
        <v>450</v>
      </c>
      <c r="L586" s="124">
        <v>725.05</v>
      </c>
    </row>
    <row r="587" spans="1:12" ht="15" customHeight="1" x14ac:dyDescent="0.25">
      <c r="A587" s="78">
        <v>45809</v>
      </c>
      <c r="B587" t="s">
        <v>393</v>
      </c>
      <c r="C587" t="s">
        <v>394</v>
      </c>
      <c r="D587" t="s">
        <v>227</v>
      </c>
      <c r="E587" t="s">
        <v>2258</v>
      </c>
      <c r="F587" t="s">
        <v>224</v>
      </c>
      <c r="G587" s="77">
        <v>571</v>
      </c>
      <c r="H587" s="126">
        <v>67.2</v>
      </c>
      <c r="I587" s="124">
        <v>99.46</v>
      </c>
      <c r="J587" s="124">
        <v>144.51</v>
      </c>
      <c r="K587" s="77">
        <v>450</v>
      </c>
      <c r="L587" s="124">
        <v>693.97</v>
      </c>
    </row>
    <row r="588" spans="1:12" ht="15" customHeight="1" x14ac:dyDescent="0.25">
      <c r="A588" s="78">
        <v>45809</v>
      </c>
      <c r="B588" t="s">
        <v>393</v>
      </c>
      <c r="C588" t="s">
        <v>394</v>
      </c>
      <c r="D588" t="s">
        <v>227</v>
      </c>
      <c r="E588" t="s">
        <v>2285</v>
      </c>
      <c r="F588" t="s">
        <v>228</v>
      </c>
      <c r="G588" s="77">
        <v>707</v>
      </c>
      <c r="H588" s="126">
        <v>83.2</v>
      </c>
      <c r="I588" s="124">
        <v>123.14</v>
      </c>
      <c r="J588" s="124">
        <v>408.98</v>
      </c>
      <c r="K588" s="77">
        <v>320</v>
      </c>
      <c r="L588" s="124">
        <v>852.12</v>
      </c>
    </row>
    <row r="589" spans="1:12" ht="15" customHeight="1" x14ac:dyDescent="0.25">
      <c r="A589" s="78">
        <v>45809</v>
      </c>
      <c r="B589" t="s">
        <v>393</v>
      </c>
      <c r="C589" t="s">
        <v>394</v>
      </c>
      <c r="D589" t="s">
        <v>227</v>
      </c>
      <c r="E589" t="s">
        <v>2250</v>
      </c>
      <c r="F589" t="s">
        <v>226</v>
      </c>
      <c r="G589" s="77">
        <v>1277</v>
      </c>
      <c r="H589" s="126">
        <v>121.6</v>
      </c>
      <c r="I589" s="124">
        <v>179.97</v>
      </c>
      <c r="J589" s="124">
        <v>158.46</v>
      </c>
      <c r="K589" s="77">
        <v>520</v>
      </c>
      <c r="L589" s="124">
        <v>858.43</v>
      </c>
    </row>
    <row r="590" spans="1:12" ht="15" customHeight="1" x14ac:dyDescent="0.25">
      <c r="A590" s="78">
        <v>45839</v>
      </c>
      <c r="B590" t="s">
        <v>390</v>
      </c>
      <c r="C590" t="s">
        <v>391</v>
      </c>
      <c r="D590" t="s">
        <v>221</v>
      </c>
      <c r="E590" t="s">
        <v>2246</v>
      </c>
      <c r="F590" t="s">
        <v>224</v>
      </c>
      <c r="G590" s="77">
        <v>1365</v>
      </c>
      <c r="H590" s="126">
        <v>160.6</v>
      </c>
      <c r="I590" s="124">
        <v>237.69</v>
      </c>
      <c r="J590" s="124">
        <v>82.29</v>
      </c>
      <c r="K590" s="77">
        <v>520</v>
      </c>
      <c r="L590" s="124">
        <v>839.98</v>
      </c>
    </row>
    <row r="591" spans="1:12" ht="15" customHeight="1" x14ac:dyDescent="0.25">
      <c r="A591" s="78">
        <v>45839</v>
      </c>
      <c r="B591" t="s">
        <v>390</v>
      </c>
      <c r="C591" t="s">
        <v>391</v>
      </c>
      <c r="D591" t="s">
        <v>221</v>
      </c>
      <c r="E591" t="s">
        <v>2310</v>
      </c>
      <c r="F591" t="s">
        <v>222</v>
      </c>
      <c r="G591" s="77">
        <v>1185</v>
      </c>
      <c r="H591" s="126">
        <v>112.9</v>
      </c>
      <c r="I591" s="124">
        <v>167.09</v>
      </c>
      <c r="J591" s="124">
        <v>165.98</v>
      </c>
      <c r="K591" s="77">
        <v>520</v>
      </c>
      <c r="L591" s="124">
        <v>853.07</v>
      </c>
    </row>
    <row r="592" spans="1:12" ht="15" customHeight="1" x14ac:dyDescent="0.25">
      <c r="A592" s="78">
        <v>45839</v>
      </c>
      <c r="B592" t="s">
        <v>390</v>
      </c>
      <c r="C592" t="s">
        <v>391</v>
      </c>
      <c r="D592" t="s">
        <v>221</v>
      </c>
      <c r="E592" t="s">
        <v>2349</v>
      </c>
      <c r="F592" t="s">
        <v>228</v>
      </c>
      <c r="G592" s="77">
        <v>1116</v>
      </c>
      <c r="H592" s="126">
        <v>131.30000000000001</v>
      </c>
      <c r="I592" s="124">
        <v>194.32</v>
      </c>
      <c r="J592" s="124">
        <v>351.79</v>
      </c>
      <c r="K592" s="77">
        <v>320</v>
      </c>
      <c r="L592" s="124">
        <v>866.11</v>
      </c>
    </row>
    <row r="593" spans="1:12" ht="15" customHeight="1" x14ac:dyDescent="0.25">
      <c r="A593" s="78">
        <v>45839</v>
      </c>
      <c r="B593" t="s">
        <v>390</v>
      </c>
      <c r="C593" t="s">
        <v>391</v>
      </c>
      <c r="D593" t="s">
        <v>221</v>
      </c>
      <c r="E593" t="s">
        <v>2260</v>
      </c>
      <c r="F593" t="s">
        <v>222</v>
      </c>
      <c r="G593" s="77">
        <v>1233</v>
      </c>
      <c r="H593" s="126">
        <v>117.4</v>
      </c>
      <c r="I593" s="124">
        <v>173.75</v>
      </c>
      <c r="J593" s="124">
        <v>173.1</v>
      </c>
      <c r="K593" s="77">
        <v>520</v>
      </c>
      <c r="L593" s="124">
        <v>866.85</v>
      </c>
    </row>
    <row r="594" spans="1:12" ht="15" customHeight="1" x14ac:dyDescent="0.25">
      <c r="A594" s="78">
        <v>45839</v>
      </c>
      <c r="B594" t="s">
        <v>390</v>
      </c>
      <c r="C594" t="s">
        <v>391</v>
      </c>
      <c r="D594" t="s">
        <v>221</v>
      </c>
      <c r="E594" t="s">
        <v>2323</v>
      </c>
      <c r="F594" t="s">
        <v>224</v>
      </c>
      <c r="G594" s="77">
        <v>636</v>
      </c>
      <c r="H594" s="126">
        <v>74.8</v>
      </c>
      <c r="I594" s="124">
        <v>110.7</v>
      </c>
      <c r="J594" s="124">
        <v>73.2</v>
      </c>
      <c r="K594" s="77">
        <v>450</v>
      </c>
      <c r="L594" s="124">
        <v>633.9</v>
      </c>
    </row>
    <row r="595" spans="1:12" ht="15" customHeight="1" x14ac:dyDescent="0.25">
      <c r="A595" s="78">
        <v>45839</v>
      </c>
      <c r="B595" t="s">
        <v>390</v>
      </c>
      <c r="C595" t="s">
        <v>391</v>
      </c>
      <c r="D595" t="s">
        <v>221</v>
      </c>
      <c r="E595" t="s">
        <v>2330</v>
      </c>
      <c r="F595" t="s">
        <v>222</v>
      </c>
      <c r="G595" s="77">
        <v>1019</v>
      </c>
      <c r="H595" s="126">
        <v>97</v>
      </c>
      <c r="I595" s="124">
        <v>143.56</v>
      </c>
      <c r="J595" s="124">
        <v>157.47</v>
      </c>
      <c r="K595" s="77">
        <v>450</v>
      </c>
      <c r="L595" s="124">
        <v>751.03</v>
      </c>
    </row>
    <row r="596" spans="1:12" ht="15" customHeight="1" x14ac:dyDescent="0.25">
      <c r="A596" s="78">
        <v>45839</v>
      </c>
      <c r="B596" t="s">
        <v>390</v>
      </c>
      <c r="C596" t="s">
        <v>391</v>
      </c>
      <c r="D596" t="s">
        <v>221</v>
      </c>
      <c r="E596" t="s">
        <v>2326</v>
      </c>
      <c r="F596" t="s">
        <v>228</v>
      </c>
      <c r="G596" s="77">
        <v>767</v>
      </c>
      <c r="H596" s="126">
        <v>90.2</v>
      </c>
      <c r="I596" s="124">
        <v>133.5</v>
      </c>
      <c r="J596" s="124">
        <v>442.93</v>
      </c>
      <c r="K596" s="77">
        <v>520</v>
      </c>
      <c r="L596" s="124">
        <v>1096.43</v>
      </c>
    </row>
    <row r="597" spans="1:12" ht="15" customHeight="1" x14ac:dyDescent="0.25">
      <c r="A597" s="78">
        <v>45839</v>
      </c>
      <c r="B597" t="s">
        <v>401</v>
      </c>
      <c r="C597" t="s">
        <v>402</v>
      </c>
      <c r="D597" t="s">
        <v>221</v>
      </c>
      <c r="E597" t="s">
        <v>2241</v>
      </c>
      <c r="F597" t="s">
        <v>228</v>
      </c>
      <c r="G597" s="77">
        <v>1429</v>
      </c>
      <c r="H597" s="126">
        <v>168.1</v>
      </c>
      <c r="I597" s="124">
        <v>248.79</v>
      </c>
      <c r="J597" s="124">
        <v>298.17</v>
      </c>
      <c r="K597" s="77">
        <v>450</v>
      </c>
      <c r="L597" s="124">
        <v>996.96</v>
      </c>
    </row>
    <row r="598" spans="1:12" ht="15" customHeight="1" x14ac:dyDescent="0.25">
      <c r="A598" s="78">
        <v>45839</v>
      </c>
      <c r="B598" t="s">
        <v>401</v>
      </c>
      <c r="C598" t="s">
        <v>402</v>
      </c>
      <c r="D598" t="s">
        <v>221</v>
      </c>
      <c r="E598" t="s">
        <v>2327</v>
      </c>
      <c r="F598" t="s">
        <v>224</v>
      </c>
      <c r="G598" s="77">
        <v>1068</v>
      </c>
      <c r="H598" s="126">
        <v>125.6</v>
      </c>
      <c r="I598" s="124">
        <v>185.89</v>
      </c>
      <c r="J598" s="124">
        <v>133.02000000000001</v>
      </c>
      <c r="K598" s="77">
        <v>320</v>
      </c>
      <c r="L598" s="124">
        <v>638.91</v>
      </c>
    </row>
    <row r="599" spans="1:12" ht="15" customHeight="1" x14ac:dyDescent="0.25">
      <c r="A599" s="78">
        <v>45839</v>
      </c>
      <c r="B599" t="s">
        <v>401</v>
      </c>
      <c r="C599" t="s">
        <v>402</v>
      </c>
      <c r="D599" t="s">
        <v>221</v>
      </c>
      <c r="E599" t="s">
        <v>2338</v>
      </c>
      <c r="F599" t="s">
        <v>224</v>
      </c>
      <c r="G599" s="77">
        <v>812</v>
      </c>
      <c r="H599" s="126">
        <v>95.5</v>
      </c>
      <c r="I599" s="124">
        <v>141.34</v>
      </c>
      <c r="J599" s="124">
        <v>156.19999999999999</v>
      </c>
      <c r="K599" s="77">
        <v>450</v>
      </c>
      <c r="L599" s="124">
        <v>747.54</v>
      </c>
    </row>
    <row r="600" spans="1:12" ht="15" customHeight="1" x14ac:dyDescent="0.25">
      <c r="A600" s="78">
        <v>45839</v>
      </c>
      <c r="B600" t="s">
        <v>401</v>
      </c>
      <c r="C600" t="s">
        <v>402</v>
      </c>
      <c r="D600" t="s">
        <v>221</v>
      </c>
      <c r="E600" t="s">
        <v>2293</v>
      </c>
      <c r="F600" t="s">
        <v>228</v>
      </c>
      <c r="G600" s="77">
        <v>1114</v>
      </c>
      <c r="H600" s="126">
        <v>131.1</v>
      </c>
      <c r="I600" s="124">
        <v>194.03</v>
      </c>
      <c r="J600" s="124">
        <v>150.66</v>
      </c>
      <c r="K600" s="77">
        <v>320</v>
      </c>
      <c r="L600" s="124">
        <v>664.69</v>
      </c>
    </row>
    <row r="601" spans="1:12" ht="15" customHeight="1" x14ac:dyDescent="0.25">
      <c r="A601" s="78">
        <v>45839</v>
      </c>
      <c r="B601" t="s">
        <v>401</v>
      </c>
      <c r="C601" t="s">
        <v>402</v>
      </c>
      <c r="D601" t="s">
        <v>221</v>
      </c>
      <c r="E601" t="s">
        <v>2233</v>
      </c>
      <c r="F601" t="s">
        <v>222</v>
      </c>
      <c r="G601" s="77">
        <v>1133</v>
      </c>
      <c r="H601" s="126">
        <v>107.9</v>
      </c>
      <c r="I601" s="124">
        <v>159.69</v>
      </c>
      <c r="J601" s="124">
        <v>137.58000000000001</v>
      </c>
      <c r="K601" s="77">
        <v>450</v>
      </c>
      <c r="L601" s="124">
        <v>747.27</v>
      </c>
    </row>
    <row r="602" spans="1:12" ht="15" customHeight="1" x14ac:dyDescent="0.25">
      <c r="A602" s="78">
        <v>45839</v>
      </c>
      <c r="B602" t="s">
        <v>431</v>
      </c>
      <c r="C602" t="s">
        <v>432</v>
      </c>
      <c r="D602" t="s">
        <v>221</v>
      </c>
      <c r="E602" t="s">
        <v>2265</v>
      </c>
      <c r="F602" t="s">
        <v>226</v>
      </c>
      <c r="G602" s="77">
        <v>573</v>
      </c>
      <c r="H602" s="126">
        <v>54.6</v>
      </c>
      <c r="I602" s="124">
        <v>80.81</v>
      </c>
      <c r="J602" s="124">
        <v>81.17</v>
      </c>
      <c r="K602" s="77">
        <v>320</v>
      </c>
      <c r="L602" s="124">
        <v>481.98</v>
      </c>
    </row>
    <row r="603" spans="1:12" ht="15" customHeight="1" x14ac:dyDescent="0.25">
      <c r="A603" s="78">
        <v>45839</v>
      </c>
      <c r="B603" t="s">
        <v>431</v>
      </c>
      <c r="C603" t="s">
        <v>432</v>
      </c>
      <c r="D603" t="s">
        <v>221</v>
      </c>
      <c r="E603" t="s">
        <v>2348</v>
      </c>
      <c r="F603" t="s">
        <v>222</v>
      </c>
      <c r="G603" s="77">
        <v>946</v>
      </c>
      <c r="H603" s="126">
        <v>90.1</v>
      </c>
      <c r="I603" s="124">
        <v>133.35</v>
      </c>
      <c r="J603" s="124">
        <v>301.02</v>
      </c>
      <c r="K603" s="77">
        <v>380</v>
      </c>
      <c r="L603" s="124">
        <v>814.37</v>
      </c>
    </row>
    <row r="604" spans="1:12" ht="15" customHeight="1" x14ac:dyDescent="0.25">
      <c r="A604" s="78">
        <v>45839</v>
      </c>
      <c r="B604" t="s">
        <v>431</v>
      </c>
      <c r="C604" t="s">
        <v>432</v>
      </c>
      <c r="D604" t="s">
        <v>221</v>
      </c>
      <c r="E604" t="s">
        <v>2292</v>
      </c>
      <c r="F604" t="s">
        <v>226</v>
      </c>
      <c r="G604" s="77">
        <v>1189</v>
      </c>
      <c r="H604" s="126">
        <v>113.2</v>
      </c>
      <c r="I604" s="124">
        <v>167.54</v>
      </c>
      <c r="J604" s="124">
        <v>43.16</v>
      </c>
      <c r="K604" s="77">
        <v>520</v>
      </c>
      <c r="L604" s="124">
        <v>730.7</v>
      </c>
    </row>
    <row r="605" spans="1:12" ht="15" customHeight="1" x14ac:dyDescent="0.25">
      <c r="A605" s="78">
        <v>45839</v>
      </c>
      <c r="B605" t="s">
        <v>366</v>
      </c>
      <c r="C605" t="s">
        <v>367</v>
      </c>
      <c r="D605" t="s">
        <v>221</v>
      </c>
      <c r="E605" t="s">
        <v>2320</v>
      </c>
      <c r="F605" t="s">
        <v>222</v>
      </c>
      <c r="G605" s="77">
        <v>1171</v>
      </c>
      <c r="H605" s="126">
        <v>111.5</v>
      </c>
      <c r="I605" s="124">
        <v>165.02</v>
      </c>
      <c r="J605" s="124">
        <v>26.22</v>
      </c>
      <c r="K605" s="77">
        <v>450</v>
      </c>
      <c r="L605" s="124">
        <v>641.24</v>
      </c>
    </row>
    <row r="606" spans="1:12" ht="15" customHeight="1" x14ac:dyDescent="0.25">
      <c r="A606" s="78">
        <v>45839</v>
      </c>
      <c r="B606" t="s">
        <v>366</v>
      </c>
      <c r="C606" t="s">
        <v>367</v>
      </c>
      <c r="D606" t="s">
        <v>221</v>
      </c>
      <c r="E606" t="s">
        <v>2307</v>
      </c>
      <c r="F606" t="s">
        <v>228</v>
      </c>
      <c r="G606" s="77">
        <v>1320</v>
      </c>
      <c r="H606" s="126">
        <v>155.30000000000001</v>
      </c>
      <c r="I606" s="124">
        <v>229.84</v>
      </c>
      <c r="J606" s="124">
        <v>212.31</v>
      </c>
      <c r="K606" s="77">
        <v>320</v>
      </c>
      <c r="L606" s="124">
        <v>762.15</v>
      </c>
    </row>
    <row r="607" spans="1:12" ht="15" customHeight="1" x14ac:dyDescent="0.25">
      <c r="A607" s="78">
        <v>45839</v>
      </c>
      <c r="B607" t="s">
        <v>366</v>
      </c>
      <c r="C607" t="s">
        <v>367</v>
      </c>
      <c r="D607" t="s">
        <v>221</v>
      </c>
      <c r="E607" t="s">
        <v>2224</v>
      </c>
      <c r="F607" t="s">
        <v>226</v>
      </c>
      <c r="G607" s="77">
        <v>1026</v>
      </c>
      <c r="H607" s="126">
        <v>97.7</v>
      </c>
      <c r="I607" s="124">
        <v>144.6</v>
      </c>
      <c r="J607" s="124">
        <v>256.06</v>
      </c>
      <c r="K607" s="77">
        <v>320</v>
      </c>
      <c r="L607" s="124">
        <v>720.66</v>
      </c>
    </row>
    <row r="608" spans="1:12" ht="15" customHeight="1" x14ac:dyDescent="0.25">
      <c r="A608" s="78">
        <v>45839</v>
      </c>
      <c r="B608" t="s">
        <v>366</v>
      </c>
      <c r="C608" t="s">
        <v>367</v>
      </c>
      <c r="D608" t="s">
        <v>221</v>
      </c>
      <c r="E608" t="s">
        <v>2223</v>
      </c>
      <c r="F608" t="s">
        <v>224</v>
      </c>
      <c r="G608" s="77">
        <v>728</v>
      </c>
      <c r="H608" s="126">
        <v>85.6</v>
      </c>
      <c r="I608" s="124">
        <v>126.69</v>
      </c>
      <c r="J608" s="124">
        <v>38.229999999999997</v>
      </c>
      <c r="K608" s="77">
        <v>320</v>
      </c>
      <c r="L608" s="124">
        <v>484.92</v>
      </c>
    </row>
    <row r="609" spans="1:12" ht="15" customHeight="1" x14ac:dyDescent="0.25">
      <c r="A609" s="78">
        <v>45839</v>
      </c>
      <c r="B609" t="s">
        <v>366</v>
      </c>
      <c r="C609" t="s">
        <v>367</v>
      </c>
      <c r="D609" t="s">
        <v>221</v>
      </c>
      <c r="E609" t="s">
        <v>2257</v>
      </c>
      <c r="F609" t="s">
        <v>228</v>
      </c>
      <c r="G609" s="77">
        <v>904</v>
      </c>
      <c r="H609" s="126">
        <v>106.4</v>
      </c>
      <c r="I609" s="124">
        <v>157.47</v>
      </c>
      <c r="J609" s="124">
        <v>333.07</v>
      </c>
      <c r="K609" s="77">
        <v>450</v>
      </c>
      <c r="L609" s="124">
        <v>940.54</v>
      </c>
    </row>
    <row r="610" spans="1:12" ht="15" customHeight="1" x14ac:dyDescent="0.25">
      <c r="A610" s="78">
        <v>45839</v>
      </c>
      <c r="B610" t="s">
        <v>366</v>
      </c>
      <c r="C610" t="s">
        <v>367</v>
      </c>
      <c r="D610" t="s">
        <v>221</v>
      </c>
      <c r="E610" t="s">
        <v>2332</v>
      </c>
      <c r="F610" t="s">
        <v>224</v>
      </c>
      <c r="G610" s="77">
        <v>670</v>
      </c>
      <c r="H610" s="126">
        <v>78.8</v>
      </c>
      <c r="I610" s="124">
        <v>116.62</v>
      </c>
      <c r="J610" s="124">
        <v>0</v>
      </c>
      <c r="K610" s="77">
        <v>520</v>
      </c>
      <c r="L610" s="124">
        <v>636.62</v>
      </c>
    </row>
    <row r="611" spans="1:12" ht="15" customHeight="1" x14ac:dyDescent="0.25">
      <c r="A611" s="78">
        <v>45839</v>
      </c>
      <c r="B611" t="s">
        <v>362</v>
      </c>
      <c r="C611" t="s">
        <v>363</v>
      </c>
      <c r="D611" t="s">
        <v>221</v>
      </c>
      <c r="E611" t="s">
        <v>2319</v>
      </c>
      <c r="F611" t="s">
        <v>224</v>
      </c>
      <c r="G611" s="77">
        <v>937</v>
      </c>
      <c r="H611" s="126">
        <v>110.2</v>
      </c>
      <c r="I611" s="124">
        <v>163.1</v>
      </c>
      <c r="J611" s="124">
        <v>194.14</v>
      </c>
      <c r="K611" s="77">
        <v>320</v>
      </c>
      <c r="L611" s="124">
        <v>677.24</v>
      </c>
    </row>
    <row r="612" spans="1:12" ht="15" customHeight="1" x14ac:dyDescent="0.25">
      <c r="A612" s="78">
        <v>45839</v>
      </c>
      <c r="B612" t="s">
        <v>362</v>
      </c>
      <c r="C612" t="s">
        <v>363</v>
      </c>
      <c r="D612" t="s">
        <v>221</v>
      </c>
      <c r="E612" t="s">
        <v>2357</v>
      </c>
      <c r="F612" t="s">
        <v>226</v>
      </c>
      <c r="G612" s="77">
        <v>1350</v>
      </c>
      <c r="H612" s="126">
        <v>128.6</v>
      </c>
      <c r="I612" s="124">
        <v>190.33</v>
      </c>
      <c r="J612" s="124">
        <v>112.95</v>
      </c>
      <c r="K612" s="77">
        <v>450</v>
      </c>
      <c r="L612" s="124">
        <v>753.28</v>
      </c>
    </row>
    <row r="613" spans="1:12" ht="15" customHeight="1" x14ac:dyDescent="0.25">
      <c r="A613" s="78">
        <v>45839</v>
      </c>
      <c r="B613" t="s">
        <v>362</v>
      </c>
      <c r="C613" t="s">
        <v>363</v>
      </c>
      <c r="D613" t="s">
        <v>221</v>
      </c>
      <c r="E613" t="s">
        <v>2310</v>
      </c>
      <c r="F613" t="s">
        <v>228</v>
      </c>
      <c r="G613" s="77">
        <v>947</v>
      </c>
      <c r="H613" s="126">
        <v>111.4</v>
      </c>
      <c r="I613" s="124">
        <v>164.87</v>
      </c>
      <c r="J613" s="124">
        <v>342.31</v>
      </c>
      <c r="K613" s="77">
        <v>380</v>
      </c>
      <c r="L613" s="124">
        <v>887.18</v>
      </c>
    </row>
    <row r="614" spans="1:12" ht="15" customHeight="1" x14ac:dyDescent="0.25">
      <c r="A614" s="78">
        <v>45839</v>
      </c>
      <c r="B614" t="s">
        <v>335</v>
      </c>
      <c r="C614" t="s">
        <v>336</v>
      </c>
      <c r="D614" t="s">
        <v>223</v>
      </c>
      <c r="E614" t="s">
        <v>2250</v>
      </c>
      <c r="F614" t="s">
        <v>224</v>
      </c>
      <c r="G614" s="77">
        <v>582</v>
      </c>
      <c r="H614" s="126">
        <v>68.5</v>
      </c>
      <c r="I614" s="124">
        <v>101.38</v>
      </c>
      <c r="J614" s="124">
        <v>118.92</v>
      </c>
      <c r="K614" s="77">
        <v>450</v>
      </c>
      <c r="L614" s="124">
        <v>670.3</v>
      </c>
    </row>
    <row r="615" spans="1:12" ht="15" customHeight="1" x14ac:dyDescent="0.25">
      <c r="A615" s="78">
        <v>45839</v>
      </c>
      <c r="B615" t="s">
        <v>335</v>
      </c>
      <c r="C615" t="s">
        <v>336</v>
      </c>
      <c r="D615" t="s">
        <v>223</v>
      </c>
      <c r="E615" t="s">
        <v>2299</v>
      </c>
      <c r="F615" t="s">
        <v>226</v>
      </c>
      <c r="G615" s="77">
        <v>1097</v>
      </c>
      <c r="H615" s="126">
        <v>104.5</v>
      </c>
      <c r="I615" s="124">
        <v>154.66</v>
      </c>
      <c r="J615" s="124">
        <v>185.94</v>
      </c>
      <c r="K615" s="77">
        <v>450</v>
      </c>
      <c r="L615" s="124">
        <v>790.6</v>
      </c>
    </row>
    <row r="616" spans="1:12" ht="15" customHeight="1" x14ac:dyDescent="0.25">
      <c r="A616" s="78">
        <v>45839</v>
      </c>
      <c r="B616" t="s">
        <v>335</v>
      </c>
      <c r="C616" t="s">
        <v>336</v>
      </c>
      <c r="D616" t="s">
        <v>223</v>
      </c>
      <c r="E616" t="s">
        <v>2253</v>
      </c>
      <c r="F616" t="s">
        <v>222</v>
      </c>
      <c r="G616" s="77">
        <v>922</v>
      </c>
      <c r="H616" s="126">
        <v>87.8</v>
      </c>
      <c r="I616" s="124">
        <v>129.94</v>
      </c>
      <c r="J616" s="124">
        <v>152.76</v>
      </c>
      <c r="K616" s="77">
        <v>520</v>
      </c>
      <c r="L616" s="124">
        <v>802.7</v>
      </c>
    </row>
    <row r="617" spans="1:12" ht="15" customHeight="1" x14ac:dyDescent="0.25">
      <c r="A617" s="78">
        <v>45839</v>
      </c>
      <c r="B617" t="s">
        <v>386</v>
      </c>
      <c r="C617" t="s">
        <v>387</v>
      </c>
      <c r="D617" t="s">
        <v>223</v>
      </c>
      <c r="E617" t="s">
        <v>2255</v>
      </c>
      <c r="F617" t="s">
        <v>226</v>
      </c>
      <c r="G617" s="77">
        <v>427</v>
      </c>
      <c r="H617" s="126">
        <v>40.700000000000003</v>
      </c>
      <c r="I617" s="124">
        <v>60.24</v>
      </c>
      <c r="J617" s="124">
        <v>97.34</v>
      </c>
      <c r="K617" s="77">
        <v>320</v>
      </c>
      <c r="L617" s="124">
        <v>477.58</v>
      </c>
    </row>
    <row r="618" spans="1:12" ht="15" customHeight="1" x14ac:dyDescent="0.25">
      <c r="A618" s="78">
        <v>45839</v>
      </c>
      <c r="B618" t="s">
        <v>386</v>
      </c>
      <c r="C618" t="s">
        <v>387</v>
      </c>
      <c r="D618" t="s">
        <v>223</v>
      </c>
      <c r="E618" t="s">
        <v>2275</v>
      </c>
      <c r="F618" t="s">
        <v>224</v>
      </c>
      <c r="G618" s="77">
        <v>1163</v>
      </c>
      <c r="H618" s="126">
        <v>136.80000000000001</v>
      </c>
      <c r="I618" s="124">
        <v>202.46</v>
      </c>
      <c r="J618" s="124">
        <v>71.42</v>
      </c>
      <c r="K618" s="77">
        <v>380</v>
      </c>
      <c r="L618" s="124">
        <v>653.88</v>
      </c>
    </row>
    <row r="619" spans="1:12" ht="15" customHeight="1" x14ac:dyDescent="0.25">
      <c r="A619" s="78">
        <v>45839</v>
      </c>
      <c r="B619" t="s">
        <v>386</v>
      </c>
      <c r="C619" t="s">
        <v>387</v>
      </c>
      <c r="D619" t="s">
        <v>223</v>
      </c>
      <c r="E619" t="s">
        <v>2260</v>
      </c>
      <c r="F619" t="s">
        <v>228</v>
      </c>
      <c r="G619" s="77">
        <v>1064</v>
      </c>
      <c r="H619" s="126">
        <v>125.2</v>
      </c>
      <c r="I619" s="124">
        <v>185.3</v>
      </c>
      <c r="J619" s="124">
        <v>285.75</v>
      </c>
      <c r="K619" s="77">
        <v>450</v>
      </c>
      <c r="L619" s="124">
        <v>921.05</v>
      </c>
    </row>
    <row r="620" spans="1:12" ht="15" customHeight="1" x14ac:dyDescent="0.25">
      <c r="A620" s="78">
        <v>45839</v>
      </c>
      <c r="B620" t="s">
        <v>386</v>
      </c>
      <c r="C620" t="s">
        <v>387</v>
      </c>
      <c r="D620" t="s">
        <v>223</v>
      </c>
      <c r="E620" t="s">
        <v>2342</v>
      </c>
      <c r="F620" t="s">
        <v>224</v>
      </c>
      <c r="G620" s="77">
        <v>964</v>
      </c>
      <c r="H620" s="126">
        <v>113.4</v>
      </c>
      <c r="I620" s="124">
        <v>167.83</v>
      </c>
      <c r="J620" s="124">
        <v>163.63999999999999</v>
      </c>
      <c r="K620" s="77">
        <v>450</v>
      </c>
      <c r="L620" s="124">
        <v>781.47</v>
      </c>
    </row>
    <row r="621" spans="1:12" ht="15" customHeight="1" x14ac:dyDescent="0.25">
      <c r="A621" s="78">
        <v>45839</v>
      </c>
      <c r="B621" t="s">
        <v>341</v>
      </c>
      <c r="C621" t="s">
        <v>342</v>
      </c>
      <c r="D621" t="s">
        <v>223</v>
      </c>
      <c r="E621" t="s">
        <v>2239</v>
      </c>
      <c r="F621" t="s">
        <v>228</v>
      </c>
      <c r="G621" s="77">
        <v>809</v>
      </c>
      <c r="H621" s="126">
        <v>95.2</v>
      </c>
      <c r="I621" s="124">
        <v>140.9</v>
      </c>
      <c r="J621" s="124">
        <v>233.47</v>
      </c>
      <c r="K621" s="77">
        <v>380</v>
      </c>
      <c r="L621" s="124">
        <v>754.37</v>
      </c>
    </row>
    <row r="622" spans="1:12" ht="15" customHeight="1" x14ac:dyDescent="0.25">
      <c r="A622" s="78">
        <v>45839</v>
      </c>
      <c r="B622" t="s">
        <v>341</v>
      </c>
      <c r="C622" t="s">
        <v>342</v>
      </c>
      <c r="D622" t="s">
        <v>223</v>
      </c>
      <c r="E622" t="s">
        <v>2351</v>
      </c>
      <c r="F622" t="s">
        <v>222</v>
      </c>
      <c r="G622" s="77">
        <v>1202</v>
      </c>
      <c r="H622" s="126">
        <v>114.5</v>
      </c>
      <c r="I622" s="124">
        <v>169.46</v>
      </c>
      <c r="J622" s="124">
        <v>162.56</v>
      </c>
      <c r="K622" s="77">
        <v>450</v>
      </c>
      <c r="L622" s="124">
        <v>782.02</v>
      </c>
    </row>
    <row r="623" spans="1:12" ht="15" customHeight="1" x14ac:dyDescent="0.25">
      <c r="A623" s="78">
        <v>45839</v>
      </c>
      <c r="B623" t="s">
        <v>341</v>
      </c>
      <c r="C623" t="s">
        <v>342</v>
      </c>
      <c r="D623" t="s">
        <v>223</v>
      </c>
      <c r="E623" t="s">
        <v>2284</v>
      </c>
      <c r="F623" t="s">
        <v>224</v>
      </c>
      <c r="G623" s="77">
        <v>903</v>
      </c>
      <c r="H623" s="126">
        <v>106.2</v>
      </c>
      <c r="I623" s="124">
        <v>157.18</v>
      </c>
      <c r="J623" s="124">
        <v>167.94</v>
      </c>
      <c r="K623" s="77">
        <v>520</v>
      </c>
      <c r="L623" s="124">
        <v>845.12</v>
      </c>
    </row>
    <row r="624" spans="1:12" ht="15" customHeight="1" x14ac:dyDescent="0.25">
      <c r="A624" s="78">
        <v>45839</v>
      </c>
      <c r="B624" t="s">
        <v>347</v>
      </c>
      <c r="C624" t="s">
        <v>348</v>
      </c>
      <c r="D624" t="s">
        <v>223</v>
      </c>
      <c r="E624" t="s">
        <v>2273</v>
      </c>
      <c r="F624" t="s">
        <v>228</v>
      </c>
      <c r="G624" s="77">
        <v>1228</v>
      </c>
      <c r="H624" s="126">
        <v>144.5</v>
      </c>
      <c r="I624" s="124">
        <v>213.86</v>
      </c>
      <c r="J624" s="124">
        <v>86</v>
      </c>
      <c r="K624" s="77">
        <v>520</v>
      </c>
      <c r="L624" s="124">
        <v>819.86</v>
      </c>
    </row>
    <row r="625" spans="1:12" ht="15" customHeight="1" x14ac:dyDescent="0.25">
      <c r="A625" s="78">
        <v>45839</v>
      </c>
      <c r="B625" t="s">
        <v>347</v>
      </c>
      <c r="C625" t="s">
        <v>348</v>
      </c>
      <c r="D625" t="s">
        <v>223</v>
      </c>
      <c r="E625" t="s">
        <v>2338</v>
      </c>
      <c r="F625" t="s">
        <v>226</v>
      </c>
      <c r="G625" s="77">
        <v>1339</v>
      </c>
      <c r="H625" s="126">
        <v>127.5</v>
      </c>
      <c r="I625" s="124">
        <v>188.7</v>
      </c>
      <c r="J625" s="124">
        <v>123.1</v>
      </c>
      <c r="K625" s="77">
        <v>520</v>
      </c>
      <c r="L625" s="124">
        <v>831.8</v>
      </c>
    </row>
    <row r="626" spans="1:12" ht="15" customHeight="1" x14ac:dyDescent="0.25">
      <c r="A626" s="78">
        <v>45839</v>
      </c>
      <c r="B626" t="s">
        <v>347</v>
      </c>
      <c r="C626" t="s">
        <v>348</v>
      </c>
      <c r="D626" t="s">
        <v>223</v>
      </c>
      <c r="E626" t="s">
        <v>2333</v>
      </c>
      <c r="F626" t="s">
        <v>224</v>
      </c>
      <c r="G626" s="77">
        <v>1156</v>
      </c>
      <c r="H626" s="126">
        <v>136</v>
      </c>
      <c r="I626" s="124">
        <v>201.28</v>
      </c>
      <c r="J626" s="124">
        <v>245.78</v>
      </c>
      <c r="K626" s="77">
        <v>380</v>
      </c>
      <c r="L626" s="124">
        <v>827.06</v>
      </c>
    </row>
    <row r="627" spans="1:12" ht="15" customHeight="1" x14ac:dyDescent="0.25">
      <c r="A627" s="78">
        <v>45839</v>
      </c>
      <c r="B627" t="s">
        <v>347</v>
      </c>
      <c r="C627" t="s">
        <v>348</v>
      </c>
      <c r="D627" t="s">
        <v>223</v>
      </c>
      <c r="E627" t="s">
        <v>2299</v>
      </c>
      <c r="F627" t="s">
        <v>226</v>
      </c>
      <c r="G627" s="77">
        <v>707</v>
      </c>
      <c r="H627" s="126">
        <v>67.3</v>
      </c>
      <c r="I627" s="124">
        <v>99.6</v>
      </c>
      <c r="J627" s="124">
        <v>93.24</v>
      </c>
      <c r="K627" s="77">
        <v>520</v>
      </c>
      <c r="L627" s="124">
        <v>712.84</v>
      </c>
    </row>
    <row r="628" spans="1:12" ht="15" customHeight="1" x14ac:dyDescent="0.25">
      <c r="A628" s="78">
        <v>45839</v>
      </c>
      <c r="B628" t="s">
        <v>347</v>
      </c>
      <c r="C628" t="s">
        <v>348</v>
      </c>
      <c r="D628" t="s">
        <v>223</v>
      </c>
      <c r="E628" t="s">
        <v>2340</v>
      </c>
      <c r="F628" t="s">
        <v>228</v>
      </c>
      <c r="G628" s="77">
        <v>977</v>
      </c>
      <c r="H628" s="126">
        <v>114.9</v>
      </c>
      <c r="I628" s="124">
        <v>170.05</v>
      </c>
      <c r="J628" s="124">
        <v>187.3</v>
      </c>
      <c r="K628" s="77">
        <v>520</v>
      </c>
      <c r="L628" s="124">
        <v>877.35</v>
      </c>
    </row>
    <row r="629" spans="1:12" ht="15" customHeight="1" x14ac:dyDescent="0.25">
      <c r="A629" s="78">
        <v>45839</v>
      </c>
      <c r="B629" t="s">
        <v>347</v>
      </c>
      <c r="C629" t="s">
        <v>348</v>
      </c>
      <c r="D629" t="s">
        <v>223</v>
      </c>
      <c r="E629" t="s">
        <v>2344</v>
      </c>
      <c r="F629" t="s">
        <v>222</v>
      </c>
      <c r="G629" s="77">
        <v>1483</v>
      </c>
      <c r="H629" s="126">
        <v>141.19999999999999</v>
      </c>
      <c r="I629" s="124">
        <v>208.98</v>
      </c>
      <c r="J629" s="124">
        <v>81.459999999999994</v>
      </c>
      <c r="K629" s="77">
        <v>320</v>
      </c>
      <c r="L629" s="124">
        <v>610.44000000000005</v>
      </c>
    </row>
    <row r="630" spans="1:12" ht="15" customHeight="1" x14ac:dyDescent="0.25">
      <c r="A630" s="78">
        <v>45839</v>
      </c>
      <c r="B630" t="s">
        <v>347</v>
      </c>
      <c r="C630" t="s">
        <v>348</v>
      </c>
      <c r="D630" t="s">
        <v>223</v>
      </c>
      <c r="E630" t="s">
        <v>2336</v>
      </c>
      <c r="F630" t="s">
        <v>224</v>
      </c>
      <c r="G630" s="77">
        <v>911</v>
      </c>
      <c r="H630" s="126">
        <v>107.2</v>
      </c>
      <c r="I630" s="124">
        <v>158.66</v>
      </c>
      <c r="J630" s="124">
        <v>166.35</v>
      </c>
      <c r="K630" s="77">
        <v>450</v>
      </c>
      <c r="L630" s="124">
        <v>775.01</v>
      </c>
    </row>
    <row r="631" spans="1:12" ht="15" customHeight="1" x14ac:dyDescent="0.25">
      <c r="A631" s="78">
        <v>45839</v>
      </c>
      <c r="B631" t="s">
        <v>409</v>
      </c>
      <c r="C631" t="s">
        <v>410</v>
      </c>
      <c r="D631" t="s">
        <v>223</v>
      </c>
      <c r="E631" t="s">
        <v>2228</v>
      </c>
      <c r="F631" t="s">
        <v>228</v>
      </c>
      <c r="G631" s="77">
        <v>749</v>
      </c>
      <c r="H631" s="126">
        <v>88.1</v>
      </c>
      <c r="I631" s="124">
        <v>130.38999999999999</v>
      </c>
      <c r="J631" s="124">
        <v>218.35</v>
      </c>
      <c r="K631" s="77">
        <v>450</v>
      </c>
      <c r="L631" s="124">
        <v>798.74</v>
      </c>
    </row>
    <row r="632" spans="1:12" ht="15" customHeight="1" x14ac:dyDescent="0.25">
      <c r="A632" s="78">
        <v>45839</v>
      </c>
      <c r="B632" t="s">
        <v>409</v>
      </c>
      <c r="C632" t="s">
        <v>410</v>
      </c>
      <c r="D632" t="s">
        <v>223</v>
      </c>
      <c r="E632" t="s">
        <v>2276</v>
      </c>
      <c r="F632" t="s">
        <v>228</v>
      </c>
      <c r="G632" s="77">
        <v>1129</v>
      </c>
      <c r="H632" s="126">
        <v>132.80000000000001</v>
      </c>
      <c r="I632" s="124">
        <v>196.54</v>
      </c>
      <c r="J632" s="124">
        <v>223.37</v>
      </c>
      <c r="K632" s="77">
        <v>520</v>
      </c>
      <c r="L632" s="124">
        <v>939.91</v>
      </c>
    </row>
    <row r="633" spans="1:12" ht="15" customHeight="1" x14ac:dyDescent="0.25">
      <c r="A633" s="78">
        <v>45839</v>
      </c>
      <c r="B633" t="s">
        <v>409</v>
      </c>
      <c r="C633" t="s">
        <v>410</v>
      </c>
      <c r="D633" t="s">
        <v>223</v>
      </c>
      <c r="E633" t="s">
        <v>2270</v>
      </c>
      <c r="F633" t="s">
        <v>224</v>
      </c>
      <c r="G633" s="77">
        <v>1026</v>
      </c>
      <c r="H633" s="126">
        <v>120.7</v>
      </c>
      <c r="I633" s="124">
        <v>178.64</v>
      </c>
      <c r="J633" s="124">
        <v>107.65</v>
      </c>
      <c r="K633" s="77">
        <v>320</v>
      </c>
      <c r="L633" s="124">
        <v>606.29</v>
      </c>
    </row>
    <row r="634" spans="1:12" ht="15" customHeight="1" x14ac:dyDescent="0.25">
      <c r="A634" s="78">
        <v>45839</v>
      </c>
      <c r="B634" t="s">
        <v>488</v>
      </c>
      <c r="C634" t="s">
        <v>489</v>
      </c>
      <c r="D634" t="s">
        <v>225</v>
      </c>
      <c r="E634" t="s">
        <v>2297</v>
      </c>
      <c r="F634" t="s">
        <v>222</v>
      </c>
      <c r="G634" s="77">
        <v>671</v>
      </c>
      <c r="H634" s="126">
        <v>63.9</v>
      </c>
      <c r="I634" s="124">
        <v>94.57</v>
      </c>
      <c r="J634" s="124">
        <v>175.73</v>
      </c>
      <c r="K634" s="77">
        <v>450</v>
      </c>
      <c r="L634" s="124">
        <v>720.3</v>
      </c>
    </row>
    <row r="635" spans="1:12" ht="15" customHeight="1" x14ac:dyDescent="0.25">
      <c r="A635" s="78">
        <v>45839</v>
      </c>
      <c r="B635" t="s">
        <v>488</v>
      </c>
      <c r="C635" t="s">
        <v>489</v>
      </c>
      <c r="D635" t="s">
        <v>225</v>
      </c>
      <c r="E635" t="s">
        <v>2249</v>
      </c>
      <c r="F635" t="s">
        <v>224</v>
      </c>
      <c r="G635" s="77">
        <v>1488</v>
      </c>
      <c r="H635" s="126">
        <v>175.1</v>
      </c>
      <c r="I635" s="124">
        <v>259.14999999999998</v>
      </c>
      <c r="J635" s="124">
        <v>151.47</v>
      </c>
      <c r="K635" s="77">
        <v>380</v>
      </c>
      <c r="L635" s="124">
        <v>790.62</v>
      </c>
    </row>
    <row r="636" spans="1:12" ht="15" customHeight="1" x14ac:dyDescent="0.25">
      <c r="A636" s="78">
        <v>45839</v>
      </c>
      <c r="B636" t="s">
        <v>488</v>
      </c>
      <c r="C636" t="s">
        <v>489</v>
      </c>
      <c r="D636" t="s">
        <v>225</v>
      </c>
      <c r="E636" t="s">
        <v>2286</v>
      </c>
      <c r="F636" t="s">
        <v>224</v>
      </c>
      <c r="G636" s="77">
        <v>1106</v>
      </c>
      <c r="H636" s="126">
        <v>130.1</v>
      </c>
      <c r="I636" s="124">
        <v>192.55</v>
      </c>
      <c r="J636" s="124">
        <v>205.42</v>
      </c>
      <c r="K636" s="77">
        <v>380</v>
      </c>
      <c r="L636" s="124">
        <v>777.97</v>
      </c>
    </row>
    <row r="637" spans="1:12" ht="15" customHeight="1" x14ac:dyDescent="0.25">
      <c r="A637" s="78">
        <v>45839</v>
      </c>
      <c r="B637" t="s">
        <v>488</v>
      </c>
      <c r="C637" t="s">
        <v>489</v>
      </c>
      <c r="D637" t="s">
        <v>225</v>
      </c>
      <c r="E637" t="s">
        <v>2358</v>
      </c>
      <c r="F637" t="s">
        <v>224</v>
      </c>
      <c r="G637" s="77">
        <v>732</v>
      </c>
      <c r="H637" s="126">
        <v>86.1</v>
      </c>
      <c r="I637" s="124">
        <v>127.43</v>
      </c>
      <c r="J637" s="124">
        <v>286.2</v>
      </c>
      <c r="K637" s="77">
        <v>320</v>
      </c>
      <c r="L637" s="124">
        <v>733.63</v>
      </c>
    </row>
    <row r="638" spans="1:12" ht="15" customHeight="1" x14ac:dyDescent="0.25">
      <c r="A638" s="78">
        <v>45839</v>
      </c>
      <c r="B638" t="s">
        <v>406</v>
      </c>
      <c r="C638" t="s">
        <v>407</v>
      </c>
      <c r="D638" t="s">
        <v>225</v>
      </c>
      <c r="E638" t="s">
        <v>2348</v>
      </c>
      <c r="F638" t="s">
        <v>222</v>
      </c>
      <c r="G638" s="77">
        <v>1100</v>
      </c>
      <c r="H638" s="126">
        <v>104.8</v>
      </c>
      <c r="I638" s="124">
        <v>155.1</v>
      </c>
      <c r="J638" s="124">
        <v>280.55</v>
      </c>
      <c r="K638" s="77">
        <v>450</v>
      </c>
      <c r="L638" s="124">
        <v>885.65</v>
      </c>
    </row>
    <row r="639" spans="1:12" ht="15" customHeight="1" x14ac:dyDescent="0.25">
      <c r="A639" s="78">
        <v>45839</v>
      </c>
      <c r="B639" t="s">
        <v>406</v>
      </c>
      <c r="C639" t="s">
        <v>407</v>
      </c>
      <c r="D639" t="s">
        <v>225</v>
      </c>
      <c r="E639" t="s">
        <v>2253</v>
      </c>
      <c r="F639" t="s">
        <v>226</v>
      </c>
      <c r="G639" s="77">
        <v>866</v>
      </c>
      <c r="H639" s="126">
        <v>82.5</v>
      </c>
      <c r="I639" s="124">
        <v>122.1</v>
      </c>
      <c r="J639" s="124">
        <v>295.44</v>
      </c>
      <c r="K639" s="77">
        <v>380</v>
      </c>
      <c r="L639" s="124">
        <v>797.54</v>
      </c>
    </row>
    <row r="640" spans="1:12" ht="15" customHeight="1" x14ac:dyDescent="0.25">
      <c r="A640" s="78">
        <v>45839</v>
      </c>
      <c r="B640" t="s">
        <v>406</v>
      </c>
      <c r="C640" t="s">
        <v>407</v>
      </c>
      <c r="D640" t="s">
        <v>225</v>
      </c>
      <c r="E640" t="s">
        <v>2256</v>
      </c>
      <c r="F640" t="s">
        <v>224</v>
      </c>
      <c r="G640" s="77">
        <v>1243</v>
      </c>
      <c r="H640" s="126">
        <v>146.19999999999999</v>
      </c>
      <c r="I640" s="124">
        <v>216.38</v>
      </c>
      <c r="J640" s="124">
        <v>194.24</v>
      </c>
      <c r="K640" s="77">
        <v>520</v>
      </c>
      <c r="L640" s="124">
        <v>930.62</v>
      </c>
    </row>
    <row r="641" spans="1:12" ht="15" customHeight="1" x14ac:dyDescent="0.25">
      <c r="A641" s="78">
        <v>45839</v>
      </c>
      <c r="B641" t="s">
        <v>358</v>
      </c>
      <c r="C641" t="s">
        <v>359</v>
      </c>
      <c r="D641" t="s">
        <v>225</v>
      </c>
      <c r="E641" t="s">
        <v>2253</v>
      </c>
      <c r="F641" t="s">
        <v>222</v>
      </c>
      <c r="G641" s="77">
        <v>1108</v>
      </c>
      <c r="H641" s="126">
        <v>105.5</v>
      </c>
      <c r="I641" s="124">
        <v>156.13999999999999</v>
      </c>
      <c r="J641" s="124">
        <v>130.12</v>
      </c>
      <c r="K641" s="77">
        <v>450</v>
      </c>
      <c r="L641" s="124">
        <v>736.26</v>
      </c>
    </row>
    <row r="642" spans="1:12" ht="15" customHeight="1" x14ac:dyDescent="0.25">
      <c r="A642" s="78">
        <v>45839</v>
      </c>
      <c r="B642" t="s">
        <v>358</v>
      </c>
      <c r="C642" t="s">
        <v>359</v>
      </c>
      <c r="D642" t="s">
        <v>225</v>
      </c>
      <c r="E642" t="s">
        <v>2329</v>
      </c>
      <c r="F642" t="s">
        <v>224</v>
      </c>
      <c r="G642" s="77">
        <v>1350</v>
      </c>
      <c r="H642" s="126">
        <v>158.80000000000001</v>
      </c>
      <c r="I642" s="124">
        <v>235.02</v>
      </c>
      <c r="J642" s="124">
        <v>161.22999999999999</v>
      </c>
      <c r="K642" s="77">
        <v>380</v>
      </c>
      <c r="L642" s="124">
        <v>776.25</v>
      </c>
    </row>
    <row r="643" spans="1:12" ht="15" customHeight="1" x14ac:dyDescent="0.25">
      <c r="A643" s="78">
        <v>45839</v>
      </c>
      <c r="B643" t="s">
        <v>358</v>
      </c>
      <c r="C643" t="s">
        <v>359</v>
      </c>
      <c r="D643" t="s">
        <v>225</v>
      </c>
      <c r="E643" t="s">
        <v>2243</v>
      </c>
      <c r="F643" t="s">
        <v>224</v>
      </c>
      <c r="G643" s="77">
        <v>558</v>
      </c>
      <c r="H643" s="126">
        <v>65.599999999999994</v>
      </c>
      <c r="I643" s="124">
        <v>97.09</v>
      </c>
      <c r="J643" s="124">
        <v>60.63</v>
      </c>
      <c r="K643" s="77">
        <v>520</v>
      </c>
      <c r="L643" s="124">
        <v>677.72</v>
      </c>
    </row>
    <row r="644" spans="1:12" ht="15" customHeight="1" x14ac:dyDescent="0.25">
      <c r="A644" s="78">
        <v>45839</v>
      </c>
      <c r="B644" t="s">
        <v>358</v>
      </c>
      <c r="C644" t="s">
        <v>359</v>
      </c>
      <c r="D644" t="s">
        <v>225</v>
      </c>
      <c r="E644" t="s">
        <v>2336</v>
      </c>
      <c r="F644" t="s">
        <v>224</v>
      </c>
      <c r="G644" s="77">
        <v>1003</v>
      </c>
      <c r="H644" s="126">
        <v>118</v>
      </c>
      <c r="I644" s="124">
        <v>174.64</v>
      </c>
      <c r="J644" s="124">
        <v>174.8</v>
      </c>
      <c r="K644" s="77">
        <v>450</v>
      </c>
      <c r="L644" s="124">
        <v>799.44</v>
      </c>
    </row>
    <row r="645" spans="1:12" ht="15" customHeight="1" x14ac:dyDescent="0.25">
      <c r="A645" s="78">
        <v>45839</v>
      </c>
      <c r="B645" t="s">
        <v>358</v>
      </c>
      <c r="C645" t="s">
        <v>359</v>
      </c>
      <c r="D645" t="s">
        <v>225</v>
      </c>
      <c r="E645" t="s">
        <v>2227</v>
      </c>
      <c r="F645" t="s">
        <v>224</v>
      </c>
      <c r="G645" s="77">
        <v>1035</v>
      </c>
      <c r="H645" s="126">
        <v>121.8</v>
      </c>
      <c r="I645" s="124">
        <v>180.26</v>
      </c>
      <c r="J645" s="124">
        <v>247.52</v>
      </c>
      <c r="K645" s="77">
        <v>380</v>
      </c>
      <c r="L645" s="124">
        <v>807.78</v>
      </c>
    </row>
    <row r="646" spans="1:12" ht="15" customHeight="1" x14ac:dyDescent="0.25">
      <c r="A646" s="78">
        <v>45839</v>
      </c>
      <c r="B646" t="s">
        <v>383</v>
      </c>
      <c r="C646" t="s">
        <v>384</v>
      </c>
      <c r="D646" t="s">
        <v>225</v>
      </c>
      <c r="E646" t="s">
        <v>2353</v>
      </c>
      <c r="F646" t="s">
        <v>228</v>
      </c>
      <c r="G646" s="77">
        <v>562</v>
      </c>
      <c r="H646" s="126">
        <v>66.099999999999994</v>
      </c>
      <c r="I646" s="124">
        <v>97.83</v>
      </c>
      <c r="J646" s="124">
        <v>261.49</v>
      </c>
      <c r="K646" s="77">
        <v>520</v>
      </c>
      <c r="L646" s="124">
        <v>879.32</v>
      </c>
    </row>
    <row r="647" spans="1:12" ht="15" customHeight="1" x14ac:dyDescent="0.25">
      <c r="A647" s="78">
        <v>45839</v>
      </c>
      <c r="B647" t="s">
        <v>383</v>
      </c>
      <c r="C647" t="s">
        <v>384</v>
      </c>
      <c r="D647" t="s">
        <v>225</v>
      </c>
      <c r="E647" t="s">
        <v>2308</v>
      </c>
      <c r="F647" t="s">
        <v>226</v>
      </c>
      <c r="G647" s="77">
        <v>595</v>
      </c>
      <c r="H647" s="126">
        <v>56.7</v>
      </c>
      <c r="I647" s="124">
        <v>83.92</v>
      </c>
      <c r="J647" s="124">
        <v>210.78</v>
      </c>
      <c r="K647" s="77">
        <v>320</v>
      </c>
      <c r="L647" s="124">
        <v>614.70000000000005</v>
      </c>
    </row>
    <row r="648" spans="1:12" ht="15" customHeight="1" x14ac:dyDescent="0.25">
      <c r="A648" s="78">
        <v>45839</v>
      </c>
      <c r="B648" t="s">
        <v>383</v>
      </c>
      <c r="C648" t="s">
        <v>384</v>
      </c>
      <c r="D648" t="s">
        <v>225</v>
      </c>
      <c r="E648" t="s">
        <v>2355</v>
      </c>
      <c r="F648" t="s">
        <v>224</v>
      </c>
      <c r="G648" s="77">
        <v>1026</v>
      </c>
      <c r="H648" s="126">
        <v>120.7</v>
      </c>
      <c r="I648" s="124">
        <v>178.64</v>
      </c>
      <c r="J648" s="124">
        <v>183.57</v>
      </c>
      <c r="K648" s="77">
        <v>520</v>
      </c>
      <c r="L648" s="124">
        <v>882.21</v>
      </c>
    </row>
    <row r="649" spans="1:12" ht="15" customHeight="1" x14ac:dyDescent="0.25">
      <c r="A649" s="78">
        <v>45839</v>
      </c>
      <c r="B649" t="s">
        <v>383</v>
      </c>
      <c r="C649" t="s">
        <v>384</v>
      </c>
      <c r="D649" t="s">
        <v>225</v>
      </c>
      <c r="E649" t="s">
        <v>2265</v>
      </c>
      <c r="F649" t="s">
        <v>224</v>
      </c>
      <c r="G649" s="77">
        <v>834</v>
      </c>
      <c r="H649" s="126">
        <v>98.1</v>
      </c>
      <c r="I649" s="124">
        <v>145.19</v>
      </c>
      <c r="J649" s="124">
        <v>252.36</v>
      </c>
      <c r="K649" s="77">
        <v>520</v>
      </c>
      <c r="L649" s="124">
        <v>917.55</v>
      </c>
    </row>
    <row r="650" spans="1:12" ht="15" customHeight="1" x14ac:dyDescent="0.25">
      <c r="A650" s="78">
        <v>45839</v>
      </c>
      <c r="B650" t="s">
        <v>373</v>
      </c>
      <c r="C650" t="s">
        <v>374</v>
      </c>
      <c r="D650" t="s">
        <v>225</v>
      </c>
      <c r="E650" t="s">
        <v>2236</v>
      </c>
      <c r="F650" t="s">
        <v>222</v>
      </c>
      <c r="G650" s="77">
        <v>1310</v>
      </c>
      <c r="H650" s="126">
        <v>124.8</v>
      </c>
      <c r="I650" s="124">
        <v>184.7</v>
      </c>
      <c r="J650" s="124">
        <v>196.68</v>
      </c>
      <c r="K650" s="77">
        <v>520</v>
      </c>
      <c r="L650" s="124">
        <v>901.38</v>
      </c>
    </row>
    <row r="651" spans="1:12" ht="15" customHeight="1" x14ac:dyDescent="0.25">
      <c r="A651" s="78">
        <v>45839</v>
      </c>
      <c r="B651" t="s">
        <v>373</v>
      </c>
      <c r="C651" t="s">
        <v>374</v>
      </c>
      <c r="D651" t="s">
        <v>225</v>
      </c>
      <c r="E651" t="s">
        <v>2351</v>
      </c>
      <c r="F651" t="s">
        <v>222</v>
      </c>
      <c r="G651" s="77">
        <v>1017</v>
      </c>
      <c r="H651" s="126">
        <v>96.9</v>
      </c>
      <c r="I651" s="124">
        <v>143.41</v>
      </c>
      <c r="J651" s="124">
        <v>196.39</v>
      </c>
      <c r="K651" s="77">
        <v>450</v>
      </c>
      <c r="L651" s="124">
        <v>789.8</v>
      </c>
    </row>
    <row r="652" spans="1:12" ht="15" customHeight="1" x14ac:dyDescent="0.25">
      <c r="A652" s="78">
        <v>45839</v>
      </c>
      <c r="B652" t="s">
        <v>373</v>
      </c>
      <c r="C652" t="s">
        <v>374</v>
      </c>
      <c r="D652" t="s">
        <v>225</v>
      </c>
      <c r="E652" t="s">
        <v>2238</v>
      </c>
      <c r="F652" t="s">
        <v>226</v>
      </c>
      <c r="G652" s="77">
        <v>873</v>
      </c>
      <c r="H652" s="126">
        <v>83.1</v>
      </c>
      <c r="I652" s="124">
        <v>122.99</v>
      </c>
      <c r="J652" s="124">
        <v>218.44</v>
      </c>
      <c r="K652" s="77">
        <v>380</v>
      </c>
      <c r="L652" s="124">
        <v>721.43</v>
      </c>
    </row>
    <row r="653" spans="1:12" ht="15" customHeight="1" x14ac:dyDescent="0.25">
      <c r="A653" s="78">
        <v>45839</v>
      </c>
      <c r="B653" t="s">
        <v>373</v>
      </c>
      <c r="C653" t="s">
        <v>374</v>
      </c>
      <c r="D653" t="s">
        <v>225</v>
      </c>
      <c r="E653" t="s">
        <v>2285</v>
      </c>
      <c r="F653" t="s">
        <v>224</v>
      </c>
      <c r="G653" s="77">
        <v>1462</v>
      </c>
      <c r="H653" s="126">
        <v>172</v>
      </c>
      <c r="I653" s="124">
        <v>254.56</v>
      </c>
      <c r="J653" s="124">
        <v>235.65</v>
      </c>
      <c r="K653" s="77">
        <v>320</v>
      </c>
      <c r="L653" s="124">
        <v>810.21</v>
      </c>
    </row>
    <row r="654" spans="1:12" ht="15" customHeight="1" x14ac:dyDescent="0.25">
      <c r="A654" s="78">
        <v>45839</v>
      </c>
      <c r="B654" t="s">
        <v>354</v>
      </c>
      <c r="C654" t="s">
        <v>355</v>
      </c>
      <c r="D654" t="s">
        <v>227</v>
      </c>
      <c r="E654" t="s">
        <v>2232</v>
      </c>
      <c r="F654" t="s">
        <v>224</v>
      </c>
      <c r="G654" s="77">
        <v>867</v>
      </c>
      <c r="H654" s="126">
        <v>102</v>
      </c>
      <c r="I654" s="124">
        <v>150.96</v>
      </c>
      <c r="J654" s="124">
        <v>178.91</v>
      </c>
      <c r="K654" s="77">
        <v>450</v>
      </c>
      <c r="L654" s="124">
        <v>779.87</v>
      </c>
    </row>
    <row r="655" spans="1:12" ht="15" customHeight="1" x14ac:dyDescent="0.25">
      <c r="A655" s="78">
        <v>45839</v>
      </c>
      <c r="B655" t="s">
        <v>354</v>
      </c>
      <c r="C655" t="s">
        <v>355</v>
      </c>
      <c r="D655" t="s">
        <v>227</v>
      </c>
      <c r="E655" t="s">
        <v>2333</v>
      </c>
      <c r="F655" t="s">
        <v>226</v>
      </c>
      <c r="G655" s="77">
        <v>726</v>
      </c>
      <c r="H655" s="126">
        <v>69.099999999999994</v>
      </c>
      <c r="I655" s="124">
        <v>102.27</v>
      </c>
      <c r="J655" s="124">
        <v>195.79</v>
      </c>
      <c r="K655" s="77">
        <v>380</v>
      </c>
      <c r="L655" s="124">
        <v>678.06</v>
      </c>
    </row>
    <row r="656" spans="1:12" ht="15" customHeight="1" x14ac:dyDescent="0.25">
      <c r="A656" s="78">
        <v>45839</v>
      </c>
      <c r="B656" t="s">
        <v>354</v>
      </c>
      <c r="C656" t="s">
        <v>355</v>
      </c>
      <c r="D656" t="s">
        <v>227</v>
      </c>
      <c r="E656" t="s">
        <v>2287</v>
      </c>
      <c r="F656" t="s">
        <v>224</v>
      </c>
      <c r="G656" s="77">
        <v>1162</v>
      </c>
      <c r="H656" s="126">
        <v>136.69999999999999</v>
      </c>
      <c r="I656" s="124">
        <v>202.32</v>
      </c>
      <c r="J656" s="124">
        <v>0.41</v>
      </c>
      <c r="K656" s="77">
        <v>380</v>
      </c>
      <c r="L656" s="124">
        <v>582.73</v>
      </c>
    </row>
    <row r="657" spans="1:12" ht="15" customHeight="1" x14ac:dyDescent="0.25">
      <c r="A657" s="78">
        <v>45839</v>
      </c>
      <c r="B657" t="s">
        <v>354</v>
      </c>
      <c r="C657" t="s">
        <v>355</v>
      </c>
      <c r="D657" t="s">
        <v>227</v>
      </c>
      <c r="E657" t="s">
        <v>2221</v>
      </c>
      <c r="F657" t="s">
        <v>228</v>
      </c>
      <c r="G657" s="77">
        <v>759</v>
      </c>
      <c r="H657" s="126">
        <v>89.3</v>
      </c>
      <c r="I657" s="124">
        <v>132.16</v>
      </c>
      <c r="J657" s="124">
        <v>227.35</v>
      </c>
      <c r="K657" s="77">
        <v>380</v>
      </c>
      <c r="L657" s="124">
        <v>739.51</v>
      </c>
    </row>
    <row r="658" spans="1:12" ht="15" customHeight="1" x14ac:dyDescent="0.25">
      <c r="A658" s="78">
        <v>45839</v>
      </c>
      <c r="B658" t="s">
        <v>354</v>
      </c>
      <c r="C658" t="s">
        <v>355</v>
      </c>
      <c r="D658" t="s">
        <v>227</v>
      </c>
      <c r="E658" t="s">
        <v>2356</v>
      </c>
      <c r="F658" t="s">
        <v>228</v>
      </c>
      <c r="G658" s="77">
        <v>974</v>
      </c>
      <c r="H658" s="126">
        <v>114.6</v>
      </c>
      <c r="I658" s="124">
        <v>169.61</v>
      </c>
      <c r="J658" s="124">
        <v>153.24</v>
      </c>
      <c r="K658" s="77">
        <v>320</v>
      </c>
      <c r="L658" s="124">
        <v>642.85</v>
      </c>
    </row>
    <row r="659" spans="1:12" ht="15" customHeight="1" x14ac:dyDescent="0.25">
      <c r="A659" s="78">
        <v>45839</v>
      </c>
      <c r="B659" t="s">
        <v>370</v>
      </c>
      <c r="C659" t="s">
        <v>371</v>
      </c>
      <c r="D659" t="s">
        <v>227</v>
      </c>
      <c r="E659" t="s">
        <v>2294</v>
      </c>
      <c r="F659" t="s">
        <v>226</v>
      </c>
      <c r="G659" s="77">
        <v>1147</v>
      </c>
      <c r="H659" s="126">
        <v>109.2</v>
      </c>
      <c r="I659" s="124">
        <v>161.62</v>
      </c>
      <c r="J659" s="124">
        <v>170.12</v>
      </c>
      <c r="K659" s="77">
        <v>520</v>
      </c>
      <c r="L659" s="124">
        <v>851.74</v>
      </c>
    </row>
    <row r="660" spans="1:12" ht="15" customHeight="1" x14ac:dyDescent="0.25">
      <c r="A660" s="78">
        <v>45839</v>
      </c>
      <c r="B660" t="s">
        <v>370</v>
      </c>
      <c r="C660" t="s">
        <v>371</v>
      </c>
      <c r="D660" t="s">
        <v>227</v>
      </c>
      <c r="E660" t="s">
        <v>2261</v>
      </c>
      <c r="F660" t="s">
        <v>226</v>
      </c>
      <c r="G660" s="77">
        <v>1001</v>
      </c>
      <c r="H660" s="126">
        <v>95.3</v>
      </c>
      <c r="I660" s="124">
        <v>141.04</v>
      </c>
      <c r="J660" s="124">
        <v>89.54</v>
      </c>
      <c r="K660" s="77">
        <v>380</v>
      </c>
      <c r="L660" s="124">
        <v>610.58000000000004</v>
      </c>
    </row>
    <row r="661" spans="1:12" ht="15" customHeight="1" x14ac:dyDescent="0.25">
      <c r="A661" s="78">
        <v>45839</v>
      </c>
      <c r="B661" t="s">
        <v>370</v>
      </c>
      <c r="C661" t="s">
        <v>371</v>
      </c>
      <c r="D661" t="s">
        <v>227</v>
      </c>
      <c r="E661" t="s">
        <v>2224</v>
      </c>
      <c r="F661" t="s">
        <v>224</v>
      </c>
      <c r="G661" s="77">
        <v>1312</v>
      </c>
      <c r="H661" s="126">
        <v>154.4</v>
      </c>
      <c r="I661" s="124">
        <v>228.51</v>
      </c>
      <c r="J661" s="124">
        <v>282.43</v>
      </c>
      <c r="K661" s="77">
        <v>320</v>
      </c>
      <c r="L661" s="124">
        <v>830.94</v>
      </c>
    </row>
    <row r="662" spans="1:12" ht="15" customHeight="1" x14ac:dyDescent="0.25">
      <c r="A662" s="78">
        <v>45839</v>
      </c>
      <c r="B662" t="s">
        <v>398</v>
      </c>
      <c r="C662" t="s">
        <v>399</v>
      </c>
      <c r="D662" t="s">
        <v>227</v>
      </c>
      <c r="E662" t="s">
        <v>2273</v>
      </c>
      <c r="F662" t="s">
        <v>224</v>
      </c>
      <c r="G662" s="77">
        <v>929</v>
      </c>
      <c r="H662" s="126">
        <v>109.3</v>
      </c>
      <c r="I662" s="124">
        <v>161.76</v>
      </c>
      <c r="J662" s="124">
        <v>101.03</v>
      </c>
      <c r="K662" s="77">
        <v>520</v>
      </c>
      <c r="L662" s="124">
        <v>782.79</v>
      </c>
    </row>
    <row r="663" spans="1:12" ht="15" customHeight="1" x14ac:dyDescent="0.25">
      <c r="A663" s="78">
        <v>45839</v>
      </c>
      <c r="B663" t="s">
        <v>398</v>
      </c>
      <c r="C663" t="s">
        <v>399</v>
      </c>
      <c r="D663" t="s">
        <v>227</v>
      </c>
      <c r="E663" t="s">
        <v>2322</v>
      </c>
      <c r="F663" t="s">
        <v>224</v>
      </c>
      <c r="G663" s="77">
        <v>1172</v>
      </c>
      <c r="H663" s="126">
        <v>137.9</v>
      </c>
      <c r="I663" s="124">
        <v>204.09</v>
      </c>
      <c r="J663" s="124">
        <v>121.36</v>
      </c>
      <c r="K663" s="77">
        <v>320</v>
      </c>
      <c r="L663" s="124">
        <v>645.45000000000005</v>
      </c>
    </row>
    <row r="664" spans="1:12" ht="15" customHeight="1" x14ac:dyDescent="0.25">
      <c r="A664" s="78">
        <v>45839</v>
      </c>
      <c r="B664" t="s">
        <v>398</v>
      </c>
      <c r="C664" t="s">
        <v>399</v>
      </c>
      <c r="D664" t="s">
        <v>227</v>
      </c>
      <c r="E664" t="s">
        <v>2223</v>
      </c>
      <c r="F664" t="s">
        <v>224</v>
      </c>
      <c r="G664" s="77">
        <v>1015</v>
      </c>
      <c r="H664" s="126">
        <v>119.4</v>
      </c>
      <c r="I664" s="124">
        <v>176.71</v>
      </c>
      <c r="J664" s="124">
        <v>209.17</v>
      </c>
      <c r="K664" s="77">
        <v>450</v>
      </c>
      <c r="L664" s="124">
        <v>835.88</v>
      </c>
    </row>
    <row r="665" spans="1:12" ht="15" customHeight="1" x14ac:dyDescent="0.25">
      <c r="A665" s="78">
        <v>45839</v>
      </c>
      <c r="B665" t="s">
        <v>398</v>
      </c>
      <c r="C665" t="s">
        <v>399</v>
      </c>
      <c r="D665" t="s">
        <v>227</v>
      </c>
      <c r="E665" t="s">
        <v>2261</v>
      </c>
      <c r="F665" t="s">
        <v>222</v>
      </c>
      <c r="G665" s="77">
        <v>572</v>
      </c>
      <c r="H665" s="126">
        <v>54.5</v>
      </c>
      <c r="I665" s="124">
        <v>80.66</v>
      </c>
      <c r="J665" s="124">
        <v>255.46</v>
      </c>
      <c r="K665" s="77">
        <v>320</v>
      </c>
      <c r="L665" s="124">
        <v>656.12</v>
      </c>
    </row>
    <row r="666" spans="1:12" ht="15" customHeight="1" x14ac:dyDescent="0.25">
      <c r="A666" s="78">
        <v>45839</v>
      </c>
      <c r="B666" t="s">
        <v>398</v>
      </c>
      <c r="C666" t="s">
        <v>399</v>
      </c>
      <c r="D666" t="s">
        <v>227</v>
      </c>
      <c r="E666" t="s">
        <v>2296</v>
      </c>
      <c r="F666" t="s">
        <v>224</v>
      </c>
      <c r="G666" s="77">
        <v>1068</v>
      </c>
      <c r="H666" s="126">
        <v>125.6</v>
      </c>
      <c r="I666" s="124">
        <v>185.89</v>
      </c>
      <c r="J666" s="124">
        <v>117.08</v>
      </c>
      <c r="K666" s="77">
        <v>520</v>
      </c>
      <c r="L666" s="124">
        <v>822.97</v>
      </c>
    </row>
    <row r="667" spans="1:12" ht="15" customHeight="1" x14ac:dyDescent="0.25">
      <c r="A667" s="78">
        <v>45839</v>
      </c>
      <c r="B667" t="s">
        <v>398</v>
      </c>
      <c r="C667" t="s">
        <v>399</v>
      </c>
      <c r="D667" t="s">
        <v>227</v>
      </c>
      <c r="E667" t="s">
        <v>2260</v>
      </c>
      <c r="F667" t="s">
        <v>222</v>
      </c>
      <c r="G667" s="77">
        <v>1027</v>
      </c>
      <c r="H667" s="126">
        <v>97.8</v>
      </c>
      <c r="I667" s="124">
        <v>144.74</v>
      </c>
      <c r="J667" s="124">
        <v>146.99</v>
      </c>
      <c r="K667" s="77">
        <v>450</v>
      </c>
      <c r="L667" s="124">
        <v>741.73</v>
      </c>
    </row>
    <row r="668" spans="1:12" ht="15" customHeight="1" x14ac:dyDescent="0.25">
      <c r="A668" s="78">
        <v>45839</v>
      </c>
      <c r="B668" t="s">
        <v>398</v>
      </c>
      <c r="C668" t="s">
        <v>399</v>
      </c>
      <c r="D668" t="s">
        <v>227</v>
      </c>
      <c r="E668" t="s">
        <v>2234</v>
      </c>
      <c r="F668" t="s">
        <v>224</v>
      </c>
      <c r="G668" s="77">
        <v>617</v>
      </c>
      <c r="H668" s="126">
        <v>72.599999999999994</v>
      </c>
      <c r="I668" s="124">
        <v>107.45</v>
      </c>
      <c r="J668" s="124">
        <v>269.60000000000002</v>
      </c>
      <c r="K668" s="77">
        <v>320</v>
      </c>
      <c r="L668" s="124">
        <v>697.05</v>
      </c>
    </row>
    <row r="669" spans="1:12" ht="15" customHeight="1" x14ac:dyDescent="0.25">
      <c r="A669" s="78">
        <v>45839</v>
      </c>
      <c r="B669" t="s">
        <v>378</v>
      </c>
      <c r="C669" t="s">
        <v>379</v>
      </c>
      <c r="D669" t="s">
        <v>227</v>
      </c>
      <c r="E669" t="s">
        <v>2353</v>
      </c>
      <c r="F669" t="s">
        <v>222</v>
      </c>
      <c r="G669" s="77">
        <v>1060</v>
      </c>
      <c r="H669" s="126">
        <v>101</v>
      </c>
      <c r="I669" s="124">
        <v>149.47999999999999</v>
      </c>
      <c r="J669" s="124">
        <v>185.44</v>
      </c>
      <c r="K669" s="77">
        <v>380</v>
      </c>
      <c r="L669" s="124">
        <v>714.92</v>
      </c>
    </row>
    <row r="670" spans="1:12" ht="15" customHeight="1" x14ac:dyDescent="0.25">
      <c r="A670" s="78">
        <v>45839</v>
      </c>
      <c r="B670" t="s">
        <v>378</v>
      </c>
      <c r="C670" t="s">
        <v>379</v>
      </c>
      <c r="D670" t="s">
        <v>227</v>
      </c>
      <c r="E670" t="s">
        <v>2287</v>
      </c>
      <c r="F670" t="s">
        <v>228</v>
      </c>
      <c r="G670" s="77">
        <v>1287</v>
      </c>
      <c r="H670" s="126">
        <v>151.4</v>
      </c>
      <c r="I670" s="124">
        <v>224.07</v>
      </c>
      <c r="J670" s="124">
        <v>168.31</v>
      </c>
      <c r="K670" s="77">
        <v>320</v>
      </c>
      <c r="L670" s="124">
        <v>712.38</v>
      </c>
    </row>
    <row r="671" spans="1:12" ht="15" customHeight="1" x14ac:dyDescent="0.25">
      <c r="A671" s="78">
        <v>45839</v>
      </c>
      <c r="B671" t="s">
        <v>378</v>
      </c>
      <c r="C671" t="s">
        <v>379</v>
      </c>
      <c r="D671" t="s">
        <v>227</v>
      </c>
      <c r="E671" t="s">
        <v>2290</v>
      </c>
      <c r="F671" t="s">
        <v>226</v>
      </c>
      <c r="G671" s="77">
        <v>1168</v>
      </c>
      <c r="H671" s="126">
        <v>111.2</v>
      </c>
      <c r="I671" s="124">
        <v>164.58</v>
      </c>
      <c r="J671" s="124">
        <v>128.59</v>
      </c>
      <c r="K671" s="77">
        <v>450</v>
      </c>
      <c r="L671" s="124">
        <v>743.17</v>
      </c>
    </row>
    <row r="672" spans="1:12" ht="15" customHeight="1" x14ac:dyDescent="0.25">
      <c r="A672" s="78">
        <v>45839</v>
      </c>
      <c r="B672" t="s">
        <v>378</v>
      </c>
      <c r="C672" t="s">
        <v>379</v>
      </c>
      <c r="D672" t="s">
        <v>227</v>
      </c>
      <c r="E672" t="s">
        <v>2247</v>
      </c>
      <c r="F672" t="s">
        <v>224</v>
      </c>
      <c r="G672" s="77">
        <v>1261</v>
      </c>
      <c r="H672" s="126">
        <v>148.4</v>
      </c>
      <c r="I672" s="124">
        <v>219.63</v>
      </c>
      <c r="J672" s="124">
        <v>0</v>
      </c>
      <c r="K672" s="77">
        <v>450</v>
      </c>
      <c r="L672" s="124">
        <v>669.63</v>
      </c>
    </row>
    <row r="673" spans="1:12" ht="15" customHeight="1" x14ac:dyDescent="0.25">
      <c r="A673" s="78">
        <v>45839</v>
      </c>
      <c r="B673" t="s">
        <v>378</v>
      </c>
      <c r="C673" t="s">
        <v>379</v>
      </c>
      <c r="D673" t="s">
        <v>227</v>
      </c>
      <c r="E673" t="s">
        <v>2225</v>
      </c>
      <c r="F673" t="s">
        <v>226</v>
      </c>
      <c r="G673" s="77">
        <v>1025</v>
      </c>
      <c r="H673" s="126">
        <v>97.6</v>
      </c>
      <c r="I673" s="124">
        <v>144.44999999999999</v>
      </c>
      <c r="J673" s="124">
        <v>101.77</v>
      </c>
      <c r="K673" s="77">
        <v>380</v>
      </c>
      <c r="L673" s="124">
        <v>626.22</v>
      </c>
    </row>
    <row r="674" spans="1:12" ht="15" customHeight="1" x14ac:dyDescent="0.25">
      <c r="A674" s="78">
        <v>45839</v>
      </c>
      <c r="B674" t="s">
        <v>393</v>
      </c>
      <c r="C674" t="s">
        <v>394</v>
      </c>
      <c r="D674" t="s">
        <v>227</v>
      </c>
      <c r="E674" t="s">
        <v>2228</v>
      </c>
      <c r="F674" t="s">
        <v>224</v>
      </c>
      <c r="G674" s="77">
        <v>1158</v>
      </c>
      <c r="H674" s="126">
        <v>136.19999999999999</v>
      </c>
      <c r="I674" s="124">
        <v>201.58</v>
      </c>
      <c r="J674" s="124">
        <v>187.6</v>
      </c>
      <c r="K674" s="77">
        <v>380</v>
      </c>
      <c r="L674" s="124">
        <v>769.18</v>
      </c>
    </row>
    <row r="675" spans="1:12" ht="15" customHeight="1" x14ac:dyDescent="0.25">
      <c r="A675" s="78">
        <v>45839</v>
      </c>
      <c r="B675" t="s">
        <v>393</v>
      </c>
      <c r="C675" t="s">
        <v>394</v>
      </c>
      <c r="D675" t="s">
        <v>227</v>
      </c>
      <c r="E675" t="s">
        <v>2272</v>
      </c>
      <c r="F675" t="s">
        <v>228</v>
      </c>
      <c r="G675" s="77">
        <v>873</v>
      </c>
      <c r="H675" s="126">
        <v>102.7</v>
      </c>
      <c r="I675" s="124">
        <v>152</v>
      </c>
      <c r="J675" s="124">
        <v>193.03</v>
      </c>
      <c r="K675" s="77">
        <v>450</v>
      </c>
      <c r="L675" s="124">
        <v>795.03</v>
      </c>
    </row>
    <row r="676" spans="1:12" ht="15" customHeight="1" x14ac:dyDescent="0.25">
      <c r="A676" s="78">
        <v>45839</v>
      </c>
      <c r="B676" t="s">
        <v>393</v>
      </c>
      <c r="C676" t="s">
        <v>394</v>
      </c>
      <c r="D676" t="s">
        <v>227</v>
      </c>
      <c r="E676" t="s">
        <v>2300</v>
      </c>
      <c r="F676" t="s">
        <v>228</v>
      </c>
      <c r="G676" s="77">
        <v>1022</v>
      </c>
      <c r="H676" s="126">
        <v>120.2</v>
      </c>
      <c r="I676" s="124">
        <v>177.9</v>
      </c>
      <c r="J676" s="124">
        <v>178.27</v>
      </c>
      <c r="K676" s="77">
        <v>520</v>
      </c>
      <c r="L676" s="124">
        <v>876.17</v>
      </c>
    </row>
    <row r="677" spans="1:12" ht="15" customHeight="1" x14ac:dyDescent="0.25">
      <c r="A677" s="78">
        <v>45839</v>
      </c>
      <c r="B677" t="s">
        <v>393</v>
      </c>
      <c r="C677" t="s">
        <v>394</v>
      </c>
      <c r="D677" t="s">
        <v>227</v>
      </c>
      <c r="E677" t="s">
        <v>2273</v>
      </c>
      <c r="F677" t="s">
        <v>228</v>
      </c>
      <c r="G677" s="77">
        <v>1260</v>
      </c>
      <c r="H677" s="126">
        <v>148.19999999999999</v>
      </c>
      <c r="I677" s="124">
        <v>219.34</v>
      </c>
      <c r="J677" s="124">
        <v>220.46</v>
      </c>
      <c r="K677" s="77">
        <v>520</v>
      </c>
      <c r="L677" s="124">
        <v>959.8</v>
      </c>
    </row>
    <row r="678" spans="1:12" ht="15" customHeight="1" x14ac:dyDescent="0.25">
      <c r="A678" s="78">
        <v>45839</v>
      </c>
      <c r="B678" t="s">
        <v>393</v>
      </c>
      <c r="C678" t="s">
        <v>394</v>
      </c>
      <c r="D678" t="s">
        <v>227</v>
      </c>
      <c r="E678" t="s">
        <v>2252</v>
      </c>
      <c r="F678" t="s">
        <v>228</v>
      </c>
      <c r="G678" s="77">
        <v>323</v>
      </c>
      <c r="H678" s="126">
        <v>38</v>
      </c>
      <c r="I678" s="124">
        <v>56.24</v>
      </c>
      <c r="J678" s="124">
        <v>220.01</v>
      </c>
      <c r="K678" s="77">
        <v>450</v>
      </c>
      <c r="L678" s="124">
        <v>726.25</v>
      </c>
    </row>
    <row r="679" spans="1:12" ht="15" customHeight="1" x14ac:dyDescent="0.25">
      <c r="A679" s="78">
        <v>45839</v>
      </c>
      <c r="B679" t="s">
        <v>393</v>
      </c>
      <c r="C679" t="s">
        <v>394</v>
      </c>
      <c r="D679" t="s">
        <v>227</v>
      </c>
      <c r="E679" t="s">
        <v>2224</v>
      </c>
      <c r="F679" t="s">
        <v>222</v>
      </c>
      <c r="G679" s="77">
        <v>790</v>
      </c>
      <c r="H679" s="126">
        <v>75.2</v>
      </c>
      <c r="I679" s="124">
        <v>111.3</v>
      </c>
      <c r="J679" s="124">
        <v>19.5</v>
      </c>
      <c r="K679" s="77">
        <v>380</v>
      </c>
      <c r="L679" s="124">
        <v>510.8</v>
      </c>
    </row>
    <row r="680" spans="1:12" ht="15" customHeight="1" x14ac:dyDescent="0.25">
      <c r="A680" s="78">
        <v>45870</v>
      </c>
      <c r="B680" t="s">
        <v>390</v>
      </c>
      <c r="C680" t="s">
        <v>391</v>
      </c>
      <c r="D680" t="s">
        <v>221</v>
      </c>
      <c r="E680" t="s">
        <v>2346</v>
      </c>
      <c r="F680" t="s">
        <v>228</v>
      </c>
      <c r="G680" s="77">
        <v>740</v>
      </c>
      <c r="H680" s="126">
        <v>87.1</v>
      </c>
      <c r="I680" s="124">
        <v>128.91</v>
      </c>
      <c r="J680" s="124">
        <v>258.75</v>
      </c>
      <c r="K680" s="77">
        <v>450</v>
      </c>
      <c r="L680" s="124">
        <v>837.66</v>
      </c>
    </row>
    <row r="681" spans="1:12" ht="15" customHeight="1" x14ac:dyDescent="0.25">
      <c r="A681" s="78">
        <v>45870</v>
      </c>
      <c r="B681" t="s">
        <v>390</v>
      </c>
      <c r="C681" t="s">
        <v>391</v>
      </c>
      <c r="D681" t="s">
        <v>221</v>
      </c>
      <c r="E681" t="s">
        <v>2308</v>
      </c>
      <c r="F681" t="s">
        <v>228</v>
      </c>
      <c r="G681" s="77">
        <v>1382</v>
      </c>
      <c r="H681" s="126">
        <v>162.6</v>
      </c>
      <c r="I681" s="124">
        <v>240.65</v>
      </c>
      <c r="J681" s="124">
        <v>275.05</v>
      </c>
      <c r="K681" s="77">
        <v>450</v>
      </c>
      <c r="L681" s="124">
        <v>965.7</v>
      </c>
    </row>
    <row r="682" spans="1:12" ht="15" customHeight="1" x14ac:dyDescent="0.25">
      <c r="A682" s="78">
        <v>45870</v>
      </c>
      <c r="B682" t="s">
        <v>390</v>
      </c>
      <c r="C682" t="s">
        <v>391</v>
      </c>
      <c r="D682" t="s">
        <v>221</v>
      </c>
      <c r="E682" t="s">
        <v>2327</v>
      </c>
      <c r="F682" t="s">
        <v>226</v>
      </c>
      <c r="G682" s="77">
        <v>898</v>
      </c>
      <c r="H682" s="126">
        <v>85.5</v>
      </c>
      <c r="I682" s="124">
        <v>126.54</v>
      </c>
      <c r="J682" s="124">
        <v>186.47</v>
      </c>
      <c r="K682" s="77">
        <v>450</v>
      </c>
      <c r="L682" s="124">
        <v>763.01</v>
      </c>
    </row>
    <row r="683" spans="1:12" ht="15" customHeight="1" x14ac:dyDescent="0.25">
      <c r="A683" s="78">
        <v>45870</v>
      </c>
      <c r="B683" t="s">
        <v>390</v>
      </c>
      <c r="C683" t="s">
        <v>391</v>
      </c>
      <c r="D683" t="s">
        <v>221</v>
      </c>
      <c r="E683" t="s">
        <v>2239</v>
      </c>
      <c r="F683" t="s">
        <v>224</v>
      </c>
      <c r="G683" s="77">
        <v>935</v>
      </c>
      <c r="H683" s="126">
        <v>110</v>
      </c>
      <c r="I683" s="124">
        <v>162.80000000000001</v>
      </c>
      <c r="J683" s="124">
        <v>94.43</v>
      </c>
      <c r="K683" s="77">
        <v>520</v>
      </c>
      <c r="L683" s="124">
        <v>777.23</v>
      </c>
    </row>
    <row r="684" spans="1:12" ht="15" customHeight="1" x14ac:dyDescent="0.25">
      <c r="A684" s="78">
        <v>45870</v>
      </c>
      <c r="B684" t="s">
        <v>401</v>
      </c>
      <c r="C684" t="s">
        <v>402</v>
      </c>
      <c r="D684" t="s">
        <v>221</v>
      </c>
      <c r="E684" t="s">
        <v>2359</v>
      </c>
      <c r="F684" t="s">
        <v>228</v>
      </c>
      <c r="G684" s="77">
        <v>761</v>
      </c>
      <c r="H684" s="126">
        <v>89.5</v>
      </c>
      <c r="I684" s="124">
        <v>132.46</v>
      </c>
      <c r="J684" s="124">
        <v>109.85</v>
      </c>
      <c r="K684" s="77">
        <v>380</v>
      </c>
      <c r="L684" s="124">
        <v>622.30999999999995</v>
      </c>
    </row>
    <row r="685" spans="1:12" ht="15" customHeight="1" x14ac:dyDescent="0.25">
      <c r="A685" s="78">
        <v>45870</v>
      </c>
      <c r="B685" t="s">
        <v>401</v>
      </c>
      <c r="C685" t="s">
        <v>402</v>
      </c>
      <c r="D685" t="s">
        <v>221</v>
      </c>
      <c r="E685" t="s">
        <v>2328</v>
      </c>
      <c r="F685" t="s">
        <v>222</v>
      </c>
      <c r="G685" s="77">
        <v>952</v>
      </c>
      <c r="H685" s="126">
        <v>90.7</v>
      </c>
      <c r="I685" s="124">
        <v>134.24</v>
      </c>
      <c r="J685" s="124">
        <v>162.63999999999999</v>
      </c>
      <c r="K685" s="77">
        <v>380</v>
      </c>
      <c r="L685" s="124">
        <v>676.88</v>
      </c>
    </row>
    <row r="686" spans="1:12" ht="15" customHeight="1" x14ac:dyDescent="0.25">
      <c r="A686" s="78">
        <v>45870</v>
      </c>
      <c r="B686" t="s">
        <v>401</v>
      </c>
      <c r="C686" t="s">
        <v>402</v>
      </c>
      <c r="D686" t="s">
        <v>221</v>
      </c>
      <c r="E686" t="s">
        <v>2254</v>
      </c>
      <c r="F686" t="s">
        <v>228</v>
      </c>
      <c r="G686" s="77">
        <v>1025</v>
      </c>
      <c r="H686" s="126">
        <v>120.6</v>
      </c>
      <c r="I686" s="124">
        <v>178.49</v>
      </c>
      <c r="J686" s="124">
        <v>216.72</v>
      </c>
      <c r="K686" s="77">
        <v>380</v>
      </c>
      <c r="L686" s="124">
        <v>775.21</v>
      </c>
    </row>
    <row r="687" spans="1:12" ht="15" customHeight="1" x14ac:dyDescent="0.25">
      <c r="A687" s="78">
        <v>45870</v>
      </c>
      <c r="B687" t="s">
        <v>401</v>
      </c>
      <c r="C687" t="s">
        <v>402</v>
      </c>
      <c r="D687" t="s">
        <v>221</v>
      </c>
      <c r="E687" t="s">
        <v>2311</v>
      </c>
      <c r="F687" t="s">
        <v>222</v>
      </c>
      <c r="G687" s="77">
        <v>813</v>
      </c>
      <c r="H687" s="126">
        <v>77.400000000000006</v>
      </c>
      <c r="I687" s="124">
        <v>114.55</v>
      </c>
      <c r="J687" s="124">
        <v>198.66</v>
      </c>
      <c r="K687" s="77">
        <v>450</v>
      </c>
      <c r="L687" s="124">
        <v>763.21</v>
      </c>
    </row>
    <row r="688" spans="1:12" ht="15" customHeight="1" x14ac:dyDescent="0.25">
      <c r="A688" s="78">
        <v>45870</v>
      </c>
      <c r="B688" t="s">
        <v>401</v>
      </c>
      <c r="C688" t="s">
        <v>402</v>
      </c>
      <c r="D688" t="s">
        <v>221</v>
      </c>
      <c r="E688" t="s">
        <v>2246</v>
      </c>
      <c r="F688" t="s">
        <v>228</v>
      </c>
      <c r="G688" s="77">
        <v>720</v>
      </c>
      <c r="H688" s="126">
        <v>84.7</v>
      </c>
      <c r="I688" s="124">
        <v>125.36</v>
      </c>
      <c r="J688" s="124">
        <v>312.08</v>
      </c>
      <c r="K688" s="77">
        <v>520</v>
      </c>
      <c r="L688" s="124">
        <v>957.44</v>
      </c>
    </row>
    <row r="689" spans="1:12" ht="15" customHeight="1" x14ac:dyDescent="0.25">
      <c r="A689" s="78">
        <v>45870</v>
      </c>
      <c r="B689" t="s">
        <v>431</v>
      </c>
      <c r="C689" t="s">
        <v>432</v>
      </c>
      <c r="D689" t="s">
        <v>221</v>
      </c>
      <c r="E689" t="s">
        <v>2259</v>
      </c>
      <c r="F689" t="s">
        <v>228</v>
      </c>
      <c r="G689" s="77">
        <v>799</v>
      </c>
      <c r="H689" s="126">
        <v>94</v>
      </c>
      <c r="I689" s="124">
        <v>139.12</v>
      </c>
      <c r="J689" s="124">
        <v>189.81</v>
      </c>
      <c r="K689" s="77">
        <v>520</v>
      </c>
      <c r="L689" s="124">
        <v>848.93</v>
      </c>
    </row>
    <row r="690" spans="1:12" ht="15" customHeight="1" x14ac:dyDescent="0.25">
      <c r="A690" s="78">
        <v>45870</v>
      </c>
      <c r="B690" t="s">
        <v>431</v>
      </c>
      <c r="C690" t="s">
        <v>432</v>
      </c>
      <c r="D690" t="s">
        <v>221</v>
      </c>
      <c r="E690" t="s">
        <v>2307</v>
      </c>
      <c r="F690" t="s">
        <v>224</v>
      </c>
      <c r="G690" s="77">
        <v>683</v>
      </c>
      <c r="H690" s="126">
        <v>80.400000000000006</v>
      </c>
      <c r="I690" s="124">
        <v>118.99</v>
      </c>
      <c r="J690" s="124">
        <v>109.89</v>
      </c>
      <c r="K690" s="77">
        <v>380</v>
      </c>
      <c r="L690" s="124">
        <v>608.88</v>
      </c>
    </row>
    <row r="691" spans="1:12" ht="15" customHeight="1" x14ac:dyDescent="0.25">
      <c r="A691" s="78">
        <v>45870</v>
      </c>
      <c r="B691" t="s">
        <v>431</v>
      </c>
      <c r="C691" t="s">
        <v>432</v>
      </c>
      <c r="D691" t="s">
        <v>221</v>
      </c>
      <c r="E691" t="s">
        <v>2359</v>
      </c>
      <c r="F691" t="s">
        <v>224</v>
      </c>
      <c r="G691" s="77">
        <v>1293</v>
      </c>
      <c r="H691" s="126">
        <v>152.1</v>
      </c>
      <c r="I691" s="124">
        <v>225.11</v>
      </c>
      <c r="J691" s="124">
        <v>191.25</v>
      </c>
      <c r="K691" s="77">
        <v>380</v>
      </c>
      <c r="L691" s="124">
        <v>796.36</v>
      </c>
    </row>
    <row r="692" spans="1:12" ht="15" customHeight="1" x14ac:dyDescent="0.25">
      <c r="A692" s="78">
        <v>45870</v>
      </c>
      <c r="B692" t="s">
        <v>431</v>
      </c>
      <c r="C692" t="s">
        <v>432</v>
      </c>
      <c r="D692" t="s">
        <v>221</v>
      </c>
      <c r="E692" t="s">
        <v>2285</v>
      </c>
      <c r="F692" t="s">
        <v>224</v>
      </c>
      <c r="G692" s="77">
        <v>1294</v>
      </c>
      <c r="H692" s="126">
        <v>152.19999999999999</v>
      </c>
      <c r="I692" s="124">
        <v>225.26</v>
      </c>
      <c r="J692" s="124">
        <v>191.77</v>
      </c>
      <c r="K692" s="77">
        <v>520</v>
      </c>
      <c r="L692" s="124">
        <v>937.03</v>
      </c>
    </row>
    <row r="693" spans="1:12" ht="15" customHeight="1" x14ac:dyDescent="0.25">
      <c r="A693" s="78">
        <v>45870</v>
      </c>
      <c r="B693" t="s">
        <v>431</v>
      </c>
      <c r="C693" t="s">
        <v>432</v>
      </c>
      <c r="D693" t="s">
        <v>221</v>
      </c>
      <c r="E693" t="s">
        <v>2295</v>
      </c>
      <c r="F693" t="s">
        <v>222</v>
      </c>
      <c r="G693" s="77">
        <v>774</v>
      </c>
      <c r="H693" s="126">
        <v>73.7</v>
      </c>
      <c r="I693" s="124">
        <v>109.08</v>
      </c>
      <c r="J693" s="124">
        <v>123.54</v>
      </c>
      <c r="K693" s="77">
        <v>320</v>
      </c>
      <c r="L693" s="124">
        <v>552.62</v>
      </c>
    </row>
    <row r="694" spans="1:12" ht="15" customHeight="1" x14ac:dyDescent="0.25">
      <c r="A694" s="78">
        <v>45870</v>
      </c>
      <c r="B694" t="s">
        <v>431</v>
      </c>
      <c r="C694" t="s">
        <v>432</v>
      </c>
      <c r="D694" t="s">
        <v>221</v>
      </c>
      <c r="E694" t="s">
        <v>2346</v>
      </c>
      <c r="F694" t="s">
        <v>228</v>
      </c>
      <c r="G694" s="77">
        <v>854</v>
      </c>
      <c r="H694" s="126">
        <v>100.5</v>
      </c>
      <c r="I694" s="124">
        <v>148.74</v>
      </c>
      <c r="J694" s="124">
        <v>356.45</v>
      </c>
      <c r="K694" s="77">
        <v>380</v>
      </c>
      <c r="L694" s="124">
        <v>885.19</v>
      </c>
    </row>
    <row r="695" spans="1:12" ht="15" customHeight="1" x14ac:dyDescent="0.25">
      <c r="A695" s="78">
        <v>45870</v>
      </c>
      <c r="B695" t="s">
        <v>366</v>
      </c>
      <c r="C695" t="s">
        <v>367</v>
      </c>
      <c r="D695" t="s">
        <v>221</v>
      </c>
      <c r="E695" t="s">
        <v>2294</v>
      </c>
      <c r="F695" t="s">
        <v>226</v>
      </c>
      <c r="G695" s="77">
        <v>750</v>
      </c>
      <c r="H695" s="126">
        <v>71.400000000000006</v>
      </c>
      <c r="I695" s="124">
        <v>105.67</v>
      </c>
      <c r="J695" s="124">
        <v>221.5</v>
      </c>
      <c r="K695" s="77">
        <v>450</v>
      </c>
      <c r="L695" s="124">
        <v>777.17</v>
      </c>
    </row>
    <row r="696" spans="1:12" ht="15" customHeight="1" x14ac:dyDescent="0.25">
      <c r="A696" s="78">
        <v>45870</v>
      </c>
      <c r="B696" t="s">
        <v>366</v>
      </c>
      <c r="C696" t="s">
        <v>367</v>
      </c>
      <c r="D696" t="s">
        <v>221</v>
      </c>
      <c r="E696" t="s">
        <v>2351</v>
      </c>
      <c r="F696" t="s">
        <v>224</v>
      </c>
      <c r="G696" s="77">
        <v>1273</v>
      </c>
      <c r="H696" s="126">
        <v>149.80000000000001</v>
      </c>
      <c r="I696" s="124">
        <v>221.7</v>
      </c>
      <c r="J696" s="124">
        <v>296.37</v>
      </c>
      <c r="K696" s="77">
        <v>520</v>
      </c>
      <c r="L696" s="124">
        <v>1038.07</v>
      </c>
    </row>
    <row r="697" spans="1:12" ht="15" customHeight="1" x14ac:dyDescent="0.25">
      <c r="A697" s="78">
        <v>45870</v>
      </c>
      <c r="B697" t="s">
        <v>366</v>
      </c>
      <c r="C697" t="s">
        <v>367</v>
      </c>
      <c r="D697" t="s">
        <v>221</v>
      </c>
      <c r="E697" t="s">
        <v>2349</v>
      </c>
      <c r="F697" t="s">
        <v>222</v>
      </c>
      <c r="G697" s="77">
        <v>947</v>
      </c>
      <c r="H697" s="126">
        <v>90.2</v>
      </c>
      <c r="I697" s="124">
        <v>133.5</v>
      </c>
      <c r="J697" s="124">
        <v>206.99</v>
      </c>
      <c r="K697" s="77">
        <v>380</v>
      </c>
      <c r="L697" s="124">
        <v>720.49</v>
      </c>
    </row>
    <row r="698" spans="1:12" ht="15" customHeight="1" x14ac:dyDescent="0.25">
      <c r="A698" s="78">
        <v>45870</v>
      </c>
      <c r="B698" t="s">
        <v>366</v>
      </c>
      <c r="C698" t="s">
        <v>367</v>
      </c>
      <c r="D698" t="s">
        <v>221</v>
      </c>
      <c r="E698" t="s">
        <v>2243</v>
      </c>
      <c r="F698" t="s">
        <v>226</v>
      </c>
      <c r="G698" s="77">
        <v>1620</v>
      </c>
      <c r="H698" s="126">
        <v>154.30000000000001</v>
      </c>
      <c r="I698" s="124">
        <v>228.36</v>
      </c>
      <c r="J698" s="124">
        <v>100.59</v>
      </c>
      <c r="K698" s="77">
        <v>450</v>
      </c>
      <c r="L698" s="124">
        <v>778.95</v>
      </c>
    </row>
    <row r="699" spans="1:12" ht="15" customHeight="1" x14ac:dyDescent="0.25">
      <c r="A699" s="78">
        <v>45870</v>
      </c>
      <c r="B699" t="s">
        <v>366</v>
      </c>
      <c r="C699" t="s">
        <v>367</v>
      </c>
      <c r="D699" t="s">
        <v>221</v>
      </c>
      <c r="E699" t="s">
        <v>2235</v>
      </c>
      <c r="F699" t="s">
        <v>222</v>
      </c>
      <c r="G699" s="77">
        <v>666</v>
      </c>
      <c r="H699" s="126">
        <v>63.4</v>
      </c>
      <c r="I699" s="124">
        <v>93.83</v>
      </c>
      <c r="J699" s="124">
        <v>0</v>
      </c>
      <c r="K699" s="77">
        <v>520</v>
      </c>
      <c r="L699" s="124">
        <v>613.83000000000004</v>
      </c>
    </row>
    <row r="700" spans="1:12" ht="15" customHeight="1" x14ac:dyDescent="0.25">
      <c r="A700" s="78">
        <v>45870</v>
      </c>
      <c r="B700" t="s">
        <v>362</v>
      </c>
      <c r="C700" t="s">
        <v>363</v>
      </c>
      <c r="D700" t="s">
        <v>221</v>
      </c>
      <c r="E700" t="s">
        <v>2273</v>
      </c>
      <c r="F700" t="s">
        <v>228</v>
      </c>
      <c r="G700" s="77">
        <v>1228</v>
      </c>
      <c r="H700" s="126">
        <v>144.5</v>
      </c>
      <c r="I700" s="124">
        <v>213.86</v>
      </c>
      <c r="J700" s="124">
        <v>99.35</v>
      </c>
      <c r="K700" s="77">
        <v>320</v>
      </c>
      <c r="L700" s="124">
        <v>633.21</v>
      </c>
    </row>
    <row r="701" spans="1:12" ht="15" customHeight="1" x14ac:dyDescent="0.25">
      <c r="A701" s="78">
        <v>45870</v>
      </c>
      <c r="B701" t="s">
        <v>362</v>
      </c>
      <c r="C701" t="s">
        <v>363</v>
      </c>
      <c r="D701" t="s">
        <v>221</v>
      </c>
      <c r="E701" t="s">
        <v>2341</v>
      </c>
      <c r="F701" t="s">
        <v>222</v>
      </c>
      <c r="G701" s="77">
        <v>956</v>
      </c>
      <c r="H701" s="126">
        <v>91</v>
      </c>
      <c r="I701" s="124">
        <v>134.68</v>
      </c>
      <c r="J701" s="124">
        <v>184.99</v>
      </c>
      <c r="K701" s="77">
        <v>520</v>
      </c>
      <c r="L701" s="124">
        <v>839.67</v>
      </c>
    </row>
    <row r="702" spans="1:12" ht="15" customHeight="1" x14ac:dyDescent="0.25">
      <c r="A702" s="78">
        <v>45870</v>
      </c>
      <c r="B702" t="s">
        <v>362</v>
      </c>
      <c r="C702" t="s">
        <v>363</v>
      </c>
      <c r="D702" t="s">
        <v>221</v>
      </c>
      <c r="E702" t="s">
        <v>2296</v>
      </c>
      <c r="F702" t="s">
        <v>226</v>
      </c>
      <c r="G702" s="77">
        <v>1096</v>
      </c>
      <c r="H702" s="126">
        <v>104.4</v>
      </c>
      <c r="I702" s="124">
        <v>154.51</v>
      </c>
      <c r="J702" s="124">
        <v>184.04</v>
      </c>
      <c r="K702" s="77">
        <v>380</v>
      </c>
      <c r="L702" s="124">
        <v>718.55</v>
      </c>
    </row>
    <row r="703" spans="1:12" ht="15" customHeight="1" x14ac:dyDescent="0.25">
      <c r="A703" s="78">
        <v>45870</v>
      </c>
      <c r="B703" t="s">
        <v>335</v>
      </c>
      <c r="C703" t="s">
        <v>336</v>
      </c>
      <c r="D703" t="s">
        <v>223</v>
      </c>
      <c r="E703" t="s">
        <v>2313</v>
      </c>
      <c r="F703" t="s">
        <v>222</v>
      </c>
      <c r="G703" s="77">
        <v>1105</v>
      </c>
      <c r="H703" s="126">
        <v>105.2</v>
      </c>
      <c r="I703" s="124">
        <v>155.69999999999999</v>
      </c>
      <c r="J703" s="124">
        <v>252.31</v>
      </c>
      <c r="K703" s="77">
        <v>450</v>
      </c>
      <c r="L703" s="124">
        <v>858.01</v>
      </c>
    </row>
    <row r="704" spans="1:12" ht="15" customHeight="1" x14ac:dyDescent="0.25">
      <c r="A704" s="78">
        <v>45870</v>
      </c>
      <c r="B704" t="s">
        <v>335</v>
      </c>
      <c r="C704" t="s">
        <v>336</v>
      </c>
      <c r="D704" t="s">
        <v>223</v>
      </c>
      <c r="E704" t="s">
        <v>2223</v>
      </c>
      <c r="F704" t="s">
        <v>228</v>
      </c>
      <c r="G704" s="77">
        <v>811</v>
      </c>
      <c r="H704" s="126">
        <v>95.4</v>
      </c>
      <c r="I704" s="124">
        <v>141.19</v>
      </c>
      <c r="J704" s="124">
        <v>195.84</v>
      </c>
      <c r="K704" s="77">
        <v>320</v>
      </c>
      <c r="L704" s="124">
        <v>657.03</v>
      </c>
    </row>
    <row r="705" spans="1:12" ht="15" customHeight="1" x14ac:dyDescent="0.25">
      <c r="A705" s="78">
        <v>45870</v>
      </c>
      <c r="B705" t="s">
        <v>335</v>
      </c>
      <c r="C705" t="s">
        <v>336</v>
      </c>
      <c r="D705" t="s">
        <v>223</v>
      </c>
      <c r="E705" t="s">
        <v>2334</v>
      </c>
      <c r="F705" t="s">
        <v>226</v>
      </c>
      <c r="G705" s="77">
        <v>856</v>
      </c>
      <c r="H705" s="126">
        <v>81.5</v>
      </c>
      <c r="I705" s="124">
        <v>120.62</v>
      </c>
      <c r="J705" s="124">
        <v>216.42</v>
      </c>
      <c r="K705" s="77">
        <v>320</v>
      </c>
      <c r="L705" s="124">
        <v>657.04</v>
      </c>
    </row>
    <row r="706" spans="1:12" ht="15" customHeight="1" x14ac:dyDescent="0.25">
      <c r="A706" s="78">
        <v>45870</v>
      </c>
      <c r="B706" t="s">
        <v>335</v>
      </c>
      <c r="C706" t="s">
        <v>336</v>
      </c>
      <c r="D706" t="s">
        <v>223</v>
      </c>
      <c r="E706" t="s">
        <v>2267</v>
      </c>
      <c r="F706" t="s">
        <v>226</v>
      </c>
      <c r="G706" s="77">
        <v>1275</v>
      </c>
      <c r="H706" s="126">
        <v>121.4</v>
      </c>
      <c r="I706" s="124">
        <v>179.67</v>
      </c>
      <c r="J706" s="124">
        <v>186.1</v>
      </c>
      <c r="K706" s="77">
        <v>450</v>
      </c>
      <c r="L706" s="124">
        <v>815.77</v>
      </c>
    </row>
    <row r="707" spans="1:12" ht="15" customHeight="1" x14ac:dyDescent="0.25">
      <c r="A707" s="78">
        <v>45870</v>
      </c>
      <c r="B707" t="s">
        <v>335</v>
      </c>
      <c r="C707" t="s">
        <v>336</v>
      </c>
      <c r="D707" t="s">
        <v>223</v>
      </c>
      <c r="E707" t="s">
        <v>2233</v>
      </c>
      <c r="F707" t="s">
        <v>222</v>
      </c>
      <c r="G707" s="77">
        <v>1345</v>
      </c>
      <c r="H707" s="126">
        <v>128.1</v>
      </c>
      <c r="I707" s="124">
        <v>189.59</v>
      </c>
      <c r="J707" s="124">
        <v>55.76</v>
      </c>
      <c r="K707" s="77">
        <v>380</v>
      </c>
      <c r="L707" s="124">
        <v>625.35</v>
      </c>
    </row>
    <row r="708" spans="1:12" ht="15" customHeight="1" x14ac:dyDescent="0.25">
      <c r="A708" s="78">
        <v>45870</v>
      </c>
      <c r="B708" t="s">
        <v>386</v>
      </c>
      <c r="C708" t="s">
        <v>387</v>
      </c>
      <c r="D708" t="s">
        <v>223</v>
      </c>
      <c r="E708" t="s">
        <v>2223</v>
      </c>
      <c r="F708" t="s">
        <v>222</v>
      </c>
      <c r="G708" s="77">
        <v>1466</v>
      </c>
      <c r="H708" s="126">
        <v>139.6</v>
      </c>
      <c r="I708" s="124">
        <v>206.61</v>
      </c>
      <c r="J708" s="124">
        <v>271.86</v>
      </c>
      <c r="K708" s="77">
        <v>450</v>
      </c>
      <c r="L708" s="124">
        <v>928.47</v>
      </c>
    </row>
    <row r="709" spans="1:12" ht="15" customHeight="1" x14ac:dyDescent="0.25">
      <c r="A709" s="78">
        <v>45870</v>
      </c>
      <c r="B709" t="s">
        <v>386</v>
      </c>
      <c r="C709" t="s">
        <v>387</v>
      </c>
      <c r="D709" t="s">
        <v>223</v>
      </c>
      <c r="E709" t="s">
        <v>2278</v>
      </c>
      <c r="F709" t="s">
        <v>222</v>
      </c>
      <c r="G709" s="77">
        <v>1233</v>
      </c>
      <c r="H709" s="126">
        <v>117.4</v>
      </c>
      <c r="I709" s="124">
        <v>173.75</v>
      </c>
      <c r="J709" s="124">
        <v>292.54000000000002</v>
      </c>
      <c r="K709" s="77">
        <v>380</v>
      </c>
      <c r="L709" s="124">
        <v>846.29</v>
      </c>
    </row>
    <row r="710" spans="1:12" ht="15" customHeight="1" x14ac:dyDescent="0.25">
      <c r="A710" s="78">
        <v>45870</v>
      </c>
      <c r="B710" t="s">
        <v>386</v>
      </c>
      <c r="C710" t="s">
        <v>387</v>
      </c>
      <c r="D710" t="s">
        <v>223</v>
      </c>
      <c r="E710" t="s">
        <v>2261</v>
      </c>
      <c r="F710" t="s">
        <v>224</v>
      </c>
      <c r="G710" s="77">
        <v>635</v>
      </c>
      <c r="H710" s="126">
        <v>74.7</v>
      </c>
      <c r="I710" s="124">
        <v>110.56</v>
      </c>
      <c r="J710" s="124">
        <v>108.04</v>
      </c>
      <c r="K710" s="77">
        <v>320</v>
      </c>
      <c r="L710" s="124">
        <v>538.6</v>
      </c>
    </row>
    <row r="711" spans="1:12" ht="15" customHeight="1" x14ac:dyDescent="0.25">
      <c r="A711" s="78">
        <v>45870</v>
      </c>
      <c r="B711" t="s">
        <v>386</v>
      </c>
      <c r="C711" t="s">
        <v>387</v>
      </c>
      <c r="D711" t="s">
        <v>223</v>
      </c>
      <c r="E711" t="s">
        <v>2230</v>
      </c>
      <c r="F711" t="s">
        <v>224</v>
      </c>
      <c r="G711" s="77">
        <v>866</v>
      </c>
      <c r="H711" s="126">
        <v>101.9</v>
      </c>
      <c r="I711" s="124">
        <v>150.81</v>
      </c>
      <c r="J711" s="124">
        <v>207.72</v>
      </c>
      <c r="K711" s="77">
        <v>320</v>
      </c>
      <c r="L711" s="124">
        <v>678.53</v>
      </c>
    </row>
    <row r="712" spans="1:12" ht="15" customHeight="1" x14ac:dyDescent="0.25">
      <c r="A712" s="78">
        <v>45870</v>
      </c>
      <c r="B712" t="s">
        <v>341</v>
      </c>
      <c r="C712" t="s">
        <v>342</v>
      </c>
      <c r="D712" t="s">
        <v>223</v>
      </c>
      <c r="E712" t="s">
        <v>2326</v>
      </c>
      <c r="F712" t="s">
        <v>222</v>
      </c>
      <c r="G712" s="77">
        <v>787</v>
      </c>
      <c r="H712" s="126">
        <v>75</v>
      </c>
      <c r="I712" s="124">
        <v>111</v>
      </c>
      <c r="J712" s="124">
        <v>210.6</v>
      </c>
      <c r="K712" s="77">
        <v>520</v>
      </c>
      <c r="L712" s="124">
        <v>841.6</v>
      </c>
    </row>
    <row r="713" spans="1:12" ht="15" customHeight="1" x14ac:dyDescent="0.25">
      <c r="A713" s="78">
        <v>45870</v>
      </c>
      <c r="B713" t="s">
        <v>341</v>
      </c>
      <c r="C713" t="s">
        <v>342</v>
      </c>
      <c r="D713" t="s">
        <v>223</v>
      </c>
      <c r="E713" t="s">
        <v>2230</v>
      </c>
      <c r="F713" t="s">
        <v>222</v>
      </c>
      <c r="G713" s="77">
        <v>1392</v>
      </c>
      <c r="H713" s="126">
        <v>132.6</v>
      </c>
      <c r="I713" s="124">
        <v>196.25</v>
      </c>
      <c r="J713" s="124">
        <v>205.62</v>
      </c>
      <c r="K713" s="77">
        <v>520</v>
      </c>
      <c r="L713" s="124">
        <v>921.87</v>
      </c>
    </row>
    <row r="714" spans="1:12" ht="15" customHeight="1" x14ac:dyDescent="0.25">
      <c r="A714" s="78">
        <v>45870</v>
      </c>
      <c r="B714" t="s">
        <v>341</v>
      </c>
      <c r="C714" t="s">
        <v>342</v>
      </c>
      <c r="D714" t="s">
        <v>223</v>
      </c>
      <c r="E714" t="s">
        <v>2338</v>
      </c>
      <c r="F714" t="s">
        <v>226</v>
      </c>
      <c r="G714" s="77">
        <v>1120</v>
      </c>
      <c r="H714" s="126">
        <v>106.7</v>
      </c>
      <c r="I714" s="124">
        <v>157.91999999999999</v>
      </c>
      <c r="J714" s="124">
        <v>70.97</v>
      </c>
      <c r="K714" s="77">
        <v>520</v>
      </c>
      <c r="L714" s="124">
        <v>748.89</v>
      </c>
    </row>
    <row r="715" spans="1:12" ht="15" customHeight="1" x14ac:dyDescent="0.25">
      <c r="A715" s="78">
        <v>45870</v>
      </c>
      <c r="B715" t="s">
        <v>341</v>
      </c>
      <c r="C715" t="s">
        <v>342</v>
      </c>
      <c r="D715" t="s">
        <v>223</v>
      </c>
      <c r="E715" t="s">
        <v>2253</v>
      </c>
      <c r="F715" t="s">
        <v>222</v>
      </c>
      <c r="G715" s="77">
        <v>838</v>
      </c>
      <c r="H715" s="126">
        <v>79.8</v>
      </c>
      <c r="I715" s="124">
        <v>118.1</v>
      </c>
      <c r="J715" s="124">
        <v>249.97</v>
      </c>
      <c r="K715" s="77">
        <v>450</v>
      </c>
      <c r="L715" s="124">
        <v>818.07</v>
      </c>
    </row>
    <row r="716" spans="1:12" ht="15" customHeight="1" x14ac:dyDescent="0.25">
      <c r="A716" s="78">
        <v>45870</v>
      </c>
      <c r="B716" t="s">
        <v>341</v>
      </c>
      <c r="C716" t="s">
        <v>342</v>
      </c>
      <c r="D716" t="s">
        <v>223</v>
      </c>
      <c r="E716" t="s">
        <v>2281</v>
      </c>
      <c r="F716" t="s">
        <v>224</v>
      </c>
      <c r="G716" s="77">
        <v>1244</v>
      </c>
      <c r="H716" s="126">
        <v>146.4</v>
      </c>
      <c r="I716" s="124">
        <v>216.67</v>
      </c>
      <c r="J716" s="124">
        <v>146.88</v>
      </c>
      <c r="K716" s="77">
        <v>450</v>
      </c>
      <c r="L716" s="124">
        <v>813.55</v>
      </c>
    </row>
    <row r="717" spans="1:12" ht="15" customHeight="1" x14ac:dyDescent="0.25">
      <c r="A717" s="78">
        <v>45870</v>
      </c>
      <c r="B717" t="s">
        <v>341</v>
      </c>
      <c r="C717" t="s">
        <v>342</v>
      </c>
      <c r="D717" t="s">
        <v>223</v>
      </c>
      <c r="E717" t="s">
        <v>2220</v>
      </c>
      <c r="F717" t="s">
        <v>224</v>
      </c>
      <c r="G717" s="77">
        <v>945</v>
      </c>
      <c r="H717" s="126">
        <v>111.2</v>
      </c>
      <c r="I717" s="124">
        <v>164.58</v>
      </c>
      <c r="J717" s="124">
        <v>0</v>
      </c>
      <c r="K717" s="77">
        <v>380</v>
      </c>
      <c r="L717" s="124">
        <v>544.58000000000004</v>
      </c>
    </row>
    <row r="718" spans="1:12" ht="15" customHeight="1" x14ac:dyDescent="0.25">
      <c r="A718" s="78">
        <v>45870</v>
      </c>
      <c r="B718" t="s">
        <v>347</v>
      </c>
      <c r="C718" t="s">
        <v>348</v>
      </c>
      <c r="D718" t="s">
        <v>223</v>
      </c>
      <c r="E718" t="s">
        <v>2341</v>
      </c>
      <c r="F718" t="s">
        <v>228</v>
      </c>
      <c r="G718" s="77">
        <v>782</v>
      </c>
      <c r="H718" s="126">
        <v>92</v>
      </c>
      <c r="I718" s="124">
        <v>136.16</v>
      </c>
      <c r="J718" s="124">
        <v>402.91</v>
      </c>
      <c r="K718" s="77">
        <v>380</v>
      </c>
      <c r="L718" s="124">
        <v>919.07</v>
      </c>
    </row>
    <row r="719" spans="1:12" ht="15" customHeight="1" x14ac:dyDescent="0.25">
      <c r="A719" s="78">
        <v>45870</v>
      </c>
      <c r="B719" t="s">
        <v>347</v>
      </c>
      <c r="C719" t="s">
        <v>348</v>
      </c>
      <c r="D719" t="s">
        <v>223</v>
      </c>
      <c r="E719" t="s">
        <v>2280</v>
      </c>
      <c r="F719" t="s">
        <v>228</v>
      </c>
      <c r="G719" s="77">
        <v>729</v>
      </c>
      <c r="H719" s="126">
        <v>85.8</v>
      </c>
      <c r="I719" s="124">
        <v>126.98</v>
      </c>
      <c r="J719" s="124">
        <v>265.16000000000003</v>
      </c>
      <c r="K719" s="77">
        <v>450</v>
      </c>
      <c r="L719" s="124">
        <v>842.14</v>
      </c>
    </row>
    <row r="720" spans="1:12" ht="15" customHeight="1" x14ac:dyDescent="0.25">
      <c r="A720" s="78">
        <v>45870</v>
      </c>
      <c r="B720" t="s">
        <v>347</v>
      </c>
      <c r="C720" t="s">
        <v>348</v>
      </c>
      <c r="D720" t="s">
        <v>223</v>
      </c>
      <c r="E720" t="s">
        <v>2315</v>
      </c>
      <c r="F720" t="s">
        <v>228</v>
      </c>
      <c r="G720" s="77">
        <v>1301</v>
      </c>
      <c r="H720" s="126">
        <v>153.1</v>
      </c>
      <c r="I720" s="124">
        <v>226.59</v>
      </c>
      <c r="J720" s="124">
        <v>149.61000000000001</v>
      </c>
      <c r="K720" s="77">
        <v>520</v>
      </c>
      <c r="L720" s="124">
        <v>896.2</v>
      </c>
    </row>
    <row r="721" spans="1:12" ht="15" customHeight="1" x14ac:dyDescent="0.25">
      <c r="A721" s="78">
        <v>45870</v>
      </c>
      <c r="B721" t="s">
        <v>347</v>
      </c>
      <c r="C721" t="s">
        <v>348</v>
      </c>
      <c r="D721" t="s">
        <v>223</v>
      </c>
      <c r="E721" t="s">
        <v>2255</v>
      </c>
      <c r="F721" t="s">
        <v>222</v>
      </c>
      <c r="G721" s="77">
        <v>1096</v>
      </c>
      <c r="H721" s="126">
        <v>104.4</v>
      </c>
      <c r="I721" s="124">
        <v>154.51</v>
      </c>
      <c r="J721" s="124">
        <v>225.03</v>
      </c>
      <c r="K721" s="77">
        <v>380</v>
      </c>
      <c r="L721" s="124">
        <v>759.54</v>
      </c>
    </row>
    <row r="722" spans="1:12" ht="15" customHeight="1" x14ac:dyDescent="0.25">
      <c r="A722" s="78">
        <v>45870</v>
      </c>
      <c r="B722" t="s">
        <v>347</v>
      </c>
      <c r="C722" t="s">
        <v>348</v>
      </c>
      <c r="D722" t="s">
        <v>223</v>
      </c>
      <c r="E722" t="s">
        <v>2220</v>
      </c>
      <c r="F722" t="s">
        <v>224</v>
      </c>
      <c r="G722" s="77">
        <v>1053</v>
      </c>
      <c r="H722" s="126">
        <v>123.9</v>
      </c>
      <c r="I722" s="124">
        <v>183.37</v>
      </c>
      <c r="J722" s="124">
        <v>379.47</v>
      </c>
      <c r="K722" s="77">
        <v>320</v>
      </c>
      <c r="L722" s="124">
        <v>882.84</v>
      </c>
    </row>
    <row r="723" spans="1:12" ht="15" customHeight="1" x14ac:dyDescent="0.25">
      <c r="A723" s="78">
        <v>45870</v>
      </c>
      <c r="B723" t="s">
        <v>409</v>
      </c>
      <c r="C723" t="s">
        <v>410</v>
      </c>
      <c r="D723" t="s">
        <v>223</v>
      </c>
      <c r="E723" t="s">
        <v>2287</v>
      </c>
      <c r="F723" t="s">
        <v>222</v>
      </c>
      <c r="G723" s="77">
        <v>632</v>
      </c>
      <c r="H723" s="126">
        <v>60.2</v>
      </c>
      <c r="I723" s="124">
        <v>89.1</v>
      </c>
      <c r="J723" s="124">
        <v>234.7</v>
      </c>
      <c r="K723" s="77">
        <v>520</v>
      </c>
      <c r="L723" s="124">
        <v>843.8</v>
      </c>
    </row>
    <row r="724" spans="1:12" ht="15" customHeight="1" x14ac:dyDescent="0.25">
      <c r="A724" s="78">
        <v>45870</v>
      </c>
      <c r="B724" t="s">
        <v>409</v>
      </c>
      <c r="C724" t="s">
        <v>410</v>
      </c>
      <c r="D724" t="s">
        <v>223</v>
      </c>
      <c r="E724" t="s">
        <v>2343</v>
      </c>
      <c r="F724" t="s">
        <v>228</v>
      </c>
      <c r="G724" s="77">
        <v>1006</v>
      </c>
      <c r="H724" s="126">
        <v>118.4</v>
      </c>
      <c r="I724" s="124">
        <v>175.23</v>
      </c>
      <c r="J724" s="124">
        <v>311.75</v>
      </c>
      <c r="K724" s="77">
        <v>320</v>
      </c>
      <c r="L724" s="124">
        <v>806.98</v>
      </c>
    </row>
    <row r="725" spans="1:12" ht="15" customHeight="1" x14ac:dyDescent="0.25">
      <c r="A725" s="78">
        <v>45870</v>
      </c>
      <c r="B725" t="s">
        <v>409</v>
      </c>
      <c r="C725" t="s">
        <v>410</v>
      </c>
      <c r="D725" t="s">
        <v>223</v>
      </c>
      <c r="E725" t="s">
        <v>2268</v>
      </c>
      <c r="F725" t="s">
        <v>224</v>
      </c>
      <c r="G725" s="77">
        <v>1160</v>
      </c>
      <c r="H725" s="126">
        <v>136.5</v>
      </c>
      <c r="I725" s="124">
        <v>202.02</v>
      </c>
      <c r="J725" s="124">
        <v>91.35</v>
      </c>
      <c r="K725" s="77">
        <v>450</v>
      </c>
      <c r="L725" s="124">
        <v>743.37</v>
      </c>
    </row>
    <row r="726" spans="1:12" ht="15" customHeight="1" x14ac:dyDescent="0.25">
      <c r="A726" s="78">
        <v>45870</v>
      </c>
      <c r="B726" t="s">
        <v>409</v>
      </c>
      <c r="C726" t="s">
        <v>410</v>
      </c>
      <c r="D726" t="s">
        <v>223</v>
      </c>
      <c r="E726" t="s">
        <v>2356</v>
      </c>
      <c r="F726" t="s">
        <v>226</v>
      </c>
      <c r="G726" s="77">
        <v>1107</v>
      </c>
      <c r="H726" s="126">
        <v>105.4</v>
      </c>
      <c r="I726" s="124">
        <v>155.99</v>
      </c>
      <c r="J726" s="124">
        <v>1.37</v>
      </c>
      <c r="K726" s="77">
        <v>380</v>
      </c>
      <c r="L726" s="124">
        <v>537.36</v>
      </c>
    </row>
    <row r="727" spans="1:12" ht="15" customHeight="1" x14ac:dyDescent="0.25">
      <c r="A727" s="78">
        <v>45870</v>
      </c>
      <c r="B727" t="s">
        <v>409</v>
      </c>
      <c r="C727" t="s">
        <v>410</v>
      </c>
      <c r="D727" t="s">
        <v>223</v>
      </c>
      <c r="E727" t="s">
        <v>2233</v>
      </c>
      <c r="F727" t="s">
        <v>222</v>
      </c>
      <c r="G727" s="77">
        <v>1200</v>
      </c>
      <c r="H727" s="126">
        <v>114.3</v>
      </c>
      <c r="I727" s="124">
        <v>169.16</v>
      </c>
      <c r="J727" s="124">
        <v>173.85</v>
      </c>
      <c r="K727" s="77">
        <v>380</v>
      </c>
      <c r="L727" s="124">
        <v>723.01</v>
      </c>
    </row>
    <row r="728" spans="1:12" ht="15" customHeight="1" x14ac:dyDescent="0.25">
      <c r="A728" s="78">
        <v>45870</v>
      </c>
      <c r="B728" t="s">
        <v>488</v>
      </c>
      <c r="C728" t="s">
        <v>489</v>
      </c>
      <c r="D728" t="s">
        <v>225</v>
      </c>
      <c r="E728" t="s">
        <v>2337</v>
      </c>
      <c r="F728" t="s">
        <v>224</v>
      </c>
      <c r="G728" s="77">
        <v>1209</v>
      </c>
      <c r="H728" s="126">
        <v>142.19999999999999</v>
      </c>
      <c r="I728" s="124">
        <v>210.46</v>
      </c>
      <c r="J728" s="124">
        <v>234.65</v>
      </c>
      <c r="K728" s="77">
        <v>320</v>
      </c>
      <c r="L728" s="124">
        <v>765.11</v>
      </c>
    </row>
    <row r="729" spans="1:12" ht="15" customHeight="1" x14ac:dyDescent="0.25">
      <c r="A729" s="78">
        <v>45870</v>
      </c>
      <c r="B729" t="s">
        <v>488</v>
      </c>
      <c r="C729" t="s">
        <v>489</v>
      </c>
      <c r="D729" t="s">
        <v>225</v>
      </c>
      <c r="E729" t="s">
        <v>2285</v>
      </c>
      <c r="F729" t="s">
        <v>228</v>
      </c>
      <c r="G729" s="77">
        <v>1141</v>
      </c>
      <c r="H729" s="126">
        <v>134.19999999999999</v>
      </c>
      <c r="I729" s="124">
        <v>198.62</v>
      </c>
      <c r="J729" s="124">
        <v>261.85000000000002</v>
      </c>
      <c r="K729" s="77">
        <v>380</v>
      </c>
      <c r="L729" s="124">
        <v>840.47</v>
      </c>
    </row>
    <row r="730" spans="1:12" ht="15" customHeight="1" x14ac:dyDescent="0.25">
      <c r="A730" s="78">
        <v>45870</v>
      </c>
      <c r="B730" t="s">
        <v>488</v>
      </c>
      <c r="C730" t="s">
        <v>489</v>
      </c>
      <c r="D730" t="s">
        <v>225</v>
      </c>
      <c r="E730" t="s">
        <v>2336</v>
      </c>
      <c r="F730" t="s">
        <v>226</v>
      </c>
      <c r="G730" s="77">
        <v>829</v>
      </c>
      <c r="H730" s="126">
        <v>79</v>
      </c>
      <c r="I730" s="124">
        <v>116.92</v>
      </c>
      <c r="J730" s="124">
        <v>93.02</v>
      </c>
      <c r="K730" s="77">
        <v>450</v>
      </c>
      <c r="L730" s="124">
        <v>659.94</v>
      </c>
    </row>
    <row r="731" spans="1:12" ht="15" customHeight="1" x14ac:dyDescent="0.25">
      <c r="A731" s="78">
        <v>45870</v>
      </c>
      <c r="B731" t="s">
        <v>488</v>
      </c>
      <c r="C731" t="s">
        <v>489</v>
      </c>
      <c r="D731" t="s">
        <v>225</v>
      </c>
      <c r="E731" t="s">
        <v>2276</v>
      </c>
      <c r="F731" t="s">
        <v>226</v>
      </c>
      <c r="G731" s="77">
        <v>1346</v>
      </c>
      <c r="H731" s="126">
        <v>128.19999999999999</v>
      </c>
      <c r="I731" s="124">
        <v>189.74</v>
      </c>
      <c r="J731" s="124">
        <v>264.91000000000003</v>
      </c>
      <c r="K731" s="77">
        <v>380</v>
      </c>
      <c r="L731" s="124">
        <v>834.65</v>
      </c>
    </row>
    <row r="732" spans="1:12" ht="15" customHeight="1" x14ac:dyDescent="0.25">
      <c r="A732" s="78">
        <v>45870</v>
      </c>
      <c r="B732" t="s">
        <v>406</v>
      </c>
      <c r="C732" t="s">
        <v>407</v>
      </c>
      <c r="D732" t="s">
        <v>225</v>
      </c>
      <c r="E732" t="s">
        <v>2259</v>
      </c>
      <c r="F732" t="s">
        <v>228</v>
      </c>
      <c r="G732" s="77">
        <v>990</v>
      </c>
      <c r="H732" s="126">
        <v>116.5</v>
      </c>
      <c r="I732" s="124">
        <v>172.42</v>
      </c>
      <c r="J732" s="124">
        <v>253.68</v>
      </c>
      <c r="K732" s="77">
        <v>380</v>
      </c>
      <c r="L732" s="124">
        <v>806.1</v>
      </c>
    </row>
    <row r="733" spans="1:12" ht="15" customHeight="1" x14ac:dyDescent="0.25">
      <c r="A733" s="78">
        <v>45870</v>
      </c>
      <c r="B733" t="s">
        <v>406</v>
      </c>
      <c r="C733" t="s">
        <v>407</v>
      </c>
      <c r="D733" t="s">
        <v>225</v>
      </c>
      <c r="E733" t="s">
        <v>2322</v>
      </c>
      <c r="F733" t="s">
        <v>228</v>
      </c>
      <c r="G733" s="77">
        <v>823</v>
      </c>
      <c r="H733" s="126">
        <v>96.8</v>
      </c>
      <c r="I733" s="124">
        <v>143.26</v>
      </c>
      <c r="J733" s="124">
        <v>343.82</v>
      </c>
      <c r="K733" s="77">
        <v>520</v>
      </c>
      <c r="L733" s="124">
        <v>1007.08</v>
      </c>
    </row>
    <row r="734" spans="1:12" ht="15" customHeight="1" x14ac:dyDescent="0.25">
      <c r="A734" s="78">
        <v>45870</v>
      </c>
      <c r="B734" t="s">
        <v>406</v>
      </c>
      <c r="C734" t="s">
        <v>407</v>
      </c>
      <c r="D734" t="s">
        <v>225</v>
      </c>
      <c r="E734" t="s">
        <v>2237</v>
      </c>
      <c r="F734" t="s">
        <v>228</v>
      </c>
      <c r="G734" s="77">
        <v>1216</v>
      </c>
      <c r="H734" s="126">
        <v>143.1</v>
      </c>
      <c r="I734" s="124">
        <v>211.79</v>
      </c>
      <c r="J734" s="124">
        <v>405.3</v>
      </c>
      <c r="K734" s="77">
        <v>450</v>
      </c>
      <c r="L734" s="124">
        <v>1067.0899999999999</v>
      </c>
    </row>
    <row r="735" spans="1:12" ht="15" customHeight="1" x14ac:dyDescent="0.25">
      <c r="A735" s="78">
        <v>45870</v>
      </c>
      <c r="B735" t="s">
        <v>406</v>
      </c>
      <c r="C735" t="s">
        <v>407</v>
      </c>
      <c r="D735" t="s">
        <v>225</v>
      </c>
      <c r="E735" t="s">
        <v>2291</v>
      </c>
      <c r="F735" t="s">
        <v>226</v>
      </c>
      <c r="G735" s="77">
        <v>830</v>
      </c>
      <c r="H735" s="126">
        <v>79</v>
      </c>
      <c r="I735" s="124">
        <v>116.92</v>
      </c>
      <c r="J735" s="124">
        <v>119.76</v>
      </c>
      <c r="K735" s="77">
        <v>450</v>
      </c>
      <c r="L735" s="124">
        <v>686.68</v>
      </c>
    </row>
    <row r="736" spans="1:12" ht="15" customHeight="1" x14ac:dyDescent="0.25">
      <c r="A736" s="78">
        <v>45870</v>
      </c>
      <c r="B736" t="s">
        <v>406</v>
      </c>
      <c r="C736" t="s">
        <v>407</v>
      </c>
      <c r="D736" t="s">
        <v>225</v>
      </c>
      <c r="E736" t="s">
        <v>2299</v>
      </c>
      <c r="F736" t="s">
        <v>228</v>
      </c>
      <c r="G736" s="77">
        <v>1107</v>
      </c>
      <c r="H736" s="126">
        <v>130.19999999999999</v>
      </c>
      <c r="I736" s="124">
        <v>192.7</v>
      </c>
      <c r="J736" s="124">
        <v>301.72000000000003</v>
      </c>
      <c r="K736" s="77">
        <v>450</v>
      </c>
      <c r="L736" s="124">
        <v>944.42</v>
      </c>
    </row>
    <row r="737" spans="1:12" ht="15" customHeight="1" x14ac:dyDescent="0.25">
      <c r="A737" s="78">
        <v>45870</v>
      </c>
      <c r="B737" t="s">
        <v>406</v>
      </c>
      <c r="C737" t="s">
        <v>407</v>
      </c>
      <c r="D737" t="s">
        <v>225</v>
      </c>
      <c r="E737" t="s">
        <v>2358</v>
      </c>
      <c r="F737" t="s">
        <v>228</v>
      </c>
      <c r="G737" s="77">
        <v>996</v>
      </c>
      <c r="H737" s="126">
        <v>117.2</v>
      </c>
      <c r="I737" s="124">
        <v>173.46</v>
      </c>
      <c r="J737" s="124">
        <v>180.16</v>
      </c>
      <c r="K737" s="77">
        <v>520</v>
      </c>
      <c r="L737" s="124">
        <v>873.62</v>
      </c>
    </row>
    <row r="738" spans="1:12" ht="15" customHeight="1" x14ac:dyDescent="0.25">
      <c r="A738" s="78">
        <v>45870</v>
      </c>
      <c r="B738" t="s">
        <v>358</v>
      </c>
      <c r="C738" t="s">
        <v>359</v>
      </c>
      <c r="D738" t="s">
        <v>225</v>
      </c>
      <c r="E738" t="s">
        <v>2350</v>
      </c>
      <c r="F738" t="s">
        <v>222</v>
      </c>
      <c r="G738" s="77">
        <v>1270</v>
      </c>
      <c r="H738" s="126">
        <v>121</v>
      </c>
      <c r="I738" s="124">
        <v>179.08</v>
      </c>
      <c r="J738" s="124">
        <v>207.69</v>
      </c>
      <c r="K738" s="77">
        <v>520</v>
      </c>
      <c r="L738" s="124">
        <v>906.77</v>
      </c>
    </row>
    <row r="739" spans="1:12" ht="15" customHeight="1" x14ac:dyDescent="0.25">
      <c r="A739" s="78">
        <v>45870</v>
      </c>
      <c r="B739" t="s">
        <v>358</v>
      </c>
      <c r="C739" t="s">
        <v>359</v>
      </c>
      <c r="D739" t="s">
        <v>225</v>
      </c>
      <c r="E739" t="s">
        <v>2229</v>
      </c>
      <c r="F739" t="s">
        <v>228</v>
      </c>
      <c r="G739" s="77">
        <v>820</v>
      </c>
      <c r="H739" s="126">
        <v>96.5</v>
      </c>
      <c r="I739" s="124">
        <v>142.82</v>
      </c>
      <c r="J739" s="124">
        <v>358.44</v>
      </c>
      <c r="K739" s="77">
        <v>380</v>
      </c>
      <c r="L739" s="124">
        <v>881.26</v>
      </c>
    </row>
    <row r="740" spans="1:12" ht="15" customHeight="1" x14ac:dyDescent="0.25">
      <c r="A740" s="78">
        <v>45870</v>
      </c>
      <c r="B740" t="s">
        <v>358</v>
      </c>
      <c r="C740" t="s">
        <v>359</v>
      </c>
      <c r="D740" t="s">
        <v>225</v>
      </c>
      <c r="E740" t="s">
        <v>2358</v>
      </c>
      <c r="F740" t="s">
        <v>224</v>
      </c>
      <c r="G740" s="77">
        <v>1342</v>
      </c>
      <c r="H740" s="126">
        <v>157.9</v>
      </c>
      <c r="I740" s="124">
        <v>233.69</v>
      </c>
      <c r="J740" s="124">
        <v>160.74</v>
      </c>
      <c r="K740" s="77">
        <v>450</v>
      </c>
      <c r="L740" s="124">
        <v>844.43</v>
      </c>
    </row>
    <row r="741" spans="1:12" ht="15" customHeight="1" x14ac:dyDescent="0.25">
      <c r="A741" s="78">
        <v>45870</v>
      </c>
      <c r="B741" t="s">
        <v>358</v>
      </c>
      <c r="C741" t="s">
        <v>359</v>
      </c>
      <c r="D741" t="s">
        <v>225</v>
      </c>
      <c r="E741" t="s">
        <v>2260</v>
      </c>
      <c r="F741" t="s">
        <v>222</v>
      </c>
      <c r="G741" s="77">
        <v>1069</v>
      </c>
      <c r="H741" s="126">
        <v>101.8</v>
      </c>
      <c r="I741" s="124">
        <v>150.66</v>
      </c>
      <c r="J741" s="124">
        <v>194.32</v>
      </c>
      <c r="K741" s="77">
        <v>380</v>
      </c>
      <c r="L741" s="124">
        <v>724.98</v>
      </c>
    </row>
    <row r="742" spans="1:12" ht="15" customHeight="1" x14ac:dyDescent="0.25">
      <c r="A742" s="78">
        <v>45870</v>
      </c>
      <c r="B742" t="s">
        <v>358</v>
      </c>
      <c r="C742" t="s">
        <v>359</v>
      </c>
      <c r="D742" t="s">
        <v>225</v>
      </c>
      <c r="E742" t="s">
        <v>2263</v>
      </c>
      <c r="F742" t="s">
        <v>226</v>
      </c>
      <c r="G742" s="77">
        <v>834</v>
      </c>
      <c r="H742" s="126">
        <v>79.400000000000006</v>
      </c>
      <c r="I742" s="124">
        <v>117.51</v>
      </c>
      <c r="J742" s="124">
        <v>152.4</v>
      </c>
      <c r="K742" s="77">
        <v>450</v>
      </c>
      <c r="L742" s="124">
        <v>719.91</v>
      </c>
    </row>
    <row r="743" spans="1:12" ht="15" customHeight="1" x14ac:dyDescent="0.25">
      <c r="A743" s="78">
        <v>45870</v>
      </c>
      <c r="B743" t="s">
        <v>383</v>
      </c>
      <c r="C743" t="s">
        <v>384</v>
      </c>
      <c r="D743" t="s">
        <v>225</v>
      </c>
      <c r="E743" t="s">
        <v>2250</v>
      </c>
      <c r="F743" t="s">
        <v>228</v>
      </c>
      <c r="G743" s="77">
        <v>511</v>
      </c>
      <c r="H743" s="126">
        <v>60.1</v>
      </c>
      <c r="I743" s="124">
        <v>88.95</v>
      </c>
      <c r="J743" s="124">
        <v>320.12</v>
      </c>
      <c r="K743" s="77">
        <v>380</v>
      </c>
      <c r="L743" s="124">
        <v>789.07</v>
      </c>
    </row>
    <row r="744" spans="1:12" ht="15" customHeight="1" x14ac:dyDescent="0.25">
      <c r="A744" s="78">
        <v>45870</v>
      </c>
      <c r="B744" t="s">
        <v>383</v>
      </c>
      <c r="C744" t="s">
        <v>384</v>
      </c>
      <c r="D744" t="s">
        <v>225</v>
      </c>
      <c r="E744" t="s">
        <v>2327</v>
      </c>
      <c r="F744" t="s">
        <v>226</v>
      </c>
      <c r="G744" s="77">
        <v>659</v>
      </c>
      <c r="H744" s="126">
        <v>62.8</v>
      </c>
      <c r="I744" s="124">
        <v>92.94</v>
      </c>
      <c r="J744" s="124">
        <v>270.27</v>
      </c>
      <c r="K744" s="77">
        <v>520</v>
      </c>
      <c r="L744" s="124">
        <v>883.21</v>
      </c>
    </row>
    <row r="745" spans="1:12" ht="15" customHeight="1" x14ac:dyDescent="0.25">
      <c r="A745" s="78">
        <v>45870</v>
      </c>
      <c r="B745" t="s">
        <v>383</v>
      </c>
      <c r="C745" t="s">
        <v>384</v>
      </c>
      <c r="D745" t="s">
        <v>225</v>
      </c>
      <c r="E745" t="s">
        <v>2279</v>
      </c>
      <c r="F745" t="s">
        <v>228</v>
      </c>
      <c r="G745" s="77">
        <v>967</v>
      </c>
      <c r="H745" s="126">
        <v>113.8</v>
      </c>
      <c r="I745" s="124">
        <v>168.42</v>
      </c>
      <c r="J745" s="124">
        <v>233.07</v>
      </c>
      <c r="K745" s="77">
        <v>320</v>
      </c>
      <c r="L745" s="124">
        <v>721.49</v>
      </c>
    </row>
    <row r="746" spans="1:12" ht="15" customHeight="1" x14ac:dyDescent="0.25">
      <c r="A746" s="78">
        <v>45870</v>
      </c>
      <c r="B746" t="s">
        <v>383</v>
      </c>
      <c r="C746" t="s">
        <v>384</v>
      </c>
      <c r="D746" t="s">
        <v>225</v>
      </c>
      <c r="E746" t="s">
        <v>2247</v>
      </c>
      <c r="F746" t="s">
        <v>222</v>
      </c>
      <c r="G746" s="77">
        <v>893</v>
      </c>
      <c r="H746" s="126">
        <v>85</v>
      </c>
      <c r="I746" s="124">
        <v>125.8</v>
      </c>
      <c r="J746" s="124">
        <v>126.96</v>
      </c>
      <c r="K746" s="77">
        <v>380</v>
      </c>
      <c r="L746" s="124">
        <v>632.76</v>
      </c>
    </row>
    <row r="747" spans="1:12" ht="15" customHeight="1" x14ac:dyDescent="0.25">
      <c r="A747" s="78">
        <v>45870</v>
      </c>
      <c r="B747" t="s">
        <v>383</v>
      </c>
      <c r="C747" t="s">
        <v>384</v>
      </c>
      <c r="D747" t="s">
        <v>225</v>
      </c>
      <c r="E747" t="s">
        <v>2274</v>
      </c>
      <c r="F747" t="s">
        <v>226</v>
      </c>
      <c r="G747" s="77">
        <v>1404</v>
      </c>
      <c r="H747" s="126">
        <v>133.69999999999999</v>
      </c>
      <c r="I747" s="124">
        <v>197.88</v>
      </c>
      <c r="J747" s="124">
        <v>0</v>
      </c>
      <c r="K747" s="77">
        <v>450</v>
      </c>
      <c r="L747" s="124">
        <v>647.88</v>
      </c>
    </row>
    <row r="748" spans="1:12" ht="15" customHeight="1" x14ac:dyDescent="0.25">
      <c r="A748" s="78">
        <v>45870</v>
      </c>
      <c r="B748" t="s">
        <v>373</v>
      </c>
      <c r="C748" t="s">
        <v>374</v>
      </c>
      <c r="D748" t="s">
        <v>225</v>
      </c>
      <c r="E748" t="s">
        <v>2343</v>
      </c>
      <c r="F748" t="s">
        <v>224</v>
      </c>
      <c r="G748" s="77">
        <v>1369</v>
      </c>
      <c r="H748" s="126">
        <v>161.1</v>
      </c>
      <c r="I748" s="124">
        <v>238.43</v>
      </c>
      <c r="J748" s="124">
        <v>177.04</v>
      </c>
      <c r="K748" s="77">
        <v>320</v>
      </c>
      <c r="L748" s="124">
        <v>735.47</v>
      </c>
    </row>
    <row r="749" spans="1:12" ht="15" customHeight="1" x14ac:dyDescent="0.25">
      <c r="A749" s="78">
        <v>45870</v>
      </c>
      <c r="B749" t="s">
        <v>373</v>
      </c>
      <c r="C749" t="s">
        <v>374</v>
      </c>
      <c r="D749" t="s">
        <v>225</v>
      </c>
      <c r="E749" t="s">
        <v>2324</v>
      </c>
      <c r="F749" t="s">
        <v>222</v>
      </c>
      <c r="G749" s="77">
        <v>748</v>
      </c>
      <c r="H749" s="126">
        <v>71.2</v>
      </c>
      <c r="I749" s="124">
        <v>105.38</v>
      </c>
      <c r="J749" s="124">
        <v>63.98</v>
      </c>
      <c r="K749" s="77">
        <v>320</v>
      </c>
      <c r="L749" s="124">
        <v>489.36</v>
      </c>
    </row>
    <row r="750" spans="1:12" ht="15" customHeight="1" x14ac:dyDescent="0.25">
      <c r="A750" s="78">
        <v>45870</v>
      </c>
      <c r="B750" t="s">
        <v>373</v>
      </c>
      <c r="C750" t="s">
        <v>374</v>
      </c>
      <c r="D750" t="s">
        <v>225</v>
      </c>
      <c r="E750" t="s">
        <v>2333</v>
      </c>
      <c r="F750" t="s">
        <v>228</v>
      </c>
      <c r="G750" s="77">
        <v>1469</v>
      </c>
      <c r="H750" s="126">
        <v>172.8</v>
      </c>
      <c r="I750" s="124">
        <v>255.74</v>
      </c>
      <c r="J750" s="124">
        <v>174.36</v>
      </c>
      <c r="K750" s="77">
        <v>450</v>
      </c>
      <c r="L750" s="124">
        <v>880.1</v>
      </c>
    </row>
    <row r="751" spans="1:12" ht="15" customHeight="1" x14ac:dyDescent="0.25">
      <c r="A751" s="78">
        <v>45870</v>
      </c>
      <c r="B751" t="s">
        <v>373</v>
      </c>
      <c r="C751" t="s">
        <v>374</v>
      </c>
      <c r="D751" t="s">
        <v>225</v>
      </c>
      <c r="E751" t="s">
        <v>2281</v>
      </c>
      <c r="F751" t="s">
        <v>228</v>
      </c>
      <c r="G751" s="77">
        <v>761</v>
      </c>
      <c r="H751" s="126">
        <v>89.5</v>
      </c>
      <c r="I751" s="124">
        <v>132.46</v>
      </c>
      <c r="J751" s="124">
        <v>340.99</v>
      </c>
      <c r="K751" s="77">
        <v>520</v>
      </c>
      <c r="L751" s="124">
        <v>993.45</v>
      </c>
    </row>
    <row r="752" spans="1:12" ht="15" customHeight="1" x14ac:dyDescent="0.25">
      <c r="A752" s="78">
        <v>45870</v>
      </c>
      <c r="B752" t="s">
        <v>373</v>
      </c>
      <c r="C752" t="s">
        <v>374</v>
      </c>
      <c r="D752" t="s">
        <v>225</v>
      </c>
      <c r="E752" t="s">
        <v>2292</v>
      </c>
      <c r="F752" t="s">
        <v>228</v>
      </c>
      <c r="G752" s="77">
        <v>1134</v>
      </c>
      <c r="H752" s="126">
        <v>133.4</v>
      </c>
      <c r="I752" s="124">
        <v>197.43</v>
      </c>
      <c r="J752" s="124">
        <v>174.97</v>
      </c>
      <c r="K752" s="77">
        <v>320</v>
      </c>
      <c r="L752" s="124">
        <v>692.4</v>
      </c>
    </row>
    <row r="753" spans="1:12" ht="15" customHeight="1" x14ac:dyDescent="0.25">
      <c r="A753" s="78">
        <v>45870</v>
      </c>
      <c r="B753" t="s">
        <v>373</v>
      </c>
      <c r="C753" t="s">
        <v>374</v>
      </c>
      <c r="D753" t="s">
        <v>225</v>
      </c>
      <c r="E753" t="s">
        <v>2243</v>
      </c>
      <c r="F753" t="s">
        <v>224</v>
      </c>
      <c r="G753" s="77">
        <v>1104</v>
      </c>
      <c r="H753" s="126">
        <v>129.9</v>
      </c>
      <c r="I753" s="124">
        <v>192.25</v>
      </c>
      <c r="J753" s="124">
        <v>67.94</v>
      </c>
      <c r="K753" s="77">
        <v>380</v>
      </c>
      <c r="L753" s="124">
        <v>640.19000000000005</v>
      </c>
    </row>
    <row r="754" spans="1:12" ht="15" customHeight="1" x14ac:dyDescent="0.25">
      <c r="A754" s="78">
        <v>45870</v>
      </c>
      <c r="B754" t="s">
        <v>354</v>
      </c>
      <c r="C754" t="s">
        <v>355</v>
      </c>
      <c r="D754" t="s">
        <v>227</v>
      </c>
      <c r="E754" t="s">
        <v>2237</v>
      </c>
      <c r="F754" t="s">
        <v>226</v>
      </c>
      <c r="G754" s="77">
        <v>1325</v>
      </c>
      <c r="H754" s="126">
        <v>126.2</v>
      </c>
      <c r="I754" s="124">
        <v>186.78</v>
      </c>
      <c r="J754" s="124">
        <v>234.91</v>
      </c>
      <c r="K754" s="77">
        <v>450</v>
      </c>
      <c r="L754" s="124">
        <v>871.69</v>
      </c>
    </row>
    <row r="755" spans="1:12" ht="15" customHeight="1" x14ac:dyDescent="0.25">
      <c r="A755" s="78">
        <v>45870</v>
      </c>
      <c r="B755" t="s">
        <v>354</v>
      </c>
      <c r="C755" t="s">
        <v>355</v>
      </c>
      <c r="D755" t="s">
        <v>227</v>
      </c>
      <c r="E755" t="s">
        <v>2335</v>
      </c>
      <c r="F755" t="s">
        <v>226</v>
      </c>
      <c r="G755" s="77">
        <v>1183</v>
      </c>
      <c r="H755" s="126">
        <v>112.7</v>
      </c>
      <c r="I755" s="124">
        <v>166.8</v>
      </c>
      <c r="J755" s="124">
        <v>178.93</v>
      </c>
      <c r="K755" s="77">
        <v>320</v>
      </c>
      <c r="L755" s="124">
        <v>665.73</v>
      </c>
    </row>
    <row r="756" spans="1:12" ht="15" customHeight="1" x14ac:dyDescent="0.25">
      <c r="A756" s="78">
        <v>45870</v>
      </c>
      <c r="B756" t="s">
        <v>354</v>
      </c>
      <c r="C756" t="s">
        <v>355</v>
      </c>
      <c r="D756" t="s">
        <v>227</v>
      </c>
      <c r="E756" t="s">
        <v>2349</v>
      </c>
      <c r="F756" t="s">
        <v>224</v>
      </c>
      <c r="G756" s="77">
        <v>1490</v>
      </c>
      <c r="H756" s="126">
        <v>175.3</v>
      </c>
      <c r="I756" s="124">
        <v>259.44</v>
      </c>
      <c r="J756" s="124">
        <v>149.97</v>
      </c>
      <c r="K756" s="77">
        <v>380</v>
      </c>
      <c r="L756" s="124">
        <v>789.41</v>
      </c>
    </row>
    <row r="757" spans="1:12" ht="15" customHeight="1" x14ac:dyDescent="0.25">
      <c r="A757" s="78">
        <v>45870</v>
      </c>
      <c r="B757" t="s">
        <v>370</v>
      </c>
      <c r="C757" t="s">
        <v>371</v>
      </c>
      <c r="D757" t="s">
        <v>227</v>
      </c>
      <c r="E757" t="s">
        <v>2305</v>
      </c>
      <c r="F757" t="s">
        <v>226</v>
      </c>
      <c r="G757" s="77">
        <v>754</v>
      </c>
      <c r="H757" s="126">
        <v>71.8</v>
      </c>
      <c r="I757" s="124">
        <v>106.26</v>
      </c>
      <c r="J757" s="124">
        <v>185.96</v>
      </c>
      <c r="K757" s="77">
        <v>320</v>
      </c>
      <c r="L757" s="124">
        <v>612.22</v>
      </c>
    </row>
    <row r="758" spans="1:12" ht="15" customHeight="1" x14ac:dyDescent="0.25">
      <c r="A758" s="78">
        <v>45870</v>
      </c>
      <c r="B758" t="s">
        <v>370</v>
      </c>
      <c r="C758" t="s">
        <v>371</v>
      </c>
      <c r="D758" t="s">
        <v>227</v>
      </c>
      <c r="E758" t="s">
        <v>2330</v>
      </c>
      <c r="F758" t="s">
        <v>228</v>
      </c>
      <c r="G758" s="77">
        <v>1571</v>
      </c>
      <c r="H758" s="126">
        <v>184.8</v>
      </c>
      <c r="I758" s="124">
        <v>273.5</v>
      </c>
      <c r="J758" s="124">
        <v>168.82</v>
      </c>
      <c r="K758" s="77">
        <v>450</v>
      </c>
      <c r="L758" s="124">
        <v>892.32</v>
      </c>
    </row>
    <row r="759" spans="1:12" ht="15" customHeight="1" x14ac:dyDescent="0.25">
      <c r="A759" s="78">
        <v>45870</v>
      </c>
      <c r="B759" t="s">
        <v>370</v>
      </c>
      <c r="C759" t="s">
        <v>371</v>
      </c>
      <c r="D759" t="s">
        <v>227</v>
      </c>
      <c r="E759" t="s">
        <v>2276</v>
      </c>
      <c r="F759" t="s">
        <v>224</v>
      </c>
      <c r="G759" s="77">
        <v>959</v>
      </c>
      <c r="H759" s="126">
        <v>112.8</v>
      </c>
      <c r="I759" s="124">
        <v>166.94</v>
      </c>
      <c r="J759" s="124">
        <v>183.32</v>
      </c>
      <c r="K759" s="77">
        <v>380</v>
      </c>
      <c r="L759" s="124">
        <v>730.26</v>
      </c>
    </row>
    <row r="760" spans="1:12" ht="15" customHeight="1" x14ac:dyDescent="0.25">
      <c r="A760" s="78">
        <v>45870</v>
      </c>
      <c r="B760" t="s">
        <v>370</v>
      </c>
      <c r="C760" t="s">
        <v>371</v>
      </c>
      <c r="D760" t="s">
        <v>227</v>
      </c>
      <c r="E760" t="s">
        <v>2311</v>
      </c>
      <c r="F760" t="s">
        <v>226</v>
      </c>
      <c r="G760" s="77">
        <v>1036</v>
      </c>
      <c r="H760" s="126">
        <v>98.7</v>
      </c>
      <c r="I760" s="124">
        <v>146.08000000000001</v>
      </c>
      <c r="J760" s="124">
        <v>71.42</v>
      </c>
      <c r="K760" s="77">
        <v>450</v>
      </c>
      <c r="L760" s="124">
        <v>667.5</v>
      </c>
    </row>
    <row r="761" spans="1:12" ht="15" customHeight="1" x14ac:dyDescent="0.25">
      <c r="A761" s="78">
        <v>45870</v>
      </c>
      <c r="B761" t="s">
        <v>370</v>
      </c>
      <c r="C761" t="s">
        <v>371</v>
      </c>
      <c r="D761" t="s">
        <v>227</v>
      </c>
      <c r="E761" t="s">
        <v>2232</v>
      </c>
      <c r="F761" t="s">
        <v>224</v>
      </c>
      <c r="G761" s="77">
        <v>1330</v>
      </c>
      <c r="H761" s="126">
        <v>156.5</v>
      </c>
      <c r="I761" s="124">
        <v>231.62</v>
      </c>
      <c r="J761" s="124">
        <v>335.6</v>
      </c>
      <c r="K761" s="77">
        <v>380</v>
      </c>
      <c r="L761" s="124">
        <v>947.22</v>
      </c>
    </row>
    <row r="762" spans="1:12" ht="15" customHeight="1" x14ac:dyDescent="0.25">
      <c r="A762" s="78">
        <v>45870</v>
      </c>
      <c r="B762" t="s">
        <v>398</v>
      </c>
      <c r="C762" t="s">
        <v>399</v>
      </c>
      <c r="D762" t="s">
        <v>227</v>
      </c>
      <c r="E762" t="s">
        <v>2227</v>
      </c>
      <c r="F762" t="s">
        <v>226</v>
      </c>
      <c r="G762" s="77">
        <v>1099</v>
      </c>
      <c r="H762" s="126">
        <v>104.7</v>
      </c>
      <c r="I762" s="124">
        <v>154.96</v>
      </c>
      <c r="J762" s="124">
        <v>77.67</v>
      </c>
      <c r="K762" s="77">
        <v>320</v>
      </c>
      <c r="L762" s="124">
        <v>552.63</v>
      </c>
    </row>
    <row r="763" spans="1:12" ht="15" customHeight="1" x14ac:dyDescent="0.25">
      <c r="A763" s="78">
        <v>45870</v>
      </c>
      <c r="B763" t="s">
        <v>398</v>
      </c>
      <c r="C763" t="s">
        <v>399</v>
      </c>
      <c r="D763" t="s">
        <v>227</v>
      </c>
      <c r="E763" t="s">
        <v>2288</v>
      </c>
      <c r="F763" t="s">
        <v>224</v>
      </c>
      <c r="G763" s="77">
        <v>662</v>
      </c>
      <c r="H763" s="126">
        <v>77.900000000000006</v>
      </c>
      <c r="I763" s="124">
        <v>115.29</v>
      </c>
      <c r="J763" s="124">
        <v>170.64</v>
      </c>
      <c r="K763" s="77">
        <v>520</v>
      </c>
      <c r="L763" s="124">
        <v>805.93</v>
      </c>
    </row>
    <row r="764" spans="1:12" ht="15" customHeight="1" x14ac:dyDescent="0.25">
      <c r="A764" s="78">
        <v>45870</v>
      </c>
      <c r="B764" t="s">
        <v>398</v>
      </c>
      <c r="C764" t="s">
        <v>399</v>
      </c>
      <c r="D764" t="s">
        <v>227</v>
      </c>
      <c r="E764" t="s">
        <v>2326</v>
      </c>
      <c r="F764" t="s">
        <v>224</v>
      </c>
      <c r="G764" s="77">
        <v>1325</v>
      </c>
      <c r="H764" s="126">
        <v>155.9</v>
      </c>
      <c r="I764" s="124">
        <v>230.73</v>
      </c>
      <c r="J764" s="124">
        <v>188.01</v>
      </c>
      <c r="K764" s="77">
        <v>520</v>
      </c>
      <c r="L764" s="124">
        <v>938.74</v>
      </c>
    </row>
    <row r="765" spans="1:12" ht="15" customHeight="1" x14ac:dyDescent="0.25">
      <c r="A765" s="78">
        <v>45870</v>
      </c>
      <c r="B765" t="s">
        <v>398</v>
      </c>
      <c r="C765" t="s">
        <v>399</v>
      </c>
      <c r="D765" t="s">
        <v>227</v>
      </c>
      <c r="E765" t="s">
        <v>2330</v>
      </c>
      <c r="F765" t="s">
        <v>222</v>
      </c>
      <c r="G765" s="77">
        <v>1049</v>
      </c>
      <c r="H765" s="126">
        <v>99.9</v>
      </c>
      <c r="I765" s="124">
        <v>147.85</v>
      </c>
      <c r="J765" s="124">
        <v>102.86</v>
      </c>
      <c r="K765" s="77">
        <v>320</v>
      </c>
      <c r="L765" s="124">
        <v>570.71</v>
      </c>
    </row>
    <row r="766" spans="1:12" ht="15" customHeight="1" x14ac:dyDescent="0.25">
      <c r="A766" s="78">
        <v>45870</v>
      </c>
      <c r="B766" t="s">
        <v>398</v>
      </c>
      <c r="C766" t="s">
        <v>399</v>
      </c>
      <c r="D766" t="s">
        <v>227</v>
      </c>
      <c r="E766" t="s">
        <v>2357</v>
      </c>
      <c r="F766" t="s">
        <v>228</v>
      </c>
      <c r="G766" s="77">
        <v>776</v>
      </c>
      <c r="H766" s="126">
        <v>91.3</v>
      </c>
      <c r="I766" s="124">
        <v>135.12</v>
      </c>
      <c r="J766" s="124">
        <v>316.77999999999997</v>
      </c>
      <c r="K766" s="77">
        <v>320</v>
      </c>
      <c r="L766" s="124">
        <v>771.9</v>
      </c>
    </row>
    <row r="767" spans="1:12" ht="15" customHeight="1" x14ac:dyDescent="0.25">
      <c r="A767" s="78">
        <v>45870</v>
      </c>
      <c r="B767" t="s">
        <v>398</v>
      </c>
      <c r="C767" t="s">
        <v>399</v>
      </c>
      <c r="D767" t="s">
        <v>227</v>
      </c>
      <c r="E767" t="s">
        <v>2232</v>
      </c>
      <c r="F767" t="s">
        <v>224</v>
      </c>
      <c r="G767" s="77">
        <v>1278</v>
      </c>
      <c r="H767" s="126">
        <v>150.4</v>
      </c>
      <c r="I767" s="124">
        <v>222.59</v>
      </c>
      <c r="J767" s="124">
        <v>26.34</v>
      </c>
      <c r="K767" s="77">
        <v>320</v>
      </c>
      <c r="L767" s="124">
        <v>568.92999999999995</v>
      </c>
    </row>
    <row r="768" spans="1:12" ht="15" customHeight="1" x14ac:dyDescent="0.25">
      <c r="A768" s="78">
        <v>45870</v>
      </c>
      <c r="B768" t="s">
        <v>378</v>
      </c>
      <c r="C768" t="s">
        <v>379</v>
      </c>
      <c r="D768" t="s">
        <v>227</v>
      </c>
      <c r="E768" t="s">
        <v>2237</v>
      </c>
      <c r="F768" t="s">
        <v>222</v>
      </c>
      <c r="G768" s="77">
        <v>1447</v>
      </c>
      <c r="H768" s="126">
        <v>137.80000000000001</v>
      </c>
      <c r="I768" s="124">
        <v>203.94</v>
      </c>
      <c r="J768" s="124">
        <v>195.93</v>
      </c>
      <c r="K768" s="77">
        <v>320</v>
      </c>
      <c r="L768" s="124">
        <v>719.87</v>
      </c>
    </row>
    <row r="769" spans="1:12" ht="15" customHeight="1" x14ac:dyDescent="0.25">
      <c r="A769" s="78">
        <v>45870</v>
      </c>
      <c r="B769" t="s">
        <v>378</v>
      </c>
      <c r="C769" t="s">
        <v>379</v>
      </c>
      <c r="D769" t="s">
        <v>227</v>
      </c>
      <c r="E769" t="s">
        <v>2222</v>
      </c>
      <c r="F769" t="s">
        <v>226</v>
      </c>
      <c r="G769" s="77">
        <v>1399</v>
      </c>
      <c r="H769" s="126">
        <v>133.19999999999999</v>
      </c>
      <c r="I769" s="124">
        <v>197.14</v>
      </c>
      <c r="J769" s="124">
        <v>42.63</v>
      </c>
      <c r="K769" s="77">
        <v>320</v>
      </c>
      <c r="L769" s="124">
        <v>559.77</v>
      </c>
    </row>
    <row r="770" spans="1:12" ht="15" customHeight="1" x14ac:dyDescent="0.25">
      <c r="A770" s="78">
        <v>45870</v>
      </c>
      <c r="B770" t="s">
        <v>378</v>
      </c>
      <c r="C770" t="s">
        <v>379</v>
      </c>
      <c r="D770" t="s">
        <v>227</v>
      </c>
      <c r="E770" t="s">
        <v>2231</v>
      </c>
      <c r="F770" t="s">
        <v>224</v>
      </c>
      <c r="G770" s="77">
        <v>708</v>
      </c>
      <c r="H770" s="126">
        <v>83.3</v>
      </c>
      <c r="I770" s="124">
        <v>123.28</v>
      </c>
      <c r="J770" s="124">
        <v>138.08000000000001</v>
      </c>
      <c r="K770" s="77">
        <v>380</v>
      </c>
      <c r="L770" s="124">
        <v>641.36</v>
      </c>
    </row>
    <row r="771" spans="1:12" ht="15" customHeight="1" x14ac:dyDescent="0.25">
      <c r="A771" s="78">
        <v>45870</v>
      </c>
      <c r="B771" t="s">
        <v>378</v>
      </c>
      <c r="C771" t="s">
        <v>379</v>
      </c>
      <c r="D771" t="s">
        <v>227</v>
      </c>
      <c r="E771" t="s">
        <v>2255</v>
      </c>
      <c r="F771" t="s">
        <v>222</v>
      </c>
      <c r="G771" s="77">
        <v>1175</v>
      </c>
      <c r="H771" s="126">
        <v>111.9</v>
      </c>
      <c r="I771" s="124">
        <v>165.61</v>
      </c>
      <c r="J771" s="124">
        <v>293.70999999999998</v>
      </c>
      <c r="K771" s="77">
        <v>520</v>
      </c>
      <c r="L771" s="124">
        <v>979.32</v>
      </c>
    </row>
    <row r="772" spans="1:12" ht="15" customHeight="1" x14ac:dyDescent="0.25">
      <c r="A772" s="78">
        <v>45870</v>
      </c>
      <c r="B772" t="s">
        <v>378</v>
      </c>
      <c r="C772" t="s">
        <v>379</v>
      </c>
      <c r="D772" t="s">
        <v>227</v>
      </c>
      <c r="E772" t="s">
        <v>2288</v>
      </c>
      <c r="F772" t="s">
        <v>228</v>
      </c>
      <c r="G772" s="77">
        <v>1226</v>
      </c>
      <c r="H772" s="126">
        <v>144.19999999999999</v>
      </c>
      <c r="I772" s="124">
        <v>213.42</v>
      </c>
      <c r="J772" s="124">
        <v>230.59</v>
      </c>
      <c r="K772" s="77">
        <v>520</v>
      </c>
      <c r="L772" s="124">
        <v>964.01</v>
      </c>
    </row>
    <row r="773" spans="1:12" ht="15" customHeight="1" x14ac:dyDescent="0.25">
      <c r="A773" s="78">
        <v>45870</v>
      </c>
      <c r="B773" t="s">
        <v>378</v>
      </c>
      <c r="C773" t="s">
        <v>379</v>
      </c>
      <c r="D773" t="s">
        <v>227</v>
      </c>
      <c r="E773" t="s">
        <v>2296</v>
      </c>
      <c r="F773" t="s">
        <v>224</v>
      </c>
      <c r="G773" s="77">
        <v>793</v>
      </c>
      <c r="H773" s="126">
        <v>93.3</v>
      </c>
      <c r="I773" s="124">
        <v>138.08000000000001</v>
      </c>
      <c r="J773" s="124">
        <v>248.4</v>
      </c>
      <c r="K773" s="77">
        <v>380</v>
      </c>
      <c r="L773" s="124">
        <v>766.48</v>
      </c>
    </row>
    <row r="774" spans="1:12" ht="15" customHeight="1" x14ac:dyDescent="0.25">
      <c r="A774" s="78">
        <v>45870</v>
      </c>
      <c r="B774" t="s">
        <v>378</v>
      </c>
      <c r="C774" t="s">
        <v>379</v>
      </c>
      <c r="D774" t="s">
        <v>227</v>
      </c>
      <c r="E774" t="s">
        <v>2271</v>
      </c>
      <c r="F774" t="s">
        <v>228</v>
      </c>
      <c r="G774" s="77">
        <v>808</v>
      </c>
      <c r="H774" s="126">
        <v>95.1</v>
      </c>
      <c r="I774" s="124">
        <v>140.75</v>
      </c>
      <c r="J774" s="124">
        <v>380.28</v>
      </c>
      <c r="K774" s="77">
        <v>320</v>
      </c>
      <c r="L774" s="124">
        <v>841.03</v>
      </c>
    </row>
    <row r="775" spans="1:12" ht="15" customHeight="1" x14ac:dyDescent="0.25">
      <c r="A775" s="78">
        <v>45870</v>
      </c>
      <c r="B775" t="s">
        <v>393</v>
      </c>
      <c r="C775" t="s">
        <v>394</v>
      </c>
      <c r="D775" t="s">
        <v>227</v>
      </c>
      <c r="E775" t="s">
        <v>2323</v>
      </c>
      <c r="F775" t="s">
        <v>222</v>
      </c>
      <c r="G775" s="77">
        <v>978</v>
      </c>
      <c r="H775" s="126">
        <v>93.1</v>
      </c>
      <c r="I775" s="124">
        <v>137.79</v>
      </c>
      <c r="J775" s="124">
        <v>277.25</v>
      </c>
      <c r="K775" s="77">
        <v>520</v>
      </c>
      <c r="L775" s="124">
        <v>935.04</v>
      </c>
    </row>
    <row r="776" spans="1:12" ht="15" customHeight="1" x14ac:dyDescent="0.25">
      <c r="A776" s="78">
        <v>45870</v>
      </c>
      <c r="B776" t="s">
        <v>393</v>
      </c>
      <c r="C776" t="s">
        <v>394</v>
      </c>
      <c r="D776" t="s">
        <v>227</v>
      </c>
      <c r="E776" t="s">
        <v>2267</v>
      </c>
      <c r="F776" t="s">
        <v>228</v>
      </c>
      <c r="G776" s="77">
        <v>1219</v>
      </c>
      <c r="H776" s="126">
        <v>143.4</v>
      </c>
      <c r="I776" s="124">
        <v>212.23</v>
      </c>
      <c r="J776" s="124">
        <v>239.04</v>
      </c>
      <c r="K776" s="77">
        <v>320</v>
      </c>
      <c r="L776" s="124">
        <v>771.27</v>
      </c>
    </row>
    <row r="777" spans="1:12" ht="15" customHeight="1" x14ac:dyDescent="0.25">
      <c r="A777" s="78">
        <v>45870</v>
      </c>
      <c r="B777" t="s">
        <v>393</v>
      </c>
      <c r="C777" t="s">
        <v>394</v>
      </c>
      <c r="D777" t="s">
        <v>227</v>
      </c>
      <c r="E777" t="s">
        <v>2276</v>
      </c>
      <c r="F777" t="s">
        <v>224</v>
      </c>
      <c r="G777" s="77">
        <v>920</v>
      </c>
      <c r="H777" s="126">
        <v>108.2</v>
      </c>
      <c r="I777" s="124">
        <v>160.13999999999999</v>
      </c>
      <c r="J777" s="124">
        <v>122.73</v>
      </c>
      <c r="K777" s="77">
        <v>320</v>
      </c>
      <c r="L777" s="124">
        <v>602.87</v>
      </c>
    </row>
    <row r="778" spans="1:12" ht="15" customHeight="1" x14ac:dyDescent="0.25">
      <c r="A778" s="78">
        <v>45870</v>
      </c>
      <c r="B778" t="s">
        <v>393</v>
      </c>
      <c r="C778" t="s">
        <v>394</v>
      </c>
      <c r="D778" t="s">
        <v>227</v>
      </c>
      <c r="E778" t="s">
        <v>2286</v>
      </c>
      <c r="F778" t="s">
        <v>222</v>
      </c>
      <c r="G778" s="77">
        <v>1157</v>
      </c>
      <c r="H778" s="126">
        <v>110.2</v>
      </c>
      <c r="I778" s="124">
        <v>163.1</v>
      </c>
      <c r="J778" s="124">
        <v>156.16999999999999</v>
      </c>
      <c r="K778" s="77">
        <v>380</v>
      </c>
      <c r="L778" s="124">
        <v>699.27</v>
      </c>
    </row>
    <row r="779" spans="1:12" ht="15" customHeight="1" x14ac:dyDescent="0.25">
      <c r="A779" s="78">
        <v>45901</v>
      </c>
      <c r="B779" t="s">
        <v>390</v>
      </c>
      <c r="C779" t="s">
        <v>391</v>
      </c>
      <c r="D779" t="s">
        <v>221</v>
      </c>
      <c r="E779" t="s">
        <v>2247</v>
      </c>
      <c r="F779" t="s">
        <v>224</v>
      </c>
      <c r="G779" s="77">
        <v>901</v>
      </c>
      <c r="H779" s="126">
        <v>106</v>
      </c>
      <c r="I779" s="124">
        <v>156.88</v>
      </c>
      <c r="J779" s="124">
        <v>136.75</v>
      </c>
      <c r="K779" s="77">
        <v>380</v>
      </c>
      <c r="L779" s="124">
        <v>673.63</v>
      </c>
    </row>
    <row r="780" spans="1:12" ht="15" customHeight="1" x14ac:dyDescent="0.25">
      <c r="A780" s="78">
        <v>45901</v>
      </c>
      <c r="B780" t="s">
        <v>390</v>
      </c>
      <c r="C780" t="s">
        <v>391</v>
      </c>
      <c r="D780" t="s">
        <v>221</v>
      </c>
      <c r="E780" t="s">
        <v>2349</v>
      </c>
      <c r="F780" t="s">
        <v>228</v>
      </c>
      <c r="G780" s="77">
        <v>1069</v>
      </c>
      <c r="H780" s="126">
        <v>125.8</v>
      </c>
      <c r="I780" s="124">
        <v>186.18</v>
      </c>
      <c r="J780" s="124">
        <v>79.7</v>
      </c>
      <c r="K780" s="77">
        <v>380</v>
      </c>
      <c r="L780" s="124">
        <v>645.88</v>
      </c>
    </row>
    <row r="781" spans="1:12" ht="15" customHeight="1" x14ac:dyDescent="0.25">
      <c r="A781" s="78">
        <v>45901</v>
      </c>
      <c r="B781" t="s">
        <v>390</v>
      </c>
      <c r="C781" t="s">
        <v>391</v>
      </c>
      <c r="D781" t="s">
        <v>221</v>
      </c>
      <c r="E781" t="s">
        <v>2330</v>
      </c>
      <c r="F781" t="s">
        <v>226</v>
      </c>
      <c r="G781" s="77">
        <v>1164</v>
      </c>
      <c r="H781" s="126">
        <v>110.9</v>
      </c>
      <c r="I781" s="124">
        <v>164.13</v>
      </c>
      <c r="J781" s="124">
        <v>71.62</v>
      </c>
      <c r="K781" s="77">
        <v>380</v>
      </c>
      <c r="L781" s="124">
        <v>615.75</v>
      </c>
    </row>
    <row r="782" spans="1:12" ht="15" customHeight="1" x14ac:dyDescent="0.25">
      <c r="A782" s="78">
        <v>45901</v>
      </c>
      <c r="B782" t="s">
        <v>390</v>
      </c>
      <c r="C782" t="s">
        <v>391</v>
      </c>
      <c r="D782" t="s">
        <v>221</v>
      </c>
      <c r="E782" t="s">
        <v>2351</v>
      </c>
      <c r="F782" t="s">
        <v>226</v>
      </c>
      <c r="G782" s="77">
        <v>761</v>
      </c>
      <c r="H782" s="126">
        <v>72.5</v>
      </c>
      <c r="I782" s="124">
        <v>107.3</v>
      </c>
      <c r="J782" s="124">
        <v>15.01</v>
      </c>
      <c r="K782" s="77">
        <v>450</v>
      </c>
      <c r="L782" s="124">
        <v>572.30999999999995</v>
      </c>
    </row>
    <row r="783" spans="1:12" ht="15" customHeight="1" x14ac:dyDescent="0.25">
      <c r="A783" s="78">
        <v>45901</v>
      </c>
      <c r="B783" t="s">
        <v>390</v>
      </c>
      <c r="C783" t="s">
        <v>391</v>
      </c>
      <c r="D783" t="s">
        <v>221</v>
      </c>
      <c r="E783" t="s">
        <v>2237</v>
      </c>
      <c r="F783" t="s">
        <v>226</v>
      </c>
      <c r="G783" s="77">
        <v>601</v>
      </c>
      <c r="H783" s="126">
        <v>57.2</v>
      </c>
      <c r="I783" s="124">
        <v>84.66</v>
      </c>
      <c r="J783" s="124">
        <v>41.56</v>
      </c>
      <c r="K783" s="77">
        <v>320</v>
      </c>
      <c r="L783" s="124">
        <v>446.22</v>
      </c>
    </row>
    <row r="784" spans="1:12" ht="15" customHeight="1" x14ac:dyDescent="0.25">
      <c r="A784" s="78">
        <v>45901</v>
      </c>
      <c r="B784" t="s">
        <v>401</v>
      </c>
      <c r="C784" t="s">
        <v>402</v>
      </c>
      <c r="D784" t="s">
        <v>221</v>
      </c>
      <c r="E784" t="s">
        <v>2265</v>
      </c>
      <c r="F784" t="s">
        <v>228</v>
      </c>
      <c r="G784" s="77">
        <v>872</v>
      </c>
      <c r="H784" s="126">
        <v>102.6</v>
      </c>
      <c r="I784" s="124">
        <v>151.85</v>
      </c>
      <c r="J784" s="124">
        <v>406.26</v>
      </c>
      <c r="K784" s="77">
        <v>320</v>
      </c>
      <c r="L784" s="124">
        <v>878.11</v>
      </c>
    </row>
    <row r="785" spans="1:12" ht="15" customHeight="1" x14ac:dyDescent="0.25">
      <c r="A785" s="78">
        <v>45901</v>
      </c>
      <c r="B785" t="s">
        <v>401</v>
      </c>
      <c r="C785" t="s">
        <v>402</v>
      </c>
      <c r="D785" t="s">
        <v>221</v>
      </c>
      <c r="E785" t="s">
        <v>2332</v>
      </c>
      <c r="F785" t="s">
        <v>228</v>
      </c>
      <c r="G785" s="77">
        <v>918</v>
      </c>
      <c r="H785" s="126">
        <v>108</v>
      </c>
      <c r="I785" s="124">
        <v>159.84</v>
      </c>
      <c r="J785" s="124">
        <v>264.22000000000003</v>
      </c>
      <c r="K785" s="77">
        <v>450</v>
      </c>
      <c r="L785" s="124">
        <v>874.06</v>
      </c>
    </row>
    <row r="786" spans="1:12" ht="15" customHeight="1" x14ac:dyDescent="0.25">
      <c r="A786" s="78">
        <v>45901</v>
      </c>
      <c r="B786" t="s">
        <v>401</v>
      </c>
      <c r="C786" t="s">
        <v>402</v>
      </c>
      <c r="D786" t="s">
        <v>221</v>
      </c>
      <c r="E786" t="s">
        <v>2328</v>
      </c>
      <c r="F786" t="s">
        <v>226</v>
      </c>
      <c r="G786" s="77">
        <v>1150</v>
      </c>
      <c r="H786" s="126">
        <v>109.5</v>
      </c>
      <c r="I786" s="124">
        <v>162.06</v>
      </c>
      <c r="J786" s="124">
        <v>160.49</v>
      </c>
      <c r="K786" s="77">
        <v>380</v>
      </c>
      <c r="L786" s="124">
        <v>702.55</v>
      </c>
    </row>
    <row r="787" spans="1:12" ht="15" customHeight="1" x14ac:dyDescent="0.25">
      <c r="A787" s="78">
        <v>45901</v>
      </c>
      <c r="B787" t="s">
        <v>431</v>
      </c>
      <c r="C787" t="s">
        <v>432</v>
      </c>
      <c r="D787" t="s">
        <v>221</v>
      </c>
      <c r="E787" t="s">
        <v>2301</v>
      </c>
      <c r="F787" t="s">
        <v>226</v>
      </c>
      <c r="G787" s="77">
        <v>1030</v>
      </c>
      <c r="H787" s="126">
        <v>98.1</v>
      </c>
      <c r="I787" s="124">
        <v>145.19</v>
      </c>
      <c r="J787" s="124">
        <v>54.38</v>
      </c>
      <c r="K787" s="77">
        <v>380</v>
      </c>
      <c r="L787" s="124">
        <v>579.57000000000005</v>
      </c>
    </row>
    <row r="788" spans="1:12" ht="15" customHeight="1" x14ac:dyDescent="0.25">
      <c r="A788" s="78">
        <v>45901</v>
      </c>
      <c r="B788" t="s">
        <v>431</v>
      </c>
      <c r="C788" t="s">
        <v>432</v>
      </c>
      <c r="D788" t="s">
        <v>221</v>
      </c>
      <c r="E788" t="s">
        <v>2356</v>
      </c>
      <c r="F788" t="s">
        <v>228</v>
      </c>
      <c r="G788" s="77">
        <v>1412</v>
      </c>
      <c r="H788" s="126">
        <v>166.1</v>
      </c>
      <c r="I788" s="124">
        <v>245.83</v>
      </c>
      <c r="J788" s="124">
        <v>394.58</v>
      </c>
      <c r="K788" s="77">
        <v>320</v>
      </c>
      <c r="L788" s="124">
        <v>960.41</v>
      </c>
    </row>
    <row r="789" spans="1:12" ht="15" customHeight="1" x14ac:dyDescent="0.25">
      <c r="A789" s="78">
        <v>45901</v>
      </c>
      <c r="B789" t="s">
        <v>431</v>
      </c>
      <c r="C789" t="s">
        <v>432</v>
      </c>
      <c r="D789" t="s">
        <v>221</v>
      </c>
      <c r="E789" t="s">
        <v>2350</v>
      </c>
      <c r="F789" t="s">
        <v>226</v>
      </c>
      <c r="G789" s="77">
        <v>629</v>
      </c>
      <c r="H789" s="126">
        <v>59.9</v>
      </c>
      <c r="I789" s="124">
        <v>88.65</v>
      </c>
      <c r="J789" s="124">
        <v>68.08</v>
      </c>
      <c r="K789" s="77">
        <v>520</v>
      </c>
      <c r="L789" s="124">
        <v>676.73</v>
      </c>
    </row>
    <row r="790" spans="1:12" ht="15" customHeight="1" x14ac:dyDescent="0.25">
      <c r="A790" s="78">
        <v>45901</v>
      </c>
      <c r="B790" t="s">
        <v>431</v>
      </c>
      <c r="C790" t="s">
        <v>432</v>
      </c>
      <c r="D790" t="s">
        <v>221</v>
      </c>
      <c r="E790" t="s">
        <v>2275</v>
      </c>
      <c r="F790" t="s">
        <v>222</v>
      </c>
      <c r="G790" s="77">
        <v>980</v>
      </c>
      <c r="H790" s="126">
        <v>93.3</v>
      </c>
      <c r="I790" s="124">
        <v>138.08000000000001</v>
      </c>
      <c r="J790" s="124">
        <v>72.84</v>
      </c>
      <c r="K790" s="77">
        <v>520</v>
      </c>
      <c r="L790" s="124">
        <v>730.92</v>
      </c>
    </row>
    <row r="791" spans="1:12" ht="15" customHeight="1" x14ac:dyDescent="0.25">
      <c r="A791" s="78">
        <v>45901</v>
      </c>
      <c r="B791" t="s">
        <v>366</v>
      </c>
      <c r="C791" t="s">
        <v>367</v>
      </c>
      <c r="D791" t="s">
        <v>221</v>
      </c>
      <c r="E791" t="s">
        <v>2321</v>
      </c>
      <c r="F791" t="s">
        <v>222</v>
      </c>
      <c r="G791" s="77">
        <v>1176</v>
      </c>
      <c r="H791" s="126">
        <v>112</v>
      </c>
      <c r="I791" s="124">
        <v>165.76</v>
      </c>
      <c r="J791" s="124">
        <v>91.74</v>
      </c>
      <c r="K791" s="77">
        <v>520</v>
      </c>
      <c r="L791" s="124">
        <v>777.5</v>
      </c>
    </row>
    <row r="792" spans="1:12" ht="15" customHeight="1" x14ac:dyDescent="0.25">
      <c r="A792" s="78">
        <v>45901</v>
      </c>
      <c r="B792" t="s">
        <v>366</v>
      </c>
      <c r="C792" t="s">
        <v>367</v>
      </c>
      <c r="D792" t="s">
        <v>221</v>
      </c>
      <c r="E792" t="s">
        <v>2228</v>
      </c>
      <c r="F792" t="s">
        <v>224</v>
      </c>
      <c r="G792" s="77">
        <v>1591</v>
      </c>
      <c r="H792" s="126">
        <v>187.2</v>
      </c>
      <c r="I792" s="124">
        <v>277.06</v>
      </c>
      <c r="J792" s="124">
        <v>245.24</v>
      </c>
      <c r="K792" s="77">
        <v>520</v>
      </c>
      <c r="L792" s="124">
        <v>1042.3</v>
      </c>
    </row>
    <row r="793" spans="1:12" ht="15" customHeight="1" x14ac:dyDescent="0.25">
      <c r="A793" s="78">
        <v>45901</v>
      </c>
      <c r="B793" t="s">
        <v>366</v>
      </c>
      <c r="C793" t="s">
        <v>367</v>
      </c>
      <c r="D793" t="s">
        <v>221</v>
      </c>
      <c r="E793" t="s">
        <v>2274</v>
      </c>
      <c r="F793" t="s">
        <v>226</v>
      </c>
      <c r="G793" s="77">
        <v>1103</v>
      </c>
      <c r="H793" s="126">
        <v>105</v>
      </c>
      <c r="I793" s="124">
        <v>155.4</v>
      </c>
      <c r="J793" s="124">
        <v>232.16</v>
      </c>
      <c r="K793" s="77">
        <v>380</v>
      </c>
      <c r="L793" s="124">
        <v>767.56</v>
      </c>
    </row>
    <row r="794" spans="1:12" ht="15" customHeight="1" x14ac:dyDescent="0.25">
      <c r="A794" s="78">
        <v>45901</v>
      </c>
      <c r="B794" t="s">
        <v>362</v>
      </c>
      <c r="C794" t="s">
        <v>363</v>
      </c>
      <c r="D794" t="s">
        <v>221</v>
      </c>
      <c r="E794" t="s">
        <v>2225</v>
      </c>
      <c r="F794" t="s">
        <v>226</v>
      </c>
      <c r="G794" s="77">
        <v>1326</v>
      </c>
      <c r="H794" s="126">
        <v>126.3</v>
      </c>
      <c r="I794" s="124">
        <v>186.92</v>
      </c>
      <c r="J794" s="124">
        <v>104.88</v>
      </c>
      <c r="K794" s="77">
        <v>320</v>
      </c>
      <c r="L794" s="124">
        <v>611.79999999999995</v>
      </c>
    </row>
    <row r="795" spans="1:12" ht="15" customHeight="1" x14ac:dyDescent="0.25">
      <c r="A795" s="78">
        <v>45901</v>
      </c>
      <c r="B795" t="s">
        <v>362</v>
      </c>
      <c r="C795" t="s">
        <v>363</v>
      </c>
      <c r="D795" t="s">
        <v>221</v>
      </c>
      <c r="E795" t="s">
        <v>2352</v>
      </c>
      <c r="F795" t="s">
        <v>224</v>
      </c>
      <c r="G795" s="77">
        <v>845</v>
      </c>
      <c r="H795" s="126">
        <v>99.4</v>
      </c>
      <c r="I795" s="124">
        <v>147.11000000000001</v>
      </c>
      <c r="J795" s="124">
        <v>156.25</v>
      </c>
      <c r="K795" s="77">
        <v>450</v>
      </c>
      <c r="L795" s="124">
        <v>753.36</v>
      </c>
    </row>
    <row r="796" spans="1:12" ht="15" customHeight="1" x14ac:dyDescent="0.25">
      <c r="A796" s="78">
        <v>45901</v>
      </c>
      <c r="B796" t="s">
        <v>362</v>
      </c>
      <c r="C796" t="s">
        <v>363</v>
      </c>
      <c r="D796" t="s">
        <v>221</v>
      </c>
      <c r="E796" t="s">
        <v>2306</v>
      </c>
      <c r="F796" t="s">
        <v>228</v>
      </c>
      <c r="G796" s="77">
        <v>1265</v>
      </c>
      <c r="H796" s="126">
        <v>148.80000000000001</v>
      </c>
      <c r="I796" s="124">
        <v>220.22</v>
      </c>
      <c r="J796" s="124">
        <v>261.12</v>
      </c>
      <c r="K796" s="77">
        <v>520</v>
      </c>
      <c r="L796" s="124">
        <v>1001.34</v>
      </c>
    </row>
    <row r="797" spans="1:12" ht="15" customHeight="1" x14ac:dyDescent="0.25">
      <c r="A797" s="78">
        <v>45901</v>
      </c>
      <c r="B797" t="s">
        <v>362</v>
      </c>
      <c r="C797" t="s">
        <v>363</v>
      </c>
      <c r="D797" t="s">
        <v>221</v>
      </c>
      <c r="E797" t="s">
        <v>2341</v>
      </c>
      <c r="F797" t="s">
        <v>226</v>
      </c>
      <c r="G797" s="77">
        <v>655</v>
      </c>
      <c r="H797" s="126">
        <v>62.4</v>
      </c>
      <c r="I797" s="124">
        <v>92.35</v>
      </c>
      <c r="J797" s="124">
        <v>85.77</v>
      </c>
      <c r="K797" s="77">
        <v>380</v>
      </c>
      <c r="L797" s="124">
        <v>558.12</v>
      </c>
    </row>
    <row r="798" spans="1:12" ht="15" customHeight="1" x14ac:dyDescent="0.25">
      <c r="A798" s="78">
        <v>45901</v>
      </c>
      <c r="B798" t="s">
        <v>362</v>
      </c>
      <c r="C798" t="s">
        <v>363</v>
      </c>
      <c r="D798" t="s">
        <v>221</v>
      </c>
      <c r="E798" t="s">
        <v>2291</v>
      </c>
      <c r="F798" t="s">
        <v>222</v>
      </c>
      <c r="G798" s="77">
        <v>1031</v>
      </c>
      <c r="H798" s="126">
        <v>98.2</v>
      </c>
      <c r="I798" s="124">
        <v>145.34</v>
      </c>
      <c r="J798" s="124">
        <v>143.94999999999999</v>
      </c>
      <c r="K798" s="77">
        <v>450</v>
      </c>
      <c r="L798" s="124">
        <v>739.29</v>
      </c>
    </row>
    <row r="799" spans="1:12" ht="15" customHeight="1" x14ac:dyDescent="0.25">
      <c r="A799" s="78">
        <v>45901</v>
      </c>
      <c r="B799" t="s">
        <v>362</v>
      </c>
      <c r="C799" t="s">
        <v>363</v>
      </c>
      <c r="D799" t="s">
        <v>221</v>
      </c>
      <c r="E799" t="s">
        <v>2356</v>
      </c>
      <c r="F799" t="s">
        <v>224</v>
      </c>
      <c r="G799" s="77">
        <v>1543</v>
      </c>
      <c r="H799" s="126">
        <v>181.5</v>
      </c>
      <c r="I799" s="124">
        <v>268.62</v>
      </c>
      <c r="J799" s="124">
        <v>39.119999999999997</v>
      </c>
      <c r="K799" s="77">
        <v>450</v>
      </c>
      <c r="L799" s="124">
        <v>757.74</v>
      </c>
    </row>
    <row r="800" spans="1:12" ht="15" customHeight="1" x14ac:dyDescent="0.25">
      <c r="A800" s="78">
        <v>45901</v>
      </c>
      <c r="B800" t="s">
        <v>335</v>
      </c>
      <c r="C800" t="s">
        <v>336</v>
      </c>
      <c r="D800" t="s">
        <v>223</v>
      </c>
      <c r="E800" t="s">
        <v>2283</v>
      </c>
      <c r="F800" t="s">
        <v>222</v>
      </c>
      <c r="G800" s="77">
        <v>1176</v>
      </c>
      <c r="H800" s="126">
        <v>112</v>
      </c>
      <c r="I800" s="124">
        <v>165.76</v>
      </c>
      <c r="J800" s="124">
        <v>269.13</v>
      </c>
      <c r="K800" s="77">
        <v>450</v>
      </c>
      <c r="L800" s="124">
        <v>884.89</v>
      </c>
    </row>
    <row r="801" spans="1:12" ht="15" customHeight="1" x14ac:dyDescent="0.25">
      <c r="A801" s="78">
        <v>45901</v>
      </c>
      <c r="B801" t="s">
        <v>335</v>
      </c>
      <c r="C801" t="s">
        <v>336</v>
      </c>
      <c r="D801" t="s">
        <v>223</v>
      </c>
      <c r="E801" t="s">
        <v>2267</v>
      </c>
      <c r="F801" t="s">
        <v>228</v>
      </c>
      <c r="G801" s="77">
        <v>1617</v>
      </c>
      <c r="H801" s="126">
        <v>190.2</v>
      </c>
      <c r="I801" s="124">
        <v>281.5</v>
      </c>
      <c r="J801" s="124">
        <v>217.65</v>
      </c>
      <c r="K801" s="77">
        <v>450</v>
      </c>
      <c r="L801" s="124">
        <v>949.15</v>
      </c>
    </row>
    <row r="802" spans="1:12" ht="15" customHeight="1" x14ac:dyDescent="0.25">
      <c r="A802" s="78">
        <v>45901</v>
      </c>
      <c r="B802" t="s">
        <v>335</v>
      </c>
      <c r="C802" t="s">
        <v>336</v>
      </c>
      <c r="D802" t="s">
        <v>223</v>
      </c>
      <c r="E802" t="s">
        <v>2284</v>
      </c>
      <c r="F802" t="s">
        <v>222</v>
      </c>
      <c r="G802" s="77">
        <v>1172</v>
      </c>
      <c r="H802" s="126">
        <v>111.6</v>
      </c>
      <c r="I802" s="124">
        <v>165.17</v>
      </c>
      <c r="J802" s="124">
        <v>195.58</v>
      </c>
      <c r="K802" s="77">
        <v>520</v>
      </c>
      <c r="L802" s="124">
        <v>880.75</v>
      </c>
    </row>
    <row r="803" spans="1:12" ht="15" customHeight="1" x14ac:dyDescent="0.25">
      <c r="A803" s="78">
        <v>45901</v>
      </c>
      <c r="B803" t="s">
        <v>335</v>
      </c>
      <c r="C803" t="s">
        <v>336</v>
      </c>
      <c r="D803" t="s">
        <v>223</v>
      </c>
      <c r="E803" t="s">
        <v>2260</v>
      </c>
      <c r="F803" t="s">
        <v>228</v>
      </c>
      <c r="G803" s="77">
        <v>1098</v>
      </c>
      <c r="H803" s="126">
        <v>129.19999999999999</v>
      </c>
      <c r="I803" s="124">
        <v>191.22</v>
      </c>
      <c r="J803" s="124">
        <v>242.09</v>
      </c>
      <c r="K803" s="77">
        <v>380</v>
      </c>
      <c r="L803" s="124">
        <v>813.31</v>
      </c>
    </row>
    <row r="804" spans="1:12" ht="15" customHeight="1" x14ac:dyDescent="0.25">
      <c r="A804" s="78">
        <v>45901</v>
      </c>
      <c r="B804" t="s">
        <v>335</v>
      </c>
      <c r="C804" t="s">
        <v>336</v>
      </c>
      <c r="D804" t="s">
        <v>223</v>
      </c>
      <c r="E804" t="s">
        <v>2274</v>
      </c>
      <c r="F804" t="s">
        <v>222</v>
      </c>
      <c r="G804" s="77">
        <v>1158</v>
      </c>
      <c r="H804" s="126">
        <v>110.3</v>
      </c>
      <c r="I804" s="124">
        <v>163.24</v>
      </c>
      <c r="J804" s="124">
        <v>0</v>
      </c>
      <c r="K804" s="77">
        <v>520</v>
      </c>
      <c r="L804" s="124">
        <v>683.24</v>
      </c>
    </row>
    <row r="805" spans="1:12" ht="15" customHeight="1" x14ac:dyDescent="0.25">
      <c r="A805" s="78">
        <v>45901</v>
      </c>
      <c r="B805" t="s">
        <v>335</v>
      </c>
      <c r="C805" t="s">
        <v>336</v>
      </c>
      <c r="D805" t="s">
        <v>223</v>
      </c>
      <c r="E805" t="s">
        <v>2329</v>
      </c>
      <c r="F805" t="s">
        <v>224</v>
      </c>
      <c r="G805" s="77">
        <v>1220</v>
      </c>
      <c r="H805" s="126">
        <v>143.5</v>
      </c>
      <c r="I805" s="124">
        <v>212.38</v>
      </c>
      <c r="J805" s="124">
        <v>160.09</v>
      </c>
      <c r="K805" s="77">
        <v>320</v>
      </c>
      <c r="L805" s="124">
        <v>692.47</v>
      </c>
    </row>
    <row r="806" spans="1:12" ht="15" customHeight="1" x14ac:dyDescent="0.25">
      <c r="A806" s="78">
        <v>45901</v>
      </c>
      <c r="B806" t="s">
        <v>335</v>
      </c>
      <c r="C806" t="s">
        <v>336</v>
      </c>
      <c r="D806" t="s">
        <v>223</v>
      </c>
      <c r="E806" t="s">
        <v>2353</v>
      </c>
      <c r="F806" t="s">
        <v>228</v>
      </c>
      <c r="G806" s="77">
        <v>994</v>
      </c>
      <c r="H806" s="126">
        <v>116.9</v>
      </c>
      <c r="I806" s="124">
        <v>173.01</v>
      </c>
      <c r="J806" s="124">
        <v>413.75</v>
      </c>
      <c r="K806" s="77">
        <v>450</v>
      </c>
      <c r="L806" s="124">
        <v>1036.76</v>
      </c>
    </row>
    <row r="807" spans="1:12" ht="15" customHeight="1" x14ac:dyDescent="0.25">
      <c r="A807" s="78">
        <v>45901</v>
      </c>
      <c r="B807" t="s">
        <v>386</v>
      </c>
      <c r="C807" t="s">
        <v>387</v>
      </c>
      <c r="D807" t="s">
        <v>223</v>
      </c>
      <c r="E807" t="s">
        <v>2302</v>
      </c>
      <c r="F807" t="s">
        <v>222</v>
      </c>
      <c r="G807" s="77">
        <v>881</v>
      </c>
      <c r="H807" s="126">
        <v>83.9</v>
      </c>
      <c r="I807" s="124">
        <v>124.17</v>
      </c>
      <c r="J807" s="124">
        <v>117.75</v>
      </c>
      <c r="K807" s="77">
        <v>380</v>
      </c>
      <c r="L807" s="124">
        <v>621.91999999999996</v>
      </c>
    </row>
    <row r="808" spans="1:12" ht="15" customHeight="1" x14ac:dyDescent="0.25">
      <c r="A808" s="78">
        <v>45901</v>
      </c>
      <c r="B808" t="s">
        <v>386</v>
      </c>
      <c r="C808" t="s">
        <v>387</v>
      </c>
      <c r="D808" t="s">
        <v>223</v>
      </c>
      <c r="E808" t="s">
        <v>2292</v>
      </c>
      <c r="F808" t="s">
        <v>226</v>
      </c>
      <c r="G808" s="77">
        <v>1547</v>
      </c>
      <c r="H808" s="126">
        <v>147.30000000000001</v>
      </c>
      <c r="I808" s="124">
        <v>218</v>
      </c>
      <c r="J808" s="124">
        <v>83.44</v>
      </c>
      <c r="K808" s="77">
        <v>380</v>
      </c>
      <c r="L808" s="124">
        <v>681.44</v>
      </c>
    </row>
    <row r="809" spans="1:12" ht="15" customHeight="1" x14ac:dyDescent="0.25">
      <c r="A809" s="78">
        <v>45901</v>
      </c>
      <c r="B809" t="s">
        <v>386</v>
      </c>
      <c r="C809" t="s">
        <v>387</v>
      </c>
      <c r="D809" t="s">
        <v>223</v>
      </c>
      <c r="E809" t="s">
        <v>2233</v>
      </c>
      <c r="F809" t="s">
        <v>224</v>
      </c>
      <c r="G809" s="77">
        <v>912</v>
      </c>
      <c r="H809" s="126">
        <v>107.3</v>
      </c>
      <c r="I809" s="124">
        <v>158.80000000000001</v>
      </c>
      <c r="J809" s="124">
        <v>138.24</v>
      </c>
      <c r="K809" s="77">
        <v>320</v>
      </c>
      <c r="L809" s="124">
        <v>617.04</v>
      </c>
    </row>
    <row r="810" spans="1:12" ht="15" customHeight="1" x14ac:dyDescent="0.25">
      <c r="A810" s="78">
        <v>45901</v>
      </c>
      <c r="B810" t="s">
        <v>341</v>
      </c>
      <c r="C810" t="s">
        <v>342</v>
      </c>
      <c r="D810" t="s">
        <v>223</v>
      </c>
      <c r="E810" t="s">
        <v>2228</v>
      </c>
      <c r="F810" t="s">
        <v>224</v>
      </c>
      <c r="G810" s="77">
        <v>1260</v>
      </c>
      <c r="H810" s="126">
        <v>148.19999999999999</v>
      </c>
      <c r="I810" s="124">
        <v>219.34</v>
      </c>
      <c r="J810" s="124">
        <v>166.62</v>
      </c>
      <c r="K810" s="77">
        <v>380</v>
      </c>
      <c r="L810" s="124">
        <v>765.96</v>
      </c>
    </row>
    <row r="811" spans="1:12" ht="15" customHeight="1" x14ac:dyDescent="0.25">
      <c r="A811" s="78">
        <v>45901</v>
      </c>
      <c r="B811" t="s">
        <v>341</v>
      </c>
      <c r="C811" t="s">
        <v>342</v>
      </c>
      <c r="D811" t="s">
        <v>223</v>
      </c>
      <c r="E811" t="s">
        <v>2241</v>
      </c>
      <c r="F811" t="s">
        <v>224</v>
      </c>
      <c r="G811" s="77">
        <v>726</v>
      </c>
      <c r="H811" s="126">
        <v>85.4</v>
      </c>
      <c r="I811" s="124">
        <v>126.39</v>
      </c>
      <c r="J811" s="124">
        <v>107.43</v>
      </c>
      <c r="K811" s="77">
        <v>380</v>
      </c>
      <c r="L811" s="124">
        <v>613.82000000000005</v>
      </c>
    </row>
    <row r="812" spans="1:12" ht="15" customHeight="1" x14ac:dyDescent="0.25">
      <c r="A812" s="78">
        <v>45901</v>
      </c>
      <c r="B812" t="s">
        <v>341</v>
      </c>
      <c r="C812" t="s">
        <v>342</v>
      </c>
      <c r="D812" t="s">
        <v>223</v>
      </c>
      <c r="E812" t="s">
        <v>2250</v>
      </c>
      <c r="F812" t="s">
        <v>226</v>
      </c>
      <c r="G812" s="77">
        <v>898</v>
      </c>
      <c r="H812" s="126">
        <v>85.5</v>
      </c>
      <c r="I812" s="124">
        <v>126.54</v>
      </c>
      <c r="J812" s="124">
        <v>143.82</v>
      </c>
      <c r="K812" s="77">
        <v>380</v>
      </c>
      <c r="L812" s="124">
        <v>650.36</v>
      </c>
    </row>
    <row r="813" spans="1:12" ht="15" customHeight="1" x14ac:dyDescent="0.25">
      <c r="A813" s="78">
        <v>45901</v>
      </c>
      <c r="B813" t="s">
        <v>347</v>
      </c>
      <c r="C813" t="s">
        <v>348</v>
      </c>
      <c r="D813" t="s">
        <v>223</v>
      </c>
      <c r="E813" t="s">
        <v>2282</v>
      </c>
      <c r="F813" t="s">
        <v>224</v>
      </c>
      <c r="G813" s="77">
        <v>1156</v>
      </c>
      <c r="H813" s="126">
        <v>136</v>
      </c>
      <c r="I813" s="124">
        <v>201.28</v>
      </c>
      <c r="J813" s="124">
        <v>183.46</v>
      </c>
      <c r="K813" s="77">
        <v>380</v>
      </c>
      <c r="L813" s="124">
        <v>764.74</v>
      </c>
    </row>
    <row r="814" spans="1:12" ht="15" customHeight="1" x14ac:dyDescent="0.25">
      <c r="A814" s="78">
        <v>45901</v>
      </c>
      <c r="B814" t="s">
        <v>347</v>
      </c>
      <c r="C814" t="s">
        <v>348</v>
      </c>
      <c r="D814" t="s">
        <v>223</v>
      </c>
      <c r="E814" t="s">
        <v>2283</v>
      </c>
      <c r="F814" t="s">
        <v>228</v>
      </c>
      <c r="G814" s="77">
        <v>605</v>
      </c>
      <c r="H814" s="126">
        <v>71.2</v>
      </c>
      <c r="I814" s="124">
        <v>105.38</v>
      </c>
      <c r="J814" s="124">
        <v>335.12</v>
      </c>
      <c r="K814" s="77">
        <v>520</v>
      </c>
      <c r="L814" s="124">
        <v>960.5</v>
      </c>
    </row>
    <row r="815" spans="1:12" ht="15" customHeight="1" x14ac:dyDescent="0.25">
      <c r="A815" s="78">
        <v>45901</v>
      </c>
      <c r="B815" t="s">
        <v>347</v>
      </c>
      <c r="C815" t="s">
        <v>348</v>
      </c>
      <c r="D815" t="s">
        <v>223</v>
      </c>
      <c r="E815" t="s">
        <v>2356</v>
      </c>
      <c r="F815" t="s">
        <v>228</v>
      </c>
      <c r="G815" s="77">
        <v>1113</v>
      </c>
      <c r="H815" s="126">
        <v>130.9</v>
      </c>
      <c r="I815" s="124">
        <v>193.73</v>
      </c>
      <c r="J815" s="124">
        <v>360.76</v>
      </c>
      <c r="K815" s="77">
        <v>450</v>
      </c>
      <c r="L815" s="124">
        <v>1004.49</v>
      </c>
    </row>
    <row r="816" spans="1:12" ht="15" customHeight="1" x14ac:dyDescent="0.25">
      <c r="A816" s="78">
        <v>45901</v>
      </c>
      <c r="B816" t="s">
        <v>347</v>
      </c>
      <c r="C816" t="s">
        <v>348</v>
      </c>
      <c r="D816" t="s">
        <v>223</v>
      </c>
      <c r="E816" t="s">
        <v>2236</v>
      </c>
      <c r="F816" t="s">
        <v>228</v>
      </c>
      <c r="G816" s="77">
        <v>1161</v>
      </c>
      <c r="H816" s="126">
        <v>136.6</v>
      </c>
      <c r="I816" s="124">
        <v>202.17</v>
      </c>
      <c r="J816" s="124">
        <v>338.11</v>
      </c>
      <c r="K816" s="77">
        <v>320</v>
      </c>
      <c r="L816" s="124">
        <v>860.28</v>
      </c>
    </row>
    <row r="817" spans="1:12" ht="15" customHeight="1" x14ac:dyDescent="0.25">
      <c r="A817" s="78">
        <v>45901</v>
      </c>
      <c r="B817" t="s">
        <v>409</v>
      </c>
      <c r="C817" t="s">
        <v>410</v>
      </c>
      <c r="D817" t="s">
        <v>223</v>
      </c>
      <c r="E817" t="s">
        <v>2273</v>
      </c>
      <c r="F817" t="s">
        <v>222</v>
      </c>
      <c r="G817" s="77">
        <v>1166</v>
      </c>
      <c r="H817" s="126">
        <v>111</v>
      </c>
      <c r="I817" s="124">
        <v>164.28</v>
      </c>
      <c r="J817" s="124">
        <v>257.7</v>
      </c>
      <c r="K817" s="77">
        <v>380</v>
      </c>
      <c r="L817" s="124">
        <v>801.98</v>
      </c>
    </row>
    <row r="818" spans="1:12" ht="15" customHeight="1" x14ac:dyDescent="0.25">
      <c r="A818" s="78">
        <v>45901</v>
      </c>
      <c r="B818" t="s">
        <v>409</v>
      </c>
      <c r="C818" t="s">
        <v>410</v>
      </c>
      <c r="D818" t="s">
        <v>223</v>
      </c>
      <c r="E818" t="s">
        <v>2236</v>
      </c>
      <c r="F818" t="s">
        <v>224</v>
      </c>
      <c r="G818" s="77">
        <v>1180</v>
      </c>
      <c r="H818" s="126">
        <v>138.80000000000001</v>
      </c>
      <c r="I818" s="124">
        <v>205.42</v>
      </c>
      <c r="J818" s="124">
        <v>142.16999999999999</v>
      </c>
      <c r="K818" s="77">
        <v>320</v>
      </c>
      <c r="L818" s="124">
        <v>667.59</v>
      </c>
    </row>
    <row r="819" spans="1:12" ht="15" customHeight="1" x14ac:dyDescent="0.25">
      <c r="A819" s="78">
        <v>45901</v>
      </c>
      <c r="B819" t="s">
        <v>409</v>
      </c>
      <c r="C819" t="s">
        <v>410</v>
      </c>
      <c r="D819" t="s">
        <v>223</v>
      </c>
      <c r="E819" t="s">
        <v>2343</v>
      </c>
      <c r="F819" t="s">
        <v>224</v>
      </c>
      <c r="G819" s="77">
        <v>1618</v>
      </c>
      <c r="H819" s="126">
        <v>190.4</v>
      </c>
      <c r="I819" s="124">
        <v>281.79000000000002</v>
      </c>
      <c r="J819" s="124">
        <v>221.12</v>
      </c>
      <c r="K819" s="77">
        <v>380</v>
      </c>
      <c r="L819" s="124">
        <v>882.91</v>
      </c>
    </row>
    <row r="820" spans="1:12" ht="15" customHeight="1" x14ac:dyDescent="0.25">
      <c r="A820" s="78">
        <v>45901</v>
      </c>
      <c r="B820" t="s">
        <v>488</v>
      </c>
      <c r="C820" t="s">
        <v>489</v>
      </c>
      <c r="D820" t="s">
        <v>225</v>
      </c>
      <c r="E820" t="s">
        <v>2230</v>
      </c>
      <c r="F820" t="s">
        <v>222</v>
      </c>
      <c r="G820" s="77">
        <v>1193</v>
      </c>
      <c r="H820" s="126">
        <v>113.6</v>
      </c>
      <c r="I820" s="124">
        <v>168.13</v>
      </c>
      <c r="J820" s="124">
        <v>47.9</v>
      </c>
      <c r="K820" s="77">
        <v>520</v>
      </c>
      <c r="L820" s="124">
        <v>736.03</v>
      </c>
    </row>
    <row r="821" spans="1:12" ht="15" customHeight="1" x14ac:dyDescent="0.25">
      <c r="A821" s="78">
        <v>45901</v>
      </c>
      <c r="B821" t="s">
        <v>488</v>
      </c>
      <c r="C821" t="s">
        <v>489</v>
      </c>
      <c r="D821" t="s">
        <v>225</v>
      </c>
      <c r="E821" t="s">
        <v>2340</v>
      </c>
      <c r="F821" t="s">
        <v>222</v>
      </c>
      <c r="G821" s="77">
        <v>727</v>
      </c>
      <c r="H821" s="126">
        <v>69.2</v>
      </c>
      <c r="I821" s="124">
        <v>102.42</v>
      </c>
      <c r="J821" s="124">
        <v>173.42</v>
      </c>
      <c r="K821" s="77">
        <v>320</v>
      </c>
      <c r="L821" s="124">
        <v>595.84</v>
      </c>
    </row>
    <row r="822" spans="1:12" ht="15" customHeight="1" x14ac:dyDescent="0.25">
      <c r="A822" s="78">
        <v>45901</v>
      </c>
      <c r="B822" t="s">
        <v>488</v>
      </c>
      <c r="C822" t="s">
        <v>489</v>
      </c>
      <c r="D822" t="s">
        <v>225</v>
      </c>
      <c r="E822" t="s">
        <v>2240</v>
      </c>
      <c r="F822" t="s">
        <v>224</v>
      </c>
      <c r="G822" s="77">
        <v>1086</v>
      </c>
      <c r="H822" s="126">
        <v>127.8</v>
      </c>
      <c r="I822" s="124">
        <v>189.14</v>
      </c>
      <c r="J822" s="124">
        <v>100.87</v>
      </c>
      <c r="K822" s="77">
        <v>520</v>
      </c>
      <c r="L822" s="124">
        <v>810.01</v>
      </c>
    </row>
    <row r="823" spans="1:12" ht="15" customHeight="1" x14ac:dyDescent="0.25">
      <c r="A823" s="78">
        <v>45901</v>
      </c>
      <c r="B823" t="s">
        <v>488</v>
      </c>
      <c r="C823" t="s">
        <v>489</v>
      </c>
      <c r="D823" t="s">
        <v>225</v>
      </c>
      <c r="E823" t="s">
        <v>2351</v>
      </c>
      <c r="F823" t="s">
        <v>224</v>
      </c>
      <c r="G823" s="77">
        <v>1085</v>
      </c>
      <c r="H823" s="126">
        <v>127.6</v>
      </c>
      <c r="I823" s="124">
        <v>188.85</v>
      </c>
      <c r="J823" s="124">
        <v>277.08999999999997</v>
      </c>
      <c r="K823" s="77">
        <v>520</v>
      </c>
      <c r="L823" s="124">
        <v>985.94</v>
      </c>
    </row>
    <row r="824" spans="1:12" ht="15" customHeight="1" x14ac:dyDescent="0.25">
      <c r="A824" s="78">
        <v>45901</v>
      </c>
      <c r="B824" t="s">
        <v>406</v>
      </c>
      <c r="C824" t="s">
        <v>407</v>
      </c>
      <c r="D824" t="s">
        <v>225</v>
      </c>
      <c r="E824" t="s">
        <v>2355</v>
      </c>
      <c r="F824" t="s">
        <v>228</v>
      </c>
      <c r="G824" s="77">
        <v>1223</v>
      </c>
      <c r="H824" s="126">
        <v>143.9</v>
      </c>
      <c r="I824" s="124">
        <v>212.97</v>
      </c>
      <c r="J824" s="124">
        <v>158.72</v>
      </c>
      <c r="K824" s="77">
        <v>380</v>
      </c>
      <c r="L824" s="124">
        <v>751.69</v>
      </c>
    </row>
    <row r="825" spans="1:12" ht="15" customHeight="1" x14ac:dyDescent="0.25">
      <c r="A825" s="78">
        <v>45901</v>
      </c>
      <c r="B825" t="s">
        <v>406</v>
      </c>
      <c r="C825" t="s">
        <v>407</v>
      </c>
      <c r="D825" t="s">
        <v>225</v>
      </c>
      <c r="E825" t="s">
        <v>2245</v>
      </c>
      <c r="F825" t="s">
        <v>228</v>
      </c>
      <c r="G825" s="77">
        <v>1022</v>
      </c>
      <c r="H825" s="126">
        <v>120.2</v>
      </c>
      <c r="I825" s="124">
        <v>177.9</v>
      </c>
      <c r="J825" s="124">
        <v>185.6</v>
      </c>
      <c r="K825" s="77">
        <v>450</v>
      </c>
      <c r="L825" s="124">
        <v>813.5</v>
      </c>
    </row>
    <row r="826" spans="1:12" ht="15" customHeight="1" x14ac:dyDescent="0.25">
      <c r="A826" s="78">
        <v>45901</v>
      </c>
      <c r="B826" t="s">
        <v>406</v>
      </c>
      <c r="C826" t="s">
        <v>407</v>
      </c>
      <c r="D826" t="s">
        <v>225</v>
      </c>
      <c r="E826" t="s">
        <v>2299</v>
      </c>
      <c r="F826" t="s">
        <v>222</v>
      </c>
      <c r="G826" s="77">
        <v>953</v>
      </c>
      <c r="H826" s="126">
        <v>90.8</v>
      </c>
      <c r="I826" s="124">
        <v>134.38</v>
      </c>
      <c r="J826" s="124">
        <v>116.91</v>
      </c>
      <c r="K826" s="77">
        <v>520</v>
      </c>
      <c r="L826" s="124">
        <v>771.29</v>
      </c>
    </row>
    <row r="827" spans="1:12" ht="15" customHeight="1" x14ac:dyDescent="0.25">
      <c r="A827" s="78">
        <v>45901</v>
      </c>
      <c r="B827" t="s">
        <v>406</v>
      </c>
      <c r="C827" t="s">
        <v>407</v>
      </c>
      <c r="D827" t="s">
        <v>225</v>
      </c>
      <c r="E827" t="s">
        <v>2343</v>
      </c>
      <c r="F827" t="s">
        <v>224</v>
      </c>
      <c r="G827" s="77">
        <v>930</v>
      </c>
      <c r="H827" s="126">
        <v>109.4</v>
      </c>
      <c r="I827" s="124">
        <v>161.91</v>
      </c>
      <c r="J827" s="124">
        <v>49.59</v>
      </c>
      <c r="K827" s="77">
        <v>380</v>
      </c>
      <c r="L827" s="124">
        <v>591.5</v>
      </c>
    </row>
    <row r="828" spans="1:12" ht="15" customHeight="1" x14ac:dyDescent="0.25">
      <c r="A828" s="78">
        <v>45901</v>
      </c>
      <c r="B828" t="s">
        <v>358</v>
      </c>
      <c r="C828" t="s">
        <v>359</v>
      </c>
      <c r="D828" t="s">
        <v>225</v>
      </c>
      <c r="E828" t="s">
        <v>2239</v>
      </c>
      <c r="F828" t="s">
        <v>226</v>
      </c>
      <c r="G828" s="77">
        <v>1018</v>
      </c>
      <c r="H828" s="126">
        <v>97</v>
      </c>
      <c r="I828" s="124">
        <v>143.56</v>
      </c>
      <c r="J828" s="124">
        <v>105.15</v>
      </c>
      <c r="K828" s="77">
        <v>320</v>
      </c>
      <c r="L828" s="124">
        <v>568.71</v>
      </c>
    </row>
    <row r="829" spans="1:12" ht="15" customHeight="1" x14ac:dyDescent="0.25">
      <c r="A829" s="78">
        <v>45901</v>
      </c>
      <c r="B829" t="s">
        <v>358</v>
      </c>
      <c r="C829" t="s">
        <v>359</v>
      </c>
      <c r="D829" t="s">
        <v>225</v>
      </c>
      <c r="E829" t="s">
        <v>2315</v>
      </c>
      <c r="F829" t="s">
        <v>222</v>
      </c>
      <c r="G829" s="77">
        <v>317</v>
      </c>
      <c r="H829" s="126">
        <v>30.2</v>
      </c>
      <c r="I829" s="124">
        <v>44.7</v>
      </c>
      <c r="J829" s="124">
        <v>314.24</v>
      </c>
      <c r="K829" s="77">
        <v>520</v>
      </c>
      <c r="L829" s="124">
        <v>878.94</v>
      </c>
    </row>
    <row r="830" spans="1:12" ht="15" customHeight="1" x14ac:dyDescent="0.25">
      <c r="A830" s="78">
        <v>45901</v>
      </c>
      <c r="B830" t="s">
        <v>358</v>
      </c>
      <c r="C830" t="s">
        <v>359</v>
      </c>
      <c r="D830" t="s">
        <v>225</v>
      </c>
      <c r="E830" t="s">
        <v>2262</v>
      </c>
      <c r="F830" t="s">
        <v>228</v>
      </c>
      <c r="G830" s="77">
        <v>1322</v>
      </c>
      <c r="H830" s="126">
        <v>155.5</v>
      </c>
      <c r="I830" s="124">
        <v>230.14</v>
      </c>
      <c r="J830" s="124">
        <v>219.9</v>
      </c>
      <c r="K830" s="77">
        <v>320</v>
      </c>
      <c r="L830" s="124">
        <v>770.04</v>
      </c>
    </row>
    <row r="831" spans="1:12" ht="15" customHeight="1" x14ac:dyDescent="0.25">
      <c r="A831" s="78">
        <v>45901</v>
      </c>
      <c r="B831" t="s">
        <v>358</v>
      </c>
      <c r="C831" t="s">
        <v>359</v>
      </c>
      <c r="D831" t="s">
        <v>225</v>
      </c>
      <c r="E831" t="s">
        <v>2302</v>
      </c>
      <c r="F831" t="s">
        <v>226</v>
      </c>
      <c r="G831" s="77">
        <v>1054</v>
      </c>
      <c r="H831" s="126">
        <v>100.4</v>
      </c>
      <c r="I831" s="124">
        <v>148.59</v>
      </c>
      <c r="J831" s="124">
        <v>56.27</v>
      </c>
      <c r="K831" s="77">
        <v>380</v>
      </c>
      <c r="L831" s="124">
        <v>584.86</v>
      </c>
    </row>
    <row r="832" spans="1:12" ht="15" customHeight="1" x14ac:dyDescent="0.25">
      <c r="A832" s="78">
        <v>45901</v>
      </c>
      <c r="B832" t="s">
        <v>383</v>
      </c>
      <c r="C832" t="s">
        <v>384</v>
      </c>
      <c r="D832" t="s">
        <v>225</v>
      </c>
      <c r="E832" t="s">
        <v>2319</v>
      </c>
      <c r="F832" t="s">
        <v>228</v>
      </c>
      <c r="G832" s="77">
        <v>1473</v>
      </c>
      <c r="H832" s="126">
        <v>173.3</v>
      </c>
      <c r="I832" s="124">
        <v>256.48</v>
      </c>
      <c r="J832" s="124">
        <v>401.78</v>
      </c>
      <c r="K832" s="77">
        <v>380</v>
      </c>
      <c r="L832" s="124">
        <v>1038.26</v>
      </c>
    </row>
    <row r="833" spans="1:12" ht="15" customHeight="1" x14ac:dyDescent="0.25">
      <c r="A833" s="78">
        <v>45901</v>
      </c>
      <c r="B833" t="s">
        <v>383</v>
      </c>
      <c r="C833" t="s">
        <v>384</v>
      </c>
      <c r="D833" t="s">
        <v>225</v>
      </c>
      <c r="E833" t="s">
        <v>2301</v>
      </c>
      <c r="F833" t="s">
        <v>228</v>
      </c>
      <c r="G833" s="77">
        <v>1089</v>
      </c>
      <c r="H833" s="126">
        <v>128.1</v>
      </c>
      <c r="I833" s="124">
        <v>189.59</v>
      </c>
      <c r="J833" s="124">
        <v>331.88</v>
      </c>
      <c r="K833" s="77">
        <v>520</v>
      </c>
      <c r="L833" s="124">
        <v>1041.47</v>
      </c>
    </row>
    <row r="834" spans="1:12" ht="15" customHeight="1" x14ac:dyDescent="0.25">
      <c r="A834" s="78">
        <v>45901</v>
      </c>
      <c r="B834" t="s">
        <v>383</v>
      </c>
      <c r="C834" t="s">
        <v>384</v>
      </c>
      <c r="D834" t="s">
        <v>225</v>
      </c>
      <c r="E834" t="s">
        <v>2273</v>
      </c>
      <c r="F834" t="s">
        <v>228</v>
      </c>
      <c r="G834" s="77">
        <v>1093</v>
      </c>
      <c r="H834" s="126">
        <v>128.6</v>
      </c>
      <c r="I834" s="124">
        <v>190.33</v>
      </c>
      <c r="J834" s="124">
        <v>143.06</v>
      </c>
      <c r="K834" s="77">
        <v>380</v>
      </c>
      <c r="L834" s="124">
        <v>713.39</v>
      </c>
    </row>
    <row r="835" spans="1:12" ht="15" customHeight="1" x14ac:dyDescent="0.25">
      <c r="A835" s="78">
        <v>45901</v>
      </c>
      <c r="B835" t="s">
        <v>383</v>
      </c>
      <c r="C835" t="s">
        <v>384</v>
      </c>
      <c r="D835" t="s">
        <v>225</v>
      </c>
      <c r="E835" t="s">
        <v>2261</v>
      </c>
      <c r="F835" t="s">
        <v>222</v>
      </c>
      <c r="G835" s="77">
        <v>947</v>
      </c>
      <c r="H835" s="126">
        <v>90.2</v>
      </c>
      <c r="I835" s="124">
        <v>133.5</v>
      </c>
      <c r="J835" s="124">
        <v>160.55000000000001</v>
      </c>
      <c r="K835" s="77">
        <v>520</v>
      </c>
      <c r="L835" s="124">
        <v>814.05</v>
      </c>
    </row>
    <row r="836" spans="1:12" ht="15" customHeight="1" x14ac:dyDescent="0.25">
      <c r="A836" s="78">
        <v>45901</v>
      </c>
      <c r="B836" t="s">
        <v>383</v>
      </c>
      <c r="C836" t="s">
        <v>384</v>
      </c>
      <c r="D836" t="s">
        <v>225</v>
      </c>
      <c r="E836" t="s">
        <v>2346</v>
      </c>
      <c r="F836" t="s">
        <v>222</v>
      </c>
      <c r="G836" s="77">
        <v>936</v>
      </c>
      <c r="H836" s="126">
        <v>89.1</v>
      </c>
      <c r="I836" s="124">
        <v>131.87</v>
      </c>
      <c r="J836" s="124">
        <v>132.51</v>
      </c>
      <c r="K836" s="77">
        <v>380</v>
      </c>
      <c r="L836" s="124">
        <v>644.38</v>
      </c>
    </row>
    <row r="837" spans="1:12" ht="15" customHeight="1" x14ac:dyDescent="0.25">
      <c r="A837" s="78">
        <v>45901</v>
      </c>
      <c r="B837" t="s">
        <v>373</v>
      </c>
      <c r="C837" t="s">
        <v>374</v>
      </c>
      <c r="D837" t="s">
        <v>225</v>
      </c>
      <c r="E837" t="s">
        <v>2340</v>
      </c>
      <c r="F837" t="s">
        <v>226</v>
      </c>
      <c r="G837" s="77">
        <v>1027</v>
      </c>
      <c r="H837" s="126">
        <v>97.8</v>
      </c>
      <c r="I837" s="124">
        <v>144.74</v>
      </c>
      <c r="J837" s="124">
        <v>143.53</v>
      </c>
      <c r="K837" s="77">
        <v>520</v>
      </c>
      <c r="L837" s="124">
        <v>808.27</v>
      </c>
    </row>
    <row r="838" spans="1:12" ht="15" customHeight="1" x14ac:dyDescent="0.25">
      <c r="A838" s="78">
        <v>45901</v>
      </c>
      <c r="B838" t="s">
        <v>373</v>
      </c>
      <c r="C838" t="s">
        <v>374</v>
      </c>
      <c r="D838" t="s">
        <v>225</v>
      </c>
      <c r="E838" t="s">
        <v>2302</v>
      </c>
      <c r="F838" t="s">
        <v>228</v>
      </c>
      <c r="G838" s="77">
        <v>1063</v>
      </c>
      <c r="H838" s="126">
        <v>125.1</v>
      </c>
      <c r="I838" s="124">
        <v>185.15</v>
      </c>
      <c r="J838" s="124">
        <v>165.15</v>
      </c>
      <c r="K838" s="77">
        <v>320</v>
      </c>
      <c r="L838" s="124">
        <v>670.3</v>
      </c>
    </row>
    <row r="839" spans="1:12" ht="15" customHeight="1" x14ac:dyDescent="0.25">
      <c r="A839" s="78">
        <v>45901</v>
      </c>
      <c r="B839" t="s">
        <v>373</v>
      </c>
      <c r="C839" t="s">
        <v>374</v>
      </c>
      <c r="D839" t="s">
        <v>225</v>
      </c>
      <c r="E839" t="s">
        <v>2234</v>
      </c>
      <c r="F839" t="s">
        <v>224</v>
      </c>
      <c r="G839" s="77">
        <v>870</v>
      </c>
      <c r="H839" s="126">
        <v>102.4</v>
      </c>
      <c r="I839" s="124">
        <v>151.55000000000001</v>
      </c>
      <c r="J839" s="124">
        <v>47.23</v>
      </c>
      <c r="K839" s="77">
        <v>520</v>
      </c>
      <c r="L839" s="124">
        <v>718.78</v>
      </c>
    </row>
    <row r="840" spans="1:12" ht="15" customHeight="1" x14ac:dyDescent="0.25">
      <c r="A840" s="78">
        <v>45901</v>
      </c>
      <c r="B840" t="s">
        <v>373</v>
      </c>
      <c r="C840" t="s">
        <v>374</v>
      </c>
      <c r="D840" t="s">
        <v>225</v>
      </c>
      <c r="E840" t="s">
        <v>2339</v>
      </c>
      <c r="F840" t="s">
        <v>228</v>
      </c>
      <c r="G840" s="77">
        <v>1294</v>
      </c>
      <c r="H840" s="126">
        <v>152.19999999999999</v>
      </c>
      <c r="I840" s="124">
        <v>225.26</v>
      </c>
      <c r="J840" s="124">
        <v>81.55</v>
      </c>
      <c r="K840" s="77">
        <v>380</v>
      </c>
      <c r="L840" s="124">
        <v>686.81</v>
      </c>
    </row>
    <row r="841" spans="1:12" ht="15" customHeight="1" x14ac:dyDescent="0.25">
      <c r="A841" s="78">
        <v>45901</v>
      </c>
      <c r="B841" t="s">
        <v>354</v>
      </c>
      <c r="C841" t="s">
        <v>355</v>
      </c>
      <c r="D841" t="s">
        <v>227</v>
      </c>
      <c r="E841" t="s">
        <v>2263</v>
      </c>
      <c r="F841" t="s">
        <v>222</v>
      </c>
      <c r="G841" s="77">
        <v>1338</v>
      </c>
      <c r="H841" s="126">
        <v>127.4</v>
      </c>
      <c r="I841" s="124">
        <v>188.55</v>
      </c>
      <c r="J841" s="124">
        <v>260.91000000000003</v>
      </c>
      <c r="K841" s="77">
        <v>450</v>
      </c>
      <c r="L841" s="124">
        <v>899.46</v>
      </c>
    </row>
    <row r="842" spans="1:12" ht="15" customHeight="1" x14ac:dyDescent="0.25">
      <c r="A842" s="78">
        <v>45901</v>
      </c>
      <c r="B842" t="s">
        <v>354</v>
      </c>
      <c r="C842" t="s">
        <v>355</v>
      </c>
      <c r="D842" t="s">
        <v>227</v>
      </c>
      <c r="E842" t="s">
        <v>2258</v>
      </c>
      <c r="F842" t="s">
        <v>228</v>
      </c>
      <c r="G842" s="77">
        <v>974</v>
      </c>
      <c r="H842" s="126">
        <v>114.6</v>
      </c>
      <c r="I842" s="124">
        <v>169.61</v>
      </c>
      <c r="J842" s="124">
        <v>41.75</v>
      </c>
      <c r="K842" s="77">
        <v>450</v>
      </c>
      <c r="L842" s="124">
        <v>661.36</v>
      </c>
    </row>
    <row r="843" spans="1:12" ht="15" customHeight="1" x14ac:dyDescent="0.25">
      <c r="A843" s="78">
        <v>45901</v>
      </c>
      <c r="B843" t="s">
        <v>354</v>
      </c>
      <c r="C843" t="s">
        <v>355</v>
      </c>
      <c r="D843" t="s">
        <v>227</v>
      </c>
      <c r="E843" t="s">
        <v>2256</v>
      </c>
      <c r="F843" t="s">
        <v>226</v>
      </c>
      <c r="G843" s="77">
        <v>959</v>
      </c>
      <c r="H843" s="126">
        <v>91.3</v>
      </c>
      <c r="I843" s="124">
        <v>135.12</v>
      </c>
      <c r="J843" s="124">
        <v>144.87</v>
      </c>
      <c r="K843" s="77">
        <v>450</v>
      </c>
      <c r="L843" s="124">
        <v>729.99</v>
      </c>
    </row>
    <row r="844" spans="1:12" ht="15" customHeight="1" x14ac:dyDescent="0.25">
      <c r="A844" s="78">
        <v>45901</v>
      </c>
      <c r="B844" t="s">
        <v>354</v>
      </c>
      <c r="C844" t="s">
        <v>355</v>
      </c>
      <c r="D844" t="s">
        <v>227</v>
      </c>
      <c r="E844" t="s">
        <v>2267</v>
      </c>
      <c r="F844" t="s">
        <v>228</v>
      </c>
      <c r="G844" s="77">
        <v>797</v>
      </c>
      <c r="H844" s="126">
        <v>93.8</v>
      </c>
      <c r="I844" s="124">
        <v>138.82</v>
      </c>
      <c r="J844" s="124">
        <v>208.78</v>
      </c>
      <c r="K844" s="77">
        <v>520</v>
      </c>
      <c r="L844" s="124">
        <v>867.6</v>
      </c>
    </row>
    <row r="845" spans="1:12" ht="15" customHeight="1" x14ac:dyDescent="0.25">
      <c r="A845" s="78">
        <v>45901</v>
      </c>
      <c r="B845" t="s">
        <v>354</v>
      </c>
      <c r="C845" t="s">
        <v>355</v>
      </c>
      <c r="D845" t="s">
        <v>227</v>
      </c>
      <c r="E845" t="s">
        <v>2272</v>
      </c>
      <c r="F845" t="s">
        <v>224</v>
      </c>
      <c r="G845" s="77">
        <v>1432</v>
      </c>
      <c r="H845" s="126">
        <v>168.5</v>
      </c>
      <c r="I845" s="124">
        <v>249.38</v>
      </c>
      <c r="J845" s="124">
        <v>203.19</v>
      </c>
      <c r="K845" s="77">
        <v>320</v>
      </c>
      <c r="L845" s="124">
        <v>772.57</v>
      </c>
    </row>
    <row r="846" spans="1:12" ht="15" customHeight="1" x14ac:dyDescent="0.25">
      <c r="A846" s="78">
        <v>45901</v>
      </c>
      <c r="B846" t="s">
        <v>354</v>
      </c>
      <c r="C846" t="s">
        <v>355</v>
      </c>
      <c r="D846" t="s">
        <v>227</v>
      </c>
      <c r="E846" t="s">
        <v>2305</v>
      </c>
      <c r="F846" t="s">
        <v>228</v>
      </c>
      <c r="G846" s="77">
        <v>818</v>
      </c>
      <c r="H846" s="126">
        <v>96.2</v>
      </c>
      <c r="I846" s="124">
        <v>142.38</v>
      </c>
      <c r="J846" s="124">
        <v>122.19</v>
      </c>
      <c r="K846" s="77">
        <v>450</v>
      </c>
      <c r="L846" s="124">
        <v>714.57</v>
      </c>
    </row>
    <row r="847" spans="1:12" ht="15" customHeight="1" x14ac:dyDescent="0.25">
      <c r="A847" s="78">
        <v>45901</v>
      </c>
      <c r="B847" t="s">
        <v>354</v>
      </c>
      <c r="C847" t="s">
        <v>355</v>
      </c>
      <c r="D847" t="s">
        <v>227</v>
      </c>
      <c r="E847" t="s">
        <v>2290</v>
      </c>
      <c r="F847" t="s">
        <v>222</v>
      </c>
      <c r="G847" s="77">
        <v>968</v>
      </c>
      <c r="H847" s="126">
        <v>92.2</v>
      </c>
      <c r="I847" s="124">
        <v>136.46</v>
      </c>
      <c r="J847" s="124">
        <v>132.91999999999999</v>
      </c>
      <c r="K847" s="77">
        <v>450</v>
      </c>
      <c r="L847" s="124">
        <v>719.38</v>
      </c>
    </row>
    <row r="848" spans="1:12" ht="15" customHeight="1" x14ac:dyDescent="0.25">
      <c r="A848" s="78">
        <v>45901</v>
      </c>
      <c r="B848" t="s">
        <v>370</v>
      </c>
      <c r="C848" t="s">
        <v>371</v>
      </c>
      <c r="D848" t="s">
        <v>227</v>
      </c>
      <c r="E848" t="s">
        <v>2327</v>
      </c>
      <c r="F848" t="s">
        <v>222</v>
      </c>
      <c r="G848" s="77">
        <v>1174</v>
      </c>
      <c r="H848" s="126">
        <v>111.8</v>
      </c>
      <c r="I848" s="124">
        <v>165.46</v>
      </c>
      <c r="J848" s="124">
        <v>107.17</v>
      </c>
      <c r="K848" s="77">
        <v>320</v>
      </c>
      <c r="L848" s="124">
        <v>592.63</v>
      </c>
    </row>
    <row r="849" spans="1:12" ht="15" customHeight="1" x14ac:dyDescent="0.25">
      <c r="A849" s="78">
        <v>45901</v>
      </c>
      <c r="B849" t="s">
        <v>370</v>
      </c>
      <c r="C849" t="s">
        <v>371</v>
      </c>
      <c r="D849" t="s">
        <v>227</v>
      </c>
      <c r="E849" t="s">
        <v>2305</v>
      </c>
      <c r="F849" t="s">
        <v>228</v>
      </c>
      <c r="G849" s="77">
        <v>1177</v>
      </c>
      <c r="H849" s="126">
        <v>138.5</v>
      </c>
      <c r="I849" s="124">
        <v>204.98</v>
      </c>
      <c r="J849" s="124">
        <v>404.81</v>
      </c>
      <c r="K849" s="77">
        <v>380</v>
      </c>
      <c r="L849" s="124">
        <v>989.79</v>
      </c>
    </row>
    <row r="850" spans="1:12" ht="15" customHeight="1" x14ac:dyDescent="0.25">
      <c r="A850" s="78">
        <v>45901</v>
      </c>
      <c r="B850" t="s">
        <v>370</v>
      </c>
      <c r="C850" t="s">
        <v>371</v>
      </c>
      <c r="D850" t="s">
        <v>227</v>
      </c>
      <c r="E850" t="s">
        <v>2328</v>
      </c>
      <c r="F850" t="s">
        <v>228</v>
      </c>
      <c r="G850" s="77">
        <v>1253</v>
      </c>
      <c r="H850" s="126">
        <v>147.4</v>
      </c>
      <c r="I850" s="124">
        <v>218.15</v>
      </c>
      <c r="J850" s="124">
        <v>246.15</v>
      </c>
      <c r="K850" s="77">
        <v>450</v>
      </c>
      <c r="L850" s="124">
        <v>914.3</v>
      </c>
    </row>
    <row r="851" spans="1:12" ht="15" customHeight="1" x14ac:dyDescent="0.25">
      <c r="A851" s="78">
        <v>45901</v>
      </c>
      <c r="B851" t="s">
        <v>370</v>
      </c>
      <c r="C851" t="s">
        <v>371</v>
      </c>
      <c r="D851" t="s">
        <v>227</v>
      </c>
      <c r="E851" t="s">
        <v>2300</v>
      </c>
      <c r="F851" t="s">
        <v>224</v>
      </c>
      <c r="G851" s="77">
        <v>1004</v>
      </c>
      <c r="H851" s="126">
        <v>118.1</v>
      </c>
      <c r="I851" s="124">
        <v>174.79</v>
      </c>
      <c r="J851" s="124">
        <v>121.47</v>
      </c>
      <c r="K851" s="77">
        <v>520</v>
      </c>
      <c r="L851" s="124">
        <v>816.26</v>
      </c>
    </row>
    <row r="852" spans="1:12" ht="15" customHeight="1" x14ac:dyDescent="0.25">
      <c r="A852" s="78">
        <v>45901</v>
      </c>
      <c r="B852" t="s">
        <v>370</v>
      </c>
      <c r="C852" t="s">
        <v>371</v>
      </c>
      <c r="D852" t="s">
        <v>227</v>
      </c>
      <c r="E852" t="s">
        <v>2334</v>
      </c>
      <c r="F852" t="s">
        <v>222</v>
      </c>
      <c r="G852" s="77">
        <v>1345</v>
      </c>
      <c r="H852" s="126">
        <v>128.1</v>
      </c>
      <c r="I852" s="124">
        <v>189.59</v>
      </c>
      <c r="J852" s="124">
        <v>99.81</v>
      </c>
      <c r="K852" s="77">
        <v>380</v>
      </c>
      <c r="L852" s="124">
        <v>669.4</v>
      </c>
    </row>
    <row r="853" spans="1:12" ht="15" customHeight="1" x14ac:dyDescent="0.25">
      <c r="A853" s="78">
        <v>45901</v>
      </c>
      <c r="B853" t="s">
        <v>370</v>
      </c>
      <c r="C853" t="s">
        <v>371</v>
      </c>
      <c r="D853" t="s">
        <v>227</v>
      </c>
      <c r="E853" t="s">
        <v>2224</v>
      </c>
      <c r="F853" t="s">
        <v>224</v>
      </c>
      <c r="G853" s="77">
        <v>1061</v>
      </c>
      <c r="H853" s="126">
        <v>124.8</v>
      </c>
      <c r="I853" s="124">
        <v>184.7</v>
      </c>
      <c r="J853" s="124">
        <v>154.1</v>
      </c>
      <c r="K853" s="77">
        <v>380</v>
      </c>
      <c r="L853" s="124">
        <v>718.8</v>
      </c>
    </row>
    <row r="854" spans="1:12" ht="15" customHeight="1" x14ac:dyDescent="0.25">
      <c r="A854" s="78">
        <v>45901</v>
      </c>
      <c r="B854" t="s">
        <v>398</v>
      </c>
      <c r="C854" t="s">
        <v>399</v>
      </c>
      <c r="D854" t="s">
        <v>227</v>
      </c>
      <c r="E854" t="s">
        <v>2239</v>
      </c>
      <c r="F854" t="s">
        <v>226</v>
      </c>
      <c r="G854" s="77">
        <v>924</v>
      </c>
      <c r="H854" s="126">
        <v>88</v>
      </c>
      <c r="I854" s="124">
        <v>130.24</v>
      </c>
      <c r="J854" s="124">
        <v>40.200000000000003</v>
      </c>
      <c r="K854" s="77">
        <v>320</v>
      </c>
      <c r="L854" s="124">
        <v>490.44</v>
      </c>
    </row>
    <row r="855" spans="1:12" ht="15" customHeight="1" x14ac:dyDescent="0.25">
      <c r="A855" s="78">
        <v>45901</v>
      </c>
      <c r="B855" t="s">
        <v>398</v>
      </c>
      <c r="C855" t="s">
        <v>399</v>
      </c>
      <c r="D855" t="s">
        <v>227</v>
      </c>
      <c r="E855" t="s">
        <v>2284</v>
      </c>
      <c r="F855" t="s">
        <v>228</v>
      </c>
      <c r="G855" s="77">
        <v>1130</v>
      </c>
      <c r="H855" s="126">
        <v>132.9</v>
      </c>
      <c r="I855" s="124">
        <v>196.69</v>
      </c>
      <c r="J855" s="124">
        <v>245.12</v>
      </c>
      <c r="K855" s="77">
        <v>380</v>
      </c>
      <c r="L855" s="124">
        <v>821.81</v>
      </c>
    </row>
    <row r="856" spans="1:12" ht="15" customHeight="1" x14ac:dyDescent="0.25">
      <c r="A856" s="78">
        <v>45901</v>
      </c>
      <c r="B856" t="s">
        <v>398</v>
      </c>
      <c r="C856" t="s">
        <v>399</v>
      </c>
      <c r="D856" t="s">
        <v>227</v>
      </c>
      <c r="E856" t="s">
        <v>2326</v>
      </c>
      <c r="F856" t="s">
        <v>226</v>
      </c>
      <c r="G856" s="77">
        <v>1175</v>
      </c>
      <c r="H856" s="126">
        <v>111.9</v>
      </c>
      <c r="I856" s="124">
        <v>165.61</v>
      </c>
      <c r="J856" s="124">
        <v>107.31</v>
      </c>
      <c r="K856" s="77">
        <v>450</v>
      </c>
      <c r="L856" s="124">
        <v>722.92</v>
      </c>
    </row>
    <row r="857" spans="1:12" ht="15" customHeight="1" x14ac:dyDescent="0.25">
      <c r="A857" s="78">
        <v>45901</v>
      </c>
      <c r="B857" t="s">
        <v>398</v>
      </c>
      <c r="C857" t="s">
        <v>399</v>
      </c>
      <c r="D857" t="s">
        <v>227</v>
      </c>
      <c r="E857" t="s">
        <v>2249</v>
      </c>
      <c r="F857" t="s">
        <v>226</v>
      </c>
      <c r="G857" s="77">
        <v>1355</v>
      </c>
      <c r="H857" s="126">
        <v>129</v>
      </c>
      <c r="I857" s="124">
        <v>190.92</v>
      </c>
      <c r="J857" s="124">
        <v>79.86</v>
      </c>
      <c r="K857" s="77">
        <v>320</v>
      </c>
      <c r="L857" s="124">
        <v>590.78</v>
      </c>
    </row>
    <row r="858" spans="1:12" ht="15" customHeight="1" x14ac:dyDescent="0.25">
      <c r="A858" s="78">
        <v>45901</v>
      </c>
      <c r="B858" t="s">
        <v>378</v>
      </c>
      <c r="C858" t="s">
        <v>379</v>
      </c>
      <c r="D858" t="s">
        <v>227</v>
      </c>
      <c r="E858" t="s">
        <v>2351</v>
      </c>
      <c r="F858" t="s">
        <v>226</v>
      </c>
      <c r="G858" s="77">
        <v>1478</v>
      </c>
      <c r="H858" s="126">
        <v>140.80000000000001</v>
      </c>
      <c r="I858" s="124">
        <v>208.38</v>
      </c>
      <c r="J858" s="124">
        <v>10.19</v>
      </c>
      <c r="K858" s="77">
        <v>450</v>
      </c>
      <c r="L858" s="124">
        <v>668.57</v>
      </c>
    </row>
    <row r="859" spans="1:12" ht="15" customHeight="1" x14ac:dyDescent="0.25">
      <c r="A859" s="78">
        <v>45901</v>
      </c>
      <c r="B859" t="s">
        <v>378</v>
      </c>
      <c r="C859" t="s">
        <v>379</v>
      </c>
      <c r="D859" t="s">
        <v>227</v>
      </c>
      <c r="E859" t="s">
        <v>2349</v>
      </c>
      <c r="F859" t="s">
        <v>222</v>
      </c>
      <c r="G859" s="77">
        <v>1158</v>
      </c>
      <c r="H859" s="126">
        <v>110.3</v>
      </c>
      <c r="I859" s="124">
        <v>163.24</v>
      </c>
      <c r="J859" s="124">
        <v>188.03</v>
      </c>
      <c r="K859" s="77">
        <v>520</v>
      </c>
      <c r="L859" s="124">
        <v>871.27</v>
      </c>
    </row>
    <row r="860" spans="1:12" ht="15" customHeight="1" x14ac:dyDescent="0.25">
      <c r="A860" s="78">
        <v>45901</v>
      </c>
      <c r="B860" t="s">
        <v>378</v>
      </c>
      <c r="C860" t="s">
        <v>379</v>
      </c>
      <c r="D860" t="s">
        <v>227</v>
      </c>
      <c r="E860" t="s">
        <v>2338</v>
      </c>
      <c r="F860" t="s">
        <v>228</v>
      </c>
      <c r="G860" s="77">
        <v>851</v>
      </c>
      <c r="H860" s="126">
        <v>100.1</v>
      </c>
      <c r="I860" s="124">
        <v>148.15</v>
      </c>
      <c r="J860" s="124">
        <v>283.95</v>
      </c>
      <c r="K860" s="77">
        <v>520</v>
      </c>
      <c r="L860" s="124">
        <v>952.1</v>
      </c>
    </row>
    <row r="861" spans="1:12" ht="15" customHeight="1" x14ac:dyDescent="0.25">
      <c r="A861" s="78">
        <v>45901</v>
      </c>
      <c r="B861" t="s">
        <v>378</v>
      </c>
      <c r="C861" t="s">
        <v>379</v>
      </c>
      <c r="D861" t="s">
        <v>227</v>
      </c>
      <c r="E861" t="s">
        <v>2350</v>
      </c>
      <c r="F861" t="s">
        <v>224</v>
      </c>
      <c r="G861" s="77">
        <v>1369</v>
      </c>
      <c r="H861" s="126">
        <v>161.1</v>
      </c>
      <c r="I861" s="124">
        <v>238.43</v>
      </c>
      <c r="J861" s="124">
        <v>0</v>
      </c>
      <c r="K861" s="77">
        <v>520</v>
      </c>
      <c r="L861" s="124">
        <v>758.43</v>
      </c>
    </row>
    <row r="862" spans="1:12" ht="15" customHeight="1" x14ac:dyDescent="0.25">
      <c r="A862" s="78">
        <v>45901</v>
      </c>
      <c r="B862" t="s">
        <v>393</v>
      </c>
      <c r="C862" t="s">
        <v>394</v>
      </c>
      <c r="D862" t="s">
        <v>227</v>
      </c>
      <c r="E862" t="s">
        <v>2279</v>
      </c>
      <c r="F862" t="s">
        <v>228</v>
      </c>
      <c r="G862" s="77">
        <v>1175</v>
      </c>
      <c r="H862" s="126">
        <v>138.19999999999999</v>
      </c>
      <c r="I862" s="124">
        <v>204.54</v>
      </c>
      <c r="J862" s="124">
        <v>50.54</v>
      </c>
      <c r="K862" s="77">
        <v>380</v>
      </c>
      <c r="L862" s="124">
        <v>635.08000000000004</v>
      </c>
    </row>
    <row r="863" spans="1:12" ht="15" customHeight="1" x14ac:dyDescent="0.25">
      <c r="A863" s="78">
        <v>45901</v>
      </c>
      <c r="B863" t="s">
        <v>393</v>
      </c>
      <c r="C863" t="s">
        <v>394</v>
      </c>
      <c r="D863" t="s">
        <v>227</v>
      </c>
      <c r="E863" t="s">
        <v>2354</v>
      </c>
      <c r="F863" t="s">
        <v>222</v>
      </c>
      <c r="G863" s="77">
        <v>808</v>
      </c>
      <c r="H863" s="126">
        <v>77</v>
      </c>
      <c r="I863" s="124">
        <v>113.96</v>
      </c>
      <c r="J863" s="124">
        <v>280.33</v>
      </c>
      <c r="K863" s="77">
        <v>320</v>
      </c>
      <c r="L863" s="124">
        <v>714.29</v>
      </c>
    </row>
    <row r="864" spans="1:12" ht="15" customHeight="1" x14ac:dyDescent="0.25">
      <c r="A864" s="78">
        <v>45901</v>
      </c>
      <c r="B864" t="s">
        <v>393</v>
      </c>
      <c r="C864" t="s">
        <v>394</v>
      </c>
      <c r="D864" t="s">
        <v>227</v>
      </c>
      <c r="E864" t="s">
        <v>2220</v>
      </c>
      <c r="F864" t="s">
        <v>224</v>
      </c>
      <c r="G864" s="77">
        <v>904</v>
      </c>
      <c r="H864" s="126">
        <v>106.4</v>
      </c>
      <c r="I864" s="124">
        <v>157.47</v>
      </c>
      <c r="J864" s="124">
        <v>56.09</v>
      </c>
      <c r="K864" s="77">
        <v>380</v>
      </c>
      <c r="L864" s="124">
        <v>593.55999999999995</v>
      </c>
    </row>
    <row r="865" spans="1:12" ht="15" customHeight="1" x14ac:dyDescent="0.25">
      <c r="A865" s="78">
        <v>45901</v>
      </c>
      <c r="B865" t="s">
        <v>393</v>
      </c>
      <c r="C865" t="s">
        <v>394</v>
      </c>
      <c r="D865" t="s">
        <v>227</v>
      </c>
      <c r="E865" t="s">
        <v>2355</v>
      </c>
      <c r="F865" t="s">
        <v>226</v>
      </c>
      <c r="G865" s="77">
        <v>1000</v>
      </c>
      <c r="H865" s="126">
        <v>95.2</v>
      </c>
      <c r="I865" s="124">
        <v>140.9</v>
      </c>
      <c r="J865" s="124">
        <v>315.43</v>
      </c>
      <c r="K865" s="77">
        <v>520</v>
      </c>
      <c r="L865" s="124">
        <v>976.33</v>
      </c>
    </row>
    <row r="866" spans="1:12" ht="15" customHeight="1" x14ac:dyDescent="0.25">
      <c r="A866" s="78">
        <v>45901</v>
      </c>
      <c r="B866" t="s">
        <v>393</v>
      </c>
      <c r="C866" t="s">
        <v>394</v>
      </c>
      <c r="D866" t="s">
        <v>227</v>
      </c>
      <c r="E866" t="s">
        <v>2271</v>
      </c>
      <c r="F866" t="s">
        <v>226</v>
      </c>
      <c r="G866" s="77">
        <v>592</v>
      </c>
      <c r="H866" s="126">
        <v>56.4</v>
      </c>
      <c r="I866" s="124">
        <v>83.47</v>
      </c>
      <c r="J866" s="124">
        <v>65.900000000000006</v>
      </c>
      <c r="K866" s="77">
        <v>380</v>
      </c>
      <c r="L866" s="124">
        <v>529.37</v>
      </c>
    </row>
    <row r="867" spans="1:12" ht="15" customHeight="1" x14ac:dyDescent="0.25">
      <c r="A867" s="78">
        <v>45901</v>
      </c>
      <c r="B867" t="s">
        <v>393</v>
      </c>
      <c r="C867" t="s">
        <v>394</v>
      </c>
      <c r="D867" t="s">
        <v>227</v>
      </c>
      <c r="E867" t="s">
        <v>2309</v>
      </c>
      <c r="F867" t="s">
        <v>224</v>
      </c>
      <c r="G867" s="77">
        <v>1424</v>
      </c>
      <c r="H867" s="126">
        <v>167.5</v>
      </c>
      <c r="I867" s="124">
        <v>247.9</v>
      </c>
      <c r="J867" s="124">
        <v>298.62</v>
      </c>
      <c r="K867" s="77">
        <v>380</v>
      </c>
      <c r="L867" s="124">
        <v>926.52</v>
      </c>
    </row>
    <row r="868" spans="1:12" ht="15" customHeight="1" x14ac:dyDescent="0.25">
      <c r="A868" s="78">
        <v>45931</v>
      </c>
      <c r="B868" t="s">
        <v>390</v>
      </c>
      <c r="C868" t="s">
        <v>391</v>
      </c>
      <c r="D868" t="s">
        <v>221</v>
      </c>
      <c r="E868" t="s">
        <v>2229</v>
      </c>
      <c r="F868" t="s">
        <v>228</v>
      </c>
      <c r="G868" s="77">
        <v>1024</v>
      </c>
      <c r="H868" s="126">
        <v>120.5</v>
      </c>
      <c r="I868" s="124">
        <v>178.34</v>
      </c>
      <c r="J868" s="124">
        <v>150.88</v>
      </c>
      <c r="K868" s="77">
        <v>380</v>
      </c>
      <c r="L868" s="124">
        <v>709.22</v>
      </c>
    </row>
    <row r="869" spans="1:12" ht="15" customHeight="1" x14ac:dyDescent="0.25">
      <c r="A869" s="78">
        <v>45931</v>
      </c>
      <c r="B869" t="s">
        <v>390</v>
      </c>
      <c r="C869" t="s">
        <v>391</v>
      </c>
      <c r="D869" t="s">
        <v>221</v>
      </c>
      <c r="E869" t="s">
        <v>2221</v>
      </c>
      <c r="F869" t="s">
        <v>224</v>
      </c>
      <c r="G869" s="77">
        <v>1573</v>
      </c>
      <c r="H869" s="126">
        <v>185.1</v>
      </c>
      <c r="I869" s="124">
        <v>273.95</v>
      </c>
      <c r="J869" s="124">
        <v>277.56</v>
      </c>
      <c r="K869" s="77">
        <v>320</v>
      </c>
      <c r="L869" s="124">
        <v>871.51</v>
      </c>
    </row>
    <row r="870" spans="1:12" ht="15" customHeight="1" x14ac:dyDescent="0.25">
      <c r="A870" s="78">
        <v>45931</v>
      </c>
      <c r="B870" t="s">
        <v>390</v>
      </c>
      <c r="C870" t="s">
        <v>391</v>
      </c>
      <c r="D870" t="s">
        <v>221</v>
      </c>
      <c r="E870" t="s">
        <v>2292</v>
      </c>
      <c r="F870" t="s">
        <v>226</v>
      </c>
      <c r="G870" s="77">
        <v>1219</v>
      </c>
      <c r="H870" s="126">
        <v>116.1</v>
      </c>
      <c r="I870" s="124">
        <v>171.83</v>
      </c>
      <c r="J870" s="124">
        <v>85.01</v>
      </c>
      <c r="K870" s="77">
        <v>380</v>
      </c>
      <c r="L870" s="124">
        <v>636.84</v>
      </c>
    </row>
    <row r="871" spans="1:12" ht="15" customHeight="1" x14ac:dyDescent="0.25">
      <c r="A871" s="78">
        <v>45931</v>
      </c>
      <c r="B871" t="s">
        <v>390</v>
      </c>
      <c r="C871" t="s">
        <v>391</v>
      </c>
      <c r="D871" t="s">
        <v>221</v>
      </c>
      <c r="E871" t="s">
        <v>2240</v>
      </c>
      <c r="F871" t="s">
        <v>224</v>
      </c>
      <c r="G871" s="77">
        <v>1037</v>
      </c>
      <c r="H871" s="126">
        <v>122</v>
      </c>
      <c r="I871" s="124">
        <v>180.56</v>
      </c>
      <c r="J871" s="124">
        <v>137.16999999999999</v>
      </c>
      <c r="K871" s="77">
        <v>380</v>
      </c>
      <c r="L871" s="124">
        <v>697.73</v>
      </c>
    </row>
    <row r="872" spans="1:12" ht="15" customHeight="1" x14ac:dyDescent="0.25">
      <c r="A872" s="78">
        <v>45931</v>
      </c>
      <c r="B872" t="s">
        <v>390</v>
      </c>
      <c r="C872" t="s">
        <v>391</v>
      </c>
      <c r="D872" t="s">
        <v>221</v>
      </c>
      <c r="E872" t="s">
        <v>2252</v>
      </c>
      <c r="F872" t="s">
        <v>228</v>
      </c>
      <c r="G872" s="77">
        <v>1132</v>
      </c>
      <c r="H872" s="126">
        <v>133.19999999999999</v>
      </c>
      <c r="I872" s="124">
        <v>197.14</v>
      </c>
      <c r="J872" s="124">
        <v>366.08</v>
      </c>
      <c r="K872" s="77">
        <v>450</v>
      </c>
      <c r="L872" s="124">
        <v>1013.22</v>
      </c>
    </row>
    <row r="873" spans="1:12" ht="15" customHeight="1" x14ac:dyDescent="0.25">
      <c r="A873" s="78">
        <v>45931</v>
      </c>
      <c r="B873" t="s">
        <v>390</v>
      </c>
      <c r="C873" t="s">
        <v>391</v>
      </c>
      <c r="D873" t="s">
        <v>221</v>
      </c>
      <c r="E873" t="s">
        <v>2351</v>
      </c>
      <c r="F873" t="s">
        <v>222</v>
      </c>
      <c r="G873" s="77">
        <v>1269</v>
      </c>
      <c r="H873" s="126">
        <v>120.9</v>
      </c>
      <c r="I873" s="124">
        <v>178.93</v>
      </c>
      <c r="J873" s="124">
        <v>63.81</v>
      </c>
      <c r="K873" s="77">
        <v>320</v>
      </c>
      <c r="L873" s="124">
        <v>562.74</v>
      </c>
    </row>
    <row r="874" spans="1:12" ht="15" customHeight="1" x14ac:dyDescent="0.25">
      <c r="A874" s="78">
        <v>45931</v>
      </c>
      <c r="B874" t="s">
        <v>401</v>
      </c>
      <c r="C874" t="s">
        <v>402</v>
      </c>
      <c r="D874" t="s">
        <v>221</v>
      </c>
      <c r="E874" t="s">
        <v>2245</v>
      </c>
      <c r="F874" t="s">
        <v>222</v>
      </c>
      <c r="G874" s="77">
        <v>1394</v>
      </c>
      <c r="H874" s="126">
        <v>132.80000000000001</v>
      </c>
      <c r="I874" s="124">
        <v>196.54</v>
      </c>
      <c r="J874" s="124">
        <v>175.05</v>
      </c>
      <c r="K874" s="77">
        <v>520</v>
      </c>
      <c r="L874" s="124">
        <v>891.59</v>
      </c>
    </row>
    <row r="875" spans="1:12" ht="15" customHeight="1" x14ac:dyDescent="0.25">
      <c r="A875" s="78">
        <v>45931</v>
      </c>
      <c r="B875" t="s">
        <v>401</v>
      </c>
      <c r="C875" t="s">
        <v>402</v>
      </c>
      <c r="D875" t="s">
        <v>221</v>
      </c>
      <c r="E875" t="s">
        <v>2257</v>
      </c>
      <c r="F875" t="s">
        <v>226</v>
      </c>
      <c r="G875" s="77">
        <v>1221</v>
      </c>
      <c r="H875" s="126">
        <v>116.3</v>
      </c>
      <c r="I875" s="124">
        <v>172.12</v>
      </c>
      <c r="J875" s="124">
        <v>267.32</v>
      </c>
      <c r="K875" s="77">
        <v>320</v>
      </c>
      <c r="L875" s="124">
        <v>759.44</v>
      </c>
    </row>
    <row r="876" spans="1:12" ht="15" customHeight="1" x14ac:dyDescent="0.25">
      <c r="A876" s="78">
        <v>45931</v>
      </c>
      <c r="B876" t="s">
        <v>401</v>
      </c>
      <c r="C876" t="s">
        <v>402</v>
      </c>
      <c r="D876" t="s">
        <v>221</v>
      </c>
      <c r="E876" t="s">
        <v>2244</v>
      </c>
      <c r="F876" t="s">
        <v>228</v>
      </c>
      <c r="G876" s="77">
        <v>772</v>
      </c>
      <c r="H876" s="126">
        <v>90.8</v>
      </c>
      <c r="I876" s="124">
        <v>134.38</v>
      </c>
      <c r="J876" s="124">
        <v>247.13</v>
      </c>
      <c r="K876" s="77">
        <v>450</v>
      </c>
      <c r="L876" s="124">
        <v>831.51</v>
      </c>
    </row>
    <row r="877" spans="1:12" ht="15" customHeight="1" x14ac:dyDescent="0.25">
      <c r="A877" s="78">
        <v>45931</v>
      </c>
      <c r="B877" t="s">
        <v>401</v>
      </c>
      <c r="C877" t="s">
        <v>402</v>
      </c>
      <c r="D877" t="s">
        <v>221</v>
      </c>
      <c r="E877" t="s">
        <v>2343</v>
      </c>
      <c r="F877" t="s">
        <v>222</v>
      </c>
      <c r="G877" s="77">
        <v>917</v>
      </c>
      <c r="H877" s="126">
        <v>87.3</v>
      </c>
      <c r="I877" s="124">
        <v>129.19999999999999</v>
      </c>
      <c r="J877" s="124">
        <v>24.57</v>
      </c>
      <c r="K877" s="77">
        <v>520</v>
      </c>
      <c r="L877" s="124">
        <v>673.77</v>
      </c>
    </row>
    <row r="878" spans="1:12" ht="15" customHeight="1" x14ac:dyDescent="0.25">
      <c r="A878" s="78">
        <v>45931</v>
      </c>
      <c r="B878" t="s">
        <v>401</v>
      </c>
      <c r="C878" t="s">
        <v>402</v>
      </c>
      <c r="D878" t="s">
        <v>221</v>
      </c>
      <c r="E878" t="s">
        <v>2325</v>
      </c>
      <c r="F878" t="s">
        <v>228</v>
      </c>
      <c r="G878" s="77">
        <v>1136</v>
      </c>
      <c r="H878" s="126">
        <v>133.6</v>
      </c>
      <c r="I878" s="124">
        <v>197.73</v>
      </c>
      <c r="J878" s="124">
        <v>450.92</v>
      </c>
      <c r="K878" s="77">
        <v>320</v>
      </c>
      <c r="L878" s="124">
        <v>968.65</v>
      </c>
    </row>
    <row r="879" spans="1:12" ht="15" customHeight="1" x14ac:dyDescent="0.25">
      <c r="A879" s="78">
        <v>45931</v>
      </c>
      <c r="B879" t="s">
        <v>401</v>
      </c>
      <c r="C879" t="s">
        <v>402</v>
      </c>
      <c r="D879" t="s">
        <v>221</v>
      </c>
      <c r="E879" t="s">
        <v>2290</v>
      </c>
      <c r="F879" t="s">
        <v>224</v>
      </c>
      <c r="G879" s="77">
        <v>589</v>
      </c>
      <c r="H879" s="126">
        <v>69.3</v>
      </c>
      <c r="I879" s="124">
        <v>102.56</v>
      </c>
      <c r="J879" s="124">
        <v>147.41999999999999</v>
      </c>
      <c r="K879" s="77">
        <v>520</v>
      </c>
      <c r="L879" s="124">
        <v>769.98</v>
      </c>
    </row>
    <row r="880" spans="1:12" ht="15" customHeight="1" x14ac:dyDescent="0.25">
      <c r="A880" s="78">
        <v>45931</v>
      </c>
      <c r="B880" t="s">
        <v>401</v>
      </c>
      <c r="C880" t="s">
        <v>402</v>
      </c>
      <c r="D880" t="s">
        <v>221</v>
      </c>
      <c r="E880" t="s">
        <v>2220</v>
      </c>
      <c r="F880" t="s">
        <v>226</v>
      </c>
      <c r="G880" s="77">
        <v>1210</v>
      </c>
      <c r="H880" s="126">
        <v>115.2</v>
      </c>
      <c r="I880" s="124">
        <v>170.5</v>
      </c>
      <c r="J880" s="124">
        <v>159.85</v>
      </c>
      <c r="K880" s="77">
        <v>520</v>
      </c>
      <c r="L880" s="124">
        <v>850.35</v>
      </c>
    </row>
    <row r="881" spans="1:12" ht="15" customHeight="1" x14ac:dyDescent="0.25">
      <c r="A881" s="78">
        <v>45931</v>
      </c>
      <c r="B881" t="s">
        <v>431</v>
      </c>
      <c r="C881" t="s">
        <v>432</v>
      </c>
      <c r="D881" t="s">
        <v>221</v>
      </c>
      <c r="E881" t="s">
        <v>2351</v>
      </c>
      <c r="F881" t="s">
        <v>226</v>
      </c>
      <c r="G881" s="77">
        <v>1021</v>
      </c>
      <c r="H881" s="126">
        <v>97.2</v>
      </c>
      <c r="I881" s="124">
        <v>143.86000000000001</v>
      </c>
      <c r="J881" s="124">
        <v>46.06</v>
      </c>
      <c r="K881" s="77">
        <v>520</v>
      </c>
      <c r="L881" s="124">
        <v>709.92</v>
      </c>
    </row>
    <row r="882" spans="1:12" ht="15" customHeight="1" x14ac:dyDescent="0.25">
      <c r="A882" s="78">
        <v>45931</v>
      </c>
      <c r="B882" t="s">
        <v>431</v>
      </c>
      <c r="C882" t="s">
        <v>432</v>
      </c>
      <c r="D882" t="s">
        <v>221</v>
      </c>
      <c r="E882" t="s">
        <v>2346</v>
      </c>
      <c r="F882" t="s">
        <v>224</v>
      </c>
      <c r="G882" s="77">
        <v>1108</v>
      </c>
      <c r="H882" s="126">
        <v>130.4</v>
      </c>
      <c r="I882" s="124">
        <v>192.99</v>
      </c>
      <c r="J882" s="124">
        <v>89.46</v>
      </c>
      <c r="K882" s="77">
        <v>520</v>
      </c>
      <c r="L882" s="124">
        <v>802.45</v>
      </c>
    </row>
    <row r="883" spans="1:12" ht="15" customHeight="1" x14ac:dyDescent="0.25">
      <c r="A883" s="78">
        <v>45931</v>
      </c>
      <c r="B883" t="s">
        <v>431</v>
      </c>
      <c r="C883" t="s">
        <v>432</v>
      </c>
      <c r="D883" t="s">
        <v>221</v>
      </c>
      <c r="E883" t="s">
        <v>2244</v>
      </c>
      <c r="F883" t="s">
        <v>222</v>
      </c>
      <c r="G883" s="77">
        <v>502</v>
      </c>
      <c r="H883" s="126">
        <v>47.8</v>
      </c>
      <c r="I883" s="124">
        <v>70.739999999999995</v>
      </c>
      <c r="J883" s="124">
        <v>245.57</v>
      </c>
      <c r="K883" s="77">
        <v>320</v>
      </c>
      <c r="L883" s="124">
        <v>636.30999999999995</v>
      </c>
    </row>
    <row r="884" spans="1:12" ht="15" customHeight="1" x14ac:dyDescent="0.25">
      <c r="A884" s="78">
        <v>45931</v>
      </c>
      <c r="B884" t="s">
        <v>431</v>
      </c>
      <c r="C884" t="s">
        <v>432</v>
      </c>
      <c r="D884" t="s">
        <v>221</v>
      </c>
      <c r="E884" t="s">
        <v>2345</v>
      </c>
      <c r="F884" t="s">
        <v>228</v>
      </c>
      <c r="G884" s="77">
        <v>1289</v>
      </c>
      <c r="H884" s="126">
        <v>151.6</v>
      </c>
      <c r="I884" s="124">
        <v>224.37</v>
      </c>
      <c r="J884" s="124">
        <v>254.13</v>
      </c>
      <c r="K884" s="77">
        <v>450</v>
      </c>
      <c r="L884" s="124">
        <v>928.5</v>
      </c>
    </row>
    <row r="885" spans="1:12" ht="15" customHeight="1" x14ac:dyDescent="0.25">
      <c r="A885" s="78">
        <v>45931</v>
      </c>
      <c r="B885" t="s">
        <v>431</v>
      </c>
      <c r="C885" t="s">
        <v>432</v>
      </c>
      <c r="D885" t="s">
        <v>221</v>
      </c>
      <c r="E885" t="s">
        <v>2227</v>
      </c>
      <c r="F885" t="s">
        <v>228</v>
      </c>
      <c r="G885" s="77">
        <v>1107</v>
      </c>
      <c r="H885" s="126">
        <v>130.19999999999999</v>
      </c>
      <c r="I885" s="124">
        <v>192.7</v>
      </c>
      <c r="J885" s="124">
        <v>335.95</v>
      </c>
      <c r="K885" s="77">
        <v>450</v>
      </c>
      <c r="L885" s="124">
        <v>978.65</v>
      </c>
    </row>
    <row r="886" spans="1:12" ht="15" customHeight="1" x14ac:dyDescent="0.25">
      <c r="A886" s="78">
        <v>45931</v>
      </c>
      <c r="B886" t="s">
        <v>366</v>
      </c>
      <c r="C886" t="s">
        <v>367</v>
      </c>
      <c r="D886" t="s">
        <v>221</v>
      </c>
      <c r="E886" t="s">
        <v>2309</v>
      </c>
      <c r="F886" t="s">
        <v>226</v>
      </c>
      <c r="G886" s="77">
        <v>1106</v>
      </c>
      <c r="H886" s="126">
        <v>105.3</v>
      </c>
      <c r="I886" s="124">
        <v>155.84</v>
      </c>
      <c r="J886" s="124">
        <v>222.32</v>
      </c>
      <c r="K886" s="77">
        <v>520</v>
      </c>
      <c r="L886" s="124">
        <v>898.16</v>
      </c>
    </row>
    <row r="887" spans="1:12" ht="15" customHeight="1" x14ac:dyDescent="0.25">
      <c r="A887" s="78">
        <v>45931</v>
      </c>
      <c r="B887" t="s">
        <v>366</v>
      </c>
      <c r="C887" t="s">
        <v>367</v>
      </c>
      <c r="D887" t="s">
        <v>221</v>
      </c>
      <c r="E887" t="s">
        <v>2303</v>
      </c>
      <c r="F887" t="s">
        <v>226</v>
      </c>
      <c r="G887" s="77">
        <v>975</v>
      </c>
      <c r="H887" s="126">
        <v>92.9</v>
      </c>
      <c r="I887" s="124">
        <v>137.49</v>
      </c>
      <c r="J887" s="124">
        <v>254.96</v>
      </c>
      <c r="K887" s="77">
        <v>520</v>
      </c>
      <c r="L887" s="124">
        <v>912.45</v>
      </c>
    </row>
    <row r="888" spans="1:12" ht="15" customHeight="1" x14ac:dyDescent="0.25">
      <c r="A888" s="78">
        <v>45931</v>
      </c>
      <c r="B888" t="s">
        <v>366</v>
      </c>
      <c r="C888" t="s">
        <v>367</v>
      </c>
      <c r="D888" t="s">
        <v>221</v>
      </c>
      <c r="E888" t="s">
        <v>2316</v>
      </c>
      <c r="F888" t="s">
        <v>228</v>
      </c>
      <c r="G888" s="77">
        <v>1130</v>
      </c>
      <c r="H888" s="126">
        <v>132.9</v>
      </c>
      <c r="I888" s="124">
        <v>196.69</v>
      </c>
      <c r="J888" s="124">
        <v>265.52</v>
      </c>
      <c r="K888" s="77">
        <v>320</v>
      </c>
      <c r="L888" s="124">
        <v>782.21</v>
      </c>
    </row>
    <row r="889" spans="1:12" ht="15" customHeight="1" x14ac:dyDescent="0.25">
      <c r="A889" s="78">
        <v>45931</v>
      </c>
      <c r="B889" t="s">
        <v>366</v>
      </c>
      <c r="C889" t="s">
        <v>367</v>
      </c>
      <c r="D889" t="s">
        <v>221</v>
      </c>
      <c r="E889" t="s">
        <v>2340</v>
      </c>
      <c r="F889" t="s">
        <v>224</v>
      </c>
      <c r="G889" s="77">
        <v>732</v>
      </c>
      <c r="H889" s="126">
        <v>86.1</v>
      </c>
      <c r="I889" s="124">
        <v>127.43</v>
      </c>
      <c r="J889" s="124">
        <v>172.96</v>
      </c>
      <c r="K889" s="77">
        <v>520</v>
      </c>
      <c r="L889" s="124">
        <v>820.39</v>
      </c>
    </row>
    <row r="890" spans="1:12" ht="15" customHeight="1" x14ac:dyDescent="0.25">
      <c r="A890" s="78">
        <v>45931</v>
      </c>
      <c r="B890" t="s">
        <v>366</v>
      </c>
      <c r="C890" t="s">
        <v>367</v>
      </c>
      <c r="D890" t="s">
        <v>221</v>
      </c>
      <c r="E890" t="s">
        <v>2230</v>
      </c>
      <c r="F890" t="s">
        <v>224</v>
      </c>
      <c r="G890" s="77">
        <v>842</v>
      </c>
      <c r="H890" s="126">
        <v>99.1</v>
      </c>
      <c r="I890" s="124">
        <v>146.66999999999999</v>
      </c>
      <c r="J890" s="124">
        <v>98.94</v>
      </c>
      <c r="K890" s="77">
        <v>320</v>
      </c>
      <c r="L890" s="124">
        <v>565.61</v>
      </c>
    </row>
    <row r="891" spans="1:12" ht="15" customHeight="1" x14ac:dyDescent="0.25">
      <c r="A891" s="78">
        <v>45931</v>
      </c>
      <c r="B891" t="s">
        <v>366</v>
      </c>
      <c r="C891" t="s">
        <v>367</v>
      </c>
      <c r="D891" t="s">
        <v>221</v>
      </c>
      <c r="E891" t="s">
        <v>2281</v>
      </c>
      <c r="F891" t="s">
        <v>222</v>
      </c>
      <c r="G891" s="77">
        <v>846</v>
      </c>
      <c r="H891" s="126">
        <v>80.599999999999994</v>
      </c>
      <c r="I891" s="124">
        <v>119.29</v>
      </c>
      <c r="J891" s="124">
        <v>64.7</v>
      </c>
      <c r="K891" s="77">
        <v>320</v>
      </c>
      <c r="L891" s="124">
        <v>503.99</v>
      </c>
    </row>
    <row r="892" spans="1:12" ht="15" customHeight="1" x14ac:dyDescent="0.25">
      <c r="A892" s="78">
        <v>45931</v>
      </c>
      <c r="B892" t="s">
        <v>362</v>
      </c>
      <c r="C892" t="s">
        <v>363</v>
      </c>
      <c r="D892" t="s">
        <v>221</v>
      </c>
      <c r="E892" t="s">
        <v>2300</v>
      </c>
      <c r="F892" t="s">
        <v>228</v>
      </c>
      <c r="G892" s="77">
        <v>1581</v>
      </c>
      <c r="H892" s="126">
        <v>186</v>
      </c>
      <c r="I892" s="124">
        <v>275.27999999999997</v>
      </c>
      <c r="J892" s="124">
        <v>356.51</v>
      </c>
      <c r="K892" s="77">
        <v>520</v>
      </c>
      <c r="L892" s="124">
        <v>1151.79</v>
      </c>
    </row>
    <row r="893" spans="1:12" ht="15" customHeight="1" x14ac:dyDescent="0.25">
      <c r="A893" s="78">
        <v>45931</v>
      </c>
      <c r="B893" t="s">
        <v>362</v>
      </c>
      <c r="C893" t="s">
        <v>363</v>
      </c>
      <c r="D893" t="s">
        <v>221</v>
      </c>
      <c r="E893" t="s">
        <v>2235</v>
      </c>
      <c r="F893" t="s">
        <v>224</v>
      </c>
      <c r="G893" s="77">
        <v>1530</v>
      </c>
      <c r="H893" s="126">
        <v>180</v>
      </c>
      <c r="I893" s="124">
        <v>266.39999999999998</v>
      </c>
      <c r="J893" s="124">
        <v>52.17</v>
      </c>
      <c r="K893" s="77">
        <v>320</v>
      </c>
      <c r="L893" s="124">
        <v>638.57000000000005</v>
      </c>
    </row>
    <row r="894" spans="1:12" ht="15" customHeight="1" x14ac:dyDescent="0.25">
      <c r="A894" s="78">
        <v>45931</v>
      </c>
      <c r="B894" t="s">
        <v>362</v>
      </c>
      <c r="C894" t="s">
        <v>363</v>
      </c>
      <c r="D894" t="s">
        <v>221</v>
      </c>
      <c r="E894" t="s">
        <v>2277</v>
      </c>
      <c r="F894" t="s">
        <v>224</v>
      </c>
      <c r="G894" s="77">
        <v>1067</v>
      </c>
      <c r="H894" s="126">
        <v>125.5</v>
      </c>
      <c r="I894" s="124">
        <v>185.74</v>
      </c>
      <c r="J894" s="124">
        <v>46.52</v>
      </c>
      <c r="K894" s="77">
        <v>520</v>
      </c>
      <c r="L894" s="124">
        <v>752.26</v>
      </c>
    </row>
    <row r="895" spans="1:12" ht="15" customHeight="1" x14ac:dyDescent="0.25">
      <c r="A895" s="78">
        <v>45931</v>
      </c>
      <c r="B895" t="s">
        <v>362</v>
      </c>
      <c r="C895" t="s">
        <v>363</v>
      </c>
      <c r="D895" t="s">
        <v>221</v>
      </c>
      <c r="E895" t="s">
        <v>2227</v>
      </c>
      <c r="F895" t="s">
        <v>222</v>
      </c>
      <c r="G895" s="77">
        <v>876</v>
      </c>
      <c r="H895" s="126">
        <v>83.4</v>
      </c>
      <c r="I895" s="124">
        <v>123.43</v>
      </c>
      <c r="J895" s="124">
        <v>76.55</v>
      </c>
      <c r="K895" s="77">
        <v>380</v>
      </c>
      <c r="L895" s="124">
        <v>579.98</v>
      </c>
    </row>
    <row r="896" spans="1:12" ht="15" customHeight="1" x14ac:dyDescent="0.25">
      <c r="A896" s="78">
        <v>45931</v>
      </c>
      <c r="B896" t="s">
        <v>362</v>
      </c>
      <c r="C896" t="s">
        <v>363</v>
      </c>
      <c r="D896" t="s">
        <v>221</v>
      </c>
      <c r="E896" t="s">
        <v>2329</v>
      </c>
      <c r="F896" t="s">
        <v>226</v>
      </c>
      <c r="G896" s="77">
        <v>1359</v>
      </c>
      <c r="H896" s="126">
        <v>129.4</v>
      </c>
      <c r="I896" s="124">
        <v>191.51</v>
      </c>
      <c r="J896" s="124">
        <v>118.3</v>
      </c>
      <c r="K896" s="77">
        <v>320</v>
      </c>
      <c r="L896" s="124">
        <v>629.80999999999995</v>
      </c>
    </row>
    <row r="897" spans="1:12" ht="15" customHeight="1" x14ac:dyDescent="0.25">
      <c r="A897" s="78">
        <v>45931</v>
      </c>
      <c r="B897" t="s">
        <v>362</v>
      </c>
      <c r="C897" t="s">
        <v>363</v>
      </c>
      <c r="D897" t="s">
        <v>221</v>
      </c>
      <c r="E897" t="s">
        <v>2229</v>
      </c>
      <c r="F897" t="s">
        <v>228</v>
      </c>
      <c r="G897" s="77">
        <v>1317</v>
      </c>
      <c r="H897" s="126">
        <v>154.9</v>
      </c>
      <c r="I897" s="124">
        <v>229.25</v>
      </c>
      <c r="J897" s="124">
        <v>298.33</v>
      </c>
      <c r="K897" s="77">
        <v>320</v>
      </c>
      <c r="L897" s="124">
        <v>847.58</v>
      </c>
    </row>
    <row r="898" spans="1:12" ht="15" customHeight="1" x14ac:dyDescent="0.25">
      <c r="A898" s="78">
        <v>45931</v>
      </c>
      <c r="B898" t="s">
        <v>362</v>
      </c>
      <c r="C898" t="s">
        <v>363</v>
      </c>
      <c r="D898" t="s">
        <v>221</v>
      </c>
      <c r="E898" t="s">
        <v>2332</v>
      </c>
      <c r="F898" t="s">
        <v>228</v>
      </c>
      <c r="G898" s="77">
        <v>1625</v>
      </c>
      <c r="H898" s="126">
        <v>191.2</v>
      </c>
      <c r="I898" s="124">
        <v>282.98</v>
      </c>
      <c r="J898" s="124">
        <v>131.63999999999999</v>
      </c>
      <c r="K898" s="77">
        <v>520</v>
      </c>
      <c r="L898" s="124">
        <v>934.62</v>
      </c>
    </row>
    <row r="899" spans="1:12" ht="15" customHeight="1" x14ac:dyDescent="0.25">
      <c r="A899" s="78">
        <v>45931</v>
      </c>
      <c r="B899" t="s">
        <v>335</v>
      </c>
      <c r="C899" t="s">
        <v>336</v>
      </c>
      <c r="D899" t="s">
        <v>223</v>
      </c>
      <c r="E899" t="s">
        <v>2267</v>
      </c>
      <c r="F899" t="s">
        <v>228</v>
      </c>
      <c r="G899" s="77">
        <v>1364</v>
      </c>
      <c r="H899" s="126">
        <v>160.5</v>
      </c>
      <c r="I899" s="124">
        <v>237.54</v>
      </c>
      <c r="J899" s="124">
        <v>341.72</v>
      </c>
      <c r="K899" s="77">
        <v>450</v>
      </c>
      <c r="L899" s="124">
        <v>1029.26</v>
      </c>
    </row>
    <row r="900" spans="1:12" ht="15" customHeight="1" x14ac:dyDescent="0.25">
      <c r="A900" s="78">
        <v>45931</v>
      </c>
      <c r="B900" t="s">
        <v>335</v>
      </c>
      <c r="C900" t="s">
        <v>336</v>
      </c>
      <c r="D900" t="s">
        <v>223</v>
      </c>
      <c r="E900" t="s">
        <v>2309</v>
      </c>
      <c r="F900" t="s">
        <v>226</v>
      </c>
      <c r="G900" s="77">
        <v>806</v>
      </c>
      <c r="H900" s="126">
        <v>76.8</v>
      </c>
      <c r="I900" s="124">
        <v>113.66</v>
      </c>
      <c r="J900" s="124">
        <v>230.57</v>
      </c>
      <c r="K900" s="77">
        <v>450</v>
      </c>
      <c r="L900" s="124">
        <v>794.23</v>
      </c>
    </row>
    <row r="901" spans="1:12" ht="15" customHeight="1" x14ac:dyDescent="0.25">
      <c r="A901" s="78">
        <v>45931</v>
      </c>
      <c r="B901" t="s">
        <v>335</v>
      </c>
      <c r="C901" t="s">
        <v>336</v>
      </c>
      <c r="D901" t="s">
        <v>223</v>
      </c>
      <c r="E901" t="s">
        <v>2303</v>
      </c>
      <c r="F901" t="s">
        <v>224</v>
      </c>
      <c r="G901" s="77">
        <v>1134</v>
      </c>
      <c r="H901" s="126">
        <v>133.4</v>
      </c>
      <c r="I901" s="124">
        <v>197.43</v>
      </c>
      <c r="J901" s="124">
        <v>131.80000000000001</v>
      </c>
      <c r="K901" s="77">
        <v>320</v>
      </c>
      <c r="L901" s="124">
        <v>649.23</v>
      </c>
    </row>
    <row r="902" spans="1:12" ht="15" customHeight="1" x14ac:dyDescent="0.25">
      <c r="A902" s="78">
        <v>45931</v>
      </c>
      <c r="B902" t="s">
        <v>386</v>
      </c>
      <c r="C902" t="s">
        <v>387</v>
      </c>
      <c r="D902" t="s">
        <v>223</v>
      </c>
      <c r="E902" t="s">
        <v>2224</v>
      </c>
      <c r="F902" t="s">
        <v>224</v>
      </c>
      <c r="G902" s="77">
        <v>844</v>
      </c>
      <c r="H902" s="126">
        <v>99.3</v>
      </c>
      <c r="I902" s="124">
        <v>146.96</v>
      </c>
      <c r="J902" s="124">
        <v>92.47</v>
      </c>
      <c r="K902" s="77">
        <v>450</v>
      </c>
      <c r="L902" s="124">
        <v>689.43</v>
      </c>
    </row>
    <row r="903" spans="1:12" ht="15" customHeight="1" x14ac:dyDescent="0.25">
      <c r="A903" s="78">
        <v>45931</v>
      </c>
      <c r="B903" t="s">
        <v>386</v>
      </c>
      <c r="C903" t="s">
        <v>387</v>
      </c>
      <c r="D903" t="s">
        <v>223</v>
      </c>
      <c r="E903" t="s">
        <v>2272</v>
      </c>
      <c r="F903" t="s">
        <v>226</v>
      </c>
      <c r="G903" s="77">
        <v>1562</v>
      </c>
      <c r="H903" s="126">
        <v>148.80000000000001</v>
      </c>
      <c r="I903" s="124">
        <v>220.22</v>
      </c>
      <c r="J903" s="124">
        <v>150.05000000000001</v>
      </c>
      <c r="K903" s="77">
        <v>520</v>
      </c>
      <c r="L903" s="124">
        <v>890.27</v>
      </c>
    </row>
    <row r="904" spans="1:12" ht="15" customHeight="1" x14ac:dyDescent="0.25">
      <c r="A904" s="78">
        <v>45931</v>
      </c>
      <c r="B904" t="s">
        <v>386</v>
      </c>
      <c r="C904" t="s">
        <v>387</v>
      </c>
      <c r="D904" t="s">
        <v>223</v>
      </c>
      <c r="E904" t="s">
        <v>2356</v>
      </c>
      <c r="F904" t="s">
        <v>222</v>
      </c>
      <c r="G904" s="77">
        <v>1245</v>
      </c>
      <c r="H904" s="126">
        <v>118.6</v>
      </c>
      <c r="I904" s="124">
        <v>175.53</v>
      </c>
      <c r="J904" s="124">
        <v>86.73</v>
      </c>
      <c r="K904" s="77">
        <v>450</v>
      </c>
      <c r="L904" s="124">
        <v>712.26</v>
      </c>
    </row>
    <row r="905" spans="1:12" ht="15" customHeight="1" x14ac:dyDescent="0.25">
      <c r="A905" s="78">
        <v>45931</v>
      </c>
      <c r="B905" t="s">
        <v>386</v>
      </c>
      <c r="C905" t="s">
        <v>387</v>
      </c>
      <c r="D905" t="s">
        <v>223</v>
      </c>
      <c r="E905" t="s">
        <v>2228</v>
      </c>
      <c r="F905" t="s">
        <v>228</v>
      </c>
      <c r="G905" s="77">
        <v>855</v>
      </c>
      <c r="H905" s="126">
        <v>100.6</v>
      </c>
      <c r="I905" s="124">
        <v>148.88999999999999</v>
      </c>
      <c r="J905" s="124">
        <v>336.56</v>
      </c>
      <c r="K905" s="77">
        <v>380</v>
      </c>
      <c r="L905" s="124">
        <v>865.45</v>
      </c>
    </row>
    <row r="906" spans="1:12" ht="15" customHeight="1" x14ac:dyDescent="0.25">
      <c r="A906" s="78">
        <v>45931</v>
      </c>
      <c r="B906" t="s">
        <v>386</v>
      </c>
      <c r="C906" t="s">
        <v>387</v>
      </c>
      <c r="D906" t="s">
        <v>223</v>
      </c>
      <c r="E906" t="s">
        <v>2279</v>
      </c>
      <c r="F906" t="s">
        <v>228</v>
      </c>
      <c r="G906" s="77">
        <v>712</v>
      </c>
      <c r="H906" s="126">
        <v>83.8</v>
      </c>
      <c r="I906" s="124">
        <v>124.02</v>
      </c>
      <c r="J906" s="124">
        <v>216.78</v>
      </c>
      <c r="K906" s="77">
        <v>450</v>
      </c>
      <c r="L906" s="124">
        <v>790.8</v>
      </c>
    </row>
    <row r="907" spans="1:12" ht="15" customHeight="1" x14ac:dyDescent="0.25">
      <c r="A907" s="78">
        <v>45931</v>
      </c>
      <c r="B907" t="s">
        <v>341</v>
      </c>
      <c r="C907" t="s">
        <v>342</v>
      </c>
      <c r="D907" t="s">
        <v>223</v>
      </c>
      <c r="E907" t="s">
        <v>2352</v>
      </c>
      <c r="F907" t="s">
        <v>224</v>
      </c>
      <c r="G907" s="77">
        <v>1058</v>
      </c>
      <c r="H907" s="126">
        <v>124.5</v>
      </c>
      <c r="I907" s="124">
        <v>184.26</v>
      </c>
      <c r="J907" s="124">
        <v>158.91</v>
      </c>
      <c r="K907" s="77">
        <v>380</v>
      </c>
      <c r="L907" s="124">
        <v>723.17</v>
      </c>
    </row>
    <row r="908" spans="1:12" ht="15" customHeight="1" x14ac:dyDescent="0.25">
      <c r="A908" s="78">
        <v>45931</v>
      </c>
      <c r="B908" t="s">
        <v>341</v>
      </c>
      <c r="C908" t="s">
        <v>342</v>
      </c>
      <c r="D908" t="s">
        <v>223</v>
      </c>
      <c r="E908" t="s">
        <v>2263</v>
      </c>
      <c r="F908" t="s">
        <v>224</v>
      </c>
      <c r="G908" s="77">
        <v>1005</v>
      </c>
      <c r="H908" s="126">
        <v>118.2</v>
      </c>
      <c r="I908" s="124">
        <v>174.94</v>
      </c>
      <c r="J908" s="124">
        <v>181.67</v>
      </c>
      <c r="K908" s="77">
        <v>380</v>
      </c>
      <c r="L908" s="124">
        <v>736.61</v>
      </c>
    </row>
    <row r="909" spans="1:12" ht="15" customHeight="1" x14ac:dyDescent="0.25">
      <c r="A909" s="78">
        <v>45931</v>
      </c>
      <c r="B909" t="s">
        <v>341</v>
      </c>
      <c r="C909" t="s">
        <v>342</v>
      </c>
      <c r="D909" t="s">
        <v>223</v>
      </c>
      <c r="E909" t="s">
        <v>2295</v>
      </c>
      <c r="F909" t="s">
        <v>228</v>
      </c>
      <c r="G909" s="77">
        <v>1223</v>
      </c>
      <c r="H909" s="126">
        <v>143.9</v>
      </c>
      <c r="I909" s="124">
        <v>212.97</v>
      </c>
      <c r="J909" s="124">
        <v>308.77</v>
      </c>
      <c r="K909" s="77">
        <v>520</v>
      </c>
      <c r="L909" s="124">
        <v>1041.74</v>
      </c>
    </row>
    <row r="910" spans="1:12" ht="15" customHeight="1" x14ac:dyDescent="0.25">
      <c r="A910" s="78">
        <v>45931</v>
      </c>
      <c r="B910" t="s">
        <v>347</v>
      </c>
      <c r="C910" t="s">
        <v>348</v>
      </c>
      <c r="D910" t="s">
        <v>223</v>
      </c>
      <c r="E910" t="s">
        <v>2323</v>
      </c>
      <c r="F910" t="s">
        <v>228</v>
      </c>
      <c r="G910" s="77">
        <v>803</v>
      </c>
      <c r="H910" s="126">
        <v>94.5</v>
      </c>
      <c r="I910" s="124">
        <v>139.86000000000001</v>
      </c>
      <c r="J910" s="124">
        <v>227.27</v>
      </c>
      <c r="K910" s="77">
        <v>320</v>
      </c>
      <c r="L910" s="124">
        <v>687.13</v>
      </c>
    </row>
    <row r="911" spans="1:12" ht="15" customHeight="1" x14ac:dyDescent="0.25">
      <c r="A911" s="78">
        <v>45931</v>
      </c>
      <c r="B911" t="s">
        <v>347</v>
      </c>
      <c r="C911" t="s">
        <v>348</v>
      </c>
      <c r="D911" t="s">
        <v>223</v>
      </c>
      <c r="E911" t="s">
        <v>2290</v>
      </c>
      <c r="F911" t="s">
        <v>222</v>
      </c>
      <c r="G911" s="77">
        <v>1348</v>
      </c>
      <c r="H911" s="126">
        <v>128.4</v>
      </c>
      <c r="I911" s="124">
        <v>190.03</v>
      </c>
      <c r="J911" s="124">
        <v>221.57</v>
      </c>
      <c r="K911" s="77">
        <v>380</v>
      </c>
      <c r="L911" s="124">
        <v>791.6</v>
      </c>
    </row>
    <row r="912" spans="1:12" ht="15" customHeight="1" x14ac:dyDescent="0.25">
      <c r="A912" s="78">
        <v>45931</v>
      </c>
      <c r="B912" t="s">
        <v>347</v>
      </c>
      <c r="C912" t="s">
        <v>348</v>
      </c>
      <c r="D912" t="s">
        <v>223</v>
      </c>
      <c r="E912" t="s">
        <v>2227</v>
      </c>
      <c r="F912" t="s">
        <v>228</v>
      </c>
      <c r="G912" s="77">
        <v>706</v>
      </c>
      <c r="H912" s="126">
        <v>83.1</v>
      </c>
      <c r="I912" s="124">
        <v>122.99</v>
      </c>
      <c r="J912" s="124">
        <v>278.12</v>
      </c>
      <c r="K912" s="77">
        <v>450</v>
      </c>
      <c r="L912" s="124">
        <v>851.11</v>
      </c>
    </row>
    <row r="913" spans="1:12" ht="15" customHeight="1" x14ac:dyDescent="0.25">
      <c r="A913" s="78">
        <v>45931</v>
      </c>
      <c r="B913" t="s">
        <v>347</v>
      </c>
      <c r="C913" t="s">
        <v>348</v>
      </c>
      <c r="D913" t="s">
        <v>223</v>
      </c>
      <c r="E913" t="s">
        <v>2322</v>
      </c>
      <c r="F913" t="s">
        <v>226</v>
      </c>
      <c r="G913" s="77">
        <v>555</v>
      </c>
      <c r="H913" s="126">
        <v>52.9</v>
      </c>
      <c r="I913" s="124">
        <v>78.290000000000006</v>
      </c>
      <c r="J913" s="124">
        <v>153.75</v>
      </c>
      <c r="K913" s="77">
        <v>520</v>
      </c>
      <c r="L913" s="124">
        <v>752.04</v>
      </c>
    </row>
    <row r="914" spans="1:12" ht="15" customHeight="1" x14ac:dyDescent="0.25">
      <c r="A914" s="78">
        <v>45931</v>
      </c>
      <c r="B914" t="s">
        <v>347</v>
      </c>
      <c r="C914" t="s">
        <v>348</v>
      </c>
      <c r="D914" t="s">
        <v>223</v>
      </c>
      <c r="E914" t="s">
        <v>2259</v>
      </c>
      <c r="F914" t="s">
        <v>222</v>
      </c>
      <c r="G914" s="77">
        <v>1524</v>
      </c>
      <c r="H914" s="126">
        <v>145.1</v>
      </c>
      <c r="I914" s="124">
        <v>214.75</v>
      </c>
      <c r="J914" s="124">
        <v>74.17</v>
      </c>
      <c r="K914" s="77">
        <v>380</v>
      </c>
      <c r="L914" s="124">
        <v>668.92</v>
      </c>
    </row>
    <row r="915" spans="1:12" ht="15" customHeight="1" x14ac:dyDescent="0.25">
      <c r="A915" s="78">
        <v>45931</v>
      </c>
      <c r="B915" t="s">
        <v>409</v>
      </c>
      <c r="C915" t="s">
        <v>410</v>
      </c>
      <c r="D915" t="s">
        <v>223</v>
      </c>
      <c r="E915" t="s">
        <v>2352</v>
      </c>
      <c r="F915" t="s">
        <v>226</v>
      </c>
      <c r="G915" s="77">
        <v>841</v>
      </c>
      <c r="H915" s="126">
        <v>80.099999999999994</v>
      </c>
      <c r="I915" s="124">
        <v>118.55</v>
      </c>
      <c r="J915" s="124">
        <v>211.12</v>
      </c>
      <c r="K915" s="77">
        <v>450</v>
      </c>
      <c r="L915" s="124">
        <v>779.67</v>
      </c>
    </row>
    <row r="916" spans="1:12" ht="15" customHeight="1" x14ac:dyDescent="0.25">
      <c r="A916" s="78">
        <v>45931</v>
      </c>
      <c r="B916" t="s">
        <v>409</v>
      </c>
      <c r="C916" t="s">
        <v>410</v>
      </c>
      <c r="D916" t="s">
        <v>223</v>
      </c>
      <c r="E916" t="s">
        <v>2263</v>
      </c>
      <c r="F916" t="s">
        <v>228</v>
      </c>
      <c r="G916" s="77">
        <v>664</v>
      </c>
      <c r="H916" s="126">
        <v>78.099999999999994</v>
      </c>
      <c r="I916" s="124">
        <v>115.59</v>
      </c>
      <c r="J916" s="124">
        <v>199.38</v>
      </c>
      <c r="K916" s="77">
        <v>520</v>
      </c>
      <c r="L916" s="124">
        <v>834.97</v>
      </c>
    </row>
    <row r="917" spans="1:12" ht="15" customHeight="1" x14ac:dyDescent="0.25">
      <c r="A917" s="78">
        <v>45931</v>
      </c>
      <c r="B917" t="s">
        <v>409</v>
      </c>
      <c r="C917" t="s">
        <v>410</v>
      </c>
      <c r="D917" t="s">
        <v>223</v>
      </c>
      <c r="E917" t="s">
        <v>2272</v>
      </c>
      <c r="F917" t="s">
        <v>226</v>
      </c>
      <c r="G917" s="77">
        <v>1199</v>
      </c>
      <c r="H917" s="126">
        <v>114.2</v>
      </c>
      <c r="I917" s="124">
        <v>169.02</v>
      </c>
      <c r="J917" s="124">
        <v>99.26</v>
      </c>
      <c r="K917" s="77">
        <v>520</v>
      </c>
      <c r="L917" s="124">
        <v>788.28</v>
      </c>
    </row>
    <row r="918" spans="1:12" ht="15" customHeight="1" x14ac:dyDescent="0.25">
      <c r="A918" s="78">
        <v>45931</v>
      </c>
      <c r="B918" t="s">
        <v>488</v>
      </c>
      <c r="C918" t="s">
        <v>489</v>
      </c>
      <c r="D918" t="s">
        <v>225</v>
      </c>
      <c r="E918" t="s">
        <v>2241</v>
      </c>
      <c r="F918" t="s">
        <v>226</v>
      </c>
      <c r="G918" s="77">
        <v>991</v>
      </c>
      <c r="H918" s="126">
        <v>94.4</v>
      </c>
      <c r="I918" s="124">
        <v>139.71</v>
      </c>
      <c r="J918" s="124">
        <v>209.53</v>
      </c>
      <c r="K918" s="77">
        <v>520</v>
      </c>
      <c r="L918" s="124">
        <v>869.24</v>
      </c>
    </row>
    <row r="919" spans="1:12" ht="15" customHeight="1" x14ac:dyDescent="0.25">
      <c r="A919" s="78">
        <v>45931</v>
      </c>
      <c r="B919" t="s">
        <v>488</v>
      </c>
      <c r="C919" t="s">
        <v>489</v>
      </c>
      <c r="D919" t="s">
        <v>225</v>
      </c>
      <c r="E919" t="s">
        <v>2316</v>
      </c>
      <c r="F919" t="s">
        <v>222</v>
      </c>
      <c r="G919" s="77">
        <v>1155</v>
      </c>
      <c r="H919" s="126">
        <v>110</v>
      </c>
      <c r="I919" s="124">
        <v>162.80000000000001</v>
      </c>
      <c r="J919" s="124">
        <v>171.35</v>
      </c>
      <c r="K919" s="77">
        <v>380</v>
      </c>
      <c r="L919" s="124">
        <v>714.15</v>
      </c>
    </row>
    <row r="920" spans="1:12" ht="15" customHeight="1" x14ac:dyDescent="0.25">
      <c r="A920" s="78">
        <v>45931</v>
      </c>
      <c r="B920" t="s">
        <v>488</v>
      </c>
      <c r="C920" t="s">
        <v>489</v>
      </c>
      <c r="D920" t="s">
        <v>225</v>
      </c>
      <c r="E920" t="s">
        <v>2279</v>
      </c>
      <c r="F920" t="s">
        <v>226</v>
      </c>
      <c r="G920" s="77">
        <v>965</v>
      </c>
      <c r="H920" s="126">
        <v>91.9</v>
      </c>
      <c r="I920" s="124">
        <v>136.01</v>
      </c>
      <c r="J920" s="124">
        <v>179.6</v>
      </c>
      <c r="K920" s="77">
        <v>450</v>
      </c>
      <c r="L920" s="124">
        <v>765.61</v>
      </c>
    </row>
    <row r="921" spans="1:12" ht="15" customHeight="1" x14ac:dyDescent="0.25">
      <c r="A921" s="78">
        <v>45931</v>
      </c>
      <c r="B921" t="s">
        <v>406</v>
      </c>
      <c r="C921" t="s">
        <v>407</v>
      </c>
      <c r="D921" t="s">
        <v>225</v>
      </c>
      <c r="E921" t="s">
        <v>2268</v>
      </c>
      <c r="F921" t="s">
        <v>226</v>
      </c>
      <c r="G921" s="77">
        <v>1019</v>
      </c>
      <c r="H921" s="126">
        <v>97</v>
      </c>
      <c r="I921" s="124">
        <v>143.56</v>
      </c>
      <c r="J921" s="124">
        <v>186.62</v>
      </c>
      <c r="K921" s="77">
        <v>380</v>
      </c>
      <c r="L921" s="124">
        <v>710.18</v>
      </c>
    </row>
    <row r="922" spans="1:12" ht="15" customHeight="1" x14ac:dyDescent="0.25">
      <c r="A922" s="78">
        <v>45931</v>
      </c>
      <c r="B922" t="s">
        <v>406</v>
      </c>
      <c r="C922" t="s">
        <v>407</v>
      </c>
      <c r="D922" t="s">
        <v>225</v>
      </c>
      <c r="E922" t="s">
        <v>2351</v>
      </c>
      <c r="F922" t="s">
        <v>224</v>
      </c>
      <c r="G922" s="77">
        <v>925</v>
      </c>
      <c r="H922" s="126">
        <v>108.8</v>
      </c>
      <c r="I922" s="124">
        <v>161.02000000000001</v>
      </c>
      <c r="J922" s="124">
        <v>135.38999999999999</v>
      </c>
      <c r="K922" s="77">
        <v>380</v>
      </c>
      <c r="L922" s="124">
        <v>676.41</v>
      </c>
    </row>
    <row r="923" spans="1:12" ht="15" customHeight="1" x14ac:dyDescent="0.25">
      <c r="A923" s="78">
        <v>45931</v>
      </c>
      <c r="B923" t="s">
        <v>406</v>
      </c>
      <c r="C923" t="s">
        <v>407</v>
      </c>
      <c r="D923" t="s">
        <v>225</v>
      </c>
      <c r="E923" t="s">
        <v>2239</v>
      </c>
      <c r="F923" t="s">
        <v>226</v>
      </c>
      <c r="G923" s="77">
        <v>802</v>
      </c>
      <c r="H923" s="126">
        <v>76.400000000000006</v>
      </c>
      <c r="I923" s="124">
        <v>113.07</v>
      </c>
      <c r="J923" s="124">
        <v>147.19999999999999</v>
      </c>
      <c r="K923" s="77">
        <v>320</v>
      </c>
      <c r="L923" s="124">
        <v>580.27</v>
      </c>
    </row>
    <row r="924" spans="1:12" ht="15" customHeight="1" x14ac:dyDescent="0.25">
      <c r="A924" s="78">
        <v>45931</v>
      </c>
      <c r="B924" t="s">
        <v>358</v>
      </c>
      <c r="C924" t="s">
        <v>359</v>
      </c>
      <c r="D924" t="s">
        <v>225</v>
      </c>
      <c r="E924" t="s">
        <v>2223</v>
      </c>
      <c r="F924" t="s">
        <v>226</v>
      </c>
      <c r="G924" s="77">
        <v>847</v>
      </c>
      <c r="H924" s="126">
        <v>80.7</v>
      </c>
      <c r="I924" s="124">
        <v>119.44</v>
      </c>
      <c r="J924" s="124">
        <v>60.88</v>
      </c>
      <c r="K924" s="77">
        <v>520</v>
      </c>
      <c r="L924" s="124">
        <v>700.32</v>
      </c>
    </row>
    <row r="925" spans="1:12" ht="15" customHeight="1" x14ac:dyDescent="0.25">
      <c r="A925" s="78">
        <v>45931</v>
      </c>
      <c r="B925" t="s">
        <v>358</v>
      </c>
      <c r="C925" t="s">
        <v>359</v>
      </c>
      <c r="D925" t="s">
        <v>225</v>
      </c>
      <c r="E925" t="s">
        <v>2232</v>
      </c>
      <c r="F925" t="s">
        <v>226</v>
      </c>
      <c r="G925" s="77">
        <v>1114</v>
      </c>
      <c r="H925" s="126">
        <v>106.1</v>
      </c>
      <c r="I925" s="124">
        <v>157.03</v>
      </c>
      <c r="J925" s="124">
        <v>167.02</v>
      </c>
      <c r="K925" s="77">
        <v>520</v>
      </c>
      <c r="L925" s="124">
        <v>844.05</v>
      </c>
    </row>
    <row r="926" spans="1:12" ht="15" customHeight="1" x14ac:dyDescent="0.25">
      <c r="A926" s="78">
        <v>45931</v>
      </c>
      <c r="B926" t="s">
        <v>358</v>
      </c>
      <c r="C926" t="s">
        <v>359</v>
      </c>
      <c r="D926" t="s">
        <v>225</v>
      </c>
      <c r="E926" t="s">
        <v>2280</v>
      </c>
      <c r="F926" t="s">
        <v>224</v>
      </c>
      <c r="G926" s="77">
        <v>1245</v>
      </c>
      <c r="H926" s="126">
        <v>146.5</v>
      </c>
      <c r="I926" s="124">
        <v>216.82</v>
      </c>
      <c r="J926" s="124">
        <v>115.51</v>
      </c>
      <c r="K926" s="77">
        <v>450</v>
      </c>
      <c r="L926" s="124">
        <v>782.33</v>
      </c>
    </row>
    <row r="927" spans="1:12" ht="15" customHeight="1" x14ac:dyDescent="0.25">
      <c r="A927" s="78">
        <v>45931</v>
      </c>
      <c r="B927" t="s">
        <v>358</v>
      </c>
      <c r="C927" t="s">
        <v>359</v>
      </c>
      <c r="D927" t="s">
        <v>225</v>
      </c>
      <c r="E927" t="s">
        <v>2290</v>
      </c>
      <c r="F927" t="s">
        <v>228</v>
      </c>
      <c r="G927" s="77">
        <v>1152</v>
      </c>
      <c r="H927" s="126">
        <v>135.5</v>
      </c>
      <c r="I927" s="124">
        <v>200.54</v>
      </c>
      <c r="J927" s="124">
        <v>294.06</v>
      </c>
      <c r="K927" s="77">
        <v>450</v>
      </c>
      <c r="L927" s="124">
        <v>944.6</v>
      </c>
    </row>
    <row r="928" spans="1:12" ht="15" customHeight="1" x14ac:dyDescent="0.25">
      <c r="A928" s="78">
        <v>45931</v>
      </c>
      <c r="B928" t="s">
        <v>358</v>
      </c>
      <c r="C928" t="s">
        <v>359</v>
      </c>
      <c r="D928" t="s">
        <v>225</v>
      </c>
      <c r="E928" t="s">
        <v>2358</v>
      </c>
      <c r="F928" t="s">
        <v>224</v>
      </c>
      <c r="G928" s="77">
        <v>1161</v>
      </c>
      <c r="H928" s="126">
        <v>136.6</v>
      </c>
      <c r="I928" s="124">
        <v>202.17</v>
      </c>
      <c r="J928" s="124">
        <v>83.95</v>
      </c>
      <c r="K928" s="77">
        <v>450</v>
      </c>
      <c r="L928" s="124">
        <v>736.12</v>
      </c>
    </row>
    <row r="929" spans="1:12" ht="15" customHeight="1" x14ac:dyDescent="0.25">
      <c r="A929" s="78">
        <v>45931</v>
      </c>
      <c r="B929" t="s">
        <v>383</v>
      </c>
      <c r="C929" t="s">
        <v>384</v>
      </c>
      <c r="D929" t="s">
        <v>225</v>
      </c>
      <c r="E929" t="s">
        <v>2339</v>
      </c>
      <c r="F929" t="s">
        <v>226</v>
      </c>
      <c r="G929" s="77">
        <v>1087</v>
      </c>
      <c r="H929" s="126">
        <v>103.5</v>
      </c>
      <c r="I929" s="124">
        <v>153.18</v>
      </c>
      <c r="J929" s="124">
        <v>179.13</v>
      </c>
      <c r="K929" s="77">
        <v>450</v>
      </c>
      <c r="L929" s="124">
        <v>782.31</v>
      </c>
    </row>
    <row r="930" spans="1:12" ht="15" customHeight="1" x14ac:dyDescent="0.25">
      <c r="A930" s="78">
        <v>45931</v>
      </c>
      <c r="B930" t="s">
        <v>383</v>
      </c>
      <c r="C930" t="s">
        <v>384</v>
      </c>
      <c r="D930" t="s">
        <v>225</v>
      </c>
      <c r="E930" t="s">
        <v>2336</v>
      </c>
      <c r="F930" t="s">
        <v>226</v>
      </c>
      <c r="G930" s="77">
        <v>1051</v>
      </c>
      <c r="H930" s="126">
        <v>100.1</v>
      </c>
      <c r="I930" s="124">
        <v>148.15</v>
      </c>
      <c r="J930" s="124">
        <v>0</v>
      </c>
      <c r="K930" s="77">
        <v>380</v>
      </c>
      <c r="L930" s="124">
        <v>528.15</v>
      </c>
    </row>
    <row r="931" spans="1:12" ht="15" customHeight="1" x14ac:dyDescent="0.25">
      <c r="A931" s="78">
        <v>45931</v>
      </c>
      <c r="B931" t="s">
        <v>383</v>
      </c>
      <c r="C931" t="s">
        <v>384</v>
      </c>
      <c r="D931" t="s">
        <v>225</v>
      </c>
      <c r="E931" t="s">
        <v>2338</v>
      </c>
      <c r="F931" t="s">
        <v>222</v>
      </c>
      <c r="G931" s="77">
        <v>1090</v>
      </c>
      <c r="H931" s="126">
        <v>103.8</v>
      </c>
      <c r="I931" s="124">
        <v>153.62</v>
      </c>
      <c r="J931" s="124">
        <v>327</v>
      </c>
      <c r="K931" s="77">
        <v>520</v>
      </c>
      <c r="L931" s="124">
        <v>1000.62</v>
      </c>
    </row>
    <row r="932" spans="1:12" ht="15" customHeight="1" x14ac:dyDescent="0.25">
      <c r="A932" s="78">
        <v>45931</v>
      </c>
      <c r="B932" t="s">
        <v>383</v>
      </c>
      <c r="C932" t="s">
        <v>384</v>
      </c>
      <c r="D932" t="s">
        <v>225</v>
      </c>
      <c r="E932" t="s">
        <v>2303</v>
      </c>
      <c r="F932" t="s">
        <v>228</v>
      </c>
      <c r="G932" s="77">
        <v>959</v>
      </c>
      <c r="H932" s="126">
        <v>112.8</v>
      </c>
      <c r="I932" s="124">
        <v>166.94</v>
      </c>
      <c r="J932" s="124">
        <v>191.75</v>
      </c>
      <c r="K932" s="77">
        <v>320</v>
      </c>
      <c r="L932" s="124">
        <v>678.69</v>
      </c>
    </row>
    <row r="933" spans="1:12" ht="15" customHeight="1" x14ac:dyDescent="0.25">
      <c r="A933" s="78">
        <v>45931</v>
      </c>
      <c r="B933" t="s">
        <v>383</v>
      </c>
      <c r="C933" t="s">
        <v>384</v>
      </c>
      <c r="D933" t="s">
        <v>225</v>
      </c>
      <c r="E933" t="s">
        <v>2271</v>
      </c>
      <c r="F933" t="s">
        <v>226</v>
      </c>
      <c r="G933" s="77">
        <v>1143</v>
      </c>
      <c r="H933" s="126">
        <v>108.9</v>
      </c>
      <c r="I933" s="124">
        <v>161.16999999999999</v>
      </c>
      <c r="J933" s="124">
        <v>174.99</v>
      </c>
      <c r="K933" s="77">
        <v>450</v>
      </c>
      <c r="L933" s="124">
        <v>786.16</v>
      </c>
    </row>
    <row r="934" spans="1:12" ht="15" customHeight="1" x14ac:dyDescent="0.25">
      <c r="A934" s="78">
        <v>45931</v>
      </c>
      <c r="B934" t="s">
        <v>373</v>
      </c>
      <c r="C934" t="s">
        <v>374</v>
      </c>
      <c r="D934" t="s">
        <v>225</v>
      </c>
      <c r="E934" t="s">
        <v>2351</v>
      </c>
      <c r="F934" t="s">
        <v>224</v>
      </c>
      <c r="G934" s="77">
        <v>1348</v>
      </c>
      <c r="H934" s="126">
        <v>158.6</v>
      </c>
      <c r="I934" s="124">
        <v>234.73</v>
      </c>
      <c r="J934" s="124">
        <v>49.37</v>
      </c>
      <c r="K934" s="77">
        <v>320</v>
      </c>
      <c r="L934" s="124">
        <v>604.1</v>
      </c>
    </row>
    <row r="935" spans="1:12" ht="15" customHeight="1" x14ac:dyDescent="0.25">
      <c r="A935" s="78">
        <v>45931</v>
      </c>
      <c r="B935" t="s">
        <v>373</v>
      </c>
      <c r="C935" t="s">
        <v>374</v>
      </c>
      <c r="D935" t="s">
        <v>225</v>
      </c>
      <c r="E935" t="s">
        <v>2242</v>
      </c>
      <c r="F935" t="s">
        <v>226</v>
      </c>
      <c r="G935" s="77">
        <v>1232</v>
      </c>
      <c r="H935" s="126">
        <v>117.3</v>
      </c>
      <c r="I935" s="124">
        <v>173.6</v>
      </c>
      <c r="J935" s="124">
        <v>197.23</v>
      </c>
      <c r="K935" s="77">
        <v>320</v>
      </c>
      <c r="L935" s="124">
        <v>690.83</v>
      </c>
    </row>
    <row r="936" spans="1:12" ht="15" customHeight="1" x14ac:dyDescent="0.25">
      <c r="A936" s="78">
        <v>45931</v>
      </c>
      <c r="B936" t="s">
        <v>373</v>
      </c>
      <c r="C936" t="s">
        <v>374</v>
      </c>
      <c r="D936" t="s">
        <v>225</v>
      </c>
      <c r="E936" t="s">
        <v>2293</v>
      </c>
      <c r="F936" t="s">
        <v>224</v>
      </c>
      <c r="G936" s="77">
        <v>1014</v>
      </c>
      <c r="H936" s="126">
        <v>119.3</v>
      </c>
      <c r="I936" s="124">
        <v>176.56</v>
      </c>
      <c r="J936" s="124">
        <v>177.09</v>
      </c>
      <c r="K936" s="77">
        <v>320</v>
      </c>
      <c r="L936" s="124">
        <v>673.65</v>
      </c>
    </row>
    <row r="937" spans="1:12" ht="15" customHeight="1" x14ac:dyDescent="0.25">
      <c r="A937" s="78">
        <v>45931</v>
      </c>
      <c r="B937" t="s">
        <v>373</v>
      </c>
      <c r="C937" t="s">
        <v>374</v>
      </c>
      <c r="D937" t="s">
        <v>225</v>
      </c>
      <c r="E937" t="s">
        <v>2289</v>
      </c>
      <c r="F937" t="s">
        <v>228</v>
      </c>
      <c r="G937" s="77">
        <v>1307</v>
      </c>
      <c r="H937" s="126">
        <v>153.80000000000001</v>
      </c>
      <c r="I937" s="124">
        <v>227.62</v>
      </c>
      <c r="J937" s="124">
        <v>319.79000000000002</v>
      </c>
      <c r="K937" s="77">
        <v>520</v>
      </c>
      <c r="L937" s="124">
        <v>1067.4100000000001</v>
      </c>
    </row>
    <row r="938" spans="1:12" ht="15" customHeight="1" x14ac:dyDescent="0.25">
      <c r="A938" s="78">
        <v>45931</v>
      </c>
      <c r="B938" t="s">
        <v>373</v>
      </c>
      <c r="C938" t="s">
        <v>374</v>
      </c>
      <c r="D938" t="s">
        <v>225</v>
      </c>
      <c r="E938" t="s">
        <v>2224</v>
      </c>
      <c r="F938" t="s">
        <v>226</v>
      </c>
      <c r="G938" s="77">
        <v>764</v>
      </c>
      <c r="H938" s="126">
        <v>72.8</v>
      </c>
      <c r="I938" s="124">
        <v>107.74</v>
      </c>
      <c r="J938" s="124">
        <v>215.61</v>
      </c>
      <c r="K938" s="77">
        <v>320</v>
      </c>
      <c r="L938" s="124">
        <v>643.35</v>
      </c>
    </row>
    <row r="939" spans="1:12" ht="15" customHeight="1" x14ac:dyDescent="0.25">
      <c r="A939" s="78">
        <v>45931</v>
      </c>
      <c r="B939" t="s">
        <v>373</v>
      </c>
      <c r="C939" t="s">
        <v>374</v>
      </c>
      <c r="D939" t="s">
        <v>225</v>
      </c>
      <c r="E939" t="s">
        <v>2290</v>
      </c>
      <c r="F939" t="s">
        <v>228</v>
      </c>
      <c r="G939" s="77">
        <v>1033</v>
      </c>
      <c r="H939" s="126">
        <v>121.5</v>
      </c>
      <c r="I939" s="124">
        <v>179.82</v>
      </c>
      <c r="J939" s="124">
        <v>255.83</v>
      </c>
      <c r="K939" s="77">
        <v>320</v>
      </c>
      <c r="L939" s="124">
        <v>755.65</v>
      </c>
    </row>
    <row r="940" spans="1:12" ht="15" customHeight="1" x14ac:dyDescent="0.25">
      <c r="A940" s="78">
        <v>45931</v>
      </c>
      <c r="B940" t="s">
        <v>373</v>
      </c>
      <c r="C940" t="s">
        <v>374</v>
      </c>
      <c r="D940" t="s">
        <v>225</v>
      </c>
      <c r="E940" t="s">
        <v>2304</v>
      </c>
      <c r="F940" t="s">
        <v>228</v>
      </c>
      <c r="G940" s="77">
        <v>1068</v>
      </c>
      <c r="H940" s="126">
        <v>125.6</v>
      </c>
      <c r="I940" s="124">
        <v>185.89</v>
      </c>
      <c r="J940" s="124">
        <v>237.98</v>
      </c>
      <c r="K940" s="77">
        <v>450</v>
      </c>
      <c r="L940" s="124">
        <v>873.87</v>
      </c>
    </row>
    <row r="941" spans="1:12" ht="15" customHeight="1" x14ac:dyDescent="0.25">
      <c r="A941" s="78">
        <v>45931</v>
      </c>
      <c r="B941" t="s">
        <v>354</v>
      </c>
      <c r="C941" t="s">
        <v>355</v>
      </c>
      <c r="D941" t="s">
        <v>227</v>
      </c>
      <c r="E941" t="s">
        <v>2231</v>
      </c>
      <c r="F941" t="s">
        <v>224</v>
      </c>
      <c r="G941" s="77">
        <v>1347</v>
      </c>
      <c r="H941" s="126">
        <v>158.5</v>
      </c>
      <c r="I941" s="124">
        <v>234.58</v>
      </c>
      <c r="J941" s="124">
        <v>143.30000000000001</v>
      </c>
      <c r="K941" s="77">
        <v>380</v>
      </c>
      <c r="L941" s="124">
        <v>757.88</v>
      </c>
    </row>
    <row r="942" spans="1:12" ht="15" customHeight="1" x14ac:dyDescent="0.25">
      <c r="A942" s="78">
        <v>45931</v>
      </c>
      <c r="B942" t="s">
        <v>354</v>
      </c>
      <c r="C942" t="s">
        <v>355</v>
      </c>
      <c r="D942" t="s">
        <v>227</v>
      </c>
      <c r="E942" t="s">
        <v>2286</v>
      </c>
      <c r="F942" t="s">
        <v>224</v>
      </c>
      <c r="G942" s="77">
        <v>770</v>
      </c>
      <c r="H942" s="126">
        <v>90.6</v>
      </c>
      <c r="I942" s="124">
        <v>134.09</v>
      </c>
      <c r="J942" s="124">
        <v>118.52</v>
      </c>
      <c r="K942" s="77">
        <v>450</v>
      </c>
      <c r="L942" s="124">
        <v>702.61</v>
      </c>
    </row>
    <row r="943" spans="1:12" ht="15" customHeight="1" x14ac:dyDescent="0.25">
      <c r="A943" s="78">
        <v>45931</v>
      </c>
      <c r="B943" t="s">
        <v>354</v>
      </c>
      <c r="C943" t="s">
        <v>355</v>
      </c>
      <c r="D943" t="s">
        <v>227</v>
      </c>
      <c r="E943" t="s">
        <v>2354</v>
      </c>
      <c r="F943" t="s">
        <v>228</v>
      </c>
      <c r="G943" s="77">
        <v>1094</v>
      </c>
      <c r="H943" s="126">
        <v>128.69999999999999</v>
      </c>
      <c r="I943" s="124">
        <v>190.48</v>
      </c>
      <c r="J943" s="124">
        <v>348.34</v>
      </c>
      <c r="K943" s="77">
        <v>450</v>
      </c>
      <c r="L943" s="124">
        <v>988.82</v>
      </c>
    </row>
    <row r="944" spans="1:12" ht="15" customHeight="1" x14ac:dyDescent="0.25">
      <c r="A944" s="78">
        <v>45931</v>
      </c>
      <c r="B944" t="s">
        <v>370</v>
      </c>
      <c r="C944" t="s">
        <v>371</v>
      </c>
      <c r="D944" t="s">
        <v>227</v>
      </c>
      <c r="E944" t="s">
        <v>2287</v>
      </c>
      <c r="F944" t="s">
        <v>228</v>
      </c>
      <c r="G944" s="77">
        <v>1200</v>
      </c>
      <c r="H944" s="126">
        <v>141.19999999999999</v>
      </c>
      <c r="I944" s="124">
        <v>208.98</v>
      </c>
      <c r="J944" s="124">
        <v>181.96</v>
      </c>
      <c r="K944" s="77">
        <v>320</v>
      </c>
      <c r="L944" s="124">
        <v>710.94</v>
      </c>
    </row>
    <row r="945" spans="1:12" ht="15" customHeight="1" x14ac:dyDescent="0.25">
      <c r="A945" s="78">
        <v>45931</v>
      </c>
      <c r="B945" t="s">
        <v>370</v>
      </c>
      <c r="C945" t="s">
        <v>371</v>
      </c>
      <c r="D945" t="s">
        <v>227</v>
      </c>
      <c r="E945" t="s">
        <v>2342</v>
      </c>
      <c r="F945" t="s">
        <v>222</v>
      </c>
      <c r="G945" s="77">
        <v>1671</v>
      </c>
      <c r="H945" s="126">
        <v>159.1</v>
      </c>
      <c r="I945" s="124">
        <v>235.47</v>
      </c>
      <c r="J945" s="124">
        <v>171.18</v>
      </c>
      <c r="K945" s="77">
        <v>450</v>
      </c>
      <c r="L945" s="124">
        <v>856.65</v>
      </c>
    </row>
    <row r="946" spans="1:12" ht="15" customHeight="1" x14ac:dyDescent="0.25">
      <c r="A946" s="78">
        <v>45931</v>
      </c>
      <c r="B946" t="s">
        <v>370</v>
      </c>
      <c r="C946" t="s">
        <v>371</v>
      </c>
      <c r="D946" t="s">
        <v>227</v>
      </c>
      <c r="E946" t="s">
        <v>2302</v>
      </c>
      <c r="F946" t="s">
        <v>222</v>
      </c>
      <c r="G946" s="77">
        <v>1368</v>
      </c>
      <c r="H946" s="126">
        <v>130.30000000000001</v>
      </c>
      <c r="I946" s="124">
        <v>192.84</v>
      </c>
      <c r="J946" s="124">
        <v>137.86000000000001</v>
      </c>
      <c r="K946" s="77">
        <v>320</v>
      </c>
      <c r="L946" s="124">
        <v>650.70000000000005</v>
      </c>
    </row>
    <row r="947" spans="1:12" ht="15" customHeight="1" x14ac:dyDescent="0.25">
      <c r="A947" s="78">
        <v>45931</v>
      </c>
      <c r="B947" t="s">
        <v>370</v>
      </c>
      <c r="C947" t="s">
        <v>371</v>
      </c>
      <c r="D947" t="s">
        <v>227</v>
      </c>
      <c r="E947" t="s">
        <v>2338</v>
      </c>
      <c r="F947" t="s">
        <v>222</v>
      </c>
      <c r="G947" s="77">
        <v>1183</v>
      </c>
      <c r="H947" s="126">
        <v>112.7</v>
      </c>
      <c r="I947" s="124">
        <v>166.8</v>
      </c>
      <c r="J947" s="124">
        <v>217.16</v>
      </c>
      <c r="K947" s="77">
        <v>520</v>
      </c>
      <c r="L947" s="124">
        <v>903.96</v>
      </c>
    </row>
    <row r="948" spans="1:12" ht="15" customHeight="1" x14ac:dyDescent="0.25">
      <c r="A948" s="78">
        <v>45931</v>
      </c>
      <c r="B948" t="s">
        <v>398</v>
      </c>
      <c r="C948" t="s">
        <v>399</v>
      </c>
      <c r="D948" t="s">
        <v>227</v>
      </c>
      <c r="E948" t="s">
        <v>2221</v>
      </c>
      <c r="F948" t="s">
        <v>222</v>
      </c>
      <c r="G948" s="77">
        <v>1354</v>
      </c>
      <c r="H948" s="126">
        <v>129</v>
      </c>
      <c r="I948" s="124">
        <v>190.92</v>
      </c>
      <c r="J948" s="124">
        <v>234.59</v>
      </c>
      <c r="K948" s="77">
        <v>520</v>
      </c>
      <c r="L948" s="124">
        <v>945.51</v>
      </c>
    </row>
    <row r="949" spans="1:12" ht="15" customHeight="1" x14ac:dyDescent="0.25">
      <c r="A949" s="78">
        <v>45931</v>
      </c>
      <c r="B949" t="s">
        <v>398</v>
      </c>
      <c r="C949" t="s">
        <v>399</v>
      </c>
      <c r="D949" t="s">
        <v>227</v>
      </c>
      <c r="E949" t="s">
        <v>2292</v>
      </c>
      <c r="F949" t="s">
        <v>222</v>
      </c>
      <c r="G949" s="77">
        <v>1268</v>
      </c>
      <c r="H949" s="126">
        <v>120.8</v>
      </c>
      <c r="I949" s="124">
        <v>178.78</v>
      </c>
      <c r="J949" s="124">
        <v>124.79</v>
      </c>
      <c r="K949" s="77">
        <v>450</v>
      </c>
      <c r="L949" s="124">
        <v>753.57</v>
      </c>
    </row>
    <row r="950" spans="1:12" ht="15" customHeight="1" x14ac:dyDescent="0.25">
      <c r="A950" s="78">
        <v>45931</v>
      </c>
      <c r="B950" t="s">
        <v>398</v>
      </c>
      <c r="C950" t="s">
        <v>399</v>
      </c>
      <c r="D950" t="s">
        <v>227</v>
      </c>
      <c r="E950" t="s">
        <v>2233</v>
      </c>
      <c r="F950" t="s">
        <v>222</v>
      </c>
      <c r="G950" s="77">
        <v>907</v>
      </c>
      <c r="H950" s="126">
        <v>86.4</v>
      </c>
      <c r="I950" s="124">
        <v>127.87</v>
      </c>
      <c r="J950" s="124">
        <v>176.61</v>
      </c>
      <c r="K950" s="77">
        <v>320</v>
      </c>
      <c r="L950" s="124">
        <v>624.48</v>
      </c>
    </row>
    <row r="951" spans="1:12" ht="15" customHeight="1" x14ac:dyDescent="0.25">
      <c r="A951" s="78">
        <v>45931</v>
      </c>
      <c r="B951" t="s">
        <v>398</v>
      </c>
      <c r="C951" t="s">
        <v>399</v>
      </c>
      <c r="D951" t="s">
        <v>227</v>
      </c>
      <c r="E951" t="s">
        <v>2313</v>
      </c>
      <c r="F951" t="s">
        <v>224</v>
      </c>
      <c r="G951" s="77">
        <v>1283</v>
      </c>
      <c r="H951" s="126">
        <v>150.9</v>
      </c>
      <c r="I951" s="124">
        <v>223.33</v>
      </c>
      <c r="J951" s="124">
        <v>132.18</v>
      </c>
      <c r="K951" s="77">
        <v>520</v>
      </c>
      <c r="L951" s="124">
        <v>875.51</v>
      </c>
    </row>
    <row r="952" spans="1:12" ht="15" customHeight="1" x14ac:dyDescent="0.25">
      <c r="A952" s="78">
        <v>45931</v>
      </c>
      <c r="B952" t="s">
        <v>378</v>
      </c>
      <c r="C952" t="s">
        <v>379</v>
      </c>
      <c r="D952" t="s">
        <v>227</v>
      </c>
      <c r="E952" t="s">
        <v>2274</v>
      </c>
      <c r="F952" t="s">
        <v>228</v>
      </c>
      <c r="G952" s="77">
        <v>1316</v>
      </c>
      <c r="H952" s="126">
        <v>154.80000000000001</v>
      </c>
      <c r="I952" s="124">
        <v>229.1</v>
      </c>
      <c r="J952" s="124">
        <v>366.21</v>
      </c>
      <c r="K952" s="77">
        <v>450</v>
      </c>
      <c r="L952" s="124">
        <v>1045.31</v>
      </c>
    </row>
    <row r="953" spans="1:12" ht="15" customHeight="1" x14ac:dyDescent="0.25">
      <c r="A953" s="78">
        <v>45931</v>
      </c>
      <c r="B953" t="s">
        <v>378</v>
      </c>
      <c r="C953" t="s">
        <v>379</v>
      </c>
      <c r="D953" t="s">
        <v>227</v>
      </c>
      <c r="E953" t="s">
        <v>2299</v>
      </c>
      <c r="F953" t="s">
        <v>226</v>
      </c>
      <c r="G953" s="77">
        <v>820</v>
      </c>
      <c r="H953" s="126">
        <v>78.099999999999994</v>
      </c>
      <c r="I953" s="124">
        <v>115.59</v>
      </c>
      <c r="J953" s="124">
        <v>83.05</v>
      </c>
      <c r="K953" s="77">
        <v>520</v>
      </c>
      <c r="L953" s="124">
        <v>718.64</v>
      </c>
    </row>
    <row r="954" spans="1:12" ht="15" customHeight="1" x14ac:dyDescent="0.25">
      <c r="A954" s="78">
        <v>45931</v>
      </c>
      <c r="B954" t="s">
        <v>378</v>
      </c>
      <c r="C954" t="s">
        <v>379</v>
      </c>
      <c r="D954" t="s">
        <v>227</v>
      </c>
      <c r="E954" t="s">
        <v>2238</v>
      </c>
      <c r="F954" t="s">
        <v>228</v>
      </c>
      <c r="G954" s="77">
        <v>1014</v>
      </c>
      <c r="H954" s="126">
        <v>119.3</v>
      </c>
      <c r="I954" s="124">
        <v>176.56</v>
      </c>
      <c r="J954" s="124">
        <v>274.61</v>
      </c>
      <c r="K954" s="77">
        <v>520</v>
      </c>
      <c r="L954" s="124">
        <v>971.17</v>
      </c>
    </row>
    <row r="955" spans="1:12" ht="15" customHeight="1" x14ac:dyDescent="0.25">
      <c r="A955" s="78">
        <v>45931</v>
      </c>
      <c r="B955" t="s">
        <v>378</v>
      </c>
      <c r="C955" t="s">
        <v>379</v>
      </c>
      <c r="D955" t="s">
        <v>227</v>
      </c>
      <c r="E955" t="s">
        <v>2344</v>
      </c>
      <c r="F955" t="s">
        <v>222</v>
      </c>
      <c r="G955" s="77">
        <v>918</v>
      </c>
      <c r="H955" s="126">
        <v>87.4</v>
      </c>
      <c r="I955" s="124">
        <v>129.35</v>
      </c>
      <c r="J955" s="124">
        <v>258.18</v>
      </c>
      <c r="K955" s="77">
        <v>380</v>
      </c>
      <c r="L955" s="124">
        <v>767.53</v>
      </c>
    </row>
    <row r="956" spans="1:12" ht="15" customHeight="1" x14ac:dyDescent="0.25">
      <c r="A956" s="78">
        <v>45931</v>
      </c>
      <c r="B956" t="s">
        <v>378</v>
      </c>
      <c r="C956" t="s">
        <v>379</v>
      </c>
      <c r="D956" t="s">
        <v>227</v>
      </c>
      <c r="E956" t="s">
        <v>2313</v>
      </c>
      <c r="F956" t="s">
        <v>228</v>
      </c>
      <c r="G956" s="77">
        <v>1156</v>
      </c>
      <c r="H956" s="126">
        <v>136</v>
      </c>
      <c r="I956" s="124">
        <v>201.28</v>
      </c>
      <c r="J956" s="124">
        <v>253.16</v>
      </c>
      <c r="K956" s="77">
        <v>520</v>
      </c>
      <c r="L956" s="124">
        <v>974.44</v>
      </c>
    </row>
    <row r="957" spans="1:12" ht="15" customHeight="1" x14ac:dyDescent="0.25">
      <c r="A957" s="78">
        <v>45931</v>
      </c>
      <c r="B957" t="s">
        <v>378</v>
      </c>
      <c r="C957" t="s">
        <v>379</v>
      </c>
      <c r="D957" t="s">
        <v>227</v>
      </c>
      <c r="E957" t="s">
        <v>2300</v>
      </c>
      <c r="F957" t="s">
        <v>226</v>
      </c>
      <c r="G957" s="77">
        <v>691</v>
      </c>
      <c r="H957" s="126">
        <v>65.8</v>
      </c>
      <c r="I957" s="124">
        <v>97.38</v>
      </c>
      <c r="J957" s="124">
        <v>44.73</v>
      </c>
      <c r="K957" s="77">
        <v>380</v>
      </c>
      <c r="L957" s="124">
        <v>522.11</v>
      </c>
    </row>
    <row r="958" spans="1:12" ht="15" customHeight="1" x14ac:dyDescent="0.25">
      <c r="A958" s="78">
        <v>45931</v>
      </c>
      <c r="B958" t="s">
        <v>393</v>
      </c>
      <c r="C958" t="s">
        <v>394</v>
      </c>
      <c r="D958" t="s">
        <v>227</v>
      </c>
      <c r="E958" t="s">
        <v>2310</v>
      </c>
      <c r="F958" t="s">
        <v>228</v>
      </c>
      <c r="G958" s="77">
        <v>1120</v>
      </c>
      <c r="H958" s="126">
        <v>131.80000000000001</v>
      </c>
      <c r="I958" s="124">
        <v>195.06</v>
      </c>
      <c r="J958" s="124">
        <v>79.39</v>
      </c>
      <c r="K958" s="77">
        <v>320</v>
      </c>
      <c r="L958" s="124">
        <v>594.45000000000005</v>
      </c>
    </row>
    <row r="959" spans="1:12" ht="15" customHeight="1" x14ac:dyDescent="0.25">
      <c r="A959" s="78">
        <v>45931</v>
      </c>
      <c r="B959" t="s">
        <v>393</v>
      </c>
      <c r="C959" t="s">
        <v>394</v>
      </c>
      <c r="D959" t="s">
        <v>227</v>
      </c>
      <c r="E959" t="s">
        <v>2323</v>
      </c>
      <c r="F959" t="s">
        <v>222</v>
      </c>
      <c r="G959" s="77">
        <v>1303</v>
      </c>
      <c r="H959" s="126">
        <v>124.1</v>
      </c>
      <c r="I959" s="124">
        <v>183.67</v>
      </c>
      <c r="J959" s="124">
        <v>137.35</v>
      </c>
      <c r="K959" s="77">
        <v>320</v>
      </c>
      <c r="L959" s="124">
        <v>641.02</v>
      </c>
    </row>
    <row r="960" spans="1:12" ht="15" customHeight="1" x14ac:dyDescent="0.25">
      <c r="A960" s="78">
        <v>45931</v>
      </c>
      <c r="B960" t="s">
        <v>393</v>
      </c>
      <c r="C960" t="s">
        <v>394</v>
      </c>
      <c r="D960" t="s">
        <v>227</v>
      </c>
      <c r="E960" t="s">
        <v>2258</v>
      </c>
      <c r="F960" t="s">
        <v>228</v>
      </c>
      <c r="G960" s="77">
        <v>1860</v>
      </c>
      <c r="H960" s="126">
        <v>218.8</v>
      </c>
      <c r="I960" s="124">
        <v>323.82</v>
      </c>
      <c r="J960" s="124">
        <v>434.63</v>
      </c>
      <c r="K960" s="77">
        <v>320</v>
      </c>
      <c r="L960" s="124">
        <v>1078.45</v>
      </c>
    </row>
    <row r="961" spans="1:12" ht="15" customHeight="1" x14ac:dyDescent="0.25">
      <c r="A961" s="78">
        <v>45931</v>
      </c>
      <c r="B961" t="s">
        <v>393</v>
      </c>
      <c r="C961" t="s">
        <v>394</v>
      </c>
      <c r="D961" t="s">
        <v>227</v>
      </c>
      <c r="E961" t="s">
        <v>2300</v>
      </c>
      <c r="F961" t="s">
        <v>226</v>
      </c>
      <c r="G961" s="77">
        <v>1004</v>
      </c>
      <c r="H961" s="126">
        <v>95.6</v>
      </c>
      <c r="I961" s="124">
        <v>141.49</v>
      </c>
      <c r="J961" s="124">
        <v>141.49</v>
      </c>
      <c r="K961" s="77">
        <v>320</v>
      </c>
      <c r="L961" s="124">
        <v>602.98</v>
      </c>
    </row>
    <row r="962" spans="1:12" ht="15" customHeight="1" x14ac:dyDescent="0.25">
      <c r="A962" s="78">
        <v>45931</v>
      </c>
      <c r="B962" t="s">
        <v>393</v>
      </c>
      <c r="C962" t="s">
        <v>394</v>
      </c>
      <c r="D962" t="s">
        <v>227</v>
      </c>
      <c r="E962" t="s">
        <v>2257</v>
      </c>
      <c r="F962" t="s">
        <v>222</v>
      </c>
      <c r="G962" s="77">
        <v>1298</v>
      </c>
      <c r="H962" s="126">
        <v>123.6</v>
      </c>
      <c r="I962" s="124">
        <v>182.93</v>
      </c>
      <c r="J962" s="124">
        <v>286.25</v>
      </c>
      <c r="K962" s="77">
        <v>320</v>
      </c>
      <c r="L962" s="124">
        <v>789.18</v>
      </c>
    </row>
    <row r="963" spans="1:12" ht="15" customHeight="1" x14ac:dyDescent="0.25">
      <c r="A963" s="78">
        <v>45962</v>
      </c>
      <c r="B963" t="s">
        <v>390</v>
      </c>
      <c r="C963" t="s">
        <v>391</v>
      </c>
      <c r="D963" t="s">
        <v>221</v>
      </c>
      <c r="E963" t="s">
        <v>2246</v>
      </c>
      <c r="F963" t="s">
        <v>226</v>
      </c>
      <c r="G963" s="77">
        <v>640</v>
      </c>
      <c r="H963" s="126">
        <v>61</v>
      </c>
      <c r="I963" s="124">
        <v>90.28</v>
      </c>
      <c r="J963" s="124">
        <v>7.09</v>
      </c>
      <c r="K963" s="77">
        <v>380</v>
      </c>
      <c r="L963" s="124">
        <v>477.37</v>
      </c>
    </row>
    <row r="964" spans="1:12" ht="15" customHeight="1" x14ac:dyDescent="0.25">
      <c r="A964" s="78">
        <v>45962</v>
      </c>
      <c r="B964" t="s">
        <v>390</v>
      </c>
      <c r="C964" t="s">
        <v>391</v>
      </c>
      <c r="D964" t="s">
        <v>221</v>
      </c>
      <c r="E964" t="s">
        <v>2337</v>
      </c>
      <c r="F964" t="s">
        <v>224</v>
      </c>
      <c r="G964" s="77">
        <v>894</v>
      </c>
      <c r="H964" s="126">
        <v>105.2</v>
      </c>
      <c r="I964" s="124">
        <v>155.69999999999999</v>
      </c>
      <c r="J964" s="124">
        <v>196.62</v>
      </c>
      <c r="K964" s="77">
        <v>380</v>
      </c>
      <c r="L964" s="124">
        <v>732.32</v>
      </c>
    </row>
    <row r="965" spans="1:12" ht="15" customHeight="1" x14ac:dyDescent="0.25">
      <c r="A965" s="78">
        <v>45962</v>
      </c>
      <c r="B965" t="s">
        <v>390</v>
      </c>
      <c r="C965" t="s">
        <v>391</v>
      </c>
      <c r="D965" t="s">
        <v>221</v>
      </c>
      <c r="E965" t="s">
        <v>2236</v>
      </c>
      <c r="F965" t="s">
        <v>226</v>
      </c>
      <c r="G965" s="77">
        <v>1174</v>
      </c>
      <c r="H965" s="126">
        <v>111.8</v>
      </c>
      <c r="I965" s="124">
        <v>165.46</v>
      </c>
      <c r="J965" s="124">
        <v>235.58</v>
      </c>
      <c r="K965" s="77">
        <v>450</v>
      </c>
      <c r="L965" s="124">
        <v>851.04</v>
      </c>
    </row>
    <row r="966" spans="1:12" ht="15" customHeight="1" x14ac:dyDescent="0.25">
      <c r="A966" s="78">
        <v>45962</v>
      </c>
      <c r="B966" t="s">
        <v>390</v>
      </c>
      <c r="C966" t="s">
        <v>391</v>
      </c>
      <c r="D966" t="s">
        <v>221</v>
      </c>
      <c r="E966" t="s">
        <v>2250</v>
      </c>
      <c r="F966" t="s">
        <v>222</v>
      </c>
      <c r="G966" s="77">
        <v>750</v>
      </c>
      <c r="H966" s="126">
        <v>71.400000000000006</v>
      </c>
      <c r="I966" s="124">
        <v>105.67</v>
      </c>
      <c r="J966" s="124">
        <v>0</v>
      </c>
      <c r="K966" s="77">
        <v>380</v>
      </c>
      <c r="L966" s="124">
        <v>485.67</v>
      </c>
    </row>
    <row r="967" spans="1:12" ht="15" customHeight="1" x14ac:dyDescent="0.25">
      <c r="A967" s="78">
        <v>45962</v>
      </c>
      <c r="B967" t="s">
        <v>390</v>
      </c>
      <c r="C967" t="s">
        <v>391</v>
      </c>
      <c r="D967" t="s">
        <v>221</v>
      </c>
      <c r="E967" t="s">
        <v>2296</v>
      </c>
      <c r="F967" t="s">
        <v>228</v>
      </c>
      <c r="G967" s="77">
        <v>1264</v>
      </c>
      <c r="H967" s="126">
        <v>148.69999999999999</v>
      </c>
      <c r="I967" s="124">
        <v>220.08</v>
      </c>
      <c r="J967" s="124">
        <v>183.74</v>
      </c>
      <c r="K967" s="77">
        <v>380</v>
      </c>
      <c r="L967" s="124">
        <v>783.82</v>
      </c>
    </row>
    <row r="968" spans="1:12" ht="15" customHeight="1" x14ac:dyDescent="0.25">
      <c r="A968" s="78">
        <v>45962</v>
      </c>
      <c r="B968" t="s">
        <v>401</v>
      </c>
      <c r="C968" t="s">
        <v>402</v>
      </c>
      <c r="D968" t="s">
        <v>221</v>
      </c>
      <c r="E968" t="s">
        <v>2233</v>
      </c>
      <c r="F968" t="s">
        <v>222</v>
      </c>
      <c r="G968" s="77">
        <v>545</v>
      </c>
      <c r="H968" s="126">
        <v>51.9</v>
      </c>
      <c r="I968" s="124">
        <v>76.81</v>
      </c>
      <c r="J968" s="124">
        <v>161.61000000000001</v>
      </c>
      <c r="K968" s="77">
        <v>450</v>
      </c>
      <c r="L968" s="124">
        <v>688.42</v>
      </c>
    </row>
    <row r="969" spans="1:12" ht="15" customHeight="1" x14ac:dyDescent="0.25">
      <c r="A969" s="78">
        <v>45962</v>
      </c>
      <c r="B969" t="s">
        <v>401</v>
      </c>
      <c r="C969" t="s">
        <v>402</v>
      </c>
      <c r="D969" t="s">
        <v>221</v>
      </c>
      <c r="E969" t="s">
        <v>2341</v>
      </c>
      <c r="F969" t="s">
        <v>228</v>
      </c>
      <c r="G969" s="77">
        <v>1248</v>
      </c>
      <c r="H969" s="126">
        <v>146.80000000000001</v>
      </c>
      <c r="I969" s="124">
        <v>217.26</v>
      </c>
      <c r="J969" s="124">
        <v>240.24</v>
      </c>
      <c r="K969" s="77">
        <v>320</v>
      </c>
      <c r="L969" s="124">
        <v>777.5</v>
      </c>
    </row>
    <row r="970" spans="1:12" ht="15" customHeight="1" x14ac:dyDescent="0.25">
      <c r="A970" s="78">
        <v>45962</v>
      </c>
      <c r="B970" t="s">
        <v>401</v>
      </c>
      <c r="C970" t="s">
        <v>402</v>
      </c>
      <c r="D970" t="s">
        <v>221</v>
      </c>
      <c r="E970" t="s">
        <v>2349</v>
      </c>
      <c r="F970" t="s">
        <v>228</v>
      </c>
      <c r="G970" s="77">
        <v>935</v>
      </c>
      <c r="H970" s="126">
        <v>110</v>
      </c>
      <c r="I970" s="124">
        <v>162.80000000000001</v>
      </c>
      <c r="J970" s="124">
        <v>237.25</v>
      </c>
      <c r="K970" s="77">
        <v>380</v>
      </c>
      <c r="L970" s="124">
        <v>780.05</v>
      </c>
    </row>
    <row r="971" spans="1:12" ht="15" customHeight="1" x14ac:dyDescent="0.25">
      <c r="A971" s="78">
        <v>45962</v>
      </c>
      <c r="B971" t="s">
        <v>401</v>
      </c>
      <c r="C971" t="s">
        <v>402</v>
      </c>
      <c r="D971" t="s">
        <v>221</v>
      </c>
      <c r="E971" t="s">
        <v>2321</v>
      </c>
      <c r="F971" t="s">
        <v>226</v>
      </c>
      <c r="G971" s="77">
        <v>957</v>
      </c>
      <c r="H971" s="126">
        <v>91.1</v>
      </c>
      <c r="I971" s="124">
        <v>134.83000000000001</v>
      </c>
      <c r="J971" s="124">
        <v>42.16</v>
      </c>
      <c r="K971" s="77">
        <v>320</v>
      </c>
      <c r="L971" s="124">
        <v>496.99</v>
      </c>
    </row>
    <row r="972" spans="1:12" ht="15" customHeight="1" x14ac:dyDescent="0.25">
      <c r="A972" s="78">
        <v>45962</v>
      </c>
      <c r="B972" t="s">
        <v>401</v>
      </c>
      <c r="C972" t="s">
        <v>402</v>
      </c>
      <c r="D972" t="s">
        <v>221</v>
      </c>
      <c r="E972" t="s">
        <v>2236</v>
      </c>
      <c r="F972" t="s">
        <v>224</v>
      </c>
      <c r="G972" s="77">
        <v>871</v>
      </c>
      <c r="H972" s="126">
        <v>102.5</v>
      </c>
      <c r="I972" s="124">
        <v>151.69999999999999</v>
      </c>
      <c r="J972" s="124">
        <v>191.7</v>
      </c>
      <c r="K972" s="77">
        <v>380</v>
      </c>
      <c r="L972" s="124">
        <v>723.4</v>
      </c>
    </row>
    <row r="973" spans="1:12" ht="15" customHeight="1" x14ac:dyDescent="0.25">
      <c r="A973" s="78">
        <v>45962</v>
      </c>
      <c r="B973" t="s">
        <v>401</v>
      </c>
      <c r="C973" t="s">
        <v>402</v>
      </c>
      <c r="D973" t="s">
        <v>221</v>
      </c>
      <c r="E973" t="s">
        <v>2264</v>
      </c>
      <c r="F973" t="s">
        <v>226</v>
      </c>
      <c r="G973" s="77">
        <v>1130</v>
      </c>
      <c r="H973" s="126">
        <v>107.6</v>
      </c>
      <c r="I973" s="124">
        <v>159.25</v>
      </c>
      <c r="J973" s="124">
        <v>163.44</v>
      </c>
      <c r="K973" s="77">
        <v>450</v>
      </c>
      <c r="L973" s="124">
        <v>772.69</v>
      </c>
    </row>
    <row r="974" spans="1:12" ht="15" customHeight="1" x14ac:dyDescent="0.25">
      <c r="A974" s="78">
        <v>45962</v>
      </c>
      <c r="B974" t="s">
        <v>431</v>
      </c>
      <c r="C974" t="s">
        <v>432</v>
      </c>
      <c r="D974" t="s">
        <v>221</v>
      </c>
      <c r="E974" t="s">
        <v>2333</v>
      </c>
      <c r="F974" t="s">
        <v>228</v>
      </c>
      <c r="G974" s="77">
        <v>801</v>
      </c>
      <c r="H974" s="126">
        <v>94.2</v>
      </c>
      <c r="I974" s="124">
        <v>139.41999999999999</v>
      </c>
      <c r="J974" s="124">
        <v>235.48</v>
      </c>
      <c r="K974" s="77">
        <v>380</v>
      </c>
      <c r="L974" s="124">
        <v>754.9</v>
      </c>
    </row>
    <row r="975" spans="1:12" ht="15" customHeight="1" x14ac:dyDescent="0.25">
      <c r="A975" s="78">
        <v>45962</v>
      </c>
      <c r="B975" t="s">
        <v>431</v>
      </c>
      <c r="C975" t="s">
        <v>432</v>
      </c>
      <c r="D975" t="s">
        <v>221</v>
      </c>
      <c r="E975" t="s">
        <v>2347</v>
      </c>
      <c r="F975" t="s">
        <v>226</v>
      </c>
      <c r="G975" s="77">
        <v>505</v>
      </c>
      <c r="H975" s="126">
        <v>48.1</v>
      </c>
      <c r="I975" s="124">
        <v>71.19</v>
      </c>
      <c r="J975" s="124">
        <v>164.28</v>
      </c>
      <c r="K975" s="77">
        <v>520</v>
      </c>
      <c r="L975" s="124">
        <v>755.47</v>
      </c>
    </row>
    <row r="976" spans="1:12" ht="15" customHeight="1" x14ac:dyDescent="0.25">
      <c r="A976" s="78">
        <v>45962</v>
      </c>
      <c r="B976" t="s">
        <v>431</v>
      </c>
      <c r="C976" t="s">
        <v>432</v>
      </c>
      <c r="D976" t="s">
        <v>221</v>
      </c>
      <c r="E976" t="s">
        <v>2318</v>
      </c>
      <c r="F976" t="s">
        <v>226</v>
      </c>
      <c r="G976" s="77">
        <v>1407</v>
      </c>
      <c r="H976" s="126">
        <v>134</v>
      </c>
      <c r="I976" s="124">
        <v>198.32</v>
      </c>
      <c r="J976" s="124">
        <v>32.07</v>
      </c>
      <c r="K976" s="77">
        <v>520</v>
      </c>
      <c r="L976" s="124">
        <v>750.39</v>
      </c>
    </row>
    <row r="977" spans="1:12" ht="15" customHeight="1" x14ac:dyDescent="0.25">
      <c r="A977" s="78">
        <v>45962</v>
      </c>
      <c r="B977" t="s">
        <v>431</v>
      </c>
      <c r="C977" t="s">
        <v>432</v>
      </c>
      <c r="D977" t="s">
        <v>221</v>
      </c>
      <c r="E977" t="s">
        <v>2251</v>
      </c>
      <c r="F977" t="s">
        <v>222</v>
      </c>
      <c r="G977" s="77">
        <v>903</v>
      </c>
      <c r="H977" s="126">
        <v>86</v>
      </c>
      <c r="I977" s="124">
        <v>127.28</v>
      </c>
      <c r="J977" s="124">
        <v>176.33</v>
      </c>
      <c r="K977" s="77">
        <v>450</v>
      </c>
      <c r="L977" s="124">
        <v>753.61</v>
      </c>
    </row>
    <row r="978" spans="1:12" ht="15" customHeight="1" x14ac:dyDescent="0.25">
      <c r="A978" s="78">
        <v>45962</v>
      </c>
      <c r="B978" t="s">
        <v>431</v>
      </c>
      <c r="C978" t="s">
        <v>432</v>
      </c>
      <c r="D978" t="s">
        <v>221</v>
      </c>
      <c r="E978" t="s">
        <v>2323</v>
      </c>
      <c r="F978" t="s">
        <v>222</v>
      </c>
      <c r="G978" s="77">
        <v>1363</v>
      </c>
      <c r="H978" s="126">
        <v>129.80000000000001</v>
      </c>
      <c r="I978" s="124">
        <v>192.1</v>
      </c>
      <c r="J978" s="124">
        <v>114.14</v>
      </c>
      <c r="K978" s="77">
        <v>520</v>
      </c>
      <c r="L978" s="124">
        <v>826.24</v>
      </c>
    </row>
    <row r="979" spans="1:12" ht="15" customHeight="1" x14ac:dyDescent="0.25">
      <c r="A979" s="78">
        <v>45962</v>
      </c>
      <c r="B979" t="s">
        <v>431</v>
      </c>
      <c r="C979" t="s">
        <v>432</v>
      </c>
      <c r="D979" t="s">
        <v>221</v>
      </c>
      <c r="E979" t="s">
        <v>2292</v>
      </c>
      <c r="F979" t="s">
        <v>222</v>
      </c>
      <c r="G979" s="77">
        <v>876</v>
      </c>
      <c r="H979" s="126">
        <v>83.4</v>
      </c>
      <c r="I979" s="124">
        <v>123.43</v>
      </c>
      <c r="J979" s="124">
        <v>0</v>
      </c>
      <c r="K979" s="77">
        <v>320</v>
      </c>
      <c r="L979" s="124">
        <v>443.43</v>
      </c>
    </row>
    <row r="980" spans="1:12" ht="15" customHeight="1" x14ac:dyDescent="0.25">
      <c r="A980" s="78">
        <v>45962</v>
      </c>
      <c r="B980" t="s">
        <v>366</v>
      </c>
      <c r="C980" t="s">
        <v>367</v>
      </c>
      <c r="D980" t="s">
        <v>221</v>
      </c>
      <c r="E980" t="s">
        <v>2257</v>
      </c>
      <c r="F980" t="s">
        <v>226</v>
      </c>
      <c r="G980" s="77">
        <v>1075</v>
      </c>
      <c r="H980" s="126">
        <v>102.4</v>
      </c>
      <c r="I980" s="124">
        <v>151.55000000000001</v>
      </c>
      <c r="J980" s="124">
        <v>313.37</v>
      </c>
      <c r="K980" s="77">
        <v>450</v>
      </c>
      <c r="L980" s="124">
        <v>914.92</v>
      </c>
    </row>
    <row r="981" spans="1:12" ht="15" customHeight="1" x14ac:dyDescent="0.25">
      <c r="A981" s="78">
        <v>45962</v>
      </c>
      <c r="B981" t="s">
        <v>366</v>
      </c>
      <c r="C981" t="s">
        <v>367</v>
      </c>
      <c r="D981" t="s">
        <v>221</v>
      </c>
      <c r="E981" t="s">
        <v>2265</v>
      </c>
      <c r="F981" t="s">
        <v>228</v>
      </c>
      <c r="G981" s="77">
        <v>1119</v>
      </c>
      <c r="H981" s="126">
        <v>131.6</v>
      </c>
      <c r="I981" s="124">
        <v>194.77</v>
      </c>
      <c r="J981" s="124">
        <v>248.22</v>
      </c>
      <c r="K981" s="77">
        <v>380</v>
      </c>
      <c r="L981" s="124">
        <v>822.99</v>
      </c>
    </row>
    <row r="982" spans="1:12" ht="15" customHeight="1" x14ac:dyDescent="0.25">
      <c r="A982" s="78">
        <v>45962</v>
      </c>
      <c r="B982" t="s">
        <v>366</v>
      </c>
      <c r="C982" t="s">
        <v>367</v>
      </c>
      <c r="D982" t="s">
        <v>221</v>
      </c>
      <c r="E982" t="s">
        <v>2346</v>
      </c>
      <c r="F982" t="s">
        <v>224</v>
      </c>
      <c r="G982" s="77">
        <v>1130</v>
      </c>
      <c r="H982" s="126">
        <v>132.9</v>
      </c>
      <c r="I982" s="124">
        <v>196.69</v>
      </c>
      <c r="J982" s="124">
        <v>149.11000000000001</v>
      </c>
      <c r="K982" s="77">
        <v>380</v>
      </c>
      <c r="L982" s="124">
        <v>725.8</v>
      </c>
    </row>
    <row r="983" spans="1:12" ht="15" customHeight="1" x14ac:dyDescent="0.25">
      <c r="A983" s="78">
        <v>45962</v>
      </c>
      <c r="B983" t="s">
        <v>366</v>
      </c>
      <c r="C983" t="s">
        <v>367</v>
      </c>
      <c r="D983" t="s">
        <v>221</v>
      </c>
      <c r="E983" t="s">
        <v>2229</v>
      </c>
      <c r="F983" t="s">
        <v>228</v>
      </c>
      <c r="G983" s="77">
        <v>846</v>
      </c>
      <c r="H983" s="126">
        <v>99.5</v>
      </c>
      <c r="I983" s="124">
        <v>147.26</v>
      </c>
      <c r="J983" s="124">
        <v>315.86</v>
      </c>
      <c r="K983" s="77">
        <v>520</v>
      </c>
      <c r="L983" s="124">
        <v>983.12</v>
      </c>
    </row>
    <row r="984" spans="1:12" ht="15" customHeight="1" x14ac:dyDescent="0.25">
      <c r="A984" s="78">
        <v>45962</v>
      </c>
      <c r="B984" t="s">
        <v>366</v>
      </c>
      <c r="C984" t="s">
        <v>367</v>
      </c>
      <c r="D984" t="s">
        <v>221</v>
      </c>
      <c r="E984" t="s">
        <v>2305</v>
      </c>
      <c r="F984" t="s">
        <v>224</v>
      </c>
      <c r="G984" s="77">
        <v>1106</v>
      </c>
      <c r="H984" s="126">
        <v>130.1</v>
      </c>
      <c r="I984" s="124">
        <v>192.55</v>
      </c>
      <c r="J984" s="124">
        <v>151.41</v>
      </c>
      <c r="K984" s="77">
        <v>520</v>
      </c>
      <c r="L984" s="124">
        <v>863.96</v>
      </c>
    </row>
    <row r="985" spans="1:12" ht="15" customHeight="1" x14ac:dyDescent="0.25">
      <c r="A985" s="78">
        <v>45962</v>
      </c>
      <c r="B985" t="s">
        <v>362</v>
      </c>
      <c r="C985" t="s">
        <v>363</v>
      </c>
      <c r="D985" t="s">
        <v>221</v>
      </c>
      <c r="E985" t="s">
        <v>2316</v>
      </c>
      <c r="F985" t="s">
        <v>224</v>
      </c>
      <c r="G985" s="77">
        <v>806</v>
      </c>
      <c r="H985" s="126">
        <v>94.8</v>
      </c>
      <c r="I985" s="124">
        <v>140.30000000000001</v>
      </c>
      <c r="J985" s="124">
        <v>254.28</v>
      </c>
      <c r="K985" s="77">
        <v>450</v>
      </c>
      <c r="L985" s="124">
        <v>844.58</v>
      </c>
    </row>
    <row r="986" spans="1:12" ht="15" customHeight="1" x14ac:dyDescent="0.25">
      <c r="A986" s="78">
        <v>45962</v>
      </c>
      <c r="B986" t="s">
        <v>362</v>
      </c>
      <c r="C986" t="s">
        <v>363</v>
      </c>
      <c r="D986" t="s">
        <v>221</v>
      </c>
      <c r="E986" t="s">
        <v>2231</v>
      </c>
      <c r="F986" t="s">
        <v>224</v>
      </c>
      <c r="G986" s="77">
        <v>1216</v>
      </c>
      <c r="H986" s="126">
        <v>143.1</v>
      </c>
      <c r="I986" s="124">
        <v>211.79</v>
      </c>
      <c r="J986" s="124">
        <v>105.77</v>
      </c>
      <c r="K986" s="77">
        <v>450</v>
      </c>
      <c r="L986" s="124">
        <v>767.56</v>
      </c>
    </row>
    <row r="987" spans="1:12" ht="15" customHeight="1" x14ac:dyDescent="0.25">
      <c r="A987" s="78">
        <v>45962</v>
      </c>
      <c r="B987" t="s">
        <v>362</v>
      </c>
      <c r="C987" t="s">
        <v>363</v>
      </c>
      <c r="D987" t="s">
        <v>221</v>
      </c>
      <c r="E987" t="s">
        <v>2327</v>
      </c>
      <c r="F987" t="s">
        <v>222</v>
      </c>
      <c r="G987" s="77">
        <v>1300</v>
      </c>
      <c r="H987" s="126">
        <v>123.8</v>
      </c>
      <c r="I987" s="124">
        <v>183.22</v>
      </c>
      <c r="J987" s="124">
        <v>110.19</v>
      </c>
      <c r="K987" s="77">
        <v>320</v>
      </c>
      <c r="L987" s="124">
        <v>613.41</v>
      </c>
    </row>
    <row r="988" spans="1:12" ht="15" customHeight="1" x14ac:dyDescent="0.25">
      <c r="A988" s="78">
        <v>45962</v>
      </c>
      <c r="B988" t="s">
        <v>362</v>
      </c>
      <c r="C988" t="s">
        <v>363</v>
      </c>
      <c r="D988" t="s">
        <v>221</v>
      </c>
      <c r="E988" t="s">
        <v>2244</v>
      </c>
      <c r="F988" t="s">
        <v>226</v>
      </c>
      <c r="G988" s="77">
        <v>854</v>
      </c>
      <c r="H988" s="126">
        <v>81.3</v>
      </c>
      <c r="I988" s="124">
        <v>120.32</v>
      </c>
      <c r="J988" s="124">
        <v>89.22</v>
      </c>
      <c r="K988" s="77">
        <v>320</v>
      </c>
      <c r="L988" s="124">
        <v>529.54</v>
      </c>
    </row>
    <row r="989" spans="1:12" ht="15" customHeight="1" x14ac:dyDescent="0.25">
      <c r="A989" s="78">
        <v>45962</v>
      </c>
      <c r="B989" t="s">
        <v>362</v>
      </c>
      <c r="C989" t="s">
        <v>363</v>
      </c>
      <c r="D989" t="s">
        <v>221</v>
      </c>
      <c r="E989" t="s">
        <v>2279</v>
      </c>
      <c r="F989" t="s">
        <v>228</v>
      </c>
      <c r="G989" s="77">
        <v>607</v>
      </c>
      <c r="H989" s="126">
        <v>71.400000000000006</v>
      </c>
      <c r="I989" s="124">
        <v>105.67</v>
      </c>
      <c r="J989" s="124">
        <v>287.72000000000003</v>
      </c>
      <c r="K989" s="77">
        <v>380</v>
      </c>
      <c r="L989" s="124">
        <v>773.39</v>
      </c>
    </row>
    <row r="990" spans="1:12" ht="15" customHeight="1" x14ac:dyDescent="0.25">
      <c r="A990" s="78">
        <v>45962</v>
      </c>
      <c r="B990" t="s">
        <v>362</v>
      </c>
      <c r="C990" t="s">
        <v>363</v>
      </c>
      <c r="D990" t="s">
        <v>221</v>
      </c>
      <c r="E990" t="s">
        <v>2280</v>
      </c>
      <c r="F990" t="s">
        <v>228</v>
      </c>
      <c r="G990" s="77">
        <v>592</v>
      </c>
      <c r="H990" s="126">
        <v>69.599999999999994</v>
      </c>
      <c r="I990" s="124">
        <v>103.01</v>
      </c>
      <c r="J990" s="124">
        <v>151.72</v>
      </c>
      <c r="K990" s="77">
        <v>320</v>
      </c>
      <c r="L990" s="124">
        <v>574.73</v>
      </c>
    </row>
    <row r="991" spans="1:12" ht="15" customHeight="1" x14ac:dyDescent="0.25">
      <c r="A991" s="78">
        <v>45962</v>
      </c>
      <c r="B991" t="s">
        <v>335</v>
      </c>
      <c r="C991" t="s">
        <v>336</v>
      </c>
      <c r="D991" t="s">
        <v>223</v>
      </c>
      <c r="E991" t="s">
        <v>2236</v>
      </c>
      <c r="F991" t="s">
        <v>222</v>
      </c>
      <c r="G991" s="77">
        <v>531</v>
      </c>
      <c r="H991" s="126">
        <v>50.6</v>
      </c>
      <c r="I991" s="124">
        <v>74.89</v>
      </c>
      <c r="J991" s="124">
        <v>143.11000000000001</v>
      </c>
      <c r="K991" s="77">
        <v>520</v>
      </c>
      <c r="L991" s="124">
        <v>738</v>
      </c>
    </row>
    <row r="992" spans="1:12" ht="15" customHeight="1" x14ac:dyDescent="0.25">
      <c r="A992" s="78">
        <v>45962</v>
      </c>
      <c r="B992" t="s">
        <v>335</v>
      </c>
      <c r="C992" t="s">
        <v>336</v>
      </c>
      <c r="D992" t="s">
        <v>223</v>
      </c>
      <c r="E992" t="s">
        <v>2266</v>
      </c>
      <c r="F992" t="s">
        <v>226</v>
      </c>
      <c r="G992" s="77">
        <v>1012</v>
      </c>
      <c r="H992" s="126">
        <v>96.4</v>
      </c>
      <c r="I992" s="124">
        <v>142.66999999999999</v>
      </c>
      <c r="J992" s="124">
        <v>123.86</v>
      </c>
      <c r="K992" s="77">
        <v>450</v>
      </c>
      <c r="L992" s="124">
        <v>716.53</v>
      </c>
    </row>
    <row r="993" spans="1:12" ht="15" customHeight="1" x14ac:dyDescent="0.25">
      <c r="A993" s="78">
        <v>45962</v>
      </c>
      <c r="B993" t="s">
        <v>335</v>
      </c>
      <c r="C993" t="s">
        <v>336</v>
      </c>
      <c r="D993" t="s">
        <v>223</v>
      </c>
      <c r="E993" t="s">
        <v>2301</v>
      </c>
      <c r="F993" t="s">
        <v>222</v>
      </c>
      <c r="G993" s="77">
        <v>789</v>
      </c>
      <c r="H993" s="126">
        <v>75.099999999999994</v>
      </c>
      <c r="I993" s="124">
        <v>111.15</v>
      </c>
      <c r="J993" s="124">
        <v>56.22</v>
      </c>
      <c r="K993" s="77">
        <v>380</v>
      </c>
      <c r="L993" s="124">
        <v>547.37</v>
      </c>
    </row>
    <row r="994" spans="1:12" ht="15" customHeight="1" x14ac:dyDescent="0.25">
      <c r="A994" s="78">
        <v>45962</v>
      </c>
      <c r="B994" t="s">
        <v>335</v>
      </c>
      <c r="C994" t="s">
        <v>336</v>
      </c>
      <c r="D994" t="s">
        <v>223</v>
      </c>
      <c r="E994" t="s">
        <v>2246</v>
      </c>
      <c r="F994" t="s">
        <v>222</v>
      </c>
      <c r="G994" s="77">
        <v>1166</v>
      </c>
      <c r="H994" s="126">
        <v>111</v>
      </c>
      <c r="I994" s="124">
        <v>164.28</v>
      </c>
      <c r="J994" s="124">
        <v>105.96</v>
      </c>
      <c r="K994" s="77">
        <v>520</v>
      </c>
      <c r="L994" s="124">
        <v>790.24</v>
      </c>
    </row>
    <row r="995" spans="1:12" ht="15" customHeight="1" x14ac:dyDescent="0.25">
      <c r="A995" s="78">
        <v>45962</v>
      </c>
      <c r="B995" t="s">
        <v>335</v>
      </c>
      <c r="C995" t="s">
        <v>336</v>
      </c>
      <c r="D995" t="s">
        <v>223</v>
      </c>
      <c r="E995" t="s">
        <v>2269</v>
      </c>
      <c r="F995" t="s">
        <v>226</v>
      </c>
      <c r="G995" s="77">
        <v>1129</v>
      </c>
      <c r="H995" s="126">
        <v>107.5</v>
      </c>
      <c r="I995" s="124">
        <v>159.1</v>
      </c>
      <c r="J995" s="124">
        <v>79.180000000000007</v>
      </c>
      <c r="K995" s="77">
        <v>380</v>
      </c>
      <c r="L995" s="124">
        <v>618.28</v>
      </c>
    </row>
    <row r="996" spans="1:12" ht="15" customHeight="1" x14ac:dyDescent="0.25">
      <c r="A996" s="78">
        <v>45962</v>
      </c>
      <c r="B996" t="s">
        <v>335</v>
      </c>
      <c r="C996" t="s">
        <v>336</v>
      </c>
      <c r="D996" t="s">
        <v>223</v>
      </c>
      <c r="E996" t="s">
        <v>2249</v>
      </c>
      <c r="F996" t="s">
        <v>228</v>
      </c>
      <c r="G996" s="77">
        <v>1095</v>
      </c>
      <c r="H996" s="126">
        <v>128.80000000000001</v>
      </c>
      <c r="I996" s="124">
        <v>190.62</v>
      </c>
      <c r="J996" s="124">
        <v>354.26</v>
      </c>
      <c r="K996" s="77">
        <v>320</v>
      </c>
      <c r="L996" s="124">
        <v>864.88</v>
      </c>
    </row>
    <row r="997" spans="1:12" ht="15" customHeight="1" x14ac:dyDescent="0.25">
      <c r="A997" s="78">
        <v>45962</v>
      </c>
      <c r="B997" t="s">
        <v>335</v>
      </c>
      <c r="C997" t="s">
        <v>336</v>
      </c>
      <c r="D997" t="s">
        <v>223</v>
      </c>
      <c r="E997" t="s">
        <v>2222</v>
      </c>
      <c r="F997" t="s">
        <v>226</v>
      </c>
      <c r="G997" s="77">
        <v>1196</v>
      </c>
      <c r="H997" s="126">
        <v>113.9</v>
      </c>
      <c r="I997" s="124">
        <v>168.57</v>
      </c>
      <c r="J997" s="124">
        <v>117.01</v>
      </c>
      <c r="K997" s="77">
        <v>520</v>
      </c>
      <c r="L997" s="124">
        <v>805.58</v>
      </c>
    </row>
    <row r="998" spans="1:12" ht="15" customHeight="1" x14ac:dyDescent="0.25">
      <c r="A998" s="78">
        <v>45962</v>
      </c>
      <c r="B998" t="s">
        <v>386</v>
      </c>
      <c r="C998" t="s">
        <v>387</v>
      </c>
      <c r="D998" t="s">
        <v>223</v>
      </c>
      <c r="E998" t="s">
        <v>2340</v>
      </c>
      <c r="F998" t="s">
        <v>222</v>
      </c>
      <c r="G998" s="77">
        <v>1114</v>
      </c>
      <c r="H998" s="126">
        <v>106.1</v>
      </c>
      <c r="I998" s="124">
        <v>157.03</v>
      </c>
      <c r="J998" s="124">
        <v>130.75</v>
      </c>
      <c r="K998" s="77">
        <v>450</v>
      </c>
      <c r="L998" s="124">
        <v>737.78</v>
      </c>
    </row>
    <row r="999" spans="1:12" ht="15" customHeight="1" x14ac:dyDescent="0.25">
      <c r="A999" s="78">
        <v>45962</v>
      </c>
      <c r="B999" t="s">
        <v>386</v>
      </c>
      <c r="C999" t="s">
        <v>387</v>
      </c>
      <c r="D999" t="s">
        <v>223</v>
      </c>
      <c r="E999" t="s">
        <v>2324</v>
      </c>
      <c r="F999" t="s">
        <v>222</v>
      </c>
      <c r="G999" s="77">
        <v>1051</v>
      </c>
      <c r="H999" s="126">
        <v>100.1</v>
      </c>
      <c r="I999" s="124">
        <v>148.15</v>
      </c>
      <c r="J999" s="124">
        <v>123.95</v>
      </c>
      <c r="K999" s="77">
        <v>380</v>
      </c>
      <c r="L999" s="124">
        <v>652.1</v>
      </c>
    </row>
    <row r="1000" spans="1:12" ht="15" customHeight="1" x14ac:dyDescent="0.25">
      <c r="A1000" s="78">
        <v>45962</v>
      </c>
      <c r="B1000" t="s">
        <v>386</v>
      </c>
      <c r="C1000" t="s">
        <v>387</v>
      </c>
      <c r="D1000" t="s">
        <v>223</v>
      </c>
      <c r="E1000" t="s">
        <v>2274</v>
      </c>
      <c r="F1000" t="s">
        <v>228</v>
      </c>
      <c r="G1000" s="77">
        <v>1008</v>
      </c>
      <c r="H1000" s="126">
        <v>118.6</v>
      </c>
      <c r="I1000" s="124">
        <v>175.53</v>
      </c>
      <c r="J1000" s="124">
        <v>266.97000000000003</v>
      </c>
      <c r="K1000" s="77">
        <v>380</v>
      </c>
      <c r="L1000" s="124">
        <v>822.5</v>
      </c>
    </row>
    <row r="1001" spans="1:12" ht="15" customHeight="1" x14ac:dyDescent="0.25">
      <c r="A1001" s="78">
        <v>45962</v>
      </c>
      <c r="B1001" t="s">
        <v>386</v>
      </c>
      <c r="C1001" t="s">
        <v>387</v>
      </c>
      <c r="D1001" t="s">
        <v>223</v>
      </c>
      <c r="E1001" t="s">
        <v>2294</v>
      </c>
      <c r="F1001" t="s">
        <v>224</v>
      </c>
      <c r="G1001" s="77">
        <v>801</v>
      </c>
      <c r="H1001" s="126">
        <v>94.2</v>
      </c>
      <c r="I1001" s="124">
        <v>139.41999999999999</v>
      </c>
      <c r="J1001" s="124">
        <v>68.73</v>
      </c>
      <c r="K1001" s="77">
        <v>380</v>
      </c>
      <c r="L1001" s="124">
        <v>588.15</v>
      </c>
    </row>
    <row r="1002" spans="1:12" ht="15" customHeight="1" x14ac:dyDescent="0.25">
      <c r="A1002" s="78">
        <v>45962</v>
      </c>
      <c r="B1002" t="s">
        <v>341</v>
      </c>
      <c r="C1002" t="s">
        <v>342</v>
      </c>
      <c r="D1002" t="s">
        <v>223</v>
      </c>
      <c r="E1002" t="s">
        <v>2353</v>
      </c>
      <c r="F1002" t="s">
        <v>228</v>
      </c>
      <c r="G1002" s="77">
        <v>702</v>
      </c>
      <c r="H1002" s="126">
        <v>82.6</v>
      </c>
      <c r="I1002" s="124">
        <v>122.25</v>
      </c>
      <c r="J1002" s="124">
        <v>121.98</v>
      </c>
      <c r="K1002" s="77">
        <v>520</v>
      </c>
      <c r="L1002" s="124">
        <v>764.23</v>
      </c>
    </row>
    <row r="1003" spans="1:12" ht="15" customHeight="1" x14ac:dyDescent="0.25">
      <c r="A1003" s="78">
        <v>45962</v>
      </c>
      <c r="B1003" t="s">
        <v>341</v>
      </c>
      <c r="C1003" t="s">
        <v>342</v>
      </c>
      <c r="D1003" t="s">
        <v>223</v>
      </c>
      <c r="E1003" t="s">
        <v>2324</v>
      </c>
      <c r="F1003" t="s">
        <v>228</v>
      </c>
      <c r="G1003" s="77">
        <v>745</v>
      </c>
      <c r="H1003" s="126">
        <v>87.6</v>
      </c>
      <c r="I1003" s="124">
        <v>129.65</v>
      </c>
      <c r="J1003" s="124">
        <v>262.76</v>
      </c>
      <c r="K1003" s="77">
        <v>380</v>
      </c>
      <c r="L1003" s="124">
        <v>772.41</v>
      </c>
    </row>
    <row r="1004" spans="1:12" ht="15" customHeight="1" x14ac:dyDescent="0.25">
      <c r="A1004" s="78">
        <v>45962</v>
      </c>
      <c r="B1004" t="s">
        <v>341</v>
      </c>
      <c r="C1004" t="s">
        <v>342</v>
      </c>
      <c r="D1004" t="s">
        <v>223</v>
      </c>
      <c r="E1004" t="s">
        <v>2359</v>
      </c>
      <c r="F1004" t="s">
        <v>228</v>
      </c>
      <c r="G1004" s="77">
        <v>826</v>
      </c>
      <c r="H1004" s="126">
        <v>97.2</v>
      </c>
      <c r="I1004" s="124">
        <v>143.86000000000001</v>
      </c>
      <c r="J1004" s="124">
        <v>291.08999999999997</v>
      </c>
      <c r="K1004" s="77">
        <v>520</v>
      </c>
      <c r="L1004" s="124">
        <v>954.95</v>
      </c>
    </row>
    <row r="1005" spans="1:12" ht="15" customHeight="1" x14ac:dyDescent="0.25">
      <c r="A1005" s="78">
        <v>45962</v>
      </c>
      <c r="B1005" t="s">
        <v>341</v>
      </c>
      <c r="C1005" t="s">
        <v>342</v>
      </c>
      <c r="D1005" t="s">
        <v>223</v>
      </c>
      <c r="E1005" t="s">
        <v>2302</v>
      </c>
      <c r="F1005" t="s">
        <v>222</v>
      </c>
      <c r="G1005" s="77">
        <v>1058</v>
      </c>
      <c r="H1005" s="126">
        <v>100.8</v>
      </c>
      <c r="I1005" s="124">
        <v>149.18</v>
      </c>
      <c r="J1005" s="124">
        <v>0</v>
      </c>
      <c r="K1005" s="77">
        <v>520</v>
      </c>
      <c r="L1005" s="124">
        <v>669.18</v>
      </c>
    </row>
    <row r="1006" spans="1:12" ht="15" customHeight="1" x14ac:dyDescent="0.25">
      <c r="A1006" s="78">
        <v>45962</v>
      </c>
      <c r="B1006" t="s">
        <v>341</v>
      </c>
      <c r="C1006" t="s">
        <v>342</v>
      </c>
      <c r="D1006" t="s">
        <v>223</v>
      </c>
      <c r="E1006" t="s">
        <v>2292</v>
      </c>
      <c r="F1006" t="s">
        <v>224</v>
      </c>
      <c r="G1006" s="77">
        <v>1213</v>
      </c>
      <c r="H1006" s="126">
        <v>142.69999999999999</v>
      </c>
      <c r="I1006" s="124">
        <v>211.2</v>
      </c>
      <c r="J1006" s="124">
        <v>214.86</v>
      </c>
      <c r="K1006" s="77">
        <v>520</v>
      </c>
      <c r="L1006" s="124">
        <v>946.06</v>
      </c>
    </row>
    <row r="1007" spans="1:12" ht="15" customHeight="1" x14ac:dyDescent="0.25">
      <c r="A1007" s="78">
        <v>45962</v>
      </c>
      <c r="B1007" t="s">
        <v>347</v>
      </c>
      <c r="C1007" t="s">
        <v>348</v>
      </c>
      <c r="D1007" t="s">
        <v>223</v>
      </c>
      <c r="E1007" t="s">
        <v>2269</v>
      </c>
      <c r="F1007" t="s">
        <v>222</v>
      </c>
      <c r="G1007" s="77">
        <v>801</v>
      </c>
      <c r="H1007" s="126">
        <v>76.3</v>
      </c>
      <c r="I1007" s="124">
        <v>112.92</v>
      </c>
      <c r="J1007" s="124">
        <v>183.62</v>
      </c>
      <c r="K1007" s="77">
        <v>520</v>
      </c>
      <c r="L1007" s="124">
        <v>816.54</v>
      </c>
    </row>
    <row r="1008" spans="1:12" ht="15" customHeight="1" x14ac:dyDescent="0.25">
      <c r="A1008" s="78">
        <v>45962</v>
      </c>
      <c r="B1008" t="s">
        <v>347</v>
      </c>
      <c r="C1008" t="s">
        <v>348</v>
      </c>
      <c r="D1008" t="s">
        <v>223</v>
      </c>
      <c r="E1008" t="s">
        <v>2281</v>
      </c>
      <c r="F1008" t="s">
        <v>226</v>
      </c>
      <c r="G1008" s="77">
        <v>835</v>
      </c>
      <c r="H1008" s="126">
        <v>79.5</v>
      </c>
      <c r="I1008" s="124">
        <v>117.66</v>
      </c>
      <c r="J1008" s="124">
        <v>157.81</v>
      </c>
      <c r="K1008" s="77">
        <v>380</v>
      </c>
      <c r="L1008" s="124">
        <v>655.47</v>
      </c>
    </row>
    <row r="1009" spans="1:12" ht="15" customHeight="1" x14ac:dyDescent="0.25">
      <c r="A1009" s="78">
        <v>45962</v>
      </c>
      <c r="B1009" t="s">
        <v>347</v>
      </c>
      <c r="C1009" t="s">
        <v>348</v>
      </c>
      <c r="D1009" t="s">
        <v>223</v>
      </c>
      <c r="E1009" t="s">
        <v>2309</v>
      </c>
      <c r="F1009" t="s">
        <v>222</v>
      </c>
      <c r="G1009" s="77">
        <v>733</v>
      </c>
      <c r="H1009" s="126">
        <v>69.8</v>
      </c>
      <c r="I1009" s="124">
        <v>103.3</v>
      </c>
      <c r="J1009" s="124">
        <v>6.55</v>
      </c>
      <c r="K1009" s="77">
        <v>320</v>
      </c>
      <c r="L1009" s="124">
        <v>429.85</v>
      </c>
    </row>
    <row r="1010" spans="1:12" ht="15" customHeight="1" x14ac:dyDescent="0.25">
      <c r="A1010" s="78">
        <v>45962</v>
      </c>
      <c r="B1010" t="s">
        <v>347</v>
      </c>
      <c r="C1010" t="s">
        <v>348</v>
      </c>
      <c r="D1010" t="s">
        <v>223</v>
      </c>
      <c r="E1010" t="s">
        <v>2298</v>
      </c>
      <c r="F1010" t="s">
        <v>222</v>
      </c>
      <c r="G1010" s="77">
        <v>954</v>
      </c>
      <c r="H1010" s="126">
        <v>90.9</v>
      </c>
      <c r="I1010" s="124">
        <v>134.53</v>
      </c>
      <c r="J1010" s="124">
        <v>140.1</v>
      </c>
      <c r="K1010" s="77">
        <v>380</v>
      </c>
      <c r="L1010" s="124">
        <v>654.63</v>
      </c>
    </row>
    <row r="1011" spans="1:12" ht="15" customHeight="1" x14ac:dyDescent="0.25">
      <c r="A1011" s="78">
        <v>45962</v>
      </c>
      <c r="B1011" t="s">
        <v>347</v>
      </c>
      <c r="C1011" t="s">
        <v>348</v>
      </c>
      <c r="D1011" t="s">
        <v>223</v>
      </c>
      <c r="E1011" t="s">
        <v>2348</v>
      </c>
      <c r="F1011" t="s">
        <v>224</v>
      </c>
      <c r="G1011" s="77">
        <v>950</v>
      </c>
      <c r="H1011" s="126">
        <v>111.8</v>
      </c>
      <c r="I1011" s="124">
        <v>165.46</v>
      </c>
      <c r="J1011" s="124">
        <v>55.28</v>
      </c>
      <c r="K1011" s="77">
        <v>320</v>
      </c>
      <c r="L1011" s="124">
        <v>540.74</v>
      </c>
    </row>
    <row r="1012" spans="1:12" ht="15" customHeight="1" x14ac:dyDescent="0.25">
      <c r="A1012" s="78">
        <v>45962</v>
      </c>
      <c r="B1012" t="s">
        <v>409</v>
      </c>
      <c r="C1012" t="s">
        <v>410</v>
      </c>
      <c r="D1012" t="s">
        <v>223</v>
      </c>
      <c r="E1012" t="s">
        <v>2222</v>
      </c>
      <c r="F1012" t="s">
        <v>224</v>
      </c>
      <c r="G1012" s="77">
        <v>950</v>
      </c>
      <c r="H1012" s="126">
        <v>111.8</v>
      </c>
      <c r="I1012" s="124">
        <v>165.46</v>
      </c>
      <c r="J1012" s="124">
        <v>171.54</v>
      </c>
      <c r="K1012" s="77">
        <v>450</v>
      </c>
      <c r="L1012" s="124">
        <v>787</v>
      </c>
    </row>
    <row r="1013" spans="1:12" ht="15" customHeight="1" x14ac:dyDescent="0.25">
      <c r="A1013" s="78">
        <v>45962</v>
      </c>
      <c r="B1013" t="s">
        <v>409</v>
      </c>
      <c r="C1013" t="s">
        <v>410</v>
      </c>
      <c r="D1013" t="s">
        <v>223</v>
      </c>
      <c r="E1013" t="s">
        <v>2237</v>
      </c>
      <c r="F1013" t="s">
        <v>228</v>
      </c>
      <c r="G1013" s="77">
        <v>1038</v>
      </c>
      <c r="H1013" s="126">
        <v>122.1</v>
      </c>
      <c r="I1013" s="124">
        <v>180.71</v>
      </c>
      <c r="J1013" s="124">
        <v>264.60000000000002</v>
      </c>
      <c r="K1013" s="77">
        <v>450</v>
      </c>
      <c r="L1013" s="124">
        <v>895.31</v>
      </c>
    </row>
    <row r="1014" spans="1:12" ht="15" customHeight="1" x14ac:dyDescent="0.25">
      <c r="A1014" s="78">
        <v>45962</v>
      </c>
      <c r="B1014" t="s">
        <v>409</v>
      </c>
      <c r="C1014" t="s">
        <v>410</v>
      </c>
      <c r="D1014" t="s">
        <v>223</v>
      </c>
      <c r="E1014" t="s">
        <v>2297</v>
      </c>
      <c r="F1014" t="s">
        <v>228</v>
      </c>
      <c r="G1014" s="77">
        <v>882</v>
      </c>
      <c r="H1014" s="126">
        <v>103.8</v>
      </c>
      <c r="I1014" s="124">
        <v>153.62</v>
      </c>
      <c r="J1014" s="124">
        <v>343.74</v>
      </c>
      <c r="K1014" s="77">
        <v>320</v>
      </c>
      <c r="L1014" s="124">
        <v>817.36</v>
      </c>
    </row>
    <row r="1015" spans="1:12" ht="15" customHeight="1" x14ac:dyDescent="0.25">
      <c r="A1015" s="78">
        <v>45962</v>
      </c>
      <c r="B1015" t="s">
        <v>409</v>
      </c>
      <c r="C1015" t="s">
        <v>410</v>
      </c>
      <c r="D1015" t="s">
        <v>223</v>
      </c>
      <c r="E1015" t="s">
        <v>2357</v>
      </c>
      <c r="F1015" t="s">
        <v>222</v>
      </c>
      <c r="G1015" s="77">
        <v>755</v>
      </c>
      <c r="H1015" s="126">
        <v>71.900000000000006</v>
      </c>
      <c r="I1015" s="124">
        <v>106.41</v>
      </c>
      <c r="J1015" s="124">
        <v>189</v>
      </c>
      <c r="K1015" s="77">
        <v>520</v>
      </c>
      <c r="L1015" s="124">
        <v>815.41</v>
      </c>
    </row>
    <row r="1016" spans="1:12" ht="15" customHeight="1" x14ac:dyDescent="0.25">
      <c r="A1016" s="78">
        <v>45962</v>
      </c>
      <c r="B1016" t="s">
        <v>488</v>
      </c>
      <c r="C1016" t="s">
        <v>489</v>
      </c>
      <c r="D1016" t="s">
        <v>225</v>
      </c>
      <c r="E1016" t="s">
        <v>2345</v>
      </c>
      <c r="F1016" t="s">
        <v>222</v>
      </c>
      <c r="G1016" s="77">
        <v>1345</v>
      </c>
      <c r="H1016" s="126">
        <v>128.1</v>
      </c>
      <c r="I1016" s="124">
        <v>189.59</v>
      </c>
      <c r="J1016" s="124">
        <v>188.47</v>
      </c>
      <c r="K1016" s="77">
        <v>520</v>
      </c>
      <c r="L1016" s="124">
        <v>898.06</v>
      </c>
    </row>
    <row r="1017" spans="1:12" ht="15" customHeight="1" x14ac:dyDescent="0.25">
      <c r="A1017" s="78">
        <v>45962</v>
      </c>
      <c r="B1017" t="s">
        <v>488</v>
      </c>
      <c r="C1017" t="s">
        <v>489</v>
      </c>
      <c r="D1017" t="s">
        <v>225</v>
      </c>
      <c r="E1017" t="s">
        <v>2304</v>
      </c>
      <c r="F1017" t="s">
        <v>224</v>
      </c>
      <c r="G1017" s="77">
        <v>999</v>
      </c>
      <c r="H1017" s="126">
        <v>117.5</v>
      </c>
      <c r="I1017" s="124">
        <v>173.9</v>
      </c>
      <c r="J1017" s="124">
        <v>107.74</v>
      </c>
      <c r="K1017" s="77">
        <v>320</v>
      </c>
      <c r="L1017" s="124">
        <v>601.64</v>
      </c>
    </row>
    <row r="1018" spans="1:12" ht="15" customHeight="1" x14ac:dyDescent="0.25">
      <c r="A1018" s="78">
        <v>45962</v>
      </c>
      <c r="B1018" t="s">
        <v>488</v>
      </c>
      <c r="C1018" t="s">
        <v>489</v>
      </c>
      <c r="D1018" t="s">
        <v>225</v>
      </c>
      <c r="E1018" t="s">
        <v>2248</v>
      </c>
      <c r="F1018" t="s">
        <v>222</v>
      </c>
      <c r="G1018" s="77">
        <v>1309</v>
      </c>
      <c r="H1018" s="126">
        <v>124.7</v>
      </c>
      <c r="I1018" s="124">
        <v>184.56</v>
      </c>
      <c r="J1018" s="124">
        <v>36.159999999999997</v>
      </c>
      <c r="K1018" s="77">
        <v>380</v>
      </c>
      <c r="L1018" s="124">
        <v>600.72</v>
      </c>
    </row>
    <row r="1019" spans="1:12" ht="15" customHeight="1" x14ac:dyDescent="0.25">
      <c r="A1019" s="78">
        <v>45962</v>
      </c>
      <c r="B1019" t="s">
        <v>488</v>
      </c>
      <c r="C1019" t="s">
        <v>489</v>
      </c>
      <c r="D1019" t="s">
        <v>225</v>
      </c>
      <c r="E1019" t="s">
        <v>2328</v>
      </c>
      <c r="F1019" t="s">
        <v>222</v>
      </c>
      <c r="G1019" s="77">
        <v>807</v>
      </c>
      <c r="H1019" s="126">
        <v>76.900000000000006</v>
      </c>
      <c r="I1019" s="124">
        <v>113.81</v>
      </c>
      <c r="J1019" s="124">
        <v>118.2</v>
      </c>
      <c r="K1019" s="77">
        <v>520</v>
      </c>
      <c r="L1019" s="124">
        <v>752.01</v>
      </c>
    </row>
    <row r="1020" spans="1:12" ht="15" customHeight="1" x14ac:dyDescent="0.25">
      <c r="A1020" s="78">
        <v>45962</v>
      </c>
      <c r="B1020" t="s">
        <v>406</v>
      </c>
      <c r="C1020" t="s">
        <v>407</v>
      </c>
      <c r="D1020" t="s">
        <v>225</v>
      </c>
      <c r="E1020" t="s">
        <v>2316</v>
      </c>
      <c r="F1020" t="s">
        <v>228</v>
      </c>
      <c r="G1020" s="77">
        <v>1359</v>
      </c>
      <c r="H1020" s="126">
        <v>159.9</v>
      </c>
      <c r="I1020" s="124">
        <v>236.65</v>
      </c>
      <c r="J1020" s="124">
        <v>280.38</v>
      </c>
      <c r="K1020" s="77">
        <v>520</v>
      </c>
      <c r="L1020" s="124">
        <v>1037.03</v>
      </c>
    </row>
    <row r="1021" spans="1:12" ht="15" customHeight="1" x14ac:dyDescent="0.25">
      <c r="A1021" s="78">
        <v>45962</v>
      </c>
      <c r="B1021" t="s">
        <v>406</v>
      </c>
      <c r="C1021" t="s">
        <v>407</v>
      </c>
      <c r="D1021" t="s">
        <v>225</v>
      </c>
      <c r="E1021" t="s">
        <v>2296</v>
      </c>
      <c r="F1021" t="s">
        <v>226</v>
      </c>
      <c r="G1021" s="77">
        <v>807</v>
      </c>
      <c r="H1021" s="126">
        <v>76.900000000000006</v>
      </c>
      <c r="I1021" s="124">
        <v>113.81</v>
      </c>
      <c r="J1021" s="124">
        <v>125.18</v>
      </c>
      <c r="K1021" s="77">
        <v>520</v>
      </c>
      <c r="L1021" s="124">
        <v>758.99</v>
      </c>
    </row>
    <row r="1022" spans="1:12" ht="15" customHeight="1" x14ac:dyDescent="0.25">
      <c r="A1022" s="78">
        <v>45962</v>
      </c>
      <c r="B1022" t="s">
        <v>406</v>
      </c>
      <c r="C1022" t="s">
        <v>407</v>
      </c>
      <c r="D1022" t="s">
        <v>225</v>
      </c>
      <c r="E1022" t="s">
        <v>2277</v>
      </c>
      <c r="F1022" t="s">
        <v>222</v>
      </c>
      <c r="G1022" s="77">
        <v>896</v>
      </c>
      <c r="H1022" s="126">
        <v>85.3</v>
      </c>
      <c r="I1022" s="124">
        <v>126.24</v>
      </c>
      <c r="J1022" s="124">
        <v>93.22</v>
      </c>
      <c r="K1022" s="77">
        <v>380</v>
      </c>
      <c r="L1022" s="124">
        <v>599.46</v>
      </c>
    </row>
    <row r="1023" spans="1:12" ht="15" customHeight="1" x14ac:dyDescent="0.25">
      <c r="A1023" s="78">
        <v>45962</v>
      </c>
      <c r="B1023" t="s">
        <v>406</v>
      </c>
      <c r="C1023" t="s">
        <v>407</v>
      </c>
      <c r="D1023" t="s">
        <v>225</v>
      </c>
      <c r="E1023" t="s">
        <v>2312</v>
      </c>
      <c r="F1023" t="s">
        <v>226</v>
      </c>
      <c r="G1023" s="77">
        <v>1294</v>
      </c>
      <c r="H1023" s="126">
        <v>123.2</v>
      </c>
      <c r="I1023" s="124">
        <v>182.34</v>
      </c>
      <c r="J1023" s="124">
        <v>40.26</v>
      </c>
      <c r="K1023" s="77">
        <v>450</v>
      </c>
      <c r="L1023" s="124">
        <v>672.6</v>
      </c>
    </row>
    <row r="1024" spans="1:12" ht="15" customHeight="1" x14ac:dyDescent="0.25">
      <c r="A1024" s="78">
        <v>45962</v>
      </c>
      <c r="B1024" t="s">
        <v>358</v>
      </c>
      <c r="C1024" t="s">
        <v>359</v>
      </c>
      <c r="D1024" t="s">
        <v>225</v>
      </c>
      <c r="E1024" t="s">
        <v>2340</v>
      </c>
      <c r="F1024" t="s">
        <v>228</v>
      </c>
      <c r="G1024" s="77">
        <v>1452</v>
      </c>
      <c r="H1024" s="126">
        <v>170.8</v>
      </c>
      <c r="I1024" s="124">
        <v>252.78</v>
      </c>
      <c r="J1024" s="124">
        <v>316.26</v>
      </c>
      <c r="K1024" s="77">
        <v>380</v>
      </c>
      <c r="L1024" s="124">
        <v>949.04</v>
      </c>
    </row>
    <row r="1025" spans="1:12" ht="15" customHeight="1" x14ac:dyDescent="0.25">
      <c r="A1025" s="78">
        <v>45962</v>
      </c>
      <c r="B1025" t="s">
        <v>358</v>
      </c>
      <c r="C1025" t="s">
        <v>359</v>
      </c>
      <c r="D1025" t="s">
        <v>225</v>
      </c>
      <c r="E1025" t="s">
        <v>2359</v>
      </c>
      <c r="F1025" t="s">
        <v>228</v>
      </c>
      <c r="G1025" s="77">
        <v>1322</v>
      </c>
      <c r="H1025" s="126">
        <v>155.5</v>
      </c>
      <c r="I1025" s="124">
        <v>230.14</v>
      </c>
      <c r="J1025" s="124">
        <v>212.96</v>
      </c>
      <c r="K1025" s="77">
        <v>520</v>
      </c>
      <c r="L1025" s="124">
        <v>963.1</v>
      </c>
    </row>
    <row r="1026" spans="1:12" ht="15" customHeight="1" x14ac:dyDescent="0.25">
      <c r="A1026" s="78">
        <v>45962</v>
      </c>
      <c r="B1026" t="s">
        <v>358</v>
      </c>
      <c r="C1026" t="s">
        <v>359</v>
      </c>
      <c r="D1026" t="s">
        <v>225</v>
      </c>
      <c r="E1026" t="s">
        <v>2344</v>
      </c>
      <c r="F1026" t="s">
        <v>226</v>
      </c>
      <c r="G1026" s="77">
        <v>1012</v>
      </c>
      <c r="H1026" s="126">
        <v>96.4</v>
      </c>
      <c r="I1026" s="124">
        <v>142.66999999999999</v>
      </c>
      <c r="J1026" s="124">
        <v>35.35</v>
      </c>
      <c r="K1026" s="77">
        <v>320</v>
      </c>
      <c r="L1026" s="124">
        <v>498.02</v>
      </c>
    </row>
    <row r="1027" spans="1:12" ht="15" customHeight="1" x14ac:dyDescent="0.25">
      <c r="A1027" s="78">
        <v>45962</v>
      </c>
      <c r="B1027" t="s">
        <v>383</v>
      </c>
      <c r="C1027" t="s">
        <v>384</v>
      </c>
      <c r="D1027" t="s">
        <v>225</v>
      </c>
      <c r="E1027" t="s">
        <v>2274</v>
      </c>
      <c r="F1027" t="s">
        <v>226</v>
      </c>
      <c r="G1027" s="77">
        <v>918</v>
      </c>
      <c r="H1027" s="126">
        <v>87.4</v>
      </c>
      <c r="I1027" s="124">
        <v>129.35</v>
      </c>
      <c r="J1027" s="124">
        <v>189.49</v>
      </c>
      <c r="K1027" s="77">
        <v>380</v>
      </c>
      <c r="L1027" s="124">
        <v>698.84</v>
      </c>
    </row>
    <row r="1028" spans="1:12" ht="15" customHeight="1" x14ac:dyDescent="0.25">
      <c r="A1028" s="78">
        <v>45962</v>
      </c>
      <c r="B1028" t="s">
        <v>383</v>
      </c>
      <c r="C1028" t="s">
        <v>384</v>
      </c>
      <c r="D1028" t="s">
        <v>225</v>
      </c>
      <c r="E1028" t="s">
        <v>2359</v>
      </c>
      <c r="F1028" t="s">
        <v>228</v>
      </c>
      <c r="G1028" s="77">
        <v>1374</v>
      </c>
      <c r="H1028" s="126">
        <v>161.6</v>
      </c>
      <c r="I1028" s="124">
        <v>239.17</v>
      </c>
      <c r="J1028" s="124">
        <v>161.43</v>
      </c>
      <c r="K1028" s="77">
        <v>520</v>
      </c>
      <c r="L1028" s="124">
        <v>920.6</v>
      </c>
    </row>
    <row r="1029" spans="1:12" ht="15" customHeight="1" x14ac:dyDescent="0.25">
      <c r="A1029" s="78">
        <v>45962</v>
      </c>
      <c r="B1029" t="s">
        <v>383</v>
      </c>
      <c r="C1029" t="s">
        <v>384</v>
      </c>
      <c r="D1029" t="s">
        <v>225</v>
      </c>
      <c r="E1029" t="s">
        <v>2311</v>
      </c>
      <c r="F1029" t="s">
        <v>222</v>
      </c>
      <c r="G1029" s="77">
        <v>958</v>
      </c>
      <c r="H1029" s="126">
        <v>91.2</v>
      </c>
      <c r="I1029" s="124">
        <v>134.97999999999999</v>
      </c>
      <c r="J1029" s="124">
        <v>137.9</v>
      </c>
      <c r="K1029" s="77">
        <v>520</v>
      </c>
      <c r="L1029" s="124">
        <v>792.88</v>
      </c>
    </row>
    <row r="1030" spans="1:12" ht="15" customHeight="1" x14ac:dyDescent="0.25">
      <c r="A1030" s="78">
        <v>45962</v>
      </c>
      <c r="B1030" t="s">
        <v>383</v>
      </c>
      <c r="C1030" t="s">
        <v>384</v>
      </c>
      <c r="D1030" t="s">
        <v>225</v>
      </c>
      <c r="E1030" t="s">
        <v>2341</v>
      </c>
      <c r="F1030" t="s">
        <v>222</v>
      </c>
      <c r="G1030" s="77">
        <v>701</v>
      </c>
      <c r="H1030" s="126">
        <v>66.8</v>
      </c>
      <c r="I1030" s="124">
        <v>98.86</v>
      </c>
      <c r="J1030" s="124">
        <v>197.31</v>
      </c>
      <c r="K1030" s="77">
        <v>380</v>
      </c>
      <c r="L1030" s="124">
        <v>676.17</v>
      </c>
    </row>
    <row r="1031" spans="1:12" ht="15" customHeight="1" x14ac:dyDescent="0.25">
      <c r="A1031" s="78">
        <v>45962</v>
      </c>
      <c r="B1031" t="s">
        <v>383</v>
      </c>
      <c r="C1031" t="s">
        <v>384</v>
      </c>
      <c r="D1031" t="s">
        <v>225</v>
      </c>
      <c r="E1031" t="s">
        <v>2251</v>
      </c>
      <c r="F1031" t="s">
        <v>228</v>
      </c>
      <c r="G1031" s="77">
        <v>869</v>
      </c>
      <c r="H1031" s="126">
        <v>102.2</v>
      </c>
      <c r="I1031" s="124">
        <v>151.26</v>
      </c>
      <c r="J1031" s="124">
        <v>234.37</v>
      </c>
      <c r="K1031" s="77">
        <v>380</v>
      </c>
      <c r="L1031" s="124">
        <v>765.63</v>
      </c>
    </row>
    <row r="1032" spans="1:12" ht="15" customHeight="1" x14ac:dyDescent="0.25">
      <c r="A1032" s="78">
        <v>45962</v>
      </c>
      <c r="B1032" t="s">
        <v>383</v>
      </c>
      <c r="C1032" t="s">
        <v>384</v>
      </c>
      <c r="D1032" t="s">
        <v>225</v>
      </c>
      <c r="E1032" t="s">
        <v>2351</v>
      </c>
      <c r="F1032" t="s">
        <v>226</v>
      </c>
      <c r="G1032" s="77">
        <v>937</v>
      </c>
      <c r="H1032" s="126">
        <v>89.2</v>
      </c>
      <c r="I1032" s="124">
        <v>132.02000000000001</v>
      </c>
      <c r="J1032" s="124">
        <v>86.85</v>
      </c>
      <c r="K1032" s="77">
        <v>450</v>
      </c>
      <c r="L1032" s="124">
        <v>668.87</v>
      </c>
    </row>
    <row r="1033" spans="1:12" ht="15" customHeight="1" x14ac:dyDescent="0.25">
      <c r="A1033" s="78">
        <v>45962</v>
      </c>
      <c r="B1033" t="s">
        <v>373</v>
      </c>
      <c r="C1033" t="s">
        <v>374</v>
      </c>
      <c r="D1033" t="s">
        <v>225</v>
      </c>
      <c r="E1033" t="s">
        <v>2283</v>
      </c>
      <c r="F1033" t="s">
        <v>222</v>
      </c>
      <c r="G1033" s="77">
        <v>1048</v>
      </c>
      <c r="H1033" s="126">
        <v>99.8</v>
      </c>
      <c r="I1033" s="124">
        <v>147.69999999999999</v>
      </c>
      <c r="J1033" s="124">
        <v>132.75</v>
      </c>
      <c r="K1033" s="77">
        <v>380</v>
      </c>
      <c r="L1033" s="124">
        <v>660.45</v>
      </c>
    </row>
    <row r="1034" spans="1:12" ht="15" customHeight="1" x14ac:dyDescent="0.25">
      <c r="A1034" s="78">
        <v>45962</v>
      </c>
      <c r="B1034" t="s">
        <v>373</v>
      </c>
      <c r="C1034" t="s">
        <v>374</v>
      </c>
      <c r="D1034" t="s">
        <v>225</v>
      </c>
      <c r="E1034" t="s">
        <v>2251</v>
      </c>
      <c r="F1034" t="s">
        <v>228</v>
      </c>
      <c r="G1034" s="77">
        <v>957</v>
      </c>
      <c r="H1034" s="126">
        <v>112.6</v>
      </c>
      <c r="I1034" s="124">
        <v>166.65</v>
      </c>
      <c r="J1034" s="124">
        <v>191.72</v>
      </c>
      <c r="K1034" s="77">
        <v>450</v>
      </c>
      <c r="L1034" s="124">
        <v>808.37</v>
      </c>
    </row>
    <row r="1035" spans="1:12" ht="15" customHeight="1" x14ac:dyDescent="0.25">
      <c r="A1035" s="78">
        <v>45962</v>
      </c>
      <c r="B1035" t="s">
        <v>373</v>
      </c>
      <c r="C1035" t="s">
        <v>374</v>
      </c>
      <c r="D1035" t="s">
        <v>225</v>
      </c>
      <c r="E1035" t="s">
        <v>2342</v>
      </c>
      <c r="F1035" t="s">
        <v>222</v>
      </c>
      <c r="G1035" s="77">
        <v>1129</v>
      </c>
      <c r="H1035" s="126">
        <v>107.5</v>
      </c>
      <c r="I1035" s="124">
        <v>159.1</v>
      </c>
      <c r="J1035" s="124">
        <v>282.29000000000002</v>
      </c>
      <c r="K1035" s="77">
        <v>380</v>
      </c>
      <c r="L1035" s="124">
        <v>821.39</v>
      </c>
    </row>
    <row r="1036" spans="1:12" ht="15" customHeight="1" x14ac:dyDescent="0.25">
      <c r="A1036" s="78">
        <v>45962</v>
      </c>
      <c r="B1036" t="s">
        <v>354</v>
      </c>
      <c r="C1036" t="s">
        <v>355</v>
      </c>
      <c r="D1036" t="s">
        <v>227</v>
      </c>
      <c r="E1036" t="s">
        <v>2325</v>
      </c>
      <c r="F1036" t="s">
        <v>222</v>
      </c>
      <c r="G1036" s="77">
        <v>1084</v>
      </c>
      <c r="H1036" s="126">
        <v>103.2</v>
      </c>
      <c r="I1036" s="124">
        <v>152.74</v>
      </c>
      <c r="J1036" s="124">
        <v>229.69</v>
      </c>
      <c r="K1036" s="77">
        <v>320</v>
      </c>
      <c r="L1036" s="124">
        <v>702.43</v>
      </c>
    </row>
    <row r="1037" spans="1:12" ht="15" customHeight="1" x14ac:dyDescent="0.25">
      <c r="A1037" s="78">
        <v>45962</v>
      </c>
      <c r="B1037" t="s">
        <v>354</v>
      </c>
      <c r="C1037" t="s">
        <v>355</v>
      </c>
      <c r="D1037" t="s">
        <v>227</v>
      </c>
      <c r="E1037" t="s">
        <v>2260</v>
      </c>
      <c r="F1037" t="s">
        <v>224</v>
      </c>
      <c r="G1037" s="77">
        <v>702</v>
      </c>
      <c r="H1037" s="126">
        <v>82.6</v>
      </c>
      <c r="I1037" s="124">
        <v>122.25</v>
      </c>
      <c r="J1037" s="124">
        <v>162.62</v>
      </c>
      <c r="K1037" s="77">
        <v>320</v>
      </c>
      <c r="L1037" s="124">
        <v>604.87</v>
      </c>
    </row>
    <row r="1038" spans="1:12" ht="15" customHeight="1" x14ac:dyDescent="0.25">
      <c r="A1038" s="78">
        <v>45962</v>
      </c>
      <c r="B1038" t="s">
        <v>354</v>
      </c>
      <c r="C1038" t="s">
        <v>355</v>
      </c>
      <c r="D1038" t="s">
        <v>227</v>
      </c>
      <c r="E1038" t="s">
        <v>2274</v>
      </c>
      <c r="F1038" t="s">
        <v>226</v>
      </c>
      <c r="G1038" s="77">
        <v>775</v>
      </c>
      <c r="H1038" s="126">
        <v>73.8</v>
      </c>
      <c r="I1038" s="124">
        <v>109.22</v>
      </c>
      <c r="J1038" s="124">
        <v>31.85</v>
      </c>
      <c r="K1038" s="77">
        <v>320</v>
      </c>
      <c r="L1038" s="124">
        <v>461.07</v>
      </c>
    </row>
    <row r="1039" spans="1:12" ht="15" customHeight="1" x14ac:dyDescent="0.25">
      <c r="A1039" s="78">
        <v>45962</v>
      </c>
      <c r="B1039" t="s">
        <v>370</v>
      </c>
      <c r="C1039" t="s">
        <v>371</v>
      </c>
      <c r="D1039" t="s">
        <v>227</v>
      </c>
      <c r="E1039" t="s">
        <v>2305</v>
      </c>
      <c r="F1039" t="s">
        <v>224</v>
      </c>
      <c r="G1039" s="77">
        <v>865</v>
      </c>
      <c r="H1039" s="126">
        <v>101.8</v>
      </c>
      <c r="I1039" s="124">
        <v>150.66</v>
      </c>
      <c r="J1039" s="124">
        <v>245.35</v>
      </c>
      <c r="K1039" s="77">
        <v>380</v>
      </c>
      <c r="L1039" s="124">
        <v>776.01</v>
      </c>
    </row>
    <row r="1040" spans="1:12" ht="15" customHeight="1" x14ac:dyDescent="0.25">
      <c r="A1040" s="78">
        <v>45962</v>
      </c>
      <c r="B1040" t="s">
        <v>370</v>
      </c>
      <c r="C1040" t="s">
        <v>371</v>
      </c>
      <c r="D1040" t="s">
        <v>227</v>
      </c>
      <c r="E1040" t="s">
        <v>2252</v>
      </c>
      <c r="F1040" t="s">
        <v>224</v>
      </c>
      <c r="G1040" s="77">
        <v>1287</v>
      </c>
      <c r="H1040" s="126">
        <v>151.4</v>
      </c>
      <c r="I1040" s="124">
        <v>224.07</v>
      </c>
      <c r="J1040" s="124">
        <v>169.44</v>
      </c>
      <c r="K1040" s="77">
        <v>450</v>
      </c>
      <c r="L1040" s="124">
        <v>843.51</v>
      </c>
    </row>
    <row r="1041" spans="1:12" ht="15" customHeight="1" x14ac:dyDescent="0.25">
      <c r="A1041" s="78">
        <v>45962</v>
      </c>
      <c r="B1041" t="s">
        <v>370</v>
      </c>
      <c r="C1041" t="s">
        <v>371</v>
      </c>
      <c r="D1041" t="s">
        <v>227</v>
      </c>
      <c r="E1041" t="s">
        <v>2232</v>
      </c>
      <c r="F1041" t="s">
        <v>228</v>
      </c>
      <c r="G1041" s="77">
        <v>666</v>
      </c>
      <c r="H1041" s="126">
        <v>78.400000000000006</v>
      </c>
      <c r="I1041" s="124">
        <v>116.03</v>
      </c>
      <c r="J1041" s="124">
        <v>234.3</v>
      </c>
      <c r="K1041" s="77">
        <v>520</v>
      </c>
      <c r="L1041" s="124">
        <v>870.33</v>
      </c>
    </row>
    <row r="1042" spans="1:12" ht="15" customHeight="1" x14ac:dyDescent="0.25">
      <c r="A1042" s="78">
        <v>45962</v>
      </c>
      <c r="B1042" t="s">
        <v>370</v>
      </c>
      <c r="C1042" t="s">
        <v>371</v>
      </c>
      <c r="D1042" t="s">
        <v>227</v>
      </c>
      <c r="E1042" t="s">
        <v>2299</v>
      </c>
      <c r="F1042" t="s">
        <v>224</v>
      </c>
      <c r="G1042" s="77">
        <v>1125</v>
      </c>
      <c r="H1042" s="126">
        <v>132.4</v>
      </c>
      <c r="I1042" s="124">
        <v>195.95</v>
      </c>
      <c r="J1042" s="124">
        <v>164.04</v>
      </c>
      <c r="K1042" s="77">
        <v>380</v>
      </c>
      <c r="L1042" s="124">
        <v>739.99</v>
      </c>
    </row>
    <row r="1043" spans="1:12" ht="15" customHeight="1" x14ac:dyDescent="0.25">
      <c r="A1043" s="78">
        <v>45962</v>
      </c>
      <c r="B1043" t="s">
        <v>370</v>
      </c>
      <c r="C1043" t="s">
        <v>371</v>
      </c>
      <c r="D1043" t="s">
        <v>227</v>
      </c>
      <c r="E1043" t="s">
        <v>2246</v>
      </c>
      <c r="F1043" t="s">
        <v>224</v>
      </c>
      <c r="G1043" s="77">
        <v>589</v>
      </c>
      <c r="H1043" s="126">
        <v>69.3</v>
      </c>
      <c r="I1043" s="124">
        <v>102.56</v>
      </c>
      <c r="J1043" s="124">
        <v>78.77</v>
      </c>
      <c r="K1043" s="77">
        <v>450</v>
      </c>
      <c r="L1043" s="124">
        <v>631.33000000000004</v>
      </c>
    </row>
    <row r="1044" spans="1:12" ht="15" customHeight="1" x14ac:dyDescent="0.25">
      <c r="A1044" s="78">
        <v>45962</v>
      </c>
      <c r="B1044" t="s">
        <v>370</v>
      </c>
      <c r="C1044" t="s">
        <v>371</v>
      </c>
      <c r="D1044" t="s">
        <v>227</v>
      </c>
      <c r="E1044" t="s">
        <v>2255</v>
      </c>
      <c r="F1044" t="s">
        <v>226</v>
      </c>
      <c r="G1044" s="77">
        <v>1033</v>
      </c>
      <c r="H1044" s="126">
        <v>98.4</v>
      </c>
      <c r="I1044" s="124">
        <v>145.63</v>
      </c>
      <c r="J1044" s="124">
        <v>192.9</v>
      </c>
      <c r="K1044" s="77">
        <v>380</v>
      </c>
      <c r="L1044" s="124">
        <v>718.53</v>
      </c>
    </row>
    <row r="1045" spans="1:12" ht="15" customHeight="1" x14ac:dyDescent="0.25">
      <c r="A1045" s="78">
        <v>45962</v>
      </c>
      <c r="B1045" t="s">
        <v>370</v>
      </c>
      <c r="C1045" t="s">
        <v>371</v>
      </c>
      <c r="D1045" t="s">
        <v>227</v>
      </c>
      <c r="E1045" t="s">
        <v>2333</v>
      </c>
      <c r="F1045" t="s">
        <v>228</v>
      </c>
      <c r="G1045" s="77">
        <v>500</v>
      </c>
      <c r="H1045" s="126">
        <v>58.8</v>
      </c>
      <c r="I1045" s="124">
        <v>87.02</v>
      </c>
      <c r="J1045" s="124">
        <v>237.03</v>
      </c>
      <c r="K1045" s="77">
        <v>380</v>
      </c>
      <c r="L1045" s="124">
        <v>704.05</v>
      </c>
    </row>
    <row r="1046" spans="1:12" ht="15" customHeight="1" x14ac:dyDescent="0.25">
      <c r="A1046" s="78">
        <v>45962</v>
      </c>
      <c r="B1046" t="s">
        <v>398</v>
      </c>
      <c r="C1046" t="s">
        <v>399</v>
      </c>
      <c r="D1046" t="s">
        <v>227</v>
      </c>
      <c r="E1046" t="s">
        <v>2357</v>
      </c>
      <c r="F1046" t="s">
        <v>226</v>
      </c>
      <c r="G1046" s="77">
        <v>1085</v>
      </c>
      <c r="H1046" s="126">
        <v>103.3</v>
      </c>
      <c r="I1046" s="124">
        <v>152.88</v>
      </c>
      <c r="J1046" s="124">
        <v>217.97</v>
      </c>
      <c r="K1046" s="77">
        <v>320</v>
      </c>
      <c r="L1046" s="124">
        <v>690.85</v>
      </c>
    </row>
    <row r="1047" spans="1:12" ht="15" customHeight="1" x14ac:dyDescent="0.25">
      <c r="A1047" s="78">
        <v>45962</v>
      </c>
      <c r="B1047" t="s">
        <v>398</v>
      </c>
      <c r="C1047" t="s">
        <v>399</v>
      </c>
      <c r="D1047" t="s">
        <v>227</v>
      </c>
      <c r="E1047" t="s">
        <v>2356</v>
      </c>
      <c r="F1047" t="s">
        <v>224</v>
      </c>
      <c r="G1047" s="77">
        <v>1223</v>
      </c>
      <c r="H1047" s="126">
        <v>143.9</v>
      </c>
      <c r="I1047" s="124">
        <v>212.97</v>
      </c>
      <c r="J1047" s="124">
        <v>196.61</v>
      </c>
      <c r="K1047" s="77">
        <v>520</v>
      </c>
      <c r="L1047" s="124">
        <v>929.58</v>
      </c>
    </row>
    <row r="1048" spans="1:12" ht="15" customHeight="1" x14ac:dyDescent="0.25">
      <c r="A1048" s="78">
        <v>45962</v>
      </c>
      <c r="B1048" t="s">
        <v>398</v>
      </c>
      <c r="C1048" t="s">
        <v>399</v>
      </c>
      <c r="D1048" t="s">
        <v>227</v>
      </c>
      <c r="E1048" t="s">
        <v>2270</v>
      </c>
      <c r="F1048" t="s">
        <v>226</v>
      </c>
      <c r="G1048" s="77">
        <v>850</v>
      </c>
      <c r="H1048" s="126">
        <v>81</v>
      </c>
      <c r="I1048" s="124">
        <v>119.88</v>
      </c>
      <c r="J1048" s="124">
        <v>0</v>
      </c>
      <c r="K1048" s="77">
        <v>520</v>
      </c>
      <c r="L1048" s="124">
        <v>639.88</v>
      </c>
    </row>
    <row r="1049" spans="1:12" ht="15" customHeight="1" x14ac:dyDescent="0.25">
      <c r="A1049" s="78">
        <v>45962</v>
      </c>
      <c r="B1049" t="s">
        <v>398</v>
      </c>
      <c r="C1049" t="s">
        <v>399</v>
      </c>
      <c r="D1049" t="s">
        <v>227</v>
      </c>
      <c r="E1049" t="s">
        <v>2232</v>
      </c>
      <c r="F1049" t="s">
        <v>226</v>
      </c>
      <c r="G1049" s="77">
        <v>951</v>
      </c>
      <c r="H1049" s="126">
        <v>90.6</v>
      </c>
      <c r="I1049" s="124">
        <v>134.09</v>
      </c>
      <c r="J1049" s="124">
        <v>230.13</v>
      </c>
      <c r="K1049" s="77">
        <v>450</v>
      </c>
      <c r="L1049" s="124">
        <v>814.22</v>
      </c>
    </row>
    <row r="1050" spans="1:12" ht="15" customHeight="1" x14ac:dyDescent="0.25">
      <c r="A1050" s="78">
        <v>45962</v>
      </c>
      <c r="B1050" t="s">
        <v>398</v>
      </c>
      <c r="C1050" t="s">
        <v>399</v>
      </c>
      <c r="D1050" t="s">
        <v>227</v>
      </c>
      <c r="E1050" t="s">
        <v>2286</v>
      </c>
      <c r="F1050" t="s">
        <v>226</v>
      </c>
      <c r="G1050" s="77">
        <v>1398</v>
      </c>
      <c r="H1050" s="126">
        <v>133.1</v>
      </c>
      <c r="I1050" s="124">
        <v>196.99</v>
      </c>
      <c r="J1050" s="124">
        <v>206.84</v>
      </c>
      <c r="K1050" s="77">
        <v>520</v>
      </c>
      <c r="L1050" s="124">
        <v>923.83</v>
      </c>
    </row>
    <row r="1051" spans="1:12" ht="15" customHeight="1" x14ac:dyDescent="0.25">
      <c r="A1051" s="78">
        <v>45962</v>
      </c>
      <c r="B1051" t="s">
        <v>398</v>
      </c>
      <c r="C1051" t="s">
        <v>399</v>
      </c>
      <c r="D1051" t="s">
        <v>227</v>
      </c>
      <c r="E1051" t="s">
        <v>2220</v>
      </c>
      <c r="F1051" t="s">
        <v>224</v>
      </c>
      <c r="G1051" s="77">
        <v>1157</v>
      </c>
      <c r="H1051" s="126">
        <v>136.1</v>
      </c>
      <c r="I1051" s="124">
        <v>201.43</v>
      </c>
      <c r="J1051" s="124">
        <v>180.37</v>
      </c>
      <c r="K1051" s="77">
        <v>520</v>
      </c>
      <c r="L1051" s="124">
        <v>901.8</v>
      </c>
    </row>
    <row r="1052" spans="1:12" ht="15" customHeight="1" x14ac:dyDescent="0.25">
      <c r="A1052" s="78">
        <v>45962</v>
      </c>
      <c r="B1052" t="s">
        <v>378</v>
      </c>
      <c r="C1052" t="s">
        <v>379</v>
      </c>
      <c r="D1052" t="s">
        <v>227</v>
      </c>
      <c r="E1052" t="s">
        <v>2258</v>
      </c>
      <c r="F1052" t="s">
        <v>228</v>
      </c>
      <c r="G1052" s="77">
        <v>910</v>
      </c>
      <c r="H1052" s="126">
        <v>107.1</v>
      </c>
      <c r="I1052" s="124">
        <v>158.51</v>
      </c>
      <c r="J1052" s="124">
        <v>239.6</v>
      </c>
      <c r="K1052" s="77">
        <v>520</v>
      </c>
      <c r="L1052" s="124">
        <v>918.11</v>
      </c>
    </row>
    <row r="1053" spans="1:12" ht="15" customHeight="1" x14ac:dyDescent="0.25">
      <c r="A1053" s="78">
        <v>45962</v>
      </c>
      <c r="B1053" t="s">
        <v>378</v>
      </c>
      <c r="C1053" t="s">
        <v>379</v>
      </c>
      <c r="D1053" t="s">
        <v>227</v>
      </c>
      <c r="E1053" t="s">
        <v>2321</v>
      </c>
      <c r="F1053" t="s">
        <v>226</v>
      </c>
      <c r="G1053" s="77">
        <v>1467</v>
      </c>
      <c r="H1053" s="126">
        <v>139.69999999999999</v>
      </c>
      <c r="I1053" s="124">
        <v>206.76</v>
      </c>
      <c r="J1053" s="124">
        <v>74.599999999999994</v>
      </c>
      <c r="K1053" s="77">
        <v>380</v>
      </c>
      <c r="L1053" s="124">
        <v>661.36</v>
      </c>
    </row>
    <row r="1054" spans="1:12" ht="15" customHeight="1" x14ac:dyDescent="0.25">
      <c r="A1054" s="78">
        <v>45962</v>
      </c>
      <c r="B1054" t="s">
        <v>378</v>
      </c>
      <c r="C1054" t="s">
        <v>379</v>
      </c>
      <c r="D1054" t="s">
        <v>227</v>
      </c>
      <c r="E1054" t="s">
        <v>2333</v>
      </c>
      <c r="F1054" t="s">
        <v>226</v>
      </c>
      <c r="G1054" s="77">
        <v>1453</v>
      </c>
      <c r="H1054" s="126">
        <v>138.4</v>
      </c>
      <c r="I1054" s="124">
        <v>204.83</v>
      </c>
      <c r="J1054" s="124">
        <v>124.24</v>
      </c>
      <c r="K1054" s="77">
        <v>380</v>
      </c>
      <c r="L1054" s="124">
        <v>709.07</v>
      </c>
    </row>
    <row r="1055" spans="1:12" ht="15" customHeight="1" x14ac:dyDescent="0.25">
      <c r="A1055" s="78">
        <v>45962</v>
      </c>
      <c r="B1055" t="s">
        <v>378</v>
      </c>
      <c r="C1055" t="s">
        <v>379</v>
      </c>
      <c r="D1055" t="s">
        <v>227</v>
      </c>
      <c r="E1055" t="s">
        <v>2261</v>
      </c>
      <c r="F1055" t="s">
        <v>226</v>
      </c>
      <c r="G1055" s="77">
        <v>1381</v>
      </c>
      <c r="H1055" s="126">
        <v>131.5</v>
      </c>
      <c r="I1055" s="124">
        <v>194.62</v>
      </c>
      <c r="J1055" s="124">
        <v>37.450000000000003</v>
      </c>
      <c r="K1055" s="77">
        <v>380</v>
      </c>
      <c r="L1055" s="124">
        <v>612.07000000000005</v>
      </c>
    </row>
    <row r="1056" spans="1:12" ht="15" customHeight="1" x14ac:dyDescent="0.25">
      <c r="A1056" s="78">
        <v>45962</v>
      </c>
      <c r="B1056" t="s">
        <v>378</v>
      </c>
      <c r="C1056" t="s">
        <v>379</v>
      </c>
      <c r="D1056" t="s">
        <v>227</v>
      </c>
      <c r="E1056" t="s">
        <v>2282</v>
      </c>
      <c r="F1056" t="s">
        <v>228</v>
      </c>
      <c r="G1056" s="77">
        <v>1196</v>
      </c>
      <c r="H1056" s="126">
        <v>140.69999999999999</v>
      </c>
      <c r="I1056" s="124">
        <v>208.24</v>
      </c>
      <c r="J1056" s="124">
        <v>191.06</v>
      </c>
      <c r="K1056" s="77">
        <v>520</v>
      </c>
      <c r="L1056" s="124">
        <v>919.3</v>
      </c>
    </row>
    <row r="1057" spans="1:12" ht="15" customHeight="1" x14ac:dyDescent="0.25">
      <c r="A1057" s="78">
        <v>45962</v>
      </c>
      <c r="B1057" t="s">
        <v>378</v>
      </c>
      <c r="C1057" t="s">
        <v>379</v>
      </c>
      <c r="D1057" t="s">
        <v>227</v>
      </c>
      <c r="E1057" t="s">
        <v>2323</v>
      </c>
      <c r="F1057" t="s">
        <v>224</v>
      </c>
      <c r="G1057" s="77">
        <v>696</v>
      </c>
      <c r="H1057" s="126">
        <v>81.900000000000006</v>
      </c>
      <c r="I1057" s="124">
        <v>121.21</v>
      </c>
      <c r="J1057" s="124">
        <v>167.48</v>
      </c>
      <c r="K1057" s="77">
        <v>450</v>
      </c>
      <c r="L1057" s="124">
        <v>738.69</v>
      </c>
    </row>
    <row r="1058" spans="1:12" ht="15" customHeight="1" x14ac:dyDescent="0.25">
      <c r="A1058" s="78">
        <v>45962</v>
      </c>
      <c r="B1058" t="s">
        <v>393</v>
      </c>
      <c r="C1058" t="s">
        <v>394</v>
      </c>
      <c r="D1058" t="s">
        <v>227</v>
      </c>
      <c r="E1058" t="s">
        <v>2256</v>
      </c>
      <c r="F1058" t="s">
        <v>224</v>
      </c>
      <c r="G1058" s="77">
        <v>1302</v>
      </c>
      <c r="H1058" s="126">
        <v>153.19999999999999</v>
      </c>
      <c r="I1058" s="124">
        <v>226.74</v>
      </c>
      <c r="J1058" s="124">
        <v>82.4</v>
      </c>
      <c r="K1058" s="77">
        <v>450</v>
      </c>
      <c r="L1058" s="124">
        <v>759.14</v>
      </c>
    </row>
    <row r="1059" spans="1:12" ht="15" customHeight="1" x14ac:dyDescent="0.25">
      <c r="A1059" s="78">
        <v>45962</v>
      </c>
      <c r="B1059" t="s">
        <v>393</v>
      </c>
      <c r="C1059" t="s">
        <v>394</v>
      </c>
      <c r="D1059" t="s">
        <v>227</v>
      </c>
      <c r="E1059" t="s">
        <v>2229</v>
      </c>
      <c r="F1059" t="s">
        <v>224</v>
      </c>
      <c r="G1059" s="77">
        <v>675</v>
      </c>
      <c r="H1059" s="126">
        <v>79.400000000000006</v>
      </c>
      <c r="I1059" s="124">
        <v>117.51</v>
      </c>
      <c r="J1059" s="124">
        <v>142.65</v>
      </c>
      <c r="K1059" s="77">
        <v>320</v>
      </c>
      <c r="L1059" s="124">
        <v>580.16</v>
      </c>
    </row>
    <row r="1060" spans="1:12" ht="15" customHeight="1" x14ac:dyDescent="0.25">
      <c r="A1060" s="78">
        <v>45962</v>
      </c>
      <c r="B1060" t="s">
        <v>393</v>
      </c>
      <c r="C1060" t="s">
        <v>394</v>
      </c>
      <c r="D1060" t="s">
        <v>227</v>
      </c>
      <c r="E1060" t="s">
        <v>2302</v>
      </c>
      <c r="F1060" t="s">
        <v>226</v>
      </c>
      <c r="G1060" s="77">
        <v>1028</v>
      </c>
      <c r="H1060" s="126">
        <v>97.9</v>
      </c>
      <c r="I1060" s="124">
        <v>144.88999999999999</v>
      </c>
      <c r="J1060" s="124">
        <v>193.87</v>
      </c>
      <c r="K1060" s="77">
        <v>380</v>
      </c>
      <c r="L1060" s="124">
        <v>718.76</v>
      </c>
    </row>
    <row r="1061" spans="1:12" ht="15" customHeight="1" x14ac:dyDescent="0.25">
      <c r="A1061" s="78">
        <v>45962</v>
      </c>
      <c r="B1061" t="s">
        <v>393</v>
      </c>
      <c r="C1061" t="s">
        <v>394</v>
      </c>
      <c r="D1061" t="s">
        <v>227</v>
      </c>
      <c r="E1061" t="s">
        <v>2343</v>
      </c>
      <c r="F1061" t="s">
        <v>228</v>
      </c>
      <c r="G1061" s="77">
        <v>1287</v>
      </c>
      <c r="H1061" s="126">
        <v>151.4</v>
      </c>
      <c r="I1061" s="124">
        <v>224.07</v>
      </c>
      <c r="J1061" s="124">
        <v>245.25</v>
      </c>
      <c r="K1061" s="77">
        <v>380</v>
      </c>
      <c r="L1061" s="124">
        <v>849.32</v>
      </c>
    </row>
    <row r="1062" spans="1:12" ht="15" customHeight="1" x14ac:dyDescent="0.25">
      <c r="A1062" s="78">
        <v>45962</v>
      </c>
      <c r="B1062" t="s">
        <v>393</v>
      </c>
      <c r="C1062" t="s">
        <v>394</v>
      </c>
      <c r="D1062" t="s">
        <v>227</v>
      </c>
      <c r="E1062" t="s">
        <v>2226</v>
      </c>
      <c r="F1062" t="s">
        <v>224</v>
      </c>
      <c r="G1062" s="77">
        <v>1513</v>
      </c>
      <c r="H1062" s="126">
        <v>178</v>
      </c>
      <c r="I1062" s="124">
        <v>263.44</v>
      </c>
      <c r="J1062" s="124">
        <v>167.94</v>
      </c>
      <c r="K1062" s="77">
        <v>520</v>
      </c>
      <c r="L1062" s="124">
        <v>951.38</v>
      </c>
    </row>
    <row r="1063" spans="1:12" ht="15" customHeight="1" x14ac:dyDescent="0.25">
      <c r="A1063" s="78">
        <v>45992</v>
      </c>
      <c r="B1063" t="s">
        <v>390</v>
      </c>
      <c r="C1063" t="s">
        <v>391</v>
      </c>
      <c r="D1063" t="s">
        <v>221</v>
      </c>
      <c r="E1063" t="s">
        <v>2321</v>
      </c>
      <c r="F1063" t="s">
        <v>226</v>
      </c>
      <c r="G1063" s="77">
        <v>963</v>
      </c>
      <c r="H1063" s="126">
        <v>91.7</v>
      </c>
      <c r="I1063" s="124">
        <v>135.72</v>
      </c>
      <c r="J1063" s="124">
        <v>21.07</v>
      </c>
      <c r="K1063" s="77">
        <v>450</v>
      </c>
      <c r="L1063" s="124">
        <v>606.79</v>
      </c>
    </row>
    <row r="1064" spans="1:12" ht="15" customHeight="1" x14ac:dyDescent="0.25">
      <c r="A1064" s="78">
        <v>45992</v>
      </c>
      <c r="B1064" t="s">
        <v>390</v>
      </c>
      <c r="C1064" t="s">
        <v>391</v>
      </c>
      <c r="D1064" t="s">
        <v>221</v>
      </c>
      <c r="E1064" t="s">
        <v>2327</v>
      </c>
      <c r="F1064" t="s">
        <v>226</v>
      </c>
      <c r="G1064" s="77">
        <v>984</v>
      </c>
      <c r="H1064" s="126">
        <v>93.7</v>
      </c>
      <c r="I1064" s="124">
        <v>138.68</v>
      </c>
      <c r="J1064" s="124">
        <v>123.09</v>
      </c>
      <c r="K1064" s="77">
        <v>520</v>
      </c>
      <c r="L1064" s="124">
        <v>781.77</v>
      </c>
    </row>
    <row r="1065" spans="1:12" ht="15" customHeight="1" x14ac:dyDescent="0.25">
      <c r="A1065" s="78">
        <v>45992</v>
      </c>
      <c r="B1065" t="s">
        <v>390</v>
      </c>
      <c r="C1065" t="s">
        <v>391</v>
      </c>
      <c r="D1065" t="s">
        <v>221</v>
      </c>
      <c r="E1065" t="s">
        <v>2294</v>
      </c>
      <c r="F1065" t="s">
        <v>226</v>
      </c>
      <c r="G1065" s="77">
        <v>1290</v>
      </c>
      <c r="H1065" s="126">
        <v>122.9</v>
      </c>
      <c r="I1065" s="124">
        <v>181.89</v>
      </c>
      <c r="J1065" s="124">
        <v>187</v>
      </c>
      <c r="K1065" s="77">
        <v>380</v>
      </c>
      <c r="L1065" s="124">
        <v>748.89</v>
      </c>
    </row>
    <row r="1066" spans="1:12" ht="15" customHeight="1" x14ac:dyDescent="0.25">
      <c r="A1066" s="78">
        <v>45992</v>
      </c>
      <c r="B1066" t="s">
        <v>390</v>
      </c>
      <c r="C1066" t="s">
        <v>391</v>
      </c>
      <c r="D1066" t="s">
        <v>221</v>
      </c>
      <c r="E1066" t="s">
        <v>2246</v>
      </c>
      <c r="F1066" t="s">
        <v>224</v>
      </c>
      <c r="G1066" s="77">
        <v>755</v>
      </c>
      <c r="H1066" s="126">
        <v>88.8</v>
      </c>
      <c r="I1066" s="124">
        <v>131.41999999999999</v>
      </c>
      <c r="J1066" s="124">
        <v>163.78</v>
      </c>
      <c r="K1066" s="77">
        <v>450</v>
      </c>
      <c r="L1066" s="124">
        <v>745.2</v>
      </c>
    </row>
    <row r="1067" spans="1:12" ht="15" customHeight="1" x14ac:dyDescent="0.25">
      <c r="A1067" s="78">
        <v>45992</v>
      </c>
      <c r="B1067" t="s">
        <v>401</v>
      </c>
      <c r="C1067" t="s">
        <v>402</v>
      </c>
      <c r="D1067" t="s">
        <v>221</v>
      </c>
      <c r="E1067" t="s">
        <v>2223</v>
      </c>
      <c r="F1067" t="s">
        <v>222</v>
      </c>
      <c r="G1067" s="77">
        <v>1217</v>
      </c>
      <c r="H1067" s="126">
        <v>115.9</v>
      </c>
      <c r="I1067" s="124">
        <v>171.53</v>
      </c>
      <c r="J1067" s="124">
        <v>272.24</v>
      </c>
      <c r="K1067" s="77">
        <v>320</v>
      </c>
      <c r="L1067" s="124">
        <v>763.77</v>
      </c>
    </row>
    <row r="1068" spans="1:12" ht="15" customHeight="1" x14ac:dyDescent="0.25">
      <c r="A1068" s="78">
        <v>45992</v>
      </c>
      <c r="B1068" t="s">
        <v>401</v>
      </c>
      <c r="C1068" t="s">
        <v>402</v>
      </c>
      <c r="D1068" t="s">
        <v>221</v>
      </c>
      <c r="E1068" t="s">
        <v>2262</v>
      </c>
      <c r="F1068" t="s">
        <v>222</v>
      </c>
      <c r="G1068" s="77">
        <v>1271</v>
      </c>
      <c r="H1068" s="126">
        <v>121</v>
      </c>
      <c r="I1068" s="124">
        <v>179.08</v>
      </c>
      <c r="J1068" s="124">
        <v>210.87</v>
      </c>
      <c r="K1068" s="77">
        <v>320</v>
      </c>
      <c r="L1068" s="124">
        <v>709.95</v>
      </c>
    </row>
    <row r="1069" spans="1:12" ht="15" customHeight="1" x14ac:dyDescent="0.25">
      <c r="A1069" s="78">
        <v>45992</v>
      </c>
      <c r="B1069" t="s">
        <v>401</v>
      </c>
      <c r="C1069" t="s">
        <v>402</v>
      </c>
      <c r="D1069" t="s">
        <v>221</v>
      </c>
      <c r="E1069" t="s">
        <v>2281</v>
      </c>
      <c r="F1069" t="s">
        <v>222</v>
      </c>
      <c r="G1069" s="77">
        <v>1065</v>
      </c>
      <c r="H1069" s="126">
        <v>101.4</v>
      </c>
      <c r="I1069" s="124">
        <v>150.07</v>
      </c>
      <c r="J1069" s="124">
        <v>181.06</v>
      </c>
      <c r="K1069" s="77">
        <v>320</v>
      </c>
      <c r="L1069" s="124">
        <v>651.13</v>
      </c>
    </row>
    <row r="1070" spans="1:12" ht="15" customHeight="1" x14ac:dyDescent="0.25">
      <c r="A1070" s="78">
        <v>45992</v>
      </c>
      <c r="B1070" t="s">
        <v>401</v>
      </c>
      <c r="C1070" t="s">
        <v>402</v>
      </c>
      <c r="D1070" t="s">
        <v>221</v>
      </c>
      <c r="E1070" t="s">
        <v>2295</v>
      </c>
      <c r="F1070" t="s">
        <v>228</v>
      </c>
      <c r="G1070" s="77">
        <v>1362</v>
      </c>
      <c r="H1070" s="126">
        <v>160.19999999999999</v>
      </c>
      <c r="I1070" s="124">
        <v>237.1</v>
      </c>
      <c r="J1070" s="124">
        <v>143.38</v>
      </c>
      <c r="K1070" s="77">
        <v>320</v>
      </c>
      <c r="L1070" s="124">
        <v>700.48</v>
      </c>
    </row>
    <row r="1071" spans="1:12" ht="15" customHeight="1" x14ac:dyDescent="0.25">
      <c r="A1071" s="78">
        <v>45992</v>
      </c>
      <c r="B1071" t="s">
        <v>401</v>
      </c>
      <c r="C1071" t="s">
        <v>402</v>
      </c>
      <c r="D1071" t="s">
        <v>221</v>
      </c>
      <c r="E1071" t="s">
        <v>2276</v>
      </c>
      <c r="F1071" t="s">
        <v>228</v>
      </c>
      <c r="G1071" s="77">
        <v>962</v>
      </c>
      <c r="H1071" s="126">
        <v>113.2</v>
      </c>
      <c r="I1071" s="124">
        <v>167.54</v>
      </c>
      <c r="J1071" s="124">
        <v>188.19</v>
      </c>
      <c r="K1071" s="77">
        <v>450</v>
      </c>
      <c r="L1071" s="124">
        <v>805.73</v>
      </c>
    </row>
    <row r="1072" spans="1:12" ht="15" customHeight="1" x14ac:dyDescent="0.25">
      <c r="A1072" s="78">
        <v>45992</v>
      </c>
      <c r="B1072" t="s">
        <v>401</v>
      </c>
      <c r="C1072" t="s">
        <v>402</v>
      </c>
      <c r="D1072" t="s">
        <v>221</v>
      </c>
      <c r="E1072" t="s">
        <v>2264</v>
      </c>
      <c r="F1072" t="s">
        <v>226</v>
      </c>
      <c r="G1072" s="77">
        <v>1144</v>
      </c>
      <c r="H1072" s="126">
        <v>109</v>
      </c>
      <c r="I1072" s="124">
        <v>161.32</v>
      </c>
      <c r="J1072" s="124">
        <v>248.42</v>
      </c>
      <c r="K1072" s="77">
        <v>380</v>
      </c>
      <c r="L1072" s="124">
        <v>789.74</v>
      </c>
    </row>
    <row r="1073" spans="1:12" ht="15" customHeight="1" x14ac:dyDescent="0.25">
      <c r="A1073" s="78">
        <v>45992</v>
      </c>
      <c r="B1073" t="s">
        <v>431</v>
      </c>
      <c r="C1073" t="s">
        <v>432</v>
      </c>
      <c r="D1073" t="s">
        <v>221</v>
      </c>
      <c r="E1073" t="s">
        <v>2337</v>
      </c>
      <c r="F1073" t="s">
        <v>224</v>
      </c>
      <c r="G1073" s="77">
        <v>900</v>
      </c>
      <c r="H1073" s="126">
        <v>105.9</v>
      </c>
      <c r="I1073" s="124">
        <v>156.72999999999999</v>
      </c>
      <c r="J1073" s="124">
        <v>0</v>
      </c>
      <c r="K1073" s="77">
        <v>520</v>
      </c>
      <c r="L1073" s="124">
        <v>676.73</v>
      </c>
    </row>
    <row r="1074" spans="1:12" ht="15" customHeight="1" x14ac:dyDescent="0.25">
      <c r="A1074" s="78">
        <v>45992</v>
      </c>
      <c r="B1074" t="s">
        <v>431</v>
      </c>
      <c r="C1074" t="s">
        <v>432</v>
      </c>
      <c r="D1074" t="s">
        <v>221</v>
      </c>
      <c r="E1074" t="s">
        <v>2251</v>
      </c>
      <c r="F1074" t="s">
        <v>228</v>
      </c>
      <c r="G1074" s="77">
        <v>946</v>
      </c>
      <c r="H1074" s="126">
        <v>111.3</v>
      </c>
      <c r="I1074" s="124">
        <v>164.72</v>
      </c>
      <c r="J1074" s="124">
        <v>323.08</v>
      </c>
      <c r="K1074" s="77">
        <v>380</v>
      </c>
      <c r="L1074" s="124">
        <v>867.8</v>
      </c>
    </row>
    <row r="1075" spans="1:12" ht="15" customHeight="1" x14ac:dyDescent="0.25">
      <c r="A1075" s="78">
        <v>45992</v>
      </c>
      <c r="B1075" t="s">
        <v>431</v>
      </c>
      <c r="C1075" t="s">
        <v>432</v>
      </c>
      <c r="D1075" t="s">
        <v>221</v>
      </c>
      <c r="E1075" t="s">
        <v>2227</v>
      </c>
      <c r="F1075" t="s">
        <v>228</v>
      </c>
      <c r="G1075" s="77">
        <v>1184</v>
      </c>
      <c r="H1075" s="126">
        <v>139.30000000000001</v>
      </c>
      <c r="I1075" s="124">
        <v>206.16</v>
      </c>
      <c r="J1075" s="124">
        <v>284.25</v>
      </c>
      <c r="K1075" s="77">
        <v>450</v>
      </c>
      <c r="L1075" s="124">
        <v>940.41</v>
      </c>
    </row>
    <row r="1076" spans="1:12" ht="15" customHeight="1" x14ac:dyDescent="0.25">
      <c r="A1076" s="78">
        <v>45992</v>
      </c>
      <c r="B1076" t="s">
        <v>431</v>
      </c>
      <c r="C1076" t="s">
        <v>432</v>
      </c>
      <c r="D1076" t="s">
        <v>221</v>
      </c>
      <c r="E1076" t="s">
        <v>2295</v>
      </c>
      <c r="F1076" t="s">
        <v>222</v>
      </c>
      <c r="G1076" s="77">
        <v>980</v>
      </c>
      <c r="H1076" s="126">
        <v>93.3</v>
      </c>
      <c r="I1076" s="124">
        <v>138.08000000000001</v>
      </c>
      <c r="J1076" s="124">
        <v>47.68</v>
      </c>
      <c r="K1076" s="77">
        <v>380</v>
      </c>
      <c r="L1076" s="124">
        <v>565.76</v>
      </c>
    </row>
    <row r="1077" spans="1:12" ht="15" customHeight="1" x14ac:dyDescent="0.25">
      <c r="A1077" s="78">
        <v>45992</v>
      </c>
      <c r="B1077" t="s">
        <v>366</v>
      </c>
      <c r="C1077" t="s">
        <v>367</v>
      </c>
      <c r="D1077" t="s">
        <v>221</v>
      </c>
      <c r="E1077" t="s">
        <v>2356</v>
      </c>
      <c r="F1077" t="s">
        <v>224</v>
      </c>
      <c r="G1077" s="77">
        <v>1178</v>
      </c>
      <c r="H1077" s="126">
        <v>138.6</v>
      </c>
      <c r="I1077" s="124">
        <v>205.13</v>
      </c>
      <c r="J1077" s="124">
        <v>83.26</v>
      </c>
      <c r="K1077" s="77">
        <v>380</v>
      </c>
      <c r="L1077" s="124">
        <v>668.39</v>
      </c>
    </row>
    <row r="1078" spans="1:12" ht="15" customHeight="1" x14ac:dyDescent="0.25">
      <c r="A1078" s="78">
        <v>45992</v>
      </c>
      <c r="B1078" t="s">
        <v>366</v>
      </c>
      <c r="C1078" t="s">
        <v>367</v>
      </c>
      <c r="D1078" t="s">
        <v>221</v>
      </c>
      <c r="E1078" t="s">
        <v>2358</v>
      </c>
      <c r="F1078" t="s">
        <v>224</v>
      </c>
      <c r="G1078" s="77">
        <v>1596</v>
      </c>
      <c r="H1078" s="126">
        <v>187.8</v>
      </c>
      <c r="I1078" s="124">
        <v>277.94</v>
      </c>
      <c r="J1078" s="124">
        <v>195.64</v>
      </c>
      <c r="K1078" s="77">
        <v>450</v>
      </c>
      <c r="L1078" s="124">
        <v>923.58</v>
      </c>
    </row>
    <row r="1079" spans="1:12" ht="15" customHeight="1" x14ac:dyDescent="0.25">
      <c r="A1079" s="78">
        <v>45992</v>
      </c>
      <c r="B1079" t="s">
        <v>366</v>
      </c>
      <c r="C1079" t="s">
        <v>367</v>
      </c>
      <c r="D1079" t="s">
        <v>221</v>
      </c>
      <c r="E1079" t="s">
        <v>2235</v>
      </c>
      <c r="F1079" t="s">
        <v>226</v>
      </c>
      <c r="G1079" s="77">
        <v>904</v>
      </c>
      <c r="H1079" s="126">
        <v>86.1</v>
      </c>
      <c r="I1079" s="124">
        <v>127.43</v>
      </c>
      <c r="J1079" s="124">
        <v>101.09</v>
      </c>
      <c r="K1079" s="77">
        <v>320</v>
      </c>
      <c r="L1079" s="124">
        <v>548.52</v>
      </c>
    </row>
    <row r="1080" spans="1:12" ht="15" customHeight="1" x14ac:dyDescent="0.25">
      <c r="A1080" s="78">
        <v>45992</v>
      </c>
      <c r="B1080" t="s">
        <v>366</v>
      </c>
      <c r="C1080" t="s">
        <v>367</v>
      </c>
      <c r="D1080" t="s">
        <v>221</v>
      </c>
      <c r="E1080" t="s">
        <v>2265</v>
      </c>
      <c r="F1080" t="s">
        <v>226</v>
      </c>
      <c r="G1080" s="77">
        <v>1026</v>
      </c>
      <c r="H1080" s="126">
        <v>97.7</v>
      </c>
      <c r="I1080" s="124">
        <v>144.6</v>
      </c>
      <c r="J1080" s="124">
        <v>130.84</v>
      </c>
      <c r="K1080" s="77">
        <v>520</v>
      </c>
      <c r="L1080" s="124">
        <v>795.44</v>
      </c>
    </row>
    <row r="1081" spans="1:12" ht="15" customHeight="1" x14ac:dyDescent="0.25">
      <c r="A1081" s="78">
        <v>45992</v>
      </c>
      <c r="B1081" t="s">
        <v>362</v>
      </c>
      <c r="C1081" t="s">
        <v>363</v>
      </c>
      <c r="D1081" t="s">
        <v>221</v>
      </c>
      <c r="E1081" t="s">
        <v>2332</v>
      </c>
      <c r="F1081" t="s">
        <v>224</v>
      </c>
      <c r="G1081" s="77">
        <v>1329</v>
      </c>
      <c r="H1081" s="126">
        <v>156.4</v>
      </c>
      <c r="I1081" s="124">
        <v>231.47</v>
      </c>
      <c r="J1081" s="124">
        <v>164.91</v>
      </c>
      <c r="K1081" s="77">
        <v>520</v>
      </c>
      <c r="L1081" s="124">
        <v>916.38</v>
      </c>
    </row>
    <row r="1082" spans="1:12" ht="15" customHeight="1" x14ac:dyDescent="0.25">
      <c r="A1082" s="78">
        <v>45992</v>
      </c>
      <c r="B1082" t="s">
        <v>362</v>
      </c>
      <c r="C1082" t="s">
        <v>363</v>
      </c>
      <c r="D1082" t="s">
        <v>221</v>
      </c>
      <c r="E1082" t="s">
        <v>2354</v>
      </c>
      <c r="F1082" t="s">
        <v>224</v>
      </c>
      <c r="G1082" s="77">
        <v>867</v>
      </c>
      <c r="H1082" s="126">
        <v>102</v>
      </c>
      <c r="I1082" s="124">
        <v>150.96</v>
      </c>
      <c r="J1082" s="124">
        <v>301.24</v>
      </c>
      <c r="K1082" s="77">
        <v>380</v>
      </c>
      <c r="L1082" s="124">
        <v>832.2</v>
      </c>
    </row>
    <row r="1083" spans="1:12" ht="15" customHeight="1" x14ac:dyDescent="0.25">
      <c r="A1083" s="78">
        <v>45992</v>
      </c>
      <c r="B1083" t="s">
        <v>362</v>
      </c>
      <c r="C1083" t="s">
        <v>363</v>
      </c>
      <c r="D1083" t="s">
        <v>221</v>
      </c>
      <c r="E1083" t="s">
        <v>2274</v>
      </c>
      <c r="F1083" t="s">
        <v>222</v>
      </c>
      <c r="G1083" s="77">
        <v>1062</v>
      </c>
      <c r="H1083" s="126">
        <v>101.1</v>
      </c>
      <c r="I1083" s="124">
        <v>149.63</v>
      </c>
      <c r="J1083" s="124">
        <v>211.51</v>
      </c>
      <c r="K1083" s="77">
        <v>450</v>
      </c>
      <c r="L1083" s="124">
        <v>811.14</v>
      </c>
    </row>
    <row r="1084" spans="1:12" ht="15" customHeight="1" x14ac:dyDescent="0.25">
      <c r="A1084" s="78">
        <v>45992</v>
      </c>
      <c r="B1084" t="s">
        <v>335</v>
      </c>
      <c r="C1084" t="s">
        <v>336</v>
      </c>
      <c r="D1084" t="s">
        <v>223</v>
      </c>
      <c r="E1084" t="s">
        <v>2313</v>
      </c>
      <c r="F1084" t="s">
        <v>222</v>
      </c>
      <c r="G1084" s="77">
        <v>897</v>
      </c>
      <c r="H1084" s="126">
        <v>85.4</v>
      </c>
      <c r="I1084" s="124">
        <v>126.39</v>
      </c>
      <c r="J1084" s="124">
        <v>179.05</v>
      </c>
      <c r="K1084" s="77">
        <v>450</v>
      </c>
      <c r="L1084" s="124">
        <v>755.44</v>
      </c>
    </row>
    <row r="1085" spans="1:12" ht="15" customHeight="1" x14ac:dyDescent="0.25">
      <c r="A1085" s="78">
        <v>45992</v>
      </c>
      <c r="B1085" t="s">
        <v>335</v>
      </c>
      <c r="C1085" t="s">
        <v>336</v>
      </c>
      <c r="D1085" t="s">
        <v>223</v>
      </c>
      <c r="E1085" t="s">
        <v>2347</v>
      </c>
      <c r="F1085" t="s">
        <v>222</v>
      </c>
      <c r="G1085" s="77">
        <v>1127</v>
      </c>
      <c r="H1085" s="126">
        <v>107.3</v>
      </c>
      <c r="I1085" s="124">
        <v>158.80000000000001</v>
      </c>
      <c r="J1085" s="124">
        <v>0</v>
      </c>
      <c r="K1085" s="77">
        <v>380</v>
      </c>
      <c r="L1085" s="124">
        <v>538.79999999999995</v>
      </c>
    </row>
    <row r="1086" spans="1:12" ht="15" customHeight="1" x14ac:dyDescent="0.25">
      <c r="A1086" s="78">
        <v>45992</v>
      </c>
      <c r="B1086" t="s">
        <v>335</v>
      </c>
      <c r="C1086" t="s">
        <v>336</v>
      </c>
      <c r="D1086" t="s">
        <v>223</v>
      </c>
      <c r="E1086" t="s">
        <v>2232</v>
      </c>
      <c r="F1086" t="s">
        <v>226</v>
      </c>
      <c r="G1086" s="77">
        <v>1553</v>
      </c>
      <c r="H1086" s="126">
        <v>147.9</v>
      </c>
      <c r="I1086" s="124">
        <v>218.89</v>
      </c>
      <c r="J1086" s="124">
        <v>253.25</v>
      </c>
      <c r="K1086" s="77">
        <v>450</v>
      </c>
      <c r="L1086" s="124">
        <v>922.14</v>
      </c>
    </row>
    <row r="1087" spans="1:12" ht="15" customHeight="1" x14ac:dyDescent="0.25">
      <c r="A1087" s="78">
        <v>45992</v>
      </c>
      <c r="B1087" t="s">
        <v>335</v>
      </c>
      <c r="C1087" t="s">
        <v>336</v>
      </c>
      <c r="D1087" t="s">
        <v>223</v>
      </c>
      <c r="E1087" t="s">
        <v>2231</v>
      </c>
      <c r="F1087" t="s">
        <v>224</v>
      </c>
      <c r="G1087" s="77">
        <v>950</v>
      </c>
      <c r="H1087" s="126">
        <v>111.8</v>
      </c>
      <c r="I1087" s="124">
        <v>165.46</v>
      </c>
      <c r="J1087" s="124">
        <v>61.82</v>
      </c>
      <c r="K1087" s="77">
        <v>380</v>
      </c>
      <c r="L1087" s="124">
        <v>607.28</v>
      </c>
    </row>
    <row r="1088" spans="1:12" ht="15" customHeight="1" x14ac:dyDescent="0.25">
      <c r="A1088" s="78">
        <v>45992</v>
      </c>
      <c r="B1088" t="s">
        <v>335</v>
      </c>
      <c r="C1088" t="s">
        <v>336</v>
      </c>
      <c r="D1088" t="s">
        <v>223</v>
      </c>
      <c r="E1088" t="s">
        <v>2307</v>
      </c>
      <c r="F1088" t="s">
        <v>222</v>
      </c>
      <c r="G1088" s="77">
        <v>1136</v>
      </c>
      <c r="H1088" s="126">
        <v>108.2</v>
      </c>
      <c r="I1088" s="124">
        <v>160.13999999999999</v>
      </c>
      <c r="J1088" s="124">
        <v>156.94</v>
      </c>
      <c r="K1088" s="77">
        <v>380</v>
      </c>
      <c r="L1088" s="124">
        <v>697.08</v>
      </c>
    </row>
    <row r="1089" spans="1:12" ht="15" customHeight="1" x14ac:dyDescent="0.25">
      <c r="A1089" s="78">
        <v>45992</v>
      </c>
      <c r="B1089" t="s">
        <v>335</v>
      </c>
      <c r="C1089" t="s">
        <v>336</v>
      </c>
      <c r="D1089" t="s">
        <v>223</v>
      </c>
      <c r="E1089" t="s">
        <v>2323</v>
      </c>
      <c r="F1089" t="s">
        <v>228</v>
      </c>
      <c r="G1089" s="77">
        <v>1138</v>
      </c>
      <c r="H1089" s="126">
        <v>133.9</v>
      </c>
      <c r="I1089" s="124">
        <v>198.17</v>
      </c>
      <c r="J1089" s="124">
        <v>265.33</v>
      </c>
      <c r="K1089" s="77">
        <v>450</v>
      </c>
      <c r="L1089" s="124">
        <v>913.5</v>
      </c>
    </row>
    <row r="1090" spans="1:12" ht="15" customHeight="1" x14ac:dyDescent="0.25">
      <c r="A1090" s="78">
        <v>45992</v>
      </c>
      <c r="B1090" t="s">
        <v>386</v>
      </c>
      <c r="C1090" t="s">
        <v>387</v>
      </c>
      <c r="D1090" t="s">
        <v>223</v>
      </c>
      <c r="E1090" t="s">
        <v>2249</v>
      </c>
      <c r="F1090" t="s">
        <v>224</v>
      </c>
      <c r="G1090" s="77">
        <v>1176</v>
      </c>
      <c r="H1090" s="126">
        <v>138.4</v>
      </c>
      <c r="I1090" s="124">
        <v>204.83</v>
      </c>
      <c r="J1090" s="124">
        <v>265.77999999999997</v>
      </c>
      <c r="K1090" s="77">
        <v>380</v>
      </c>
      <c r="L1090" s="124">
        <v>850.61</v>
      </c>
    </row>
    <row r="1091" spans="1:12" ht="15" customHeight="1" x14ac:dyDescent="0.25">
      <c r="A1091" s="78">
        <v>45992</v>
      </c>
      <c r="B1091" t="s">
        <v>386</v>
      </c>
      <c r="C1091" t="s">
        <v>387</v>
      </c>
      <c r="D1091" t="s">
        <v>223</v>
      </c>
      <c r="E1091" t="s">
        <v>2268</v>
      </c>
      <c r="F1091" t="s">
        <v>228</v>
      </c>
      <c r="G1091" s="77">
        <v>1192</v>
      </c>
      <c r="H1091" s="126">
        <v>140.19999999999999</v>
      </c>
      <c r="I1091" s="124">
        <v>207.5</v>
      </c>
      <c r="J1091" s="124">
        <v>166.03</v>
      </c>
      <c r="K1091" s="77">
        <v>450</v>
      </c>
      <c r="L1091" s="124">
        <v>823.53</v>
      </c>
    </row>
    <row r="1092" spans="1:12" ht="15" customHeight="1" x14ac:dyDescent="0.25">
      <c r="A1092" s="78">
        <v>45992</v>
      </c>
      <c r="B1092" t="s">
        <v>386</v>
      </c>
      <c r="C1092" t="s">
        <v>387</v>
      </c>
      <c r="D1092" t="s">
        <v>223</v>
      </c>
      <c r="E1092" t="s">
        <v>2284</v>
      </c>
      <c r="F1092" t="s">
        <v>226</v>
      </c>
      <c r="G1092" s="77">
        <v>1390</v>
      </c>
      <c r="H1092" s="126">
        <v>132.4</v>
      </c>
      <c r="I1092" s="124">
        <v>195.95</v>
      </c>
      <c r="J1092" s="124">
        <v>281.25</v>
      </c>
      <c r="K1092" s="77">
        <v>450</v>
      </c>
      <c r="L1092" s="124">
        <v>927.2</v>
      </c>
    </row>
    <row r="1093" spans="1:12" ht="15" customHeight="1" x14ac:dyDescent="0.25">
      <c r="A1093" s="78">
        <v>45992</v>
      </c>
      <c r="B1093" t="s">
        <v>341</v>
      </c>
      <c r="C1093" t="s">
        <v>342</v>
      </c>
      <c r="D1093" t="s">
        <v>223</v>
      </c>
      <c r="E1093" t="s">
        <v>2327</v>
      </c>
      <c r="F1093" t="s">
        <v>228</v>
      </c>
      <c r="G1093" s="77">
        <v>1838</v>
      </c>
      <c r="H1093" s="126">
        <v>216.2</v>
      </c>
      <c r="I1093" s="124">
        <v>319.98</v>
      </c>
      <c r="J1093" s="124">
        <v>160.12</v>
      </c>
      <c r="K1093" s="77">
        <v>520</v>
      </c>
      <c r="L1093" s="124">
        <v>1000.1</v>
      </c>
    </row>
    <row r="1094" spans="1:12" ht="15" customHeight="1" x14ac:dyDescent="0.25">
      <c r="A1094" s="78">
        <v>45992</v>
      </c>
      <c r="B1094" t="s">
        <v>341</v>
      </c>
      <c r="C1094" t="s">
        <v>342</v>
      </c>
      <c r="D1094" t="s">
        <v>223</v>
      </c>
      <c r="E1094" t="s">
        <v>2231</v>
      </c>
      <c r="F1094" t="s">
        <v>224</v>
      </c>
      <c r="G1094" s="77">
        <v>1110</v>
      </c>
      <c r="H1094" s="126">
        <v>130.6</v>
      </c>
      <c r="I1094" s="124">
        <v>193.29</v>
      </c>
      <c r="J1094" s="124">
        <v>0</v>
      </c>
      <c r="K1094" s="77">
        <v>450</v>
      </c>
      <c r="L1094" s="124">
        <v>643.29</v>
      </c>
    </row>
    <row r="1095" spans="1:12" ht="15" customHeight="1" x14ac:dyDescent="0.25">
      <c r="A1095" s="78">
        <v>45992</v>
      </c>
      <c r="B1095" t="s">
        <v>341</v>
      </c>
      <c r="C1095" t="s">
        <v>342</v>
      </c>
      <c r="D1095" t="s">
        <v>223</v>
      </c>
      <c r="E1095" t="s">
        <v>2336</v>
      </c>
      <c r="F1095" t="s">
        <v>222</v>
      </c>
      <c r="G1095" s="77">
        <v>1188</v>
      </c>
      <c r="H1095" s="126">
        <v>113.1</v>
      </c>
      <c r="I1095" s="124">
        <v>167.39</v>
      </c>
      <c r="J1095" s="124">
        <v>106.14</v>
      </c>
      <c r="K1095" s="77">
        <v>450</v>
      </c>
      <c r="L1095" s="124">
        <v>723.53</v>
      </c>
    </row>
    <row r="1096" spans="1:12" ht="15" customHeight="1" x14ac:dyDescent="0.25">
      <c r="A1096" s="78">
        <v>45992</v>
      </c>
      <c r="B1096" t="s">
        <v>341</v>
      </c>
      <c r="C1096" t="s">
        <v>342</v>
      </c>
      <c r="D1096" t="s">
        <v>223</v>
      </c>
      <c r="E1096" t="s">
        <v>2297</v>
      </c>
      <c r="F1096" t="s">
        <v>224</v>
      </c>
      <c r="G1096" s="77">
        <v>1530</v>
      </c>
      <c r="H1096" s="126">
        <v>180</v>
      </c>
      <c r="I1096" s="124">
        <v>266.39999999999998</v>
      </c>
      <c r="J1096" s="124">
        <v>88.03</v>
      </c>
      <c r="K1096" s="77">
        <v>320</v>
      </c>
      <c r="L1096" s="124">
        <v>674.43</v>
      </c>
    </row>
    <row r="1097" spans="1:12" ht="15" customHeight="1" x14ac:dyDescent="0.25">
      <c r="A1097" s="78">
        <v>45992</v>
      </c>
      <c r="B1097" t="s">
        <v>341</v>
      </c>
      <c r="C1097" t="s">
        <v>342</v>
      </c>
      <c r="D1097" t="s">
        <v>223</v>
      </c>
      <c r="E1097" t="s">
        <v>2289</v>
      </c>
      <c r="F1097" t="s">
        <v>228</v>
      </c>
      <c r="G1097" s="77">
        <v>627</v>
      </c>
      <c r="H1097" s="126">
        <v>73.8</v>
      </c>
      <c r="I1097" s="124">
        <v>109.22</v>
      </c>
      <c r="J1097" s="124">
        <v>212.3</v>
      </c>
      <c r="K1097" s="77">
        <v>320</v>
      </c>
      <c r="L1097" s="124">
        <v>641.52</v>
      </c>
    </row>
    <row r="1098" spans="1:12" ht="15" customHeight="1" x14ac:dyDescent="0.25">
      <c r="A1098" s="78">
        <v>45992</v>
      </c>
      <c r="B1098" t="s">
        <v>341</v>
      </c>
      <c r="C1098" t="s">
        <v>342</v>
      </c>
      <c r="D1098" t="s">
        <v>223</v>
      </c>
      <c r="E1098" t="s">
        <v>2277</v>
      </c>
      <c r="F1098" t="s">
        <v>226</v>
      </c>
      <c r="G1098" s="77">
        <v>556</v>
      </c>
      <c r="H1098" s="126">
        <v>53</v>
      </c>
      <c r="I1098" s="124">
        <v>78.44</v>
      </c>
      <c r="J1098" s="124">
        <v>210.09</v>
      </c>
      <c r="K1098" s="77">
        <v>320</v>
      </c>
      <c r="L1098" s="124">
        <v>608.53</v>
      </c>
    </row>
    <row r="1099" spans="1:12" ht="15" customHeight="1" x14ac:dyDescent="0.25">
      <c r="A1099" s="78">
        <v>45992</v>
      </c>
      <c r="B1099" t="s">
        <v>341</v>
      </c>
      <c r="C1099" t="s">
        <v>342</v>
      </c>
      <c r="D1099" t="s">
        <v>223</v>
      </c>
      <c r="E1099" t="s">
        <v>2337</v>
      </c>
      <c r="F1099" t="s">
        <v>222</v>
      </c>
      <c r="G1099" s="77">
        <v>533</v>
      </c>
      <c r="H1099" s="126">
        <v>50.8</v>
      </c>
      <c r="I1099" s="124">
        <v>75.180000000000007</v>
      </c>
      <c r="J1099" s="124">
        <v>152.28</v>
      </c>
      <c r="K1099" s="77">
        <v>450</v>
      </c>
      <c r="L1099" s="124">
        <v>677.46</v>
      </c>
    </row>
    <row r="1100" spans="1:12" ht="15" customHeight="1" x14ac:dyDescent="0.25">
      <c r="A1100" s="78">
        <v>45992</v>
      </c>
      <c r="B1100" t="s">
        <v>347</v>
      </c>
      <c r="C1100" t="s">
        <v>348</v>
      </c>
      <c r="D1100" t="s">
        <v>223</v>
      </c>
      <c r="E1100" t="s">
        <v>2248</v>
      </c>
      <c r="F1100" t="s">
        <v>224</v>
      </c>
      <c r="G1100" s="77">
        <v>530</v>
      </c>
      <c r="H1100" s="126">
        <v>62.4</v>
      </c>
      <c r="I1100" s="124">
        <v>92.35</v>
      </c>
      <c r="J1100" s="124">
        <v>124.38</v>
      </c>
      <c r="K1100" s="77">
        <v>450</v>
      </c>
      <c r="L1100" s="124">
        <v>666.73</v>
      </c>
    </row>
    <row r="1101" spans="1:12" ht="15" customHeight="1" x14ac:dyDescent="0.25">
      <c r="A1101" s="78">
        <v>45992</v>
      </c>
      <c r="B1101" t="s">
        <v>347</v>
      </c>
      <c r="C1101" t="s">
        <v>348</v>
      </c>
      <c r="D1101" t="s">
        <v>223</v>
      </c>
      <c r="E1101" t="s">
        <v>2343</v>
      </c>
      <c r="F1101" t="s">
        <v>228</v>
      </c>
      <c r="G1101" s="77">
        <v>1460</v>
      </c>
      <c r="H1101" s="126">
        <v>171.8</v>
      </c>
      <c r="I1101" s="124">
        <v>254.26</v>
      </c>
      <c r="J1101" s="124">
        <v>278.85000000000002</v>
      </c>
      <c r="K1101" s="77">
        <v>520</v>
      </c>
      <c r="L1101" s="124">
        <v>1053.1099999999999</v>
      </c>
    </row>
    <row r="1102" spans="1:12" ht="15" customHeight="1" x14ac:dyDescent="0.25">
      <c r="A1102" s="78">
        <v>45992</v>
      </c>
      <c r="B1102" t="s">
        <v>347</v>
      </c>
      <c r="C1102" t="s">
        <v>348</v>
      </c>
      <c r="D1102" t="s">
        <v>223</v>
      </c>
      <c r="E1102" t="s">
        <v>2274</v>
      </c>
      <c r="F1102" t="s">
        <v>224</v>
      </c>
      <c r="G1102" s="77">
        <v>834</v>
      </c>
      <c r="H1102" s="126">
        <v>98.1</v>
      </c>
      <c r="I1102" s="124">
        <v>145.19</v>
      </c>
      <c r="J1102" s="124">
        <v>147.5</v>
      </c>
      <c r="K1102" s="77">
        <v>450</v>
      </c>
      <c r="L1102" s="124">
        <v>742.69</v>
      </c>
    </row>
    <row r="1103" spans="1:12" ht="15" customHeight="1" x14ac:dyDescent="0.25">
      <c r="A1103" s="78">
        <v>45992</v>
      </c>
      <c r="B1103" t="s">
        <v>347</v>
      </c>
      <c r="C1103" t="s">
        <v>348</v>
      </c>
      <c r="D1103" t="s">
        <v>223</v>
      </c>
      <c r="E1103" t="s">
        <v>2333</v>
      </c>
      <c r="F1103" t="s">
        <v>226</v>
      </c>
      <c r="G1103" s="77">
        <v>1054</v>
      </c>
      <c r="H1103" s="126">
        <v>100.4</v>
      </c>
      <c r="I1103" s="124">
        <v>148.59</v>
      </c>
      <c r="J1103" s="124">
        <v>187.81</v>
      </c>
      <c r="K1103" s="77">
        <v>450</v>
      </c>
      <c r="L1103" s="124">
        <v>786.4</v>
      </c>
    </row>
    <row r="1104" spans="1:12" ht="15" customHeight="1" x14ac:dyDescent="0.25">
      <c r="A1104" s="78">
        <v>45992</v>
      </c>
      <c r="B1104" t="s">
        <v>347</v>
      </c>
      <c r="C1104" t="s">
        <v>348</v>
      </c>
      <c r="D1104" t="s">
        <v>223</v>
      </c>
      <c r="E1104" t="s">
        <v>2264</v>
      </c>
      <c r="F1104" t="s">
        <v>228</v>
      </c>
      <c r="G1104" s="77">
        <v>708</v>
      </c>
      <c r="H1104" s="126">
        <v>83.3</v>
      </c>
      <c r="I1104" s="124">
        <v>123.28</v>
      </c>
      <c r="J1104" s="124">
        <v>297.41000000000003</v>
      </c>
      <c r="K1104" s="77">
        <v>380</v>
      </c>
      <c r="L1104" s="124">
        <v>800.69</v>
      </c>
    </row>
    <row r="1105" spans="1:12" ht="15" customHeight="1" x14ac:dyDescent="0.25">
      <c r="A1105" s="78">
        <v>45992</v>
      </c>
      <c r="B1105" t="s">
        <v>347</v>
      </c>
      <c r="C1105" t="s">
        <v>348</v>
      </c>
      <c r="D1105" t="s">
        <v>223</v>
      </c>
      <c r="E1105" t="s">
        <v>2275</v>
      </c>
      <c r="F1105" t="s">
        <v>224</v>
      </c>
      <c r="G1105" s="77">
        <v>373</v>
      </c>
      <c r="H1105" s="126">
        <v>43.9</v>
      </c>
      <c r="I1105" s="124">
        <v>64.97</v>
      </c>
      <c r="J1105" s="124">
        <v>99.61</v>
      </c>
      <c r="K1105" s="77">
        <v>450</v>
      </c>
      <c r="L1105" s="124">
        <v>614.58000000000004</v>
      </c>
    </row>
    <row r="1106" spans="1:12" ht="15" customHeight="1" x14ac:dyDescent="0.25">
      <c r="A1106" s="78">
        <v>45992</v>
      </c>
      <c r="B1106" t="s">
        <v>409</v>
      </c>
      <c r="C1106" t="s">
        <v>410</v>
      </c>
      <c r="D1106" t="s">
        <v>223</v>
      </c>
      <c r="E1106" t="s">
        <v>2316</v>
      </c>
      <c r="F1106" t="s">
        <v>222</v>
      </c>
      <c r="G1106" s="77">
        <v>927</v>
      </c>
      <c r="H1106" s="126">
        <v>88.3</v>
      </c>
      <c r="I1106" s="124">
        <v>130.68</v>
      </c>
      <c r="J1106" s="124">
        <v>200.67</v>
      </c>
      <c r="K1106" s="77">
        <v>380</v>
      </c>
      <c r="L1106" s="124">
        <v>711.35</v>
      </c>
    </row>
    <row r="1107" spans="1:12" ht="15" customHeight="1" x14ac:dyDescent="0.25">
      <c r="A1107" s="78">
        <v>45992</v>
      </c>
      <c r="B1107" t="s">
        <v>409</v>
      </c>
      <c r="C1107" t="s">
        <v>410</v>
      </c>
      <c r="D1107" t="s">
        <v>223</v>
      </c>
      <c r="E1107" t="s">
        <v>2258</v>
      </c>
      <c r="F1107" t="s">
        <v>222</v>
      </c>
      <c r="G1107" s="77">
        <v>1055</v>
      </c>
      <c r="H1107" s="126">
        <v>100.5</v>
      </c>
      <c r="I1107" s="124">
        <v>148.74</v>
      </c>
      <c r="J1107" s="124">
        <v>37.549999999999997</v>
      </c>
      <c r="K1107" s="77">
        <v>380</v>
      </c>
      <c r="L1107" s="124">
        <v>566.29</v>
      </c>
    </row>
    <row r="1108" spans="1:12" ht="15" customHeight="1" x14ac:dyDescent="0.25">
      <c r="A1108" s="78">
        <v>45992</v>
      </c>
      <c r="B1108" t="s">
        <v>409</v>
      </c>
      <c r="C1108" t="s">
        <v>410</v>
      </c>
      <c r="D1108" t="s">
        <v>223</v>
      </c>
      <c r="E1108" t="s">
        <v>2336</v>
      </c>
      <c r="F1108" t="s">
        <v>222</v>
      </c>
      <c r="G1108" s="77">
        <v>803</v>
      </c>
      <c r="H1108" s="126">
        <v>76.5</v>
      </c>
      <c r="I1108" s="124">
        <v>113.22</v>
      </c>
      <c r="J1108" s="124">
        <v>165.89</v>
      </c>
      <c r="K1108" s="77">
        <v>380</v>
      </c>
      <c r="L1108" s="124">
        <v>659.11</v>
      </c>
    </row>
    <row r="1109" spans="1:12" ht="15" customHeight="1" x14ac:dyDescent="0.25">
      <c r="A1109" s="78">
        <v>45992</v>
      </c>
      <c r="B1109" t="s">
        <v>409</v>
      </c>
      <c r="C1109" t="s">
        <v>410</v>
      </c>
      <c r="D1109" t="s">
        <v>223</v>
      </c>
      <c r="E1109" t="s">
        <v>2287</v>
      </c>
      <c r="F1109" t="s">
        <v>228</v>
      </c>
      <c r="G1109" s="77">
        <v>1030</v>
      </c>
      <c r="H1109" s="126">
        <v>121.2</v>
      </c>
      <c r="I1109" s="124">
        <v>179.38</v>
      </c>
      <c r="J1109" s="124">
        <v>203.67</v>
      </c>
      <c r="K1109" s="77">
        <v>320</v>
      </c>
      <c r="L1109" s="124">
        <v>703.05</v>
      </c>
    </row>
    <row r="1110" spans="1:12" ht="15" customHeight="1" x14ac:dyDescent="0.25">
      <c r="A1110" s="78">
        <v>45992</v>
      </c>
      <c r="B1110" t="s">
        <v>409</v>
      </c>
      <c r="C1110" t="s">
        <v>410</v>
      </c>
      <c r="D1110" t="s">
        <v>223</v>
      </c>
      <c r="E1110" t="s">
        <v>2318</v>
      </c>
      <c r="F1110" t="s">
        <v>226</v>
      </c>
      <c r="G1110" s="77">
        <v>929</v>
      </c>
      <c r="H1110" s="126">
        <v>88.5</v>
      </c>
      <c r="I1110" s="124">
        <v>130.97999999999999</v>
      </c>
      <c r="J1110" s="124">
        <v>205.69</v>
      </c>
      <c r="K1110" s="77">
        <v>380</v>
      </c>
      <c r="L1110" s="124">
        <v>716.67</v>
      </c>
    </row>
    <row r="1111" spans="1:12" ht="15" customHeight="1" x14ac:dyDescent="0.25">
      <c r="A1111" s="78">
        <v>45992</v>
      </c>
      <c r="B1111" t="s">
        <v>488</v>
      </c>
      <c r="C1111" t="s">
        <v>489</v>
      </c>
      <c r="D1111" t="s">
        <v>225</v>
      </c>
      <c r="E1111" t="s">
        <v>2271</v>
      </c>
      <c r="F1111" t="s">
        <v>228</v>
      </c>
      <c r="G1111" s="77">
        <v>920</v>
      </c>
      <c r="H1111" s="126">
        <v>108.2</v>
      </c>
      <c r="I1111" s="124">
        <v>160.13999999999999</v>
      </c>
      <c r="J1111" s="124">
        <v>242.95</v>
      </c>
      <c r="K1111" s="77">
        <v>320</v>
      </c>
      <c r="L1111" s="124">
        <v>723.09</v>
      </c>
    </row>
    <row r="1112" spans="1:12" ht="15" customHeight="1" x14ac:dyDescent="0.25">
      <c r="A1112" s="78">
        <v>45992</v>
      </c>
      <c r="B1112" t="s">
        <v>488</v>
      </c>
      <c r="C1112" t="s">
        <v>489</v>
      </c>
      <c r="D1112" t="s">
        <v>225</v>
      </c>
      <c r="E1112" t="s">
        <v>2298</v>
      </c>
      <c r="F1112" t="s">
        <v>226</v>
      </c>
      <c r="G1112" s="77">
        <v>1592</v>
      </c>
      <c r="H1112" s="126">
        <v>151.6</v>
      </c>
      <c r="I1112" s="124">
        <v>224.37</v>
      </c>
      <c r="J1112" s="124">
        <v>36.11</v>
      </c>
      <c r="K1112" s="77">
        <v>520</v>
      </c>
      <c r="L1112" s="124">
        <v>780.48</v>
      </c>
    </row>
    <row r="1113" spans="1:12" ht="15" customHeight="1" x14ac:dyDescent="0.25">
      <c r="A1113" s="78">
        <v>45992</v>
      </c>
      <c r="B1113" t="s">
        <v>488</v>
      </c>
      <c r="C1113" t="s">
        <v>489</v>
      </c>
      <c r="D1113" t="s">
        <v>225</v>
      </c>
      <c r="E1113" t="s">
        <v>2340</v>
      </c>
      <c r="F1113" t="s">
        <v>228</v>
      </c>
      <c r="G1113" s="77">
        <v>587</v>
      </c>
      <c r="H1113" s="126">
        <v>69.099999999999994</v>
      </c>
      <c r="I1113" s="124">
        <v>102.27</v>
      </c>
      <c r="J1113" s="124">
        <v>312.69</v>
      </c>
      <c r="K1113" s="77">
        <v>320</v>
      </c>
      <c r="L1113" s="124">
        <v>734.96</v>
      </c>
    </row>
    <row r="1114" spans="1:12" ht="15" customHeight="1" x14ac:dyDescent="0.25">
      <c r="A1114" s="78">
        <v>45992</v>
      </c>
      <c r="B1114" t="s">
        <v>406</v>
      </c>
      <c r="C1114" t="s">
        <v>407</v>
      </c>
      <c r="D1114" t="s">
        <v>225</v>
      </c>
      <c r="E1114" t="s">
        <v>2225</v>
      </c>
      <c r="F1114" t="s">
        <v>222</v>
      </c>
      <c r="G1114" s="77">
        <v>880</v>
      </c>
      <c r="H1114" s="126">
        <v>83.8</v>
      </c>
      <c r="I1114" s="124">
        <v>124.02</v>
      </c>
      <c r="J1114" s="124">
        <v>124.54</v>
      </c>
      <c r="K1114" s="77">
        <v>320</v>
      </c>
      <c r="L1114" s="124">
        <v>568.55999999999995</v>
      </c>
    </row>
    <row r="1115" spans="1:12" ht="15" customHeight="1" x14ac:dyDescent="0.25">
      <c r="A1115" s="78">
        <v>45992</v>
      </c>
      <c r="B1115" t="s">
        <v>406</v>
      </c>
      <c r="C1115" t="s">
        <v>407</v>
      </c>
      <c r="D1115" t="s">
        <v>225</v>
      </c>
      <c r="E1115" t="s">
        <v>2317</v>
      </c>
      <c r="F1115" t="s">
        <v>224</v>
      </c>
      <c r="G1115" s="77">
        <v>854</v>
      </c>
      <c r="H1115" s="126">
        <v>100.5</v>
      </c>
      <c r="I1115" s="124">
        <v>148.74</v>
      </c>
      <c r="J1115" s="124">
        <v>129.22</v>
      </c>
      <c r="K1115" s="77">
        <v>380</v>
      </c>
      <c r="L1115" s="124">
        <v>657.96</v>
      </c>
    </row>
    <row r="1116" spans="1:12" ht="15" customHeight="1" x14ac:dyDescent="0.25">
      <c r="A1116" s="78">
        <v>45992</v>
      </c>
      <c r="B1116" t="s">
        <v>406</v>
      </c>
      <c r="C1116" t="s">
        <v>407</v>
      </c>
      <c r="D1116" t="s">
        <v>225</v>
      </c>
      <c r="E1116" t="s">
        <v>2238</v>
      </c>
      <c r="F1116" t="s">
        <v>226</v>
      </c>
      <c r="G1116" s="77">
        <v>1449</v>
      </c>
      <c r="H1116" s="126">
        <v>138</v>
      </c>
      <c r="I1116" s="124">
        <v>204.24</v>
      </c>
      <c r="J1116" s="124">
        <v>214.17</v>
      </c>
      <c r="K1116" s="77">
        <v>320</v>
      </c>
      <c r="L1116" s="124">
        <v>738.41</v>
      </c>
    </row>
    <row r="1117" spans="1:12" ht="15" customHeight="1" x14ac:dyDescent="0.25">
      <c r="A1117" s="78">
        <v>45992</v>
      </c>
      <c r="B1117" t="s">
        <v>406</v>
      </c>
      <c r="C1117" t="s">
        <v>407</v>
      </c>
      <c r="D1117" t="s">
        <v>225</v>
      </c>
      <c r="E1117" t="s">
        <v>2248</v>
      </c>
      <c r="F1117" t="s">
        <v>222</v>
      </c>
      <c r="G1117" s="77">
        <v>1265</v>
      </c>
      <c r="H1117" s="126">
        <v>120.5</v>
      </c>
      <c r="I1117" s="124">
        <v>178.34</v>
      </c>
      <c r="J1117" s="124">
        <v>36.700000000000003</v>
      </c>
      <c r="K1117" s="77">
        <v>520</v>
      </c>
      <c r="L1117" s="124">
        <v>735.04</v>
      </c>
    </row>
    <row r="1118" spans="1:12" ht="15" customHeight="1" x14ac:dyDescent="0.25">
      <c r="A1118" s="78">
        <v>45992</v>
      </c>
      <c r="B1118" t="s">
        <v>406</v>
      </c>
      <c r="C1118" t="s">
        <v>407</v>
      </c>
      <c r="D1118" t="s">
        <v>225</v>
      </c>
      <c r="E1118" t="s">
        <v>2310</v>
      </c>
      <c r="F1118" t="s">
        <v>228</v>
      </c>
      <c r="G1118" s="77">
        <v>762</v>
      </c>
      <c r="H1118" s="126">
        <v>89.6</v>
      </c>
      <c r="I1118" s="124">
        <v>132.61000000000001</v>
      </c>
      <c r="J1118" s="124">
        <v>22.87</v>
      </c>
      <c r="K1118" s="77">
        <v>380</v>
      </c>
      <c r="L1118" s="124">
        <v>535.48</v>
      </c>
    </row>
    <row r="1119" spans="1:12" ht="15" customHeight="1" x14ac:dyDescent="0.25">
      <c r="A1119" s="78">
        <v>45992</v>
      </c>
      <c r="B1119" t="s">
        <v>406</v>
      </c>
      <c r="C1119" t="s">
        <v>407</v>
      </c>
      <c r="D1119" t="s">
        <v>225</v>
      </c>
      <c r="E1119" t="s">
        <v>2319</v>
      </c>
      <c r="F1119" t="s">
        <v>224</v>
      </c>
      <c r="G1119" s="77">
        <v>847</v>
      </c>
      <c r="H1119" s="126">
        <v>99.6</v>
      </c>
      <c r="I1119" s="124">
        <v>147.41</v>
      </c>
      <c r="J1119" s="124">
        <v>226.54</v>
      </c>
      <c r="K1119" s="77">
        <v>380</v>
      </c>
      <c r="L1119" s="124">
        <v>753.95</v>
      </c>
    </row>
    <row r="1120" spans="1:12" ht="15" customHeight="1" x14ac:dyDescent="0.25">
      <c r="A1120" s="78">
        <v>45992</v>
      </c>
      <c r="B1120" t="s">
        <v>406</v>
      </c>
      <c r="C1120" t="s">
        <v>407</v>
      </c>
      <c r="D1120" t="s">
        <v>225</v>
      </c>
      <c r="E1120" t="s">
        <v>2352</v>
      </c>
      <c r="F1120" t="s">
        <v>224</v>
      </c>
      <c r="G1120" s="77">
        <v>1179</v>
      </c>
      <c r="H1120" s="126">
        <v>138.69999999999999</v>
      </c>
      <c r="I1120" s="124">
        <v>205.28</v>
      </c>
      <c r="J1120" s="124">
        <v>132.28</v>
      </c>
      <c r="K1120" s="77">
        <v>380</v>
      </c>
      <c r="L1120" s="124">
        <v>717.56</v>
      </c>
    </row>
    <row r="1121" spans="1:12" ht="15" customHeight="1" x14ac:dyDescent="0.25">
      <c r="A1121" s="78">
        <v>45992</v>
      </c>
      <c r="B1121" t="s">
        <v>358</v>
      </c>
      <c r="C1121" t="s">
        <v>359</v>
      </c>
      <c r="D1121" t="s">
        <v>225</v>
      </c>
      <c r="E1121" t="s">
        <v>2308</v>
      </c>
      <c r="F1121" t="s">
        <v>222</v>
      </c>
      <c r="G1121" s="77">
        <v>1044</v>
      </c>
      <c r="H1121" s="126">
        <v>99.4</v>
      </c>
      <c r="I1121" s="124">
        <v>147.11000000000001</v>
      </c>
      <c r="J1121" s="124">
        <v>94.89</v>
      </c>
      <c r="K1121" s="77">
        <v>380</v>
      </c>
      <c r="L1121" s="124">
        <v>622</v>
      </c>
    </row>
    <row r="1122" spans="1:12" ht="15" customHeight="1" x14ac:dyDescent="0.25">
      <c r="A1122" s="78">
        <v>45992</v>
      </c>
      <c r="B1122" t="s">
        <v>358</v>
      </c>
      <c r="C1122" t="s">
        <v>359</v>
      </c>
      <c r="D1122" t="s">
        <v>225</v>
      </c>
      <c r="E1122" t="s">
        <v>2331</v>
      </c>
      <c r="F1122" t="s">
        <v>226</v>
      </c>
      <c r="G1122" s="77">
        <v>1101</v>
      </c>
      <c r="H1122" s="126">
        <v>104.9</v>
      </c>
      <c r="I1122" s="124">
        <v>155.25</v>
      </c>
      <c r="J1122" s="124">
        <v>211.27</v>
      </c>
      <c r="K1122" s="77">
        <v>450</v>
      </c>
      <c r="L1122" s="124">
        <v>816.52</v>
      </c>
    </row>
    <row r="1123" spans="1:12" ht="15" customHeight="1" x14ac:dyDescent="0.25">
      <c r="A1123" s="78">
        <v>45992</v>
      </c>
      <c r="B1123" t="s">
        <v>358</v>
      </c>
      <c r="C1123" t="s">
        <v>359</v>
      </c>
      <c r="D1123" t="s">
        <v>225</v>
      </c>
      <c r="E1123" t="s">
        <v>2321</v>
      </c>
      <c r="F1123" t="s">
        <v>226</v>
      </c>
      <c r="G1123" s="77">
        <v>646</v>
      </c>
      <c r="H1123" s="126">
        <v>61.5</v>
      </c>
      <c r="I1123" s="124">
        <v>91.02</v>
      </c>
      <c r="J1123" s="124">
        <v>173.97</v>
      </c>
      <c r="K1123" s="77">
        <v>380</v>
      </c>
      <c r="L1123" s="124">
        <v>644.99</v>
      </c>
    </row>
    <row r="1124" spans="1:12" ht="15" customHeight="1" x14ac:dyDescent="0.25">
      <c r="A1124" s="78">
        <v>45992</v>
      </c>
      <c r="B1124" t="s">
        <v>358</v>
      </c>
      <c r="C1124" t="s">
        <v>359</v>
      </c>
      <c r="D1124" t="s">
        <v>225</v>
      </c>
      <c r="E1124" t="s">
        <v>2319</v>
      </c>
      <c r="F1124" t="s">
        <v>222</v>
      </c>
      <c r="G1124" s="77">
        <v>1283</v>
      </c>
      <c r="H1124" s="126">
        <v>122.2</v>
      </c>
      <c r="I1124" s="124">
        <v>180.86</v>
      </c>
      <c r="J1124" s="124">
        <v>116.79</v>
      </c>
      <c r="K1124" s="77">
        <v>320</v>
      </c>
      <c r="L1124" s="124">
        <v>617.65</v>
      </c>
    </row>
    <row r="1125" spans="1:12" ht="15" customHeight="1" x14ac:dyDescent="0.25">
      <c r="A1125" s="78">
        <v>45992</v>
      </c>
      <c r="B1125" t="s">
        <v>358</v>
      </c>
      <c r="C1125" t="s">
        <v>359</v>
      </c>
      <c r="D1125" t="s">
        <v>225</v>
      </c>
      <c r="E1125" t="s">
        <v>2341</v>
      </c>
      <c r="F1125" t="s">
        <v>226</v>
      </c>
      <c r="G1125" s="77">
        <v>1225</v>
      </c>
      <c r="H1125" s="126">
        <v>116.7</v>
      </c>
      <c r="I1125" s="124">
        <v>172.72</v>
      </c>
      <c r="J1125" s="124">
        <v>375.17</v>
      </c>
      <c r="K1125" s="77">
        <v>380</v>
      </c>
      <c r="L1125" s="124">
        <v>927.89</v>
      </c>
    </row>
    <row r="1126" spans="1:12" ht="15" customHeight="1" x14ac:dyDescent="0.25">
      <c r="A1126" s="78">
        <v>45992</v>
      </c>
      <c r="B1126" t="s">
        <v>358</v>
      </c>
      <c r="C1126" t="s">
        <v>359</v>
      </c>
      <c r="D1126" t="s">
        <v>225</v>
      </c>
      <c r="E1126" t="s">
        <v>2260</v>
      </c>
      <c r="F1126" t="s">
        <v>228</v>
      </c>
      <c r="G1126" s="77">
        <v>1023</v>
      </c>
      <c r="H1126" s="126">
        <v>120.4</v>
      </c>
      <c r="I1126" s="124">
        <v>178.19</v>
      </c>
      <c r="J1126" s="124">
        <v>281.45999999999998</v>
      </c>
      <c r="K1126" s="77">
        <v>380</v>
      </c>
      <c r="L1126" s="124">
        <v>839.65</v>
      </c>
    </row>
    <row r="1127" spans="1:12" ht="15" customHeight="1" x14ac:dyDescent="0.25">
      <c r="A1127" s="78">
        <v>45992</v>
      </c>
      <c r="B1127" t="s">
        <v>383</v>
      </c>
      <c r="C1127" t="s">
        <v>384</v>
      </c>
      <c r="D1127" t="s">
        <v>225</v>
      </c>
      <c r="E1127" t="s">
        <v>2348</v>
      </c>
      <c r="F1127" t="s">
        <v>228</v>
      </c>
      <c r="G1127" s="77">
        <v>865</v>
      </c>
      <c r="H1127" s="126">
        <v>101.8</v>
      </c>
      <c r="I1127" s="124">
        <v>150.66</v>
      </c>
      <c r="J1127" s="124">
        <v>264.5</v>
      </c>
      <c r="K1127" s="77">
        <v>380</v>
      </c>
      <c r="L1127" s="124">
        <v>795.16</v>
      </c>
    </row>
    <row r="1128" spans="1:12" ht="15" customHeight="1" x14ac:dyDescent="0.25">
      <c r="A1128" s="78">
        <v>45992</v>
      </c>
      <c r="B1128" t="s">
        <v>383</v>
      </c>
      <c r="C1128" t="s">
        <v>384</v>
      </c>
      <c r="D1128" t="s">
        <v>225</v>
      </c>
      <c r="E1128" t="s">
        <v>2241</v>
      </c>
      <c r="F1128" t="s">
        <v>224</v>
      </c>
      <c r="G1128" s="77">
        <v>1165</v>
      </c>
      <c r="H1128" s="126">
        <v>137.1</v>
      </c>
      <c r="I1128" s="124">
        <v>202.91</v>
      </c>
      <c r="J1128" s="124">
        <v>165.59</v>
      </c>
      <c r="K1128" s="77">
        <v>450</v>
      </c>
      <c r="L1128" s="124">
        <v>818.5</v>
      </c>
    </row>
    <row r="1129" spans="1:12" ht="15" customHeight="1" x14ac:dyDescent="0.25">
      <c r="A1129" s="78">
        <v>45992</v>
      </c>
      <c r="B1129" t="s">
        <v>383</v>
      </c>
      <c r="C1129" t="s">
        <v>384</v>
      </c>
      <c r="D1129" t="s">
        <v>225</v>
      </c>
      <c r="E1129" t="s">
        <v>2335</v>
      </c>
      <c r="F1129" t="s">
        <v>228</v>
      </c>
      <c r="G1129" s="77">
        <v>795</v>
      </c>
      <c r="H1129" s="126">
        <v>93.5</v>
      </c>
      <c r="I1129" s="124">
        <v>138.38</v>
      </c>
      <c r="J1129" s="124">
        <v>266.51</v>
      </c>
      <c r="K1129" s="77">
        <v>380</v>
      </c>
      <c r="L1129" s="124">
        <v>784.89</v>
      </c>
    </row>
    <row r="1130" spans="1:12" ht="15" customHeight="1" x14ac:dyDescent="0.25">
      <c r="A1130" s="78">
        <v>45992</v>
      </c>
      <c r="B1130" t="s">
        <v>383</v>
      </c>
      <c r="C1130" t="s">
        <v>384</v>
      </c>
      <c r="D1130" t="s">
        <v>225</v>
      </c>
      <c r="E1130" t="s">
        <v>2341</v>
      </c>
      <c r="F1130" t="s">
        <v>222</v>
      </c>
      <c r="G1130" s="77">
        <v>1415</v>
      </c>
      <c r="H1130" s="126">
        <v>134.80000000000001</v>
      </c>
      <c r="I1130" s="124">
        <v>199.5</v>
      </c>
      <c r="J1130" s="124">
        <v>185.89</v>
      </c>
      <c r="K1130" s="77">
        <v>450</v>
      </c>
      <c r="L1130" s="124">
        <v>835.39</v>
      </c>
    </row>
    <row r="1131" spans="1:12" ht="15" customHeight="1" x14ac:dyDescent="0.25">
      <c r="A1131" s="78">
        <v>45992</v>
      </c>
      <c r="B1131" t="s">
        <v>373</v>
      </c>
      <c r="C1131" t="s">
        <v>374</v>
      </c>
      <c r="D1131" t="s">
        <v>225</v>
      </c>
      <c r="E1131" t="s">
        <v>2356</v>
      </c>
      <c r="F1131" t="s">
        <v>222</v>
      </c>
      <c r="G1131" s="77">
        <v>1290</v>
      </c>
      <c r="H1131" s="126">
        <v>122.9</v>
      </c>
      <c r="I1131" s="124">
        <v>181.89</v>
      </c>
      <c r="J1131" s="124">
        <v>131.04</v>
      </c>
      <c r="K1131" s="77">
        <v>520</v>
      </c>
      <c r="L1131" s="124">
        <v>832.93</v>
      </c>
    </row>
    <row r="1132" spans="1:12" ht="15" customHeight="1" x14ac:dyDescent="0.25">
      <c r="A1132" s="78">
        <v>45992</v>
      </c>
      <c r="B1132" t="s">
        <v>373</v>
      </c>
      <c r="C1132" t="s">
        <v>374</v>
      </c>
      <c r="D1132" t="s">
        <v>225</v>
      </c>
      <c r="E1132" t="s">
        <v>2251</v>
      </c>
      <c r="F1132" t="s">
        <v>222</v>
      </c>
      <c r="G1132" s="77">
        <v>1237</v>
      </c>
      <c r="H1132" s="126">
        <v>117.8</v>
      </c>
      <c r="I1132" s="124">
        <v>174.34</v>
      </c>
      <c r="J1132" s="124">
        <v>172.34</v>
      </c>
      <c r="K1132" s="77">
        <v>520</v>
      </c>
      <c r="L1132" s="124">
        <v>866.68</v>
      </c>
    </row>
    <row r="1133" spans="1:12" ht="15" customHeight="1" x14ac:dyDescent="0.25">
      <c r="A1133" s="78">
        <v>45992</v>
      </c>
      <c r="B1133" t="s">
        <v>373</v>
      </c>
      <c r="C1133" t="s">
        <v>374</v>
      </c>
      <c r="D1133" t="s">
        <v>225</v>
      </c>
      <c r="E1133" t="s">
        <v>2331</v>
      </c>
      <c r="F1133" t="s">
        <v>222</v>
      </c>
      <c r="G1133" s="77">
        <v>812</v>
      </c>
      <c r="H1133" s="126">
        <v>77.3</v>
      </c>
      <c r="I1133" s="124">
        <v>114.4</v>
      </c>
      <c r="J1133" s="124">
        <v>175.48</v>
      </c>
      <c r="K1133" s="77">
        <v>320</v>
      </c>
      <c r="L1133" s="124">
        <v>609.88</v>
      </c>
    </row>
    <row r="1134" spans="1:12" ht="15" customHeight="1" x14ac:dyDescent="0.25">
      <c r="A1134" s="78">
        <v>45992</v>
      </c>
      <c r="B1134" t="s">
        <v>373</v>
      </c>
      <c r="C1134" t="s">
        <v>374</v>
      </c>
      <c r="D1134" t="s">
        <v>225</v>
      </c>
      <c r="E1134" t="s">
        <v>2268</v>
      </c>
      <c r="F1134" t="s">
        <v>228</v>
      </c>
      <c r="G1134" s="77">
        <v>802</v>
      </c>
      <c r="H1134" s="126">
        <v>94.4</v>
      </c>
      <c r="I1134" s="124">
        <v>139.71</v>
      </c>
      <c r="J1134" s="124">
        <v>199.37</v>
      </c>
      <c r="K1134" s="77">
        <v>450</v>
      </c>
      <c r="L1134" s="124">
        <v>789.08</v>
      </c>
    </row>
    <row r="1135" spans="1:12" ht="15" customHeight="1" x14ac:dyDescent="0.25">
      <c r="A1135" s="78">
        <v>45992</v>
      </c>
      <c r="B1135" t="s">
        <v>373</v>
      </c>
      <c r="C1135" t="s">
        <v>374</v>
      </c>
      <c r="D1135" t="s">
        <v>225</v>
      </c>
      <c r="E1135" t="s">
        <v>2307</v>
      </c>
      <c r="F1135" t="s">
        <v>222</v>
      </c>
      <c r="G1135" s="77">
        <v>1097</v>
      </c>
      <c r="H1135" s="126">
        <v>104.5</v>
      </c>
      <c r="I1135" s="124">
        <v>154.66</v>
      </c>
      <c r="J1135" s="124">
        <v>173.78</v>
      </c>
      <c r="K1135" s="77">
        <v>450</v>
      </c>
      <c r="L1135" s="124">
        <v>778.44</v>
      </c>
    </row>
    <row r="1136" spans="1:12" ht="15" customHeight="1" x14ac:dyDescent="0.25">
      <c r="A1136" s="78">
        <v>45992</v>
      </c>
      <c r="B1136" t="s">
        <v>354</v>
      </c>
      <c r="C1136" t="s">
        <v>355</v>
      </c>
      <c r="D1136" t="s">
        <v>227</v>
      </c>
      <c r="E1136" t="s">
        <v>2258</v>
      </c>
      <c r="F1136" t="s">
        <v>228</v>
      </c>
      <c r="G1136" s="77">
        <v>752</v>
      </c>
      <c r="H1136" s="126">
        <v>88.5</v>
      </c>
      <c r="I1136" s="124">
        <v>130.97999999999999</v>
      </c>
      <c r="J1136" s="124">
        <v>334.32</v>
      </c>
      <c r="K1136" s="77">
        <v>520</v>
      </c>
      <c r="L1136" s="124">
        <v>985.3</v>
      </c>
    </row>
    <row r="1137" spans="1:12" ht="15" customHeight="1" x14ac:dyDescent="0.25">
      <c r="A1137" s="78">
        <v>45992</v>
      </c>
      <c r="B1137" t="s">
        <v>354</v>
      </c>
      <c r="C1137" t="s">
        <v>355</v>
      </c>
      <c r="D1137" t="s">
        <v>227</v>
      </c>
      <c r="E1137" t="s">
        <v>2303</v>
      </c>
      <c r="F1137" t="s">
        <v>228</v>
      </c>
      <c r="G1137" s="77">
        <v>1193</v>
      </c>
      <c r="H1137" s="126">
        <v>140.4</v>
      </c>
      <c r="I1137" s="124">
        <v>207.79</v>
      </c>
      <c r="J1137" s="124">
        <v>193.62</v>
      </c>
      <c r="K1137" s="77">
        <v>380</v>
      </c>
      <c r="L1137" s="124">
        <v>781.41</v>
      </c>
    </row>
    <row r="1138" spans="1:12" ht="15" customHeight="1" x14ac:dyDescent="0.25">
      <c r="A1138" s="78">
        <v>45992</v>
      </c>
      <c r="B1138" t="s">
        <v>354</v>
      </c>
      <c r="C1138" t="s">
        <v>355</v>
      </c>
      <c r="D1138" t="s">
        <v>227</v>
      </c>
      <c r="E1138" t="s">
        <v>2278</v>
      </c>
      <c r="F1138" t="s">
        <v>226</v>
      </c>
      <c r="G1138" s="77">
        <v>665</v>
      </c>
      <c r="H1138" s="126">
        <v>63.3</v>
      </c>
      <c r="I1138" s="124">
        <v>93.68</v>
      </c>
      <c r="J1138" s="124">
        <v>138.41</v>
      </c>
      <c r="K1138" s="77">
        <v>380</v>
      </c>
      <c r="L1138" s="124">
        <v>612.09</v>
      </c>
    </row>
    <row r="1139" spans="1:12" ht="15" customHeight="1" x14ac:dyDescent="0.25">
      <c r="A1139" s="78">
        <v>45992</v>
      </c>
      <c r="B1139" t="s">
        <v>354</v>
      </c>
      <c r="C1139" t="s">
        <v>355</v>
      </c>
      <c r="D1139" t="s">
        <v>227</v>
      </c>
      <c r="E1139" t="s">
        <v>2270</v>
      </c>
      <c r="F1139" t="s">
        <v>222</v>
      </c>
      <c r="G1139" s="77">
        <v>938</v>
      </c>
      <c r="H1139" s="126">
        <v>89.3</v>
      </c>
      <c r="I1139" s="124">
        <v>132.16</v>
      </c>
      <c r="J1139" s="124">
        <v>159.05000000000001</v>
      </c>
      <c r="K1139" s="77">
        <v>450</v>
      </c>
      <c r="L1139" s="124">
        <v>741.21</v>
      </c>
    </row>
    <row r="1140" spans="1:12" ht="15" customHeight="1" x14ac:dyDescent="0.25">
      <c r="A1140" s="78">
        <v>45992</v>
      </c>
      <c r="B1140" t="s">
        <v>354</v>
      </c>
      <c r="C1140" t="s">
        <v>355</v>
      </c>
      <c r="D1140" t="s">
        <v>227</v>
      </c>
      <c r="E1140" t="s">
        <v>2304</v>
      </c>
      <c r="F1140" t="s">
        <v>224</v>
      </c>
      <c r="G1140" s="77">
        <v>959</v>
      </c>
      <c r="H1140" s="126">
        <v>112.8</v>
      </c>
      <c r="I1140" s="124">
        <v>166.94</v>
      </c>
      <c r="J1140" s="124">
        <v>0</v>
      </c>
      <c r="K1140" s="77">
        <v>520</v>
      </c>
      <c r="L1140" s="124">
        <v>686.94</v>
      </c>
    </row>
    <row r="1141" spans="1:12" ht="15" customHeight="1" x14ac:dyDescent="0.25">
      <c r="A1141" s="78">
        <v>45992</v>
      </c>
      <c r="B1141" t="s">
        <v>370</v>
      </c>
      <c r="C1141" t="s">
        <v>371</v>
      </c>
      <c r="D1141" t="s">
        <v>227</v>
      </c>
      <c r="E1141" t="s">
        <v>2237</v>
      </c>
      <c r="F1141" t="s">
        <v>224</v>
      </c>
      <c r="G1141" s="77">
        <v>952</v>
      </c>
      <c r="H1141" s="126">
        <v>112</v>
      </c>
      <c r="I1141" s="124">
        <v>165.76</v>
      </c>
      <c r="J1141" s="124">
        <v>125.55</v>
      </c>
      <c r="K1141" s="77">
        <v>520</v>
      </c>
      <c r="L1141" s="124">
        <v>811.31</v>
      </c>
    </row>
    <row r="1142" spans="1:12" ht="15" customHeight="1" x14ac:dyDescent="0.25">
      <c r="A1142" s="78">
        <v>45992</v>
      </c>
      <c r="B1142" t="s">
        <v>370</v>
      </c>
      <c r="C1142" t="s">
        <v>371</v>
      </c>
      <c r="D1142" t="s">
        <v>227</v>
      </c>
      <c r="E1142" t="s">
        <v>2263</v>
      </c>
      <c r="F1142" t="s">
        <v>222</v>
      </c>
      <c r="G1142" s="77">
        <v>1208</v>
      </c>
      <c r="H1142" s="126">
        <v>115</v>
      </c>
      <c r="I1142" s="124">
        <v>170.2</v>
      </c>
      <c r="J1142" s="124">
        <v>94.14</v>
      </c>
      <c r="K1142" s="77">
        <v>380</v>
      </c>
      <c r="L1142" s="124">
        <v>644.34</v>
      </c>
    </row>
    <row r="1143" spans="1:12" ht="15" customHeight="1" x14ac:dyDescent="0.25">
      <c r="A1143" s="78">
        <v>45992</v>
      </c>
      <c r="B1143" t="s">
        <v>370</v>
      </c>
      <c r="C1143" t="s">
        <v>371</v>
      </c>
      <c r="D1143" t="s">
        <v>227</v>
      </c>
      <c r="E1143" t="s">
        <v>2261</v>
      </c>
      <c r="F1143" t="s">
        <v>228</v>
      </c>
      <c r="G1143" s="77">
        <v>1469</v>
      </c>
      <c r="H1143" s="126">
        <v>172.8</v>
      </c>
      <c r="I1143" s="124">
        <v>255.74</v>
      </c>
      <c r="J1143" s="124">
        <v>97.07</v>
      </c>
      <c r="K1143" s="77">
        <v>520</v>
      </c>
      <c r="L1143" s="124">
        <v>872.81</v>
      </c>
    </row>
    <row r="1144" spans="1:12" ht="15" customHeight="1" x14ac:dyDescent="0.25">
      <c r="A1144" s="78">
        <v>45992</v>
      </c>
      <c r="B1144" t="s">
        <v>370</v>
      </c>
      <c r="C1144" t="s">
        <v>371</v>
      </c>
      <c r="D1144" t="s">
        <v>227</v>
      </c>
      <c r="E1144" t="s">
        <v>2258</v>
      </c>
      <c r="F1144" t="s">
        <v>226</v>
      </c>
      <c r="G1144" s="77">
        <v>1377</v>
      </c>
      <c r="H1144" s="126">
        <v>131.1</v>
      </c>
      <c r="I1144" s="124">
        <v>194.03</v>
      </c>
      <c r="J1144" s="124">
        <v>132.05000000000001</v>
      </c>
      <c r="K1144" s="77">
        <v>520</v>
      </c>
      <c r="L1144" s="124">
        <v>846.08</v>
      </c>
    </row>
    <row r="1145" spans="1:12" ht="15" customHeight="1" x14ac:dyDescent="0.25">
      <c r="A1145" s="78">
        <v>45992</v>
      </c>
      <c r="B1145" t="s">
        <v>370</v>
      </c>
      <c r="C1145" t="s">
        <v>371</v>
      </c>
      <c r="D1145" t="s">
        <v>227</v>
      </c>
      <c r="E1145" t="s">
        <v>2359</v>
      </c>
      <c r="F1145" t="s">
        <v>228</v>
      </c>
      <c r="G1145" s="77">
        <v>1264</v>
      </c>
      <c r="H1145" s="126">
        <v>148.69999999999999</v>
      </c>
      <c r="I1145" s="124">
        <v>220.08</v>
      </c>
      <c r="J1145" s="124">
        <v>256.38</v>
      </c>
      <c r="K1145" s="77">
        <v>320</v>
      </c>
      <c r="L1145" s="124">
        <v>796.46</v>
      </c>
    </row>
    <row r="1146" spans="1:12" ht="15" customHeight="1" x14ac:dyDescent="0.25">
      <c r="A1146" s="78">
        <v>45992</v>
      </c>
      <c r="B1146" t="s">
        <v>370</v>
      </c>
      <c r="C1146" t="s">
        <v>371</v>
      </c>
      <c r="D1146" t="s">
        <v>227</v>
      </c>
      <c r="E1146" t="s">
        <v>2302</v>
      </c>
      <c r="F1146" t="s">
        <v>224</v>
      </c>
      <c r="G1146" s="77">
        <v>1334</v>
      </c>
      <c r="H1146" s="126">
        <v>156.9</v>
      </c>
      <c r="I1146" s="124">
        <v>232.21</v>
      </c>
      <c r="J1146" s="124">
        <v>119.01</v>
      </c>
      <c r="K1146" s="77">
        <v>380</v>
      </c>
      <c r="L1146" s="124">
        <v>731.22</v>
      </c>
    </row>
    <row r="1147" spans="1:12" ht="15" customHeight="1" x14ac:dyDescent="0.25">
      <c r="A1147" s="78">
        <v>45992</v>
      </c>
      <c r="B1147" t="s">
        <v>398</v>
      </c>
      <c r="C1147" t="s">
        <v>399</v>
      </c>
      <c r="D1147" t="s">
        <v>227</v>
      </c>
      <c r="E1147" t="s">
        <v>2319</v>
      </c>
      <c r="F1147" t="s">
        <v>224</v>
      </c>
      <c r="G1147" s="77">
        <v>775</v>
      </c>
      <c r="H1147" s="126">
        <v>91.2</v>
      </c>
      <c r="I1147" s="124">
        <v>134.97999999999999</v>
      </c>
      <c r="J1147" s="124">
        <v>263.64</v>
      </c>
      <c r="K1147" s="77">
        <v>520</v>
      </c>
      <c r="L1147" s="124">
        <v>918.62</v>
      </c>
    </row>
    <row r="1148" spans="1:12" ht="15" customHeight="1" x14ac:dyDescent="0.25">
      <c r="A1148" s="78">
        <v>45992</v>
      </c>
      <c r="B1148" t="s">
        <v>398</v>
      </c>
      <c r="C1148" t="s">
        <v>399</v>
      </c>
      <c r="D1148" t="s">
        <v>227</v>
      </c>
      <c r="E1148" t="s">
        <v>2253</v>
      </c>
      <c r="F1148" t="s">
        <v>226</v>
      </c>
      <c r="G1148" s="77">
        <v>1021</v>
      </c>
      <c r="H1148" s="126">
        <v>97.2</v>
      </c>
      <c r="I1148" s="124">
        <v>143.86000000000001</v>
      </c>
      <c r="J1148" s="124">
        <v>167.72</v>
      </c>
      <c r="K1148" s="77">
        <v>450</v>
      </c>
      <c r="L1148" s="124">
        <v>761.58</v>
      </c>
    </row>
    <row r="1149" spans="1:12" ht="15" customHeight="1" x14ac:dyDescent="0.25">
      <c r="A1149" s="78">
        <v>45992</v>
      </c>
      <c r="B1149" t="s">
        <v>398</v>
      </c>
      <c r="C1149" t="s">
        <v>399</v>
      </c>
      <c r="D1149" t="s">
        <v>227</v>
      </c>
      <c r="E1149" t="s">
        <v>2300</v>
      </c>
      <c r="F1149" t="s">
        <v>228</v>
      </c>
      <c r="G1149" s="77">
        <v>1358</v>
      </c>
      <c r="H1149" s="126">
        <v>159.80000000000001</v>
      </c>
      <c r="I1149" s="124">
        <v>236.5</v>
      </c>
      <c r="J1149" s="124">
        <v>167.44</v>
      </c>
      <c r="K1149" s="77">
        <v>380</v>
      </c>
      <c r="L1149" s="124">
        <v>783.94</v>
      </c>
    </row>
    <row r="1150" spans="1:12" ht="15" customHeight="1" x14ac:dyDescent="0.25">
      <c r="A1150" s="78">
        <v>45992</v>
      </c>
      <c r="B1150" t="s">
        <v>398</v>
      </c>
      <c r="C1150" t="s">
        <v>399</v>
      </c>
      <c r="D1150" t="s">
        <v>227</v>
      </c>
      <c r="E1150" t="s">
        <v>2284</v>
      </c>
      <c r="F1150" t="s">
        <v>222</v>
      </c>
      <c r="G1150" s="77">
        <v>1198</v>
      </c>
      <c r="H1150" s="126">
        <v>114.1</v>
      </c>
      <c r="I1150" s="124">
        <v>168.87</v>
      </c>
      <c r="J1150" s="124">
        <v>102.81</v>
      </c>
      <c r="K1150" s="77">
        <v>520</v>
      </c>
      <c r="L1150" s="124">
        <v>791.68</v>
      </c>
    </row>
    <row r="1151" spans="1:12" ht="15" customHeight="1" x14ac:dyDescent="0.25">
      <c r="A1151" s="78">
        <v>45992</v>
      </c>
      <c r="B1151" t="s">
        <v>378</v>
      </c>
      <c r="C1151" t="s">
        <v>379</v>
      </c>
      <c r="D1151" t="s">
        <v>227</v>
      </c>
      <c r="E1151" t="s">
        <v>2322</v>
      </c>
      <c r="F1151" t="s">
        <v>224</v>
      </c>
      <c r="G1151" s="77">
        <v>1016</v>
      </c>
      <c r="H1151" s="126">
        <v>119.5</v>
      </c>
      <c r="I1151" s="124">
        <v>176.86</v>
      </c>
      <c r="J1151" s="124">
        <v>155.78</v>
      </c>
      <c r="K1151" s="77">
        <v>520</v>
      </c>
      <c r="L1151" s="124">
        <v>852.64</v>
      </c>
    </row>
    <row r="1152" spans="1:12" ht="15" customHeight="1" x14ac:dyDescent="0.25">
      <c r="A1152" s="78">
        <v>45992</v>
      </c>
      <c r="B1152" t="s">
        <v>378</v>
      </c>
      <c r="C1152" t="s">
        <v>379</v>
      </c>
      <c r="D1152" t="s">
        <v>227</v>
      </c>
      <c r="E1152" t="s">
        <v>2301</v>
      </c>
      <c r="F1152" t="s">
        <v>224</v>
      </c>
      <c r="G1152" s="77">
        <v>674</v>
      </c>
      <c r="H1152" s="126">
        <v>79.3</v>
      </c>
      <c r="I1152" s="124">
        <v>117.36</v>
      </c>
      <c r="J1152" s="124">
        <v>87.69</v>
      </c>
      <c r="K1152" s="77">
        <v>380</v>
      </c>
      <c r="L1152" s="124">
        <v>585.04999999999995</v>
      </c>
    </row>
    <row r="1153" spans="1:12" ht="15" customHeight="1" x14ac:dyDescent="0.25">
      <c r="A1153" s="78">
        <v>45992</v>
      </c>
      <c r="B1153" t="s">
        <v>378</v>
      </c>
      <c r="C1153" t="s">
        <v>379</v>
      </c>
      <c r="D1153" t="s">
        <v>227</v>
      </c>
      <c r="E1153" t="s">
        <v>2243</v>
      </c>
      <c r="F1153" t="s">
        <v>224</v>
      </c>
      <c r="G1153" s="77">
        <v>1387</v>
      </c>
      <c r="H1153" s="126">
        <v>163.19999999999999</v>
      </c>
      <c r="I1153" s="124">
        <v>241.54</v>
      </c>
      <c r="J1153" s="124">
        <v>220.9</v>
      </c>
      <c r="K1153" s="77">
        <v>320</v>
      </c>
      <c r="L1153" s="124">
        <v>782.44</v>
      </c>
    </row>
    <row r="1154" spans="1:12" ht="15" customHeight="1" x14ac:dyDescent="0.25">
      <c r="A1154" s="78">
        <v>45992</v>
      </c>
      <c r="B1154" t="s">
        <v>378</v>
      </c>
      <c r="C1154" t="s">
        <v>379</v>
      </c>
      <c r="D1154" t="s">
        <v>227</v>
      </c>
      <c r="E1154" t="s">
        <v>2334</v>
      </c>
      <c r="F1154" t="s">
        <v>228</v>
      </c>
      <c r="G1154" s="77">
        <v>1034</v>
      </c>
      <c r="H1154" s="126">
        <v>121.6</v>
      </c>
      <c r="I1154" s="124">
        <v>179.97</v>
      </c>
      <c r="J1154" s="124">
        <v>269.45</v>
      </c>
      <c r="K1154" s="77">
        <v>320</v>
      </c>
      <c r="L1154" s="124">
        <v>769.42</v>
      </c>
    </row>
    <row r="1155" spans="1:12" ht="15" customHeight="1" x14ac:dyDescent="0.25">
      <c r="A1155" s="78">
        <v>45992</v>
      </c>
      <c r="B1155" t="s">
        <v>378</v>
      </c>
      <c r="C1155" t="s">
        <v>379</v>
      </c>
      <c r="D1155" t="s">
        <v>227</v>
      </c>
      <c r="E1155" t="s">
        <v>2269</v>
      </c>
      <c r="F1155" t="s">
        <v>222</v>
      </c>
      <c r="G1155" s="77">
        <v>976</v>
      </c>
      <c r="H1155" s="126">
        <v>93</v>
      </c>
      <c r="I1155" s="124">
        <v>137.63999999999999</v>
      </c>
      <c r="J1155" s="124">
        <v>258.52999999999997</v>
      </c>
      <c r="K1155" s="77">
        <v>450</v>
      </c>
      <c r="L1155" s="124">
        <v>846.17</v>
      </c>
    </row>
    <row r="1156" spans="1:12" ht="15" customHeight="1" x14ac:dyDescent="0.25">
      <c r="A1156" s="78">
        <v>45992</v>
      </c>
      <c r="B1156" t="s">
        <v>378</v>
      </c>
      <c r="C1156" t="s">
        <v>379</v>
      </c>
      <c r="D1156" t="s">
        <v>227</v>
      </c>
      <c r="E1156" t="s">
        <v>2281</v>
      </c>
      <c r="F1156" t="s">
        <v>224</v>
      </c>
      <c r="G1156" s="77">
        <v>999</v>
      </c>
      <c r="H1156" s="126">
        <v>117.5</v>
      </c>
      <c r="I1156" s="124">
        <v>173.9</v>
      </c>
      <c r="J1156" s="124">
        <v>168.55</v>
      </c>
      <c r="K1156" s="77">
        <v>450</v>
      </c>
      <c r="L1156" s="124">
        <v>792.45</v>
      </c>
    </row>
    <row r="1157" spans="1:12" ht="15" customHeight="1" x14ac:dyDescent="0.25">
      <c r="A1157" s="78">
        <v>45992</v>
      </c>
      <c r="B1157" t="s">
        <v>393</v>
      </c>
      <c r="C1157" t="s">
        <v>394</v>
      </c>
      <c r="D1157" t="s">
        <v>227</v>
      </c>
      <c r="E1157" t="s">
        <v>2339</v>
      </c>
      <c r="F1157" t="s">
        <v>224</v>
      </c>
      <c r="G1157" s="77">
        <v>1336</v>
      </c>
      <c r="H1157" s="126">
        <v>157.19999999999999</v>
      </c>
      <c r="I1157" s="124">
        <v>232.66</v>
      </c>
      <c r="J1157" s="124">
        <v>87.81</v>
      </c>
      <c r="K1157" s="77">
        <v>520</v>
      </c>
      <c r="L1157" s="124">
        <v>840.47</v>
      </c>
    </row>
    <row r="1158" spans="1:12" ht="15" customHeight="1" x14ac:dyDescent="0.25">
      <c r="A1158" s="78">
        <v>45992</v>
      </c>
      <c r="B1158" t="s">
        <v>393</v>
      </c>
      <c r="C1158" t="s">
        <v>394</v>
      </c>
      <c r="D1158" t="s">
        <v>227</v>
      </c>
      <c r="E1158" t="s">
        <v>2291</v>
      </c>
      <c r="F1158" t="s">
        <v>222</v>
      </c>
      <c r="G1158" s="77">
        <v>1439</v>
      </c>
      <c r="H1158" s="126">
        <v>137</v>
      </c>
      <c r="I1158" s="124">
        <v>202.76</v>
      </c>
      <c r="J1158" s="124">
        <v>27.56</v>
      </c>
      <c r="K1158" s="77">
        <v>450</v>
      </c>
      <c r="L1158" s="124">
        <v>680.32</v>
      </c>
    </row>
    <row r="1159" spans="1:12" ht="15" customHeight="1" x14ac:dyDescent="0.25">
      <c r="A1159" s="78">
        <v>45992</v>
      </c>
      <c r="B1159" t="s">
        <v>393</v>
      </c>
      <c r="C1159" t="s">
        <v>394</v>
      </c>
      <c r="D1159" t="s">
        <v>227</v>
      </c>
      <c r="E1159" t="s">
        <v>2268</v>
      </c>
      <c r="F1159" t="s">
        <v>226</v>
      </c>
      <c r="G1159" s="77">
        <v>1457</v>
      </c>
      <c r="H1159" s="126">
        <v>138.80000000000001</v>
      </c>
      <c r="I1159" s="124">
        <v>205.42</v>
      </c>
      <c r="J1159" s="124">
        <v>120.19</v>
      </c>
      <c r="K1159" s="77">
        <v>450</v>
      </c>
      <c r="L1159" s="124">
        <v>775.61</v>
      </c>
    </row>
    <row r="1160" spans="1:12" ht="15" customHeight="1" x14ac:dyDescent="0.25">
      <c r="A1160" s="78">
        <v>45992</v>
      </c>
      <c r="B1160" t="s">
        <v>393</v>
      </c>
      <c r="C1160" t="s">
        <v>394</v>
      </c>
      <c r="D1160" t="s">
        <v>227</v>
      </c>
      <c r="E1160" t="s">
        <v>2253</v>
      </c>
      <c r="F1160" t="s">
        <v>228</v>
      </c>
      <c r="G1160" s="77">
        <v>989</v>
      </c>
      <c r="H1160" s="126">
        <v>116.4</v>
      </c>
      <c r="I1160" s="124">
        <v>172.27</v>
      </c>
      <c r="J1160" s="124">
        <v>98.8</v>
      </c>
      <c r="K1160" s="77">
        <v>520</v>
      </c>
      <c r="L1160" s="124">
        <v>791.07</v>
      </c>
    </row>
  </sheetData>
  <pageMargins left="0.7" right="0.7" top="0.75" bottom="0.75" header="0.511811023622047" footer="0.511811023622047"/>
  <pageSetup paperSize="9" orientation="portrait" horizontalDpi="300" verticalDpi="30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1194"/>
  <sheetViews>
    <sheetView zoomScaleNormal="100" workbookViewId="0">
      <pane ySplit="1" topLeftCell="A2" activePane="bottomLeft" state="frozen"/>
      <selection pane="bottomLeft"/>
    </sheetView>
  </sheetViews>
  <sheetFormatPr defaultColWidth="8.7109375" defaultRowHeight="15" x14ac:dyDescent="0.25"/>
  <cols>
    <col min="1" max="6" width="10.7109375" customWidth="1"/>
    <col min="7" max="7" width="14.7109375" customWidth="1"/>
    <col min="8" max="8" width="15.7109375" customWidth="1"/>
    <col min="9" max="9" width="14.7109375" customWidth="1"/>
    <col min="10" max="11" width="13.7109375" customWidth="1"/>
    <col min="12" max="12" width="14.7109375" customWidth="1"/>
  </cols>
  <sheetData>
    <row r="1" spans="1:12" ht="15" customHeight="1" x14ac:dyDescent="0.25">
      <c r="A1" t="s">
        <v>78</v>
      </c>
      <c r="B1" t="s">
        <v>191</v>
      </c>
      <c r="C1" t="s">
        <v>320</v>
      </c>
      <c r="D1" t="s">
        <v>75</v>
      </c>
      <c r="E1" t="s">
        <v>2360</v>
      </c>
      <c r="F1" t="s">
        <v>205</v>
      </c>
      <c r="G1" t="s">
        <v>2361</v>
      </c>
      <c r="H1" t="s">
        <v>2362</v>
      </c>
      <c r="I1" t="s">
        <v>2363</v>
      </c>
      <c r="J1" t="s">
        <v>2364</v>
      </c>
      <c r="K1" t="s">
        <v>2365</v>
      </c>
      <c r="L1" t="s">
        <v>2366</v>
      </c>
    </row>
    <row r="2" spans="1:12" ht="15" customHeight="1" x14ac:dyDescent="0.25">
      <c r="A2" s="78">
        <v>45658</v>
      </c>
      <c r="B2" t="s">
        <v>390</v>
      </c>
      <c r="C2" t="s">
        <v>391</v>
      </c>
      <c r="D2" t="s">
        <v>221</v>
      </c>
      <c r="E2" t="s">
        <v>232</v>
      </c>
      <c r="F2" s="126">
        <v>16.7</v>
      </c>
      <c r="G2" s="77">
        <v>25000</v>
      </c>
      <c r="H2" s="126">
        <v>55.4</v>
      </c>
      <c r="I2" s="124">
        <v>887.82</v>
      </c>
      <c r="J2" s="126">
        <v>7.3</v>
      </c>
      <c r="K2" s="124">
        <v>34791.666666666701</v>
      </c>
      <c r="L2" s="124">
        <v>35679.4866666667</v>
      </c>
    </row>
    <row r="3" spans="1:12" ht="15" customHeight="1" x14ac:dyDescent="0.25">
      <c r="A3" s="78">
        <v>45658</v>
      </c>
      <c r="B3" t="s">
        <v>390</v>
      </c>
      <c r="C3" t="s">
        <v>391</v>
      </c>
      <c r="D3" t="s">
        <v>221</v>
      </c>
      <c r="E3" t="s">
        <v>2367</v>
      </c>
      <c r="F3" s="126">
        <v>17.7</v>
      </c>
      <c r="G3" s="77">
        <v>43000</v>
      </c>
      <c r="H3" s="126">
        <v>54.7</v>
      </c>
      <c r="I3" s="124">
        <v>1507.76</v>
      </c>
      <c r="J3" s="126">
        <v>8.6999999999999993</v>
      </c>
      <c r="K3" s="124">
        <v>63425</v>
      </c>
      <c r="L3" s="124">
        <v>64932.76</v>
      </c>
    </row>
    <row r="4" spans="1:12" ht="15" customHeight="1" x14ac:dyDescent="0.25">
      <c r="A4" s="78">
        <v>45658</v>
      </c>
      <c r="B4" t="s">
        <v>390</v>
      </c>
      <c r="C4" t="s">
        <v>391</v>
      </c>
      <c r="D4" t="s">
        <v>221</v>
      </c>
      <c r="E4" t="s">
        <v>231</v>
      </c>
      <c r="F4" s="126">
        <v>9.3000000000000007</v>
      </c>
      <c r="G4" s="77">
        <v>29000</v>
      </c>
      <c r="H4" s="126">
        <v>50.6</v>
      </c>
      <c r="I4" s="124">
        <v>940.64</v>
      </c>
      <c r="J4" s="126">
        <v>4.9000000000000004</v>
      </c>
      <c r="K4" s="124">
        <v>22475</v>
      </c>
      <c r="L4" s="124">
        <v>23415.64</v>
      </c>
    </row>
    <row r="5" spans="1:12" ht="15" customHeight="1" x14ac:dyDescent="0.25">
      <c r="A5" s="78">
        <v>45658</v>
      </c>
      <c r="B5" t="s">
        <v>390</v>
      </c>
      <c r="C5" t="s">
        <v>391</v>
      </c>
      <c r="D5" t="s">
        <v>221</v>
      </c>
      <c r="E5" t="s">
        <v>230</v>
      </c>
      <c r="F5" s="126">
        <v>19.5</v>
      </c>
      <c r="G5" s="77">
        <v>41000</v>
      </c>
      <c r="H5" s="126">
        <v>87</v>
      </c>
      <c r="I5" s="124">
        <v>2286.54</v>
      </c>
      <c r="J5" s="126">
        <v>8.6999999999999993</v>
      </c>
      <c r="K5" s="124">
        <v>66625</v>
      </c>
      <c r="L5" s="124">
        <v>68911.539999999994</v>
      </c>
    </row>
    <row r="6" spans="1:12" ht="15" customHeight="1" x14ac:dyDescent="0.25">
      <c r="A6" s="78">
        <v>45658</v>
      </c>
      <c r="B6" t="s">
        <v>390</v>
      </c>
      <c r="C6" t="s">
        <v>391</v>
      </c>
      <c r="D6" t="s">
        <v>221</v>
      </c>
      <c r="E6" t="s">
        <v>2368</v>
      </c>
      <c r="F6" s="126">
        <v>4.0999999999999996</v>
      </c>
      <c r="G6" s="77">
        <v>27000</v>
      </c>
      <c r="H6" s="126">
        <v>11</v>
      </c>
      <c r="I6" s="124">
        <v>190.38</v>
      </c>
      <c r="J6" s="126">
        <v>3.8</v>
      </c>
      <c r="K6" s="124">
        <v>9225</v>
      </c>
      <c r="L6" s="124">
        <v>9415.3799999999992</v>
      </c>
    </row>
    <row r="7" spans="1:12" ht="15" customHeight="1" x14ac:dyDescent="0.25">
      <c r="A7" s="78">
        <v>45658</v>
      </c>
      <c r="B7" t="s">
        <v>390</v>
      </c>
      <c r="C7" t="s">
        <v>391</v>
      </c>
      <c r="D7" t="s">
        <v>221</v>
      </c>
      <c r="E7" t="s">
        <v>2369</v>
      </c>
      <c r="F7" s="126">
        <v>10.6</v>
      </c>
      <c r="G7" s="77">
        <v>35000</v>
      </c>
      <c r="H7" s="126">
        <v>30.7</v>
      </c>
      <c r="I7" s="124">
        <v>688.78</v>
      </c>
      <c r="J7" s="126">
        <v>7</v>
      </c>
      <c r="K7" s="124">
        <v>30916.666666666701</v>
      </c>
      <c r="L7" s="124">
        <v>31605.446666666699</v>
      </c>
    </row>
    <row r="8" spans="1:12" ht="15" customHeight="1" x14ac:dyDescent="0.25">
      <c r="A8" s="78">
        <v>45658</v>
      </c>
      <c r="B8" t="s">
        <v>401</v>
      </c>
      <c r="C8" t="s">
        <v>402</v>
      </c>
      <c r="D8" t="s">
        <v>221</v>
      </c>
      <c r="E8" t="s">
        <v>231</v>
      </c>
      <c r="F8" s="126">
        <v>13.8</v>
      </c>
      <c r="G8" s="77">
        <v>29000</v>
      </c>
      <c r="H8" s="126">
        <v>50.2</v>
      </c>
      <c r="I8" s="124">
        <v>933.21</v>
      </c>
      <c r="J8" s="126">
        <v>6.9</v>
      </c>
      <c r="K8" s="124">
        <v>33350</v>
      </c>
      <c r="L8" s="124">
        <v>34283.21</v>
      </c>
    </row>
    <row r="9" spans="1:12" ht="15" customHeight="1" x14ac:dyDescent="0.25">
      <c r="A9" s="78">
        <v>45658</v>
      </c>
      <c r="B9" t="s">
        <v>401</v>
      </c>
      <c r="C9" t="s">
        <v>402</v>
      </c>
      <c r="D9" t="s">
        <v>221</v>
      </c>
      <c r="E9" t="s">
        <v>105</v>
      </c>
      <c r="F9" s="126">
        <v>18.3</v>
      </c>
      <c r="G9" s="77">
        <v>28000</v>
      </c>
      <c r="H9" s="126">
        <v>102.6</v>
      </c>
      <c r="I9" s="124">
        <v>1841.54</v>
      </c>
      <c r="J9" s="126">
        <v>10.4</v>
      </c>
      <c r="K9" s="124">
        <v>42700</v>
      </c>
      <c r="L9" s="124">
        <v>44541.54</v>
      </c>
    </row>
    <row r="10" spans="1:12" ht="15" customHeight="1" x14ac:dyDescent="0.25">
      <c r="A10" s="78">
        <v>45658</v>
      </c>
      <c r="B10" t="s">
        <v>401</v>
      </c>
      <c r="C10" t="s">
        <v>402</v>
      </c>
      <c r="D10" t="s">
        <v>221</v>
      </c>
      <c r="E10" t="s">
        <v>230</v>
      </c>
      <c r="F10" s="126">
        <v>11.1</v>
      </c>
      <c r="G10" s="77">
        <v>41000</v>
      </c>
      <c r="H10" s="126">
        <v>42.6</v>
      </c>
      <c r="I10" s="124">
        <v>1119.6199999999999</v>
      </c>
      <c r="J10" s="126">
        <v>5.2</v>
      </c>
      <c r="K10" s="124">
        <v>37925</v>
      </c>
      <c r="L10" s="124">
        <v>39044.620000000003</v>
      </c>
    </row>
    <row r="11" spans="1:12" ht="15" customHeight="1" x14ac:dyDescent="0.25">
      <c r="A11" s="78">
        <v>45658</v>
      </c>
      <c r="B11" t="s">
        <v>401</v>
      </c>
      <c r="C11" t="s">
        <v>402</v>
      </c>
      <c r="D11" t="s">
        <v>221</v>
      </c>
      <c r="E11" t="s">
        <v>2368</v>
      </c>
      <c r="F11" s="126">
        <v>7.8</v>
      </c>
      <c r="G11" s="77">
        <v>27000</v>
      </c>
      <c r="H11" s="126">
        <v>30.5</v>
      </c>
      <c r="I11" s="124">
        <v>527.88</v>
      </c>
      <c r="J11" s="126">
        <v>4.2</v>
      </c>
      <c r="K11" s="124">
        <v>17550</v>
      </c>
      <c r="L11" s="124">
        <v>18077.88</v>
      </c>
    </row>
    <row r="12" spans="1:12" ht="15" customHeight="1" x14ac:dyDescent="0.25">
      <c r="A12" s="78">
        <v>45658</v>
      </c>
      <c r="B12" t="s">
        <v>401</v>
      </c>
      <c r="C12" t="s">
        <v>402</v>
      </c>
      <c r="D12" t="s">
        <v>221</v>
      </c>
      <c r="E12" t="s">
        <v>2369</v>
      </c>
      <c r="F12" s="126">
        <v>8.8000000000000007</v>
      </c>
      <c r="G12" s="77">
        <v>35000</v>
      </c>
      <c r="H12" s="126">
        <v>47</v>
      </c>
      <c r="I12" s="124">
        <v>1054.49</v>
      </c>
      <c r="J12" s="126">
        <v>4.4000000000000004</v>
      </c>
      <c r="K12" s="124">
        <v>25666.666666666701</v>
      </c>
      <c r="L12" s="124">
        <v>26721.156666666699</v>
      </c>
    </row>
    <row r="13" spans="1:12" ht="15" customHeight="1" x14ac:dyDescent="0.25">
      <c r="A13" s="78">
        <v>45658</v>
      </c>
      <c r="B13" t="s">
        <v>431</v>
      </c>
      <c r="C13" t="s">
        <v>432</v>
      </c>
      <c r="D13" t="s">
        <v>221</v>
      </c>
      <c r="E13" t="s">
        <v>2368</v>
      </c>
      <c r="F13" s="126">
        <v>12.7</v>
      </c>
      <c r="G13" s="77">
        <v>27000</v>
      </c>
      <c r="H13" s="126">
        <v>62.6</v>
      </c>
      <c r="I13" s="124">
        <v>1083.46</v>
      </c>
      <c r="J13" s="126">
        <v>8</v>
      </c>
      <c r="K13" s="124">
        <v>28575</v>
      </c>
      <c r="L13" s="124">
        <v>29658.46</v>
      </c>
    </row>
    <row r="14" spans="1:12" ht="15" customHeight="1" x14ac:dyDescent="0.25">
      <c r="A14" s="78">
        <v>45658</v>
      </c>
      <c r="B14" t="s">
        <v>431</v>
      </c>
      <c r="C14" t="s">
        <v>432</v>
      </c>
      <c r="D14" t="s">
        <v>221</v>
      </c>
      <c r="E14" t="s">
        <v>231</v>
      </c>
      <c r="F14" s="126">
        <v>18.5</v>
      </c>
      <c r="G14" s="77">
        <v>29000</v>
      </c>
      <c r="H14" s="126">
        <v>84.6</v>
      </c>
      <c r="I14" s="124">
        <v>1572.69</v>
      </c>
      <c r="J14" s="126">
        <v>9.6</v>
      </c>
      <c r="K14" s="124">
        <v>44708.333333333299</v>
      </c>
      <c r="L14" s="124">
        <v>46281.023333333302</v>
      </c>
    </row>
    <row r="15" spans="1:12" ht="15" customHeight="1" x14ac:dyDescent="0.25">
      <c r="A15" s="78">
        <v>45658</v>
      </c>
      <c r="B15" t="s">
        <v>431</v>
      </c>
      <c r="C15" t="s">
        <v>432</v>
      </c>
      <c r="D15" t="s">
        <v>221</v>
      </c>
      <c r="E15" t="s">
        <v>105</v>
      </c>
      <c r="F15" s="126">
        <v>15</v>
      </c>
      <c r="G15" s="77">
        <v>28000</v>
      </c>
      <c r="H15" s="126">
        <v>25.8</v>
      </c>
      <c r="I15" s="124">
        <v>463.08</v>
      </c>
      <c r="J15" s="126">
        <v>4.9000000000000004</v>
      </c>
      <c r="K15" s="124">
        <v>35000</v>
      </c>
      <c r="L15" s="124">
        <v>35463.08</v>
      </c>
    </row>
    <row r="16" spans="1:12" ht="15" customHeight="1" x14ac:dyDescent="0.25">
      <c r="A16" s="78">
        <v>45658</v>
      </c>
      <c r="B16" t="s">
        <v>431</v>
      </c>
      <c r="C16" t="s">
        <v>432</v>
      </c>
      <c r="D16" t="s">
        <v>221</v>
      </c>
      <c r="E16" t="s">
        <v>230</v>
      </c>
      <c r="F16" s="126">
        <v>13.4</v>
      </c>
      <c r="G16" s="77">
        <v>41000</v>
      </c>
      <c r="H16" s="126">
        <v>61.4</v>
      </c>
      <c r="I16" s="124">
        <v>1613.72</v>
      </c>
      <c r="J16" s="126">
        <v>6.6</v>
      </c>
      <c r="K16" s="124">
        <v>45783.333333333299</v>
      </c>
      <c r="L16" s="124">
        <v>47397.053333333301</v>
      </c>
    </row>
    <row r="17" spans="1:12" ht="15" customHeight="1" x14ac:dyDescent="0.25">
      <c r="A17" s="78">
        <v>45658</v>
      </c>
      <c r="B17" t="s">
        <v>431</v>
      </c>
      <c r="C17" t="s">
        <v>432</v>
      </c>
      <c r="D17" t="s">
        <v>221</v>
      </c>
      <c r="E17" t="s">
        <v>2369</v>
      </c>
      <c r="F17" s="126">
        <v>16.8</v>
      </c>
      <c r="G17" s="77">
        <v>35000</v>
      </c>
      <c r="H17" s="126">
        <v>54.2</v>
      </c>
      <c r="I17" s="124">
        <v>1216.03</v>
      </c>
      <c r="J17" s="126">
        <v>8.6</v>
      </c>
      <c r="K17" s="124">
        <v>49000</v>
      </c>
      <c r="L17" s="124">
        <v>50216.03</v>
      </c>
    </row>
    <row r="18" spans="1:12" ht="15" customHeight="1" x14ac:dyDescent="0.25">
      <c r="A18" s="78">
        <v>45658</v>
      </c>
      <c r="B18" t="s">
        <v>366</v>
      </c>
      <c r="C18" t="s">
        <v>367</v>
      </c>
      <c r="D18" t="s">
        <v>221</v>
      </c>
      <c r="E18" t="s">
        <v>2369</v>
      </c>
      <c r="F18" s="126">
        <v>8.3000000000000007</v>
      </c>
      <c r="G18" s="77">
        <v>35000</v>
      </c>
      <c r="H18" s="126">
        <v>32.4</v>
      </c>
      <c r="I18" s="124">
        <v>726.92</v>
      </c>
      <c r="J18" s="126">
        <v>5.3</v>
      </c>
      <c r="K18" s="124">
        <v>24208.333333333299</v>
      </c>
      <c r="L18" s="124">
        <v>24935.253333333301</v>
      </c>
    </row>
    <row r="19" spans="1:12" ht="15" customHeight="1" x14ac:dyDescent="0.25">
      <c r="A19" s="78">
        <v>45658</v>
      </c>
      <c r="B19" t="s">
        <v>366</v>
      </c>
      <c r="C19" t="s">
        <v>367</v>
      </c>
      <c r="D19" t="s">
        <v>221</v>
      </c>
      <c r="E19" t="s">
        <v>2367</v>
      </c>
      <c r="F19" s="126">
        <v>18</v>
      </c>
      <c r="G19" s="77">
        <v>43000</v>
      </c>
      <c r="H19" s="126">
        <v>74.3</v>
      </c>
      <c r="I19" s="124">
        <v>2048.0100000000002</v>
      </c>
      <c r="J19" s="126">
        <v>8.3000000000000007</v>
      </c>
      <c r="K19" s="124">
        <v>64500</v>
      </c>
      <c r="L19" s="124">
        <v>66548.009999999995</v>
      </c>
    </row>
    <row r="20" spans="1:12" ht="15" customHeight="1" x14ac:dyDescent="0.25">
      <c r="A20" s="78">
        <v>45658</v>
      </c>
      <c r="B20" t="s">
        <v>366</v>
      </c>
      <c r="C20" t="s">
        <v>367</v>
      </c>
      <c r="D20" t="s">
        <v>221</v>
      </c>
      <c r="E20" t="s">
        <v>105</v>
      </c>
      <c r="F20" s="126">
        <v>9.5</v>
      </c>
      <c r="G20" s="77">
        <v>28000</v>
      </c>
      <c r="H20" s="126">
        <v>52.1</v>
      </c>
      <c r="I20" s="124">
        <v>935.13</v>
      </c>
      <c r="J20" s="126">
        <v>4.5</v>
      </c>
      <c r="K20" s="124">
        <v>22166.666666666701</v>
      </c>
      <c r="L20" s="124">
        <v>23101.796666666702</v>
      </c>
    </row>
    <row r="21" spans="1:12" ht="15" customHeight="1" x14ac:dyDescent="0.25">
      <c r="A21" s="78">
        <v>45658</v>
      </c>
      <c r="B21" t="s">
        <v>366</v>
      </c>
      <c r="C21" t="s">
        <v>367</v>
      </c>
      <c r="D21" t="s">
        <v>221</v>
      </c>
      <c r="E21" t="s">
        <v>232</v>
      </c>
      <c r="F21" s="126">
        <v>5.5</v>
      </c>
      <c r="G21" s="77">
        <v>25000</v>
      </c>
      <c r="H21" s="126">
        <v>26.3</v>
      </c>
      <c r="I21" s="124">
        <v>421.47</v>
      </c>
      <c r="J21" s="126">
        <v>2.2999999999999998</v>
      </c>
      <c r="K21" s="124">
        <v>11458.333333333299</v>
      </c>
      <c r="L21" s="124">
        <v>11879.803333333301</v>
      </c>
    </row>
    <row r="22" spans="1:12" ht="15" customHeight="1" x14ac:dyDescent="0.25">
      <c r="A22" s="78">
        <v>45658</v>
      </c>
      <c r="B22" t="s">
        <v>362</v>
      </c>
      <c r="C22" t="s">
        <v>363</v>
      </c>
      <c r="D22" t="s">
        <v>221</v>
      </c>
      <c r="E22" t="s">
        <v>232</v>
      </c>
      <c r="F22" s="126">
        <v>18.3</v>
      </c>
      <c r="G22" s="77">
        <v>25000</v>
      </c>
      <c r="H22" s="126">
        <v>55.4</v>
      </c>
      <c r="I22" s="124">
        <v>887.82</v>
      </c>
      <c r="J22" s="126">
        <v>9.1999999999999993</v>
      </c>
      <c r="K22" s="124">
        <v>38125</v>
      </c>
      <c r="L22" s="124">
        <v>39012.82</v>
      </c>
    </row>
    <row r="23" spans="1:12" ht="15" customHeight="1" x14ac:dyDescent="0.25">
      <c r="A23" s="78">
        <v>45658</v>
      </c>
      <c r="B23" t="s">
        <v>362</v>
      </c>
      <c r="C23" t="s">
        <v>363</v>
      </c>
      <c r="D23" t="s">
        <v>221</v>
      </c>
      <c r="E23" t="s">
        <v>2367</v>
      </c>
      <c r="F23" s="126">
        <v>19.100000000000001</v>
      </c>
      <c r="G23" s="77">
        <v>43000</v>
      </c>
      <c r="H23" s="126">
        <v>76.8</v>
      </c>
      <c r="I23" s="124">
        <v>2116.92</v>
      </c>
      <c r="J23" s="126">
        <v>10</v>
      </c>
      <c r="K23" s="124">
        <v>68441.666666666701</v>
      </c>
      <c r="L23" s="124">
        <v>70558.586666666699</v>
      </c>
    </row>
    <row r="24" spans="1:12" ht="15" customHeight="1" x14ac:dyDescent="0.25">
      <c r="A24" s="78">
        <v>45658</v>
      </c>
      <c r="B24" t="s">
        <v>362</v>
      </c>
      <c r="C24" t="s">
        <v>363</v>
      </c>
      <c r="D24" t="s">
        <v>221</v>
      </c>
      <c r="E24" t="s">
        <v>2369</v>
      </c>
      <c r="F24" s="126">
        <v>15.4</v>
      </c>
      <c r="G24" s="77">
        <v>35000</v>
      </c>
      <c r="H24" s="126">
        <v>55.4</v>
      </c>
      <c r="I24" s="124">
        <v>1242.95</v>
      </c>
      <c r="J24" s="126">
        <v>5.9</v>
      </c>
      <c r="K24" s="124">
        <v>44916.666666666701</v>
      </c>
      <c r="L24" s="124">
        <v>46159.616666666698</v>
      </c>
    </row>
    <row r="25" spans="1:12" ht="15" customHeight="1" x14ac:dyDescent="0.25">
      <c r="A25" s="78">
        <v>45658</v>
      </c>
      <c r="B25" t="s">
        <v>362</v>
      </c>
      <c r="C25" t="s">
        <v>363</v>
      </c>
      <c r="D25" t="s">
        <v>221</v>
      </c>
      <c r="E25" t="s">
        <v>2368</v>
      </c>
      <c r="F25" s="126">
        <v>4.0999999999999996</v>
      </c>
      <c r="G25" s="77">
        <v>27000</v>
      </c>
      <c r="H25" s="126">
        <v>13.7</v>
      </c>
      <c r="I25" s="124">
        <v>237.12</v>
      </c>
      <c r="J25" s="126">
        <v>2.8</v>
      </c>
      <c r="K25" s="124">
        <v>9225</v>
      </c>
      <c r="L25" s="124">
        <v>9462.1200000000008</v>
      </c>
    </row>
    <row r="26" spans="1:12" ht="15" customHeight="1" x14ac:dyDescent="0.25">
      <c r="A26" s="78">
        <v>45658</v>
      </c>
      <c r="B26" t="s">
        <v>362</v>
      </c>
      <c r="C26" t="s">
        <v>363</v>
      </c>
      <c r="D26" t="s">
        <v>221</v>
      </c>
      <c r="E26" t="s">
        <v>230</v>
      </c>
      <c r="F26" s="126">
        <v>9.6</v>
      </c>
      <c r="G26" s="77">
        <v>41000</v>
      </c>
      <c r="H26" s="126">
        <v>34.1</v>
      </c>
      <c r="I26" s="124">
        <v>896.22</v>
      </c>
      <c r="J26" s="126">
        <v>4.5999999999999996</v>
      </c>
      <c r="K26" s="124">
        <v>32800</v>
      </c>
      <c r="L26" s="124">
        <v>33696.22</v>
      </c>
    </row>
    <row r="27" spans="1:12" ht="15" customHeight="1" x14ac:dyDescent="0.25">
      <c r="A27" s="78">
        <v>45658</v>
      </c>
      <c r="B27" t="s">
        <v>335</v>
      </c>
      <c r="C27" t="s">
        <v>336</v>
      </c>
      <c r="D27" t="s">
        <v>223</v>
      </c>
      <c r="E27" t="s">
        <v>105</v>
      </c>
      <c r="F27" s="126">
        <v>17.399999999999999</v>
      </c>
      <c r="G27" s="77">
        <v>28000</v>
      </c>
      <c r="H27" s="126">
        <v>95.3</v>
      </c>
      <c r="I27" s="124">
        <v>1710.51</v>
      </c>
      <c r="J27" s="126">
        <v>8</v>
      </c>
      <c r="K27" s="124">
        <v>40600</v>
      </c>
      <c r="L27" s="124">
        <v>42310.51</v>
      </c>
    </row>
    <row r="28" spans="1:12" ht="15" customHeight="1" x14ac:dyDescent="0.25">
      <c r="A28" s="78">
        <v>45658</v>
      </c>
      <c r="B28" t="s">
        <v>335</v>
      </c>
      <c r="C28" t="s">
        <v>336</v>
      </c>
      <c r="D28" t="s">
        <v>223</v>
      </c>
      <c r="E28" t="s">
        <v>230</v>
      </c>
      <c r="F28" s="126">
        <v>4</v>
      </c>
      <c r="G28" s="77">
        <v>41000</v>
      </c>
      <c r="H28" s="126">
        <v>6.7</v>
      </c>
      <c r="I28" s="124">
        <v>176.09</v>
      </c>
      <c r="J28" s="126">
        <v>1.8</v>
      </c>
      <c r="K28" s="124">
        <v>13666.666666666701</v>
      </c>
      <c r="L28" s="124">
        <v>13842.756666666701</v>
      </c>
    </row>
    <row r="29" spans="1:12" ht="15" customHeight="1" x14ac:dyDescent="0.25">
      <c r="A29" s="78">
        <v>45658</v>
      </c>
      <c r="B29" t="s">
        <v>335</v>
      </c>
      <c r="C29" t="s">
        <v>336</v>
      </c>
      <c r="D29" t="s">
        <v>223</v>
      </c>
      <c r="E29" t="s">
        <v>231</v>
      </c>
      <c r="F29" s="126">
        <v>7.2</v>
      </c>
      <c r="G29" s="77">
        <v>29000</v>
      </c>
      <c r="H29" s="126">
        <v>23.6</v>
      </c>
      <c r="I29" s="124">
        <v>438.72</v>
      </c>
      <c r="J29" s="126">
        <v>2.6</v>
      </c>
      <c r="K29" s="124">
        <v>17400</v>
      </c>
      <c r="L29" s="124">
        <v>17838.72</v>
      </c>
    </row>
    <row r="30" spans="1:12" ht="15" customHeight="1" x14ac:dyDescent="0.25">
      <c r="A30" s="78">
        <v>45658</v>
      </c>
      <c r="B30" t="s">
        <v>335</v>
      </c>
      <c r="C30" t="s">
        <v>336</v>
      </c>
      <c r="D30" t="s">
        <v>223</v>
      </c>
      <c r="E30" t="s">
        <v>2368</v>
      </c>
      <c r="F30" s="126">
        <v>13.8</v>
      </c>
      <c r="G30" s="77">
        <v>27000</v>
      </c>
      <c r="H30" s="126">
        <v>51.6</v>
      </c>
      <c r="I30" s="124">
        <v>893.08</v>
      </c>
      <c r="J30" s="126">
        <v>7.4</v>
      </c>
      <c r="K30" s="124">
        <v>31050</v>
      </c>
      <c r="L30" s="124">
        <v>31943.08</v>
      </c>
    </row>
    <row r="31" spans="1:12" ht="15" customHeight="1" x14ac:dyDescent="0.25">
      <c r="A31" s="78">
        <v>45658</v>
      </c>
      <c r="B31" t="s">
        <v>386</v>
      </c>
      <c r="C31" t="s">
        <v>387</v>
      </c>
      <c r="D31" t="s">
        <v>223</v>
      </c>
      <c r="E31" t="s">
        <v>230</v>
      </c>
      <c r="F31" s="126">
        <v>19.3</v>
      </c>
      <c r="G31" s="77">
        <v>41000</v>
      </c>
      <c r="H31" s="126">
        <v>76.900000000000006</v>
      </c>
      <c r="I31" s="124">
        <v>2021.09</v>
      </c>
      <c r="J31" s="126">
        <v>10</v>
      </c>
      <c r="K31" s="124">
        <v>65941.666666666701</v>
      </c>
      <c r="L31" s="124">
        <v>67962.756666666697</v>
      </c>
    </row>
    <row r="32" spans="1:12" ht="15" customHeight="1" x14ac:dyDescent="0.25">
      <c r="A32" s="78">
        <v>45658</v>
      </c>
      <c r="B32" t="s">
        <v>386</v>
      </c>
      <c r="C32" t="s">
        <v>387</v>
      </c>
      <c r="D32" t="s">
        <v>223</v>
      </c>
      <c r="E32" t="s">
        <v>2367</v>
      </c>
      <c r="F32" s="126">
        <v>11.2</v>
      </c>
      <c r="G32" s="77">
        <v>43000</v>
      </c>
      <c r="H32" s="126">
        <v>75.3</v>
      </c>
      <c r="I32" s="124">
        <v>2075.58</v>
      </c>
      <c r="J32" s="126">
        <v>5.3</v>
      </c>
      <c r="K32" s="124">
        <v>40133.333333333299</v>
      </c>
      <c r="L32" s="124">
        <v>42208.913333333301</v>
      </c>
    </row>
    <row r="33" spans="1:12" ht="15" customHeight="1" x14ac:dyDescent="0.25">
      <c r="A33" s="78">
        <v>45658</v>
      </c>
      <c r="B33" t="s">
        <v>386</v>
      </c>
      <c r="C33" t="s">
        <v>387</v>
      </c>
      <c r="D33" t="s">
        <v>223</v>
      </c>
      <c r="E33" t="s">
        <v>2369</v>
      </c>
      <c r="F33" s="126">
        <v>8.3000000000000007</v>
      </c>
      <c r="G33" s="77">
        <v>35000</v>
      </c>
      <c r="H33" s="126">
        <v>36.700000000000003</v>
      </c>
      <c r="I33" s="124">
        <v>823.4</v>
      </c>
      <c r="J33" s="126">
        <v>3.6</v>
      </c>
      <c r="K33" s="124">
        <v>24208.333333333299</v>
      </c>
      <c r="L33" s="124">
        <v>25031.733333333301</v>
      </c>
    </row>
    <row r="34" spans="1:12" ht="15" customHeight="1" x14ac:dyDescent="0.25">
      <c r="A34" s="78">
        <v>45658</v>
      </c>
      <c r="B34" t="s">
        <v>386</v>
      </c>
      <c r="C34" t="s">
        <v>387</v>
      </c>
      <c r="D34" t="s">
        <v>223</v>
      </c>
      <c r="E34" t="s">
        <v>231</v>
      </c>
      <c r="F34" s="126">
        <v>18</v>
      </c>
      <c r="G34" s="77">
        <v>29000</v>
      </c>
      <c r="H34" s="126">
        <v>49.1</v>
      </c>
      <c r="I34" s="124">
        <v>912.76</v>
      </c>
      <c r="J34" s="126">
        <v>8.4</v>
      </c>
      <c r="K34" s="124">
        <v>43500</v>
      </c>
      <c r="L34" s="124">
        <v>44412.76</v>
      </c>
    </row>
    <row r="35" spans="1:12" ht="15" customHeight="1" x14ac:dyDescent="0.25">
      <c r="A35" s="78">
        <v>45658</v>
      </c>
      <c r="B35" t="s">
        <v>386</v>
      </c>
      <c r="C35" t="s">
        <v>387</v>
      </c>
      <c r="D35" t="s">
        <v>223</v>
      </c>
      <c r="E35" t="s">
        <v>2368</v>
      </c>
      <c r="F35" s="126">
        <v>6.4</v>
      </c>
      <c r="G35" s="77">
        <v>27000</v>
      </c>
      <c r="H35" s="126">
        <v>21</v>
      </c>
      <c r="I35" s="124">
        <v>363.46</v>
      </c>
      <c r="J35" s="126">
        <v>3.6</v>
      </c>
      <c r="K35" s="124">
        <v>14400</v>
      </c>
      <c r="L35" s="124">
        <v>14763.46</v>
      </c>
    </row>
    <row r="36" spans="1:12" ht="15" customHeight="1" x14ac:dyDescent="0.25">
      <c r="A36" s="78">
        <v>45658</v>
      </c>
      <c r="B36" t="s">
        <v>341</v>
      </c>
      <c r="C36" t="s">
        <v>342</v>
      </c>
      <c r="D36" t="s">
        <v>223</v>
      </c>
      <c r="E36" t="s">
        <v>231</v>
      </c>
      <c r="F36" s="126">
        <v>15.5</v>
      </c>
      <c r="G36" s="77">
        <v>29000</v>
      </c>
      <c r="H36" s="126">
        <v>116.6</v>
      </c>
      <c r="I36" s="124">
        <v>2167.56</v>
      </c>
      <c r="J36" s="126">
        <v>7</v>
      </c>
      <c r="K36" s="124">
        <v>37458.333333333299</v>
      </c>
      <c r="L36" s="124">
        <v>39625.893333333297</v>
      </c>
    </row>
    <row r="37" spans="1:12" ht="15" customHeight="1" x14ac:dyDescent="0.25">
      <c r="A37" s="78">
        <v>45658</v>
      </c>
      <c r="B37" t="s">
        <v>341</v>
      </c>
      <c r="C37" t="s">
        <v>342</v>
      </c>
      <c r="D37" t="s">
        <v>223</v>
      </c>
      <c r="E37" t="s">
        <v>2367</v>
      </c>
      <c r="F37" s="126">
        <v>6.3</v>
      </c>
      <c r="G37" s="77">
        <v>43000</v>
      </c>
      <c r="H37" s="126">
        <v>21.3</v>
      </c>
      <c r="I37" s="124">
        <v>587.12</v>
      </c>
      <c r="J37" s="126">
        <v>3.1</v>
      </c>
      <c r="K37" s="124">
        <v>22575</v>
      </c>
      <c r="L37" s="124">
        <v>23162.12</v>
      </c>
    </row>
    <row r="38" spans="1:12" ht="15" customHeight="1" x14ac:dyDescent="0.25">
      <c r="A38" s="78">
        <v>45658</v>
      </c>
      <c r="B38" t="s">
        <v>341</v>
      </c>
      <c r="C38" t="s">
        <v>342</v>
      </c>
      <c r="D38" t="s">
        <v>223</v>
      </c>
      <c r="E38" t="s">
        <v>2368</v>
      </c>
      <c r="F38" s="126">
        <v>16.600000000000001</v>
      </c>
      <c r="G38" s="77">
        <v>27000</v>
      </c>
      <c r="H38" s="126">
        <v>76.3</v>
      </c>
      <c r="I38" s="124">
        <v>1320.58</v>
      </c>
      <c r="J38" s="126">
        <v>8.6</v>
      </c>
      <c r="K38" s="124">
        <v>37350</v>
      </c>
      <c r="L38" s="124">
        <v>38670.58</v>
      </c>
    </row>
    <row r="39" spans="1:12" ht="15" customHeight="1" x14ac:dyDescent="0.25">
      <c r="A39" s="78">
        <v>45658</v>
      </c>
      <c r="B39" t="s">
        <v>341</v>
      </c>
      <c r="C39" t="s">
        <v>342</v>
      </c>
      <c r="D39" t="s">
        <v>223</v>
      </c>
      <c r="E39" t="s">
        <v>232</v>
      </c>
      <c r="F39" s="126">
        <v>7.8</v>
      </c>
      <c r="G39" s="77">
        <v>25000</v>
      </c>
      <c r="H39" s="126">
        <v>46.2</v>
      </c>
      <c r="I39" s="124">
        <v>740.38</v>
      </c>
      <c r="J39" s="126">
        <v>1.5</v>
      </c>
      <c r="K39" s="124">
        <v>16250</v>
      </c>
      <c r="L39" s="124">
        <v>16990.38</v>
      </c>
    </row>
    <row r="40" spans="1:12" ht="15" customHeight="1" x14ac:dyDescent="0.25">
      <c r="A40" s="78">
        <v>45658</v>
      </c>
      <c r="B40" t="s">
        <v>341</v>
      </c>
      <c r="C40" t="s">
        <v>342</v>
      </c>
      <c r="D40" t="s">
        <v>223</v>
      </c>
      <c r="E40" t="s">
        <v>105</v>
      </c>
      <c r="F40" s="126">
        <v>16.399999999999999</v>
      </c>
      <c r="G40" s="77">
        <v>28000</v>
      </c>
      <c r="H40" s="126">
        <v>6.9</v>
      </c>
      <c r="I40" s="124">
        <v>123.85</v>
      </c>
      <c r="J40" s="126">
        <v>7.7</v>
      </c>
      <c r="K40" s="124">
        <v>38266.666666666701</v>
      </c>
      <c r="L40" s="124">
        <v>38390.516666666699</v>
      </c>
    </row>
    <row r="41" spans="1:12" ht="15" customHeight="1" x14ac:dyDescent="0.25">
      <c r="A41" s="78">
        <v>45658</v>
      </c>
      <c r="B41" t="s">
        <v>341</v>
      </c>
      <c r="C41" t="s">
        <v>342</v>
      </c>
      <c r="D41" t="s">
        <v>223</v>
      </c>
      <c r="E41" t="s">
        <v>2369</v>
      </c>
      <c r="F41" s="126">
        <v>10.199999999999999</v>
      </c>
      <c r="G41" s="77">
        <v>35000</v>
      </c>
      <c r="H41" s="126">
        <v>57.6</v>
      </c>
      <c r="I41" s="124">
        <v>1292.31</v>
      </c>
      <c r="J41" s="126">
        <v>3.5</v>
      </c>
      <c r="K41" s="124">
        <v>29750</v>
      </c>
      <c r="L41" s="124">
        <v>31042.31</v>
      </c>
    </row>
    <row r="42" spans="1:12" ht="15" customHeight="1" x14ac:dyDescent="0.25">
      <c r="A42" s="78">
        <v>45658</v>
      </c>
      <c r="B42" t="s">
        <v>347</v>
      </c>
      <c r="C42" t="s">
        <v>348</v>
      </c>
      <c r="D42" t="s">
        <v>223</v>
      </c>
      <c r="E42" t="s">
        <v>230</v>
      </c>
      <c r="F42" s="126">
        <v>8</v>
      </c>
      <c r="G42" s="77">
        <v>41000</v>
      </c>
      <c r="H42" s="126">
        <v>0</v>
      </c>
      <c r="I42" s="124">
        <v>0</v>
      </c>
      <c r="J42" s="126">
        <v>4.5999999999999996</v>
      </c>
      <c r="K42" s="124">
        <v>27333.333333333299</v>
      </c>
      <c r="L42" s="124">
        <v>27333.333333333299</v>
      </c>
    </row>
    <row r="43" spans="1:12" ht="15" customHeight="1" x14ac:dyDescent="0.25">
      <c r="A43" s="78">
        <v>45658</v>
      </c>
      <c r="B43" t="s">
        <v>347</v>
      </c>
      <c r="C43" t="s">
        <v>348</v>
      </c>
      <c r="D43" t="s">
        <v>223</v>
      </c>
      <c r="E43" t="s">
        <v>105</v>
      </c>
      <c r="F43" s="126">
        <v>3.5</v>
      </c>
      <c r="G43" s="77">
        <v>28000</v>
      </c>
      <c r="H43" s="126">
        <v>15.3</v>
      </c>
      <c r="I43" s="124">
        <v>274.62</v>
      </c>
      <c r="J43" s="126">
        <v>0.7</v>
      </c>
      <c r="K43" s="124">
        <v>8166.6666666666697</v>
      </c>
      <c r="L43" s="124">
        <v>8441.2866666666705</v>
      </c>
    </row>
    <row r="44" spans="1:12" ht="15" customHeight="1" x14ac:dyDescent="0.25">
      <c r="A44" s="78">
        <v>45658</v>
      </c>
      <c r="B44" t="s">
        <v>347</v>
      </c>
      <c r="C44" t="s">
        <v>348</v>
      </c>
      <c r="D44" t="s">
        <v>223</v>
      </c>
      <c r="E44" t="s">
        <v>231</v>
      </c>
      <c r="F44" s="126">
        <v>13.9</v>
      </c>
      <c r="G44" s="77">
        <v>29000</v>
      </c>
      <c r="H44" s="126">
        <v>35.1</v>
      </c>
      <c r="I44" s="124">
        <v>652.5</v>
      </c>
      <c r="J44" s="126">
        <v>6</v>
      </c>
      <c r="K44" s="124">
        <v>33591.666666666701</v>
      </c>
      <c r="L44" s="124">
        <v>34244.166666666701</v>
      </c>
    </row>
    <row r="45" spans="1:12" ht="15" customHeight="1" x14ac:dyDescent="0.25">
      <c r="A45" s="78">
        <v>45658</v>
      </c>
      <c r="B45" t="s">
        <v>347</v>
      </c>
      <c r="C45" t="s">
        <v>348</v>
      </c>
      <c r="D45" t="s">
        <v>223</v>
      </c>
      <c r="E45" t="s">
        <v>2367</v>
      </c>
      <c r="F45" s="126">
        <v>10.199999999999999</v>
      </c>
      <c r="G45" s="77">
        <v>43000</v>
      </c>
      <c r="H45" s="126">
        <v>42.5</v>
      </c>
      <c r="I45" s="124">
        <v>1171.47</v>
      </c>
      <c r="J45" s="126">
        <v>4.5</v>
      </c>
      <c r="K45" s="124">
        <v>36550</v>
      </c>
      <c r="L45" s="124">
        <v>37721.47</v>
      </c>
    </row>
    <row r="46" spans="1:12" ht="15" customHeight="1" x14ac:dyDescent="0.25">
      <c r="A46" s="78">
        <v>45658</v>
      </c>
      <c r="B46" t="s">
        <v>409</v>
      </c>
      <c r="C46" t="s">
        <v>410</v>
      </c>
      <c r="D46" t="s">
        <v>223</v>
      </c>
      <c r="E46" t="s">
        <v>2369</v>
      </c>
      <c r="F46" s="126">
        <v>5.7</v>
      </c>
      <c r="G46" s="77">
        <v>35000</v>
      </c>
      <c r="H46" s="126">
        <v>27</v>
      </c>
      <c r="I46" s="124">
        <v>605.77</v>
      </c>
      <c r="J46" s="126">
        <v>0</v>
      </c>
      <c r="K46" s="124">
        <v>16625</v>
      </c>
      <c r="L46" s="124">
        <v>17230.77</v>
      </c>
    </row>
    <row r="47" spans="1:12" ht="15" customHeight="1" x14ac:dyDescent="0.25">
      <c r="A47" s="78">
        <v>45658</v>
      </c>
      <c r="B47" t="s">
        <v>409</v>
      </c>
      <c r="C47" t="s">
        <v>410</v>
      </c>
      <c r="D47" t="s">
        <v>223</v>
      </c>
      <c r="E47" t="s">
        <v>231</v>
      </c>
      <c r="F47" s="126">
        <v>10.6</v>
      </c>
      <c r="G47" s="77">
        <v>29000</v>
      </c>
      <c r="H47" s="126">
        <v>28.8</v>
      </c>
      <c r="I47" s="124">
        <v>535.38</v>
      </c>
      <c r="J47" s="126">
        <v>4.2</v>
      </c>
      <c r="K47" s="124">
        <v>25616.666666666701</v>
      </c>
      <c r="L47" s="124">
        <v>26152.046666666702</v>
      </c>
    </row>
    <row r="48" spans="1:12" ht="15" customHeight="1" x14ac:dyDescent="0.25">
      <c r="A48" s="78">
        <v>45658</v>
      </c>
      <c r="B48" t="s">
        <v>409</v>
      </c>
      <c r="C48" t="s">
        <v>410</v>
      </c>
      <c r="D48" t="s">
        <v>223</v>
      </c>
      <c r="E48" t="s">
        <v>105</v>
      </c>
      <c r="F48" s="126">
        <v>8.3000000000000007</v>
      </c>
      <c r="G48" s="77">
        <v>28000</v>
      </c>
      <c r="H48" s="126">
        <v>30</v>
      </c>
      <c r="I48" s="124">
        <v>538.46</v>
      </c>
      <c r="J48" s="126">
        <v>3.6</v>
      </c>
      <c r="K48" s="124">
        <v>19366.666666666701</v>
      </c>
      <c r="L48" s="124">
        <v>19905.1266666667</v>
      </c>
    </row>
    <row r="49" spans="1:12" ht="15" customHeight="1" x14ac:dyDescent="0.25">
      <c r="A49" s="78">
        <v>45658</v>
      </c>
      <c r="B49" t="s">
        <v>409</v>
      </c>
      <c r="C49" t="s">
        <v>410</v>
      </c>
      <c r="D49" t="s">
        <v>223</v>
      </c>
      <c r="E49" t="s">
        <v>2367</v>
      </c>
      <c r="F49" s="126">
        <v>18.899999999999999</v>
      </c>
      <c r="G49" s="77">
        <v>43000</v>
      </c>
      <c r="H49" s="126">
        <v>98.2</v>
      </c>
      <c r="I49" s="124">
        <v>2706.79</v>
      </c>
      <c r="J49" s="126">
        <v>7.6</v>
      </c>
      <c r="K49" s="124">
        <v>67725</v>
      </c>
      <c r="L49" s="124">
        <v>70431.789999999994</v>
      </c>
    </row>
    <row r="50" spans="1:12" ht="15" customHeight="1" x14ac:dyDescent="0.25">
      <c r="A50" s="78">
        <v>45658</v>
      </c>
      <c r="B50" t="s">
        <v>409</v>
      </c>
      <c r="C50" t="s">
        <v>410</v>
      </c>
      <c r="D50" t="s">
        <v>223</v>
      </c>
      <c r="E50" t="s">
        <v>230</v>
      </c>
      <c r="F50" s="126">
        <v>10.8</v>
      </c>
      <c r="G50" s="77">
        <v>41000</v>
      </c>
      <c r="H50" s="126">
        <v>43.9</v>
      </c>
      <c r="I50" s="124">
        <v>1153.78</v>
      </c>
      <c r="J50" s="126">
        <v>6</v>
      </c>
      <c r="K50" s="124">
        <v>36900</v>
      </c>
      <c r="L50" s="124">
        <v>38053.78</v>
      </c>
    </row>
    <row r="51" spans="1:12" ht="15" customHeight="1" x14ac:dyDescent="0.25">
      <c r="A51" s="78">
        <v>45658</v>
      </c>
      <c r="B51" t="s">
        <v>488</v>
      </c>
      <c r="C51" t="s">
        <v>489</v>
      </c>
      <c r="D51" t="s">
        <v>225</v>
      </c>
      <c r="E51" t="s">
        <v>2368</v>
      </c>
      <c r="F51" s="126">
        <v>5.8</v>
      </c>
      <c r="G51" s="77">
        <v>27000</v>
      </c>
      <c r="H51" s="126">
        <v>39.4</v>
      </c>
      <c r="I51" s="124">
        <v>681.92</v>
      </c>
      <c r="J51" s="126">
        <v>2.4</v>
      </c>
      <c r="K51" s="124">
        <v>13050</v>
      </c>
      <c r="L51" s="124">
        <v>13731.92</v>
      </c>
    </row>
    <row r="52" spans="1:12" ht="15" customHeight="1" x14ac:dyDescent="0.25">
      <c r="A52" s="78">
        <v>45658</v>
      </c>
      <c r="B52" t="s">
        <v>488</v>
      </c>
      <c r="C52" t="s">
        <v>489</v>
      </c>
      <c r="D52" t="s">
        <v>225</v>
      </c>
      <c r="E52" t="s">
        <v>2367</v>
      </c>
      <c r="F52" s="126">
        <v>5.2</v>
      </c>
      <c r="G52" s="77">
        <v>43000</v>
      </c>
      <c r="H52" s="126">
        <v>23.3</v>
      </c>
      <c r="I52" s="124">
        <v>642.24</v>
      </c>
      <c r="J52" s="126">
        <v>0.8</v>
      </c>
      <c r="K52" s="124">
        <v>18633.333333333299</v>
      </c>
      <c r="L52" s="124">
        <v>19275.573333333301</v>
      </c>
    </row>
    <row r="53" spans="1:12" ht="15" customHeight="1" x14ac:dyDescent="0.25">
      <c r="A53" s="78">
        <v>45658</v>
      </c>
      <c r="B53" t="s">
        <v>488</v>
      </c>
      <c r="C53" t="s">
        <v>489</v>
      </c>
      <c r="D53" t="s">
        <v>225</v>
      </c>
      <c r="E53" t="s">
        <v>2369</v>
      </c>
      <c r="F53" s="126">
        <v>19.3</v>
      </c>
      <c r="G53" s="77">
        <v>35000</v>
      </c>
      <c r="H53" s="126">
        <v>8</v>
      </c>
      <c r="I53" s="124">
        <v>179.49</v>
      </c>
      <c r="J53" s="126">
        <v>10.5</v>
      </c>
      <c r="K53" s="124">
        <v>56291.666666666701</v>
      </c>
      <c r="L53" s="124">
        <v>56471.156666666699</v>
      </c>
    </row>
    <row r="54" spans="1:12" ht="15" customHeight="1" x14ac:dyDescent="0.25">
      <c r="A54" s="78">
        <v>45658</v>
      </c>
      <c r="B54" t="s">
        <v>488</v>
      </c>
      <c r="C54" t="s">
        <v>489</v>
      </c>
      <c r="D54" t="s">
        <v>225</v>
      </c>
      <c r="E54" t="s">
        <v>230</v>
      </c>
      <c r="F54" s="126">
        <v>5.0999999999999996</v>
      </c>
      <c r="G54" s="77">
        <v>41000</v>
      </c>
      <c r="H54" s="126">
        <v>20.399999999999999</v>
      </c>
      <c r="I54" s="124">
        <v>536.15</v>
      </c>
      <c r="J54" s="126">
        <v>3.7</v>
      </c>
      <c r="K54" s="124">
        <v>17425</v>
      </c>
      <c r="L54" s="124">
        <v>17961.150000000001</v>
      </c>
    </row>
    <row r="55" spans="1:12" ht="15" customHeight="1" x14ac:dyDescent="0.25">
      <c r="A55" s="78">
        <v>45658</v>
      </c>
      <c r="B55" t="s">
        <v>406</v>
      </c>
      <c r="C55" t="s">
        <v>407</v>
      </c>
      <c r="D55" t="s">
        <v>225</v>
      </c>
      <c r="E55" t="s">
        <v>2367</v>
      </c>
      <c r="F55" s="126">
        <v>17.100000000000001</v>
      </c>
      <c r="G55" s="77">
        <v>43000</v>
      </c>
      <c r="H55" s="126">
        <v>33.200000000000003</v>
      </c>
      <c r="I55" s="124">
        <v>915.13</v>
      </c>
      <c r="J55" s="126">
        <v>9.1</v>
      </c>
      <c r="K55" s="124">
        <v>61275</v>
      </c>
      <c r="L55" s="124">
        <v>62190.13</v>
      </c>
    </row>
    <row r="56" spans="1:12" ht="15" customHeight="1" x14ac:dyDescent="0.25">
      <c r="A56" s="78">
        <v>45658</v>
      </c>
      <c r="B56" t="s">
        <v>406</v>
      </c>
      <c r="C56" t="s">
        <v>407</v>
      </c>
      <c r="D56" t="s">
        <v>225</v>
      </c>
      <c r="E56" t="s">
        <v>2369</v>
      </c>
      <c r="F56" s="126">
        <v>9.4</v>
      </c>
      <c r="G56" s="77">
        <v>35000</v>
      </c>
      <c r="H56" s="126">
        <v>64</v>
      </c>
      <c r="I56" s="124">
        <v>1435.9</v>
      </c>
      <c r="J56" s="126">
        <v>5.0999999999999996</v>
      </c>
      <c r="K56" s="124">
        <v>27416.666666666701</v>
      </c>
      <c r="L56" s="124">
        <v>28852.566666666698</v>
      </c>
    </row>
    <row r="57" spans="1:12" ht="15" customHeight="1" x14ac:dyDescent="0.25">
      <c r="A57" s="78">
        <v>45658</v>
      </c>
      <c r="B57" t="s">
        <v>406</v>
      </c>
      <c r="C57" t="s">
        <v>407</v>
      </c>
      <c r="D57" t="s">
        <v>225</v>
      </c>
      <c r="E57" t="s">
        <v>230</v>
      </c>
      <c r="F57" s="126">
        <v>3.4</v>
      </c>
      <c r="G57" s="77">
        <v>41000</v>
      </c>
      <c r="H57" s="126">
        <v>15</v>
      </c>
      <c r="I57" s="124">
        <v>394.23</v>
      </c>
      <c r="J57" s="126">
        <v>1.7</v>
      </c>
      <c r="K57" s="124">
        <v>11616.666666666701</v>
      </c>
      <c r="L57" s="124">
        <v>12010.8966666667</v>
      </c>
    </row>
    <row r="58" spans="1:12" ht="15" customHeight="1" x14ac:dyDescent="0.25">
      <c r="A58" s="78">
        <v>45658</v>
      </c>
      <c r="B58" t="s">
        <v>406</v>
      </c>
      <c r="C58" t="s">
        <v>407</v>
      </c>
      <c r="D58" t="s">
        <v>225</v>
      </c>
      <c r="E58" t="s">
        <v>231</v>
      </c>
      <c r="F58" s="126">
        <v>10.4</v>
      </c>
      <c r="G58" s="77">
        <v>29000</v>
      </c>
      <c r="H58" s="126">
        <v>17.100000000000001</v>
      </c>
      <c r="I58" s="124">
        <v>317.88</v>
      </c>
      <c r="J58" s="126">
        <v>6.6</v>
      </c>
      <c r="K58" s="124">
        <v>25133.333333333299</v>
      </c>
      <c r="L58" s="124">
        <v>25451.2133333333</v>
      </c>
    </row>
    <row r="59" spans="1:12" ht="15" customHeight="1" x14ac:dyDescent="0.25">
      <c r="A59" s="78">
        <v>45658</v>
      </c>
      <c r="B59" t="s">
        <v>406</v>
      </c>
      <c r="C59" t="s">
        <v>407</v>
      </c>
      <c r="D59" t="s">
        <v>225</v>
      </c>
      <c r="E59" t="s">
        <v>2368</v>
      </c>
      <c r="F59" s="126">
        <v>8.5</v>
      </c>
      <c r="G59" s="77">
        <v>27000</v>
      </c>
      <c r="H59" s="126">
        <v>26.2</v>
      </c>
      <c r="I59" s="124">
        <v>453.46</v>
      </c>
      <c r="J59" s="126">
        <v>4.8</v>
      </c>
      <c r="K59" s="124">
        <v>19125</v>
      </c>
      <c r="L59" s="124">
        <v>19578.46</v>
      </c>
    </row>
    <row r="60" spans="1:12" ht="15" customHeight="1" x14ac:dyDescent="0.25">
      <c r="A60" s="78">
        <v>45658</v>
      </c>
      <c r="B60" t="s">
        <v>358</v>
      </c>
      <c r="C60" t="s">
        <v>359</v>
      </c>
      <c r="D60" t="s">
        <v>225</v>
      </c>
      <c r="E60" t="s">
        <v>230</v>
      </c>
      <c r="F60" s="126">
        <v>8.5</v>
      </c>
      <c r="G60" s="77">
        <v>41000</v>
      </c>
      <c r="H60" s="126">
        <v>14.1</v>
      </c>
      <c r="I60" s="124">
        <v>370.58</v>
      </c>
      <c r="J60" s="126">
        <v>3.1</v>
      </c>
      <c r="K60" s="124">
        <v>29041.666666666701</v>
      </c>
      <c r="L60" s="124">
        <v>29412.246666666699</v>
      </c>
    </row>
    <row r="61" spans="1:12" ht="15" customHeight="1" x14ac:dyDescent="0.25">
      <c r="A61" s="78">
        <v>45658</v>
      </c>
      <c r="B61" t="s">
        <v>358</v>
      </c>
      <c r="C61" t="s">
        <v>359</v>
      </c>
      <c r="D61" t="s">
        <v>225</v>
      </c>
      <c r="E61" t="s">
        <v>2367</v>
      </c>
      <c r="F61" s="126">
        <v>15.9</v>
      </c>
      <c r="G61" s="77">
        <v>43000</v>
      </c>
      <c r="H61" s="126">
        <v>97.8</v>
      </c>
      <c r="I61" s="124">
        <v>2695.77</v>
      </c>
      <c r="J61" s="126">
        <v>7.6</v>
      </c>
      <c r="K61" s="124">
        <v>56975</v>
      </c>
      <c r="L61" s="124">
        <v>59670.77</v>
      </c>
    </row>
    <row r="62" spans="1:12" ht="15" customHeight="1" x14ac:dyDescent="0.25">
      <c r="A62" s="78">
        <v>45658</v>
      </c>
      <c r="B62" t="s">
        <v>358</v>
      </c>
      <c r="C62" t="s">
        <v>359</v>
      </c>
      <c r="D62" t="s">
        <v>225</v>
      </c>
      <c r="E62" t="s">
        <v>232</v>
      </c>
      <c r="F62" s="126">
        <v>3.7</v>
      </c>
      <c r="G62" s="77">
        <v>25000</v>
      </c>
      <c r="H62" s="126">
        <v>22.9</v>
      </c>
      <c r="I62" s="124">
        <v>366.99</v>
      </c>
      <c r="J62" s="126">
        <v>1.8</v>
      </c>
      <c r="K62" s="124">
        <v>7708.3333333333303</v>
      </c>
      <c r="L62" s="124">
        <v>8075.3233333333301</v>
      </c>
    </row>
    <row r="63" spans="1:12" ht="15" customHeight="1" x14ac:dyDescent="0.25">
      <c r="A63" s="78">
        <v>45658</v>
      </c>
      <c r="B63" t="s">
        <v>358</v>
      </c>
      <c r="C63" t="s">
        <v>359</v>
      </c>
      <c r="D63" t="s">
        <v>225</v>
      </c>
      <c r="E63" t="s">
        <v>105</v>
      </c>
      <c r="F63" s="126">
        <v>11.7</v>
      </c>
      <c r="G63" s="77">
        <v>28000</v>
      </c>
      <c r="H63" s="126">
        <v>14.5</v>
      </c>
      <c r="I63" s="124">
        <v>260.26</v>
      </c>
      <c r="J63" s="126">
        <v>6.7</v>
      </c>
      <c r="K63" s="124">
        <v>27300</v>
      </c>
      <c r="L63" s="124">
        <v>27560.26</v>
      </c>
    </row>
    <row r="64" spans="1:12" ht="15" customHeight="1" x14ac:dyDescent="0.25">
      <c r="A64" s="78">
        <v>45658</v>
      </c>
      <c r="B64" t="s">
        <v>383</v>
      </c>
      <c r="C64" t="s">
        <v>384</v>
      </c>
      <c r="D64" t="s">
        <v>225</v>
      </c>
      <c r="E64" t="s">
        <v>2368</v>
      </c>
      <c r="F64" s="126">
        <v>5.4</v>
      </c>
      <c r="G64" s="77">
        <v>27000</v>
      </c>
      <c r="H64" s="126">
        <v>16.8</v>
      </c>
      <c r="I64" s="124">
        <v>290.77</v>
      </c>
      <c r="J64" s="126">
        <v>3.4</v>
      </c>
      <c r="K64" s="124">
        <v>12150</v>
      </c>
      <c r="L64" s="124">
        <v>12440.77</v>
      </c>
    </row>
    <row r="65" spans="1:12" ht="15" customHeight="1" x14ac:dyDescent="0.25">
      <c r="A65" s="78">
        <v>45658</v>
      </c>
      <c r="B65" t="s">
        <v>383</v>
      </c>
      <c r="C65" t="s">
        <v>384</v>
      </c>
      <c r="D65" t="s">
        <v>225</v>
      </c>
      <c r="E65" t="s">
        <v>105</v>
      </c>
      <c r="F65" s="126">
        <v>4.7</v>
      </c>
      <c r="G65" s="77">
        <v>28000</v>
      </c>
      <c r="H65" s="126">
        <v>19</v>
      </c>
      <c r="I65" s="124">
        <v>341.03</v>
      </c>
      <c r="J65" s="126">
        <v>0.8</v>
      </c>
      <c r="K65" s="124">
        <v>10966.666666666701</v>
      </c>
      <c r="L65" s="124">
        <v>11307.696666666699</v>
      </c>
    </row>
    <row r="66" spans="1:12" ht="15" customHeight="1" x14ac:dyDescent="0.25">
      <c r="A66" s="78">
        <v>45658</v>
      </c>
      <c r="B66" t="s">
        <v>383</v>
      </c>
      <c r="C66" t="s">
        <v>384</v>
      </c>
      <c r="D66" t="s">
        <v>225</v>
      </c>
      <c r="E66" t="s">
        <v>231</v>
      </c>
      <c r="F66" s="126">
        <v>5.8</v>
      </c>
      <c r="G66" s="77">
        <v>29000</v>
      </c>
      <c r="H66" s="126">
        <v>24.6</v>
      </c>
      <c r="I66" s="124">
        <v>457.31</v>
      </c>
      <c r="J66" s="126">
        <v>5.0999999999999996</v>
      </c>
      <c r="K66" s="124">
        <v>14016.666666666701</v>
      </c>
      <c r="L66" s="124">
        <v>14473.9766666667</v>
      </c>
    </row>
    <row r="67" spans="1:12" ht="15" customHeight="1" x14ac:dyDescent="0.25">
      <c r="A67" s="78">
        <v>45658</v>
      </c>
      <c r="B67" t="s">
        <v>383</v>
      </c>
      <c r="C67" t="s">
        <v>384</v>
      </c>
      <c r="D67" t="s">
        <v>225</v>
      </c>
      <c r="E67" t="s">
        <v>2369</v>
      </c>
      <c r="F67" s="126">
        <v>15.1</v>
      </c>
      <c r="G67" s="77">
        <v>35000</v>
      </c>
      <c r="H67" s="126">
        <v>71.599999999999994</v>
      </c>
      <c r="I67" s="124">
        <v>1606.41</v>
      </c>
      <c r="J67" s="126">
        <v>7.5</v>
      </c>
      <c r="K67" s="124">
        <v>44041.666666666701</v>
      </c>
      <c r="L67" s="124">
        <v>45648.076666666697</v>
      </c>
    </row>
    <row r="68" spans="1:12" ht="15" customHeight="1" x14ac:dyDescent="0.25">
      <c r="A68" s="78">
        <v>45658</v>
      </c>
      <c r="B68" t="s">
        <v>383</v>
      </c>
      <c r="C68" t="s">
        <v>384</v>
      </c>
      <c r="D68" t="s">
        <v>225</v>
      </c>
      <c r="E68" t="s">
        <v>232</v>
      </c>
      <c r="F68" s="126">
        <v>4.5999999999999996</v>
      </c>
      <c r="G68" s="77">
        <v>25000</v>
      </c>
      <c r="H68" s="126">
        <v>25.8</v>
      </c>
      <c r="I68" s="124">
        <v>413.46</v>
      </c>
      <c r="J68" s="126">
        <v>2.5</v>
      </c>
      <c r="K68" s="124">
        <v>9583.3333333333303</v>
      </c>
      <c r="L68" s="124">
        <v>9996.7933333333294</v>
      </c>
    </row>
    <row r="69" spans="1:12" ht="15" customHeight="1" x14ac:dyDescent="0.25">
      <c r="A69" s="78">
        <v>45658</v>
      </c>
      <c r="B69" t="s">
        <v>383</v>
      </c>
      <c r="C69" t="s">
        <v>384</v>
      </c>
      <c r="D69" t="s">
        <v>225</v>
      </c>
      <c r="E69" t="s">
        <v>230</v>
      </c>
      <c r="F69" s="126">
        <v>9.1</v>
      </c>
      <c r="G69" s="77">
        <v>41000</v>
      </c>
      <c r="H69" s="126">
        <v>39.299999999999997</v>
      </c>
      <c r="I69" s="124">
        <v>1032.8800000000001</v>
      </c>
      <c r="J69" s="126">
        <v>3.5</v>
      </c>
      <c r="K69" s="124">
        <v>31091.666666666701</v>
      </c>
      <c r="L69" s="124">
        <v>32124.546666666702</v>
      </c>
    </row>
    <row r="70" spans="1:12" ht="15" customHeight="1" x14ac:dyDescent="0.25">
      <c r="A70" s="78">
        <v>45658</v>
      </c>
      <c r="B70" t="s">
        <v>373</v>
      </c>
      <c r="C70" t="s">
        <v>374</v>
      </c>
      <c r="D70" t="s">
        <v>225</v>
      </c>
      <c r="E70" t="s">
        <v>230</v>
      </c>
      <c r="F70" s="126">
        <v>11.4</v>
      </c>
      <c r="G70" s="77">
        <v>41000</v>
      </c>
      <c r="H70" s="126">
        <v>49.6</v>
      </c>
      <c r="I70" s="124">
        <v>1303.5899999999999</v>
      </c>
      <c r="J70" s="126">
        <v>6.7</v>
      </c>
      <c r="K70" s="124">
        <v>38950</v>
      </c>
      <c r="L70" s="124">
        <v>40253.589999999997</v>
      </c>
    </row>
    <row r="71" spans="1:12" ht="15" customHeight="1" x14ac:dyDescent="0.25">
      <c r="A71" s="78">
        <v>45658</v>
      </c>
      <c r="B71" t="s">
        <v>373</v>
      </c>
      <c r="C71" t="s">
        <v>374</v>
      </c>
      <c r="D71" t="s">
        <v>225</v>
      </c>
      <c r="E71" t="s">
        <v>232</v>
      </c>
      <c r="F71" s="126">
        <v>12.3</v>
      </c>
      <c r="G71" s="77">
        <v>25000</v>
      </c>
      <c r="H71" s="126">
        <v>33.799999999999997</v>
      </c>
      <c r="I71" s="124">
        <v>541.66999999999996</v>
      </c>
      <c r="J71" s="126">
        <v>7.6</v>
      </c>
      <c r="K71" s="124">
        <v>25625</v>
      </c>
      <c r="L71" s="124">
        <v>26166.67</v>
      </c>
    </row>
    <row r="72" spans="1:12" ht="15" customHeight="1" x14ac:dyDescent="0.25">
      <c r="A72" s="78">
        <v>45658</v>
      </c>
      <c r="B72" t="s">
        <v>373</v>
      </c>
      <c r="C72" t="s">
        <v>374</v>
      </c>
      <c r="D72" t="s">
        <v>225</v>
      </c>
      <c r="E72" t="s">
        <v>2369</v>
      </c>
      <c r="F72" s="126">
        <v>11.9</v>
      </c>
      <c r="G72" s="77">
        <v>35000</v>
      </c>
      <c r="H72" s="126">
        <v>46</v>
      </c>
      <c r="I72" s="124">
        <v>1032.05</v>
      </c>
      <c r="J72" s="126">
        <v>5.0999999999999996</v>
      </c>
      <c r="K72" s="124">
        <v>34708.333333333299</v>
      </c>
      <c r="L72" s="124">
        <v>35740.383333333302</v>
      </c>
    </row>
    <row r="73" spans="1:12" ht="15" customHeight="1" x14ac:dyDescent="0.25">
      <c r="A73" s="78">
        <v>45658</v>
      </c>
      <c r="B73" t="s">
        <v>373</v>
      </c>
      <c r="C73" t="s">
        <v>374</v>
      </c>
      <c r="D73" t="s">
        <v>225</v>
      </c>
      <c r="E73" t="s">
        <v>105</v>
      </c>
      <c r="F73" s="126">
        <v>13.9</v>
      </c>
      <c r="G73" s="77">
        <v>28000</v>
      </c>
      <c r="H73" s="126">
        <v>76.400000000000006</v>
      </c>
      <c r="I73" s="124">
        <v>1371.28</v>
      </c>
      <c r="J73" s="126">
        <v>6.7</v>
      </c>
      <c r="K73" s="124">
        <v>32433.333333333299</v>
      </c>
      <c r="L73" s="124">
        <v>33804.613333333298</v>
      </c>
    </row>
    <row r="74" spans="1:12" ht="15" customHeight="1" x14ac:dyDescent="0.25">
      <c r="A74" s="78">
        <v>45658</v>
      </c>
      <c r="B74" t="s">
        <v>373</v>
      </c>
      <c r="C74" t="s">
        <v>374</v>
      </c>
      <c r="D74" t="s">
        <v>225</v>
      </c>
      <c r="E74" t="s">
        <v>2368</v>
      </c>
      <c r="F74" s="126">
        <v>9.6999999999999993</v>
      </c>
      <c r="G74" s="77">
        <v>27000</v>
      </c>
      <c r="H74" s="126">
        <v>49.9</v>
      </c>
      <c r="I74" s="124">
        <v>863.65</v>
      </c>
      <c r="J74" s="126">
        <v>4.5999999999999996</v>
      </c>
      <c r="K74" s="124">
        <v>21825</v>
      </c>
      <c r="L74" s="124">
        <v>22688.65</v>
      </c>
    </row>
    <row r="75" spans="1:12" ht="15" customHeight="1" x14ac:dyDescent="0.25">
      <c r="A75" s="78">
        <v>45658</v>
      </c>
      <c r="B75" t="s">
        <v>354</v>
      </c>
      <c r="C75" t="s">
        <v>355</v>
      </c>
      <c r="D75" t="s">
        <v>227</v>
      </c>
      <c r="E75" t="s">
        <v>2367</v>
      </c>
      <c r="F75" s="126">
        <v>5.7</v>
      </c>
      <c r="G75" s="77">
        <v>43000</v>
      </c>
      <c r="H75" s="126">
        <v>22.3</v>
      </c>
      <c r="I75" s="124">
        <v>614.67999999999995</v>
      </c>
      <c r="J75" s="126">
        <v>3.3</v>
      </c>
      <c r="K75" s="124">
        <v>20425</v>
      </c>
      <c r="L75" s="124">
        <v>21039.68</v>
      </c>
    </row>
    <row r="76" spans="1:12" ht="15" customHeight="1" x14ac:dyDescent="0.25">
      <c r="A76" s="78">
        <v>45658</v>
      </c>
      <c r="B76" t="s">
        <v>354</v>
      </c>
      <c r="C76" t="s">
        <v>355</v>
      </c>
      <c r="D76" t="s">
        <v>227</v>
      </c>
      <c r="E76" t="s">
        <v>232</v>
      </c>
      <c r="F76" s="126">
        <v>16</v>
      </c>
      <c r="G76" s="77">
        <v>25000</v>
      </c>
      <c r="H76" s="126">
        <v>71</v>
      </c>
      <c r="I76" s="124">
        <v>1137.82</v>
      </c>
      <c r="J76" s="126">
        <v>6</v>
      </c>
      <c r="K76" s="124">
        <v>33333.333333333299</v>
      </c>
      <c r="L76" s="124">
        <v>34471.153333333299</v>
      </c>
    </row>
    <row r="77" spans="1:12" ht="15" customHeight="1" x14ac:dyDescent="0.25">
      <c r="A77" s="78">
        <v>45658</v>
      </c>
      <c r="B77" t="s">
        <v>354</v>
      </c>
      <c r="C77" t="s">
        <v>355</v>
      </c>
      <c r="D77" t="s">
        <v>227</v>
      </c>
      <c r="E77" t="s">
        <v>231</v>
      </c>
      <c r="F77" s="126">
        <v>17.8</v>
      </c>
      <c r="G77" s="77">
        <v>29000</v>
      </c>
      <c r="H77" s="126">
        <v>41.3</v>
      </c>
      <c r="I77" s="124">
        <v>767.76</v>
      </c>
      <c r="J77" s="126">
        <v>9.8000000000000007</v>
      </c>
      <c r="K77" s="124">
        <v>43016.666666666701</v>
      </c>
      <c r="L77" s="124">
        <v>43784.426666666703</v>
      </c>
    </row>
    <row r="78" spans="1:12" ht="15" customHeight="1" x14ac:dyDescent="0.25">
      <c r="A78" s="78">
        <v>45658</v>
      </c>
      <c r="B78" t="s">
        <v>354</v>
      </c>
      <c r="C78" t="s">
        <v>355</v>
      </c>
      <c r="D78" t="s">
        <v>227</v>
      </c>
      <c r="E78" t="s">
        <v>2369</v>
      </c>
      <c r="F78" s="126">
        <v>6.9</v>
      </c>
      <c r="G78" s="77">
        <v>35000</v>
      </c>
      <c r="H78" s="126">
        <v>26.2</v>
      </c>
      <c r="I78" s="124">
        <v>587.82000000000005</v>
      </c>
      <c r="J78" s="126">
        <v>2.9</v>
      </c>
      <c r="K78" s="124">
        <v>20125</v>
      </c>
      <c r="L78" s="124">
        <v>20712.82</v>
      </c>
    </row>
    <row r="79" spans="1:12" ht="15" customHeight="1" x14ac:dyDescent="0.25">
      <c r="A79" s="78">
        <v>45658</v>
      </c>
      <c r="B79" t="s">
        <v>370</v>
      </c>
      <c r="C79" t="s">
        <v>371</v>
      </c>
      <c r="D79" t="s">
        <v>227</v>
      </c>
      <c r="E79" t="s">
        <v>2368</v>
      </c>
      <c r="F79" s="126">
        <v>3.9</v>
      </c>
      <c r="G79" s="77">
        <v>27000</v>
      </c>
      <c r="H79" s="126">
        <v>7.7</v>
      </c>
      <c r="I79" s="124">
        <v>133.27000000000001</v>
      </c>
      <c r="J79" s="126">
        <v>0.9</v>
      </c>
      <c r="K79" s="124">
        <v>8775</v>
      </c>
      <c r="L79" s="124">
        <v>8908.27</v>
      </c>
    </row>
    <row r="80" spans="1:12" ht="15" customHeight="1" x14ac:dyDescent="0.25">
      <c r="A80" s="78">
        <v>45658</v>
      </c>
      <c r="B80" t="s">
        <v>370</v>
      </c>
      <c r="C80" t="s">
        <v>371</v>
      </c>
      <c r="D80" t="s">
        <v>227</v>
      </c>
      <c r="E80" t="s">
        <v>105</v>
      </c>
      <c r="F80" s="126">
        <v>17.3</v>
      </c>
      <c r="G80" s="77">
        <v>28000</v>
      </c>
      <c r="H80" s="126">
        <v>16.7</v>
      </c>
      <c r="I80" s="124">
        <v>299.74</v>
      </c>
      <c r="J80" s="126">
        <v>8.5</v>
      </c>
      <c r="K80" s="124">
        <v>40366.666666666701</v>
      </c>
      <c r="L80" s="124">
        <v>40666.406666666699</v>
      </c>
    </row>
    <row r="81" spans="1:12" ht="15" customHeight="1" x14ac:dyDescent="0.25">
      <c r="A81" s="78">
        <v>45658</v>
      </c>
      <c r="B81" t="s">
        <v>370</v>
      </c>
      <c r="C81" t="s">
        <v>371</v>
      </c>
      <c r="D81" t="s">
        <v>227</v>
      </c>
      <c r="E81" t="s">
        <v>2367</v>
      </c>
      <c r="F81" s="126">
        <v>6.8</v>
      </c>
      <c r="G81" s="77">
        <v>43000</v>
      </c>
      <c r="H81" s="126">
        <v>21.1</v>
      </c>
      <c r="I81" s="124">
        <v>581.6</v>
      </c>
      <c r="J81" s="126">
        <v>2.4</v>
      </c>
      <c r="K81" s="124">
        <v>24366.666666666701</v>
      </c>
      <c r="L81" s="124">
        <v>24948.266666666699</v>
      </c>
    </row>
    <row r="82" spans="1:12" ht="15" customHeight="1" x14ac:dyDescent="0.25">
      <c r="A82" s="78">
        <v>45658</v>
      </c>
      <c r="B82" t="s">
        <v>370</v>
      </c>
      <c r="C82" t="s">
        <v>371</v>
      </c>
      <c r="D82" t="s">
        <v>227</v>
      </c>
      <c r="E82" t="s">
        <v>232</v>
      </c>
      <c r="F82" s="126">
        <v>3.7</v>
      </c>
      <c r="G82" s="77">
        <v>25000</v>
      </c>
      <c r="H82" s="126">
        <v>14.4</v>
      </c>
      <c r="I82" s="124">
        <v>230.77</v>
      </c>
      <c r="J82" s="126">
        <v>2.2000000000000002</v>
      </c>
      <c r="K82" s="124">
        <v>7708.3333333333303</v>
      </c>
      <c r="L82" s="124">
        <v>7939.1033333333298</v>
      </c>
    </row>
    <row r="83" spans="1:12" ht="15" customHeight="1" x14ac:dyDescent="0.25">
      <c r="A83" s="78">
        <v>45658</v>
      </c>
      <c r="B83" t="s">
        <v>398</v>
      </c>
      <c r="C83" t="s">
        <v>399</v>
      </c>
      <c r="D83" t="s">
        <v>227</v>
      </c>
      <c r="E83" t="s">
        <v>105</v>
      </c>
      <c r="F83" s="126">
        <v>11.5</v>
      </c>
      <c r="G83" s="77">
        <v>28000</v>
      </c>
      <c r="H83" s="126">
        <v>82.1</v>
      </c>
      <c r="I83" s="124">
        <v>1473.59</v>
      </c>
      <c r="J83" s="126">
        <v>4.2</v>
      </c>
      <c r="K83" s="124">
        <v>26833.333333333299</v>
      </c>
      <c r="L83" s="124">
        <v>28306.9233333333</v>
      </c>
    </row>
    <row r="84" spans="1:12" ht="15" customHeight="1" x14ac:dyDescent="0.25">
      <c r="A84" s="78">
        <v>45658</v>
      </c>
      <c r="B84" t="s">
        <v>398</v>
      </c>
      <c r="C84" t="s">
        <v>399</v>
      </c>
      <c r="D84" t="s">
        <v>227</v>
      </c>
      <c r="E84" t="s">
        <v>231</v>
      </c>
      <c r="F84" s="126">
        <v>8.5</v>
      </c>
      <c r="G84" s="77">
        <v>29000</v>
      </c>
      <c r="H84" s="126">
        <v>48.8</v>
      </c>
      <c r="I84" s="124">
        <v>907.18</v>
      </c>
      <c r="J84" s="126">
        <v>5.2</v>
      </c>
      <c r="K84" s="124">
        <v>20541.666666666701</v>
      </c>
      <c r="L84" s="124">
        <v>21448.846666666701</v>
      </c>
    </row>
    <row r="85" spans="1:12" ht="15" customHeight="1" x14ac:dyDescent="0.25">
      <c r="A85" s="78">
        <v>45658</v>
      </c>
      <c r="B85" t="s">
        <v>398</v>
      </c>
      <c r="C85" t="s">
        <v>399</v>
      </c>
      <c r="D85" t="s">
        <v>227</v>
      </c>
      <c r="E85" t="s">
        <v>2368</v>
      </c>
      <c r="F85" s="126">
        <v>15.9</v>
      </c>
      <c r="G85" s="77">
        <v>27000</v>
      </c>
      <c r="H85" s="126">
        <v>45</v>
      </c>
      <c r="I85" s="124">
        <v>778.85</v>
      </c>
      <c r="J85" s="126">
        <v>8.1999999999999993</v>
      </c>
      <c r="K85" s="124">
        <v>35775</v>
      </c>
      <c r="L85" s="124">
        <v>36553.85</v>
      </c>
    </row>
    <row r="86" spans="1:12" ht="15" customHeight="1" x14ac:dyDescent="0.25">
      <c r="A86" s="78">
        <v>45658</v>
      </c>
      <c r="B86" t="s">
        <v>398</v>
      </c>
      <c r="C86" t="s">
        <v>399</v>
      </c>
      <c r="D86" t="s">
        <v>227</v>
      </c>
      <c r="E86" t="s">
        <v>2367</v>
      </c>
      <c r="F86" s="126">
        <v>14.4</v>
      </c>
      <c r="G86" s="77">
        <v>43000</v>
      </c>
      <c r="H86" s="126">
        <v>47.7</v>
      </c>
      <c r="I86" s="124">
        <v>1314.81</v>
      </c>
      <c r="J86" s="126">
        <v>7.4</v>
      </c>
      <c r="K86" s="124">
        <v>51600</v>
      </c>
      <c r="L86" s="124">
        <v>52914.81</v>
      </c>
    </row>
    <row r="87" spans="1:12" ht="15" customHeight="1" x14ac:dyDescent="0.25">
      <c r="A87" s="78">
        <v>45658</v>
      </c>
      <c r="B87" t="s">
        <v>378</v>
      </c>
      <c r="C87" t="s">
        <v>379</v>
      </c>
      <c r="D87" t="s">
        <v>227</v>
      </c>
      <c r="E87" t="s">
        <v>2367</v>
      </c>
      <c r="F87" s="126">
        <v>14.4</v>
      </c>
      <c r="G87" s="77">
        <v>43000</v>
      </c>
      <c r="H87" s="126">
        <v>90.2</v>
      </c>
      <c r="I87" s="124">
        <v>2486.2800000000002</v>
      </c>
      <c r="J87" s="126">
        <v>7.8</v>
      </c>
      <c r="K87" s="124">
        <v>51600</v>
      </c>
      <c r="L87" s="124">
        <v>54086.28</v>
      </c>
    </row>
    <row r="88" spans="1:12" ht="15" customHeight="1" x14ac:dyDescent="0.25">
      <c r="A88" s="78">
        <v>45658</v>
      </c>
      <c r="B88" t="s">
        <v>378</v>
      </c>
      <c r="C88" t="s">
        <v>379</v>
      </c>
      <c r="D88" t="s">
        <v>227</v>
      </c>
      <c r="E88" t="s">
        <v>230</v>
      </c>
      <c r="F88" s="126">
        <v>14.9</v>
      </c>
      <c r="G88" s="77">
        <v>41000</v>
      </c>
      <c r="H88" s="126">
        <v>71</v>
      </c>
      <c r="I88" s="124">
        <v>1866.03</v>
      </c>
      <c r="J88" s="126">
        <v>7</v>
      </c>
      <c r="K88" s="124">
        <v>50908.333333333299</v>
      </c>
      <c r="L88" s="124">
        <v>52774.363333333298</v>
      </c>
    </row>
    <row r="89" spans="1:12" ht="15" customHeight="1" x14ac:dyDescent="0.25">
      <c r="A89" s="78">
        <v>45658</v>
      </c>
      <c r="B89" t="s">
        <v>378</v>
      </c>
      <c r="C89" t="s">
        <v>379</v>
      </c>
      <c r="D89" t="s">
        <v>227</v>
      </c>
      <c r="E89" t="s">
        <v>2369</v>
      </c>
      <c r="F89" s="126">
        <v>12.4</v>
      </c>
      <c r="G89" s="77">
        <v>35000</v>
      </c>
      <c r="H89" s="126">
        <v>22</v>
      </c>
      <c r="I89" s="124">
        <v>493.59</v>
      </c>
      <c r="J89" s="126">
        <v>6</v>
      </c>
      <c r="K89" s="124">
        <v>36166.666666666701</v>
      </c>
      <c r="L89" s="124">
        <v>36660.256666666697</v>
      </c>
    </row>
    <row r="90" spans="1:12" ht="15" customHeight="1" x14ac:dyDescent="0.25">
      <c r="A90" s="78">
        <v>45658</v>
      </c>
      <c r="B90" t="s">
        <v>378</v>
      </c>
      <c r="C90" t="s">
        <v>379</v>
      </c>
      <c r="D90" t="s">
        <v>227</v>
      </c>
      <c r="E90" t="s">
        <v>232</v>
      </c>
      <c r="F90" s="126">
        <v>3.7</v>
      </c>
      <c r="G90" s="77">
        <v>25000</v>
      </c>
      <c r="H90" s="126">
        <v>21.5</v>
      </c>
      <c r="I90" s="124">
        <v>344.55</v>
      </c>
      <c r="J90" s="126">
        <v>0.3</v>
      </c>
      <c r="K90" s="124">
        <v>7708.3333333333303</v>
      </c>
      <c r="L90" s="124">
        <v>8052.8833333333296</v>
      </c>
    </row>
    <row r="91" spans="1:12" ht="15" customHeight="1" x14ac:dyDescent="0.25">
      <c r="A91" s="78">
        <v>45658</v>
      </c>
      <c r="B91" t="s">
        <v>393</v>
      </c>
      <c r="C91" t="s">
        <v>394</v>
      </c>
      <c r="D91" t="s">
        <v>227</v>
      </c>
      <c r="E91" t="s">
        <v>232</v>
      </c>
      <c r="F91" s="126">
        <v>14.9</v>
      </c>
      <c r="G91" s="77">
        <v>25000</v>
      </c>
      <c r="H91" s="126">
        <v>36</v>
      </c>
      <c r="I91" s="124">
        <v>576.91999999999996</v>
      </c>
      <c r="J91" s="126">
        <v>7.6</v>
      </c>
      <c r="K91" s="124">
        <v>31041.666666666701</v>
      </c>
      <c r="L91" s="124">
        <v>31618.586666666699</v>
      </c>
    </row>
    <row r="92" spans="1:12" ht="15" customHeight="1" x14ac:dyDescent="0.25">
      <c r="A92" s="78">
        <v>45658</v>
      </c>
      <c r="B92" t="s">
        <v>393</v>
      </c>
      <c r="C92" t="s">
        <v>394</v>
      </c>
      <c r="D92" t="s">
        <v>227</v>
      </c>
      <c r="E92" t="s">
        <v>231</v>
      </c>
      <c r="F92" s="126">
        <v>12.9</v>
      </c>
      <c r="G92" s="77">
        <v>29000</v>
      </c>
      <c r="H92" s="126">
        <v>32.5</v>
      </c>
      <c r="I92" s="124">
        <v>604.16999999999996</v>
      </c>
      <c r="J92" s="126">
        <v>5.7</v>
      </c>
      <c r="K92" s="124">
        <v>31175</v>
      </c>
      <c r="L92" s="124">
        <v>31779.17</v>
      </c>
    </row>
    <row r="93" spans="1:12" ht="15" customHeight="1" x14ac:dyDescent="0.25">
      <c r="A93" s="78">
        <v>45658</v>
      </c>
      <c r="B93" t="s">
        <v>393</v>
      </c>
      <c r="C93" t="s">
        <v>394</v>
      </c>
      <c r="D93" t="s">
        <v>227</v>
      </c>
      <c r="E93" t="s">
        <v>2368</v>
      </c>
      <c r="F93" s="126">
        <v>9.3000000000000007</v>
      </c>
      <c r="G93" s="77">
        <v>27000</v>
      </c>
      <c r="H93" s="126">
        <v>31.3</v>
      </c>
      <c r="I93" s="124">
        <v>541.73</v>
      </c>
      <c r="J93" s="126">
        <v>3.3</v>
      </c>
      <c r="K93" s="124">
        <v>20925</v>
      </c>
      <c r="L93" s="124">
        <v>21466.73</v>
      </c>
    </row>
    <row r="94" spans="1:12" ht="15" customHeight="1" x14ac:dyDescent="0.25">
      <c r="A94" s="78">
        <v>45658</v>
      </c>
      <c r="B94" t="s">
        <v>393</v>
      </c>
      <c r="C94" t="s">
        <v>394</v>
      </c>
      <c r="D94" t="s">
        <v>227</v>
      </c>
      <c r="E94" t="s">
        <v>2369</v>
      </c>
      <c r="F94" s="126">
        <v>18.3</v>
      </c>
      <c r="G94" s="77">
        <v>35000</v>
      </c>
      <c r="H94" s="126">
        <v>46.5</v>
      </c>
      <c r="I94" s="124">
        <v>1043.27</v>
      </c>
      <c r="J94" s="126">
        <v>9.9</v>
      </c>
      <c r="K94" s="124">
        <v>53375</v>
      </c>
      <c r="L94" s="124">
        <v>54418.27</v>
      </c>
    </row>
    <row r="95" spans="1:12" ht="15" customHeight="1" x14ac:dyDescent="0.25">
      <c r="A95" s="78">
        <v>45658</v>
      </c>
      <c r="B95" t="s">
        <v>393</v>
      </c>
      <c r="C95" t="s">
        <v>394</v>
      </c>
      <c r="D95" t="s">
        <v>227</v>
      </c>
      <c r="E95" t="s">
        <v>105</v>
      </c>
      <c r="F95" s="126">
        <v>5.8</v>
      </c>
      <c r="G95" s="77">
        <v>28000</v>
      </c>
      <c r="H95" s="126">
        <v>11.8</v>
      </c>
      <c r="I95" s="124">
        <v>211.79</v>
      </c>
      <c r="J95" s="126">
        <v>1.3</v>
      </c>
      <c r="K95" s="124">
        <v>13533.333333333299</v>
      </c>
      <c r="L95" s="124">
        <v>13745.1233333333</v>
      </c>
    </row>
    <row r="96" spans="1:12" ht="15" customHeight="1" x14ac:dyDescent="0.25">
      <c r="A96" s="78">
        <v>45658</v>
      </c>
      <c r="B96" t="s">
        <v>393</v>
      </c>
      <c r="C96" t="s">
        <v>394</v>
      </c>
      <c r="D96" t="s">
        <v>227</v>
      </c>
      <c r="E96" t="s">
        <v>2367</v>
      </c>
      <c r="F96" s="126">
        <v>6.6</v>
      </c>
      <c r="G96" s="77">
        <v>43000</v>
      </c>
      <c r="H96" s="126">
        <v>20.2</v>
      </c>
      <c r="I96" s="124">
        <v>556.79</v>
      </c>
      <c r="J96" s="126">
        <v>4</v>
      </c>
      <c r="K96" s="124">
        <v>23650</v>
      </c>
      <c r="L96" s="124">
        <v>24206.79</v>
      </c>
    </row>
    <row r="97" spans="1:12" ht="15" customHeight="1" x14ac:dyDescent="0.25">
      <c r="A97" s="78">
        <v>45689</v>
      </c>
      <c r="B97" t="s">
        <v>390</v>
      </c>
      <c r="C97" t="s">
        <v>391</v>
      </c>
      <c r="D97" t="s">
        <v>221</v>
      </c>
      <c r="E97" t="s">
        <v>232</v>
      </c>
      <c r="F97" s="126">
        <v>11.7</v>
      </c>
      <c r="G97" s="77">
        <v>25000</v>
      </c>
      <c r="H97" s="126">
        <v>43.3</v>
      </c>
      <c r="I97" s="124">
        <v>693.91</v>
      </c>
      <c r="J97" s="126">
        <v>5.4</v>
      </c>
      <c r="K97" s="124">
        <v>24375</v>
      </c>
      <c r="L97" s="124">
        <v>25068.91</v>
      </c>
    </row>
    <row r="98" spans="1:12" ht="15" customHeight="1" x14ac:dyDescent="0.25">
      <c r="A98" s="78">
        <v>45689</v>
      </c>
      <c r="B98" t="s">
        <v>390</v>
      </c>
      <c r="C98" t="s">
        <v>391</v>
      </c>
      <c r="D98" t="s">
        <v>221</v>
      </c>
      <c r="E98" t="s">
        <v>2368</v>
      </c>
      <c r="F98" s="126">
        <v>5.7</v>
      </c>
      <c r="G98" s="77">
        <v>27000</v>
      </c>
      <c r="H98" s="126">
        <v>23.2</v>
      </c>
      <c r="I98" s="124">
        <v>401.54</v>
      </c>
      <c r="J98" s="126">
        <v>1.1000000000000001</v>
      </c>
      <c r="K98" s="124">
        <v>12825</v>
      </c>
      <c r="L98" s="124">
        <v>13226.54</v>
      </c>
    </row>
    <row r="99" spans="1:12" ht="15" customHeight="1" x14ac:dyDescent="0.25">
      <c r="A99" s="78">
        <v>45689</v>
      </c>
      <c r="B99" t="s">
        <v>390</v>
      </c>
      <c r="C99" t="s">
        <v>391</v>
      </c>
      <c r="D99" t="s">
        <v>221</v>
      </c>
      <c r="E99" t="s">
        <v>2367</v>
      </c>
      <c r="F99" s="126">
        <v>6.4</v>
      </c>
      <c r="G99" s="77">
        <v>43000</v>
      </c>
      <c r="H99" s="126">
        <v>30.3</v>
      </c>
      <c r="I99" s="124">
        <v>835.19</v>
      </c>
      <c r="J99" s="126">
        <v>3.6</v>
      </c>
      <c r="K99" s="124">
        <v>22933.333333333299</v>
      </c>
      <c r="L99" s="124">
        <v>23768.523333333302</v>
      </c>
    </row>
    <row r="100" spans="1:12" ht="15" customHeight="1" x14ac:dyDescent="0.25">
      <c r="A100" s="78">
        <v>45689</v>
      </c>
      <c r="B100" t="s">
        <v>390</v>
      </c>
      <c r="C100" t="s">
        <v>391</v>
      </c>
      <c r="D100" t="s">
        <v>221</v>
      </c>
      <c r="E100" t="s">
        <v>230</v>
      </c>
      <c r="F100" s="126">
        <v>13.3</v>
      </c>
      <c r="G100" s="77">
        <v>41000</v>
      </c>
      <c r="H100" s="126">
        <v>45</v>
      </c>
      <c r="I100" s="124">
        <v>1182.69</v>
      </c>
      <c r="J100" s="126">
        <v>7.7</v>
      </c>
      <c r="K100" s="124">
        <v>45441.666666666701</v>
      </c>
      <c r="L100" s="124">
        <v>46624.356666666703</v>
      </c>
    </row>
    <row r="101" spans="1:12" ht="15" customHeight="1" x14ac:dyDescent="0.25">
      <c r="A101" s="78">
        <v>45689</v>
      </c>
      <c r="B101" t="s">
        <v>390</v>
      </c>
      <c r="C101" t="s">
        <v>391</v>
      </c>
      <c r="D101" t="s">
        <v>221</v>
      </c>
      <c r="E101" t="s">
        <v>231</v>
      </c>
      <c r="F101" s="126">
        <v>8.6999999999999993</v>
      </c>
      <c r="G101" s="77">
        <v>29000</v>
      </c>
      <c r="H101" s="126">
        <v>20.100000000000001</v>
      </c>
      <c r="I101" s="124">
        <v>373.65</v>
      </c>
      <c r="J101" s="126">
        <v>5.5</v>
      </c>
      <c r="K101" s="124">
        <v>21025</v>
      </c>
      <c r="L101" s="124">
        <v>21398.65</v>
      </c>
    </row>
    <row r="102" spans="1:12" ht="15" customHeight="1" x14ac:dyDescent="0.25">
      <c r="A102" s="78">
        <v>45689</v>
      </c>
      <c r="B102" t="s">
        <v>390</v>
      </c>
      <c r="C102" t="s">
        <v>391</v>
      </c>
      <c r="D102" t="s">
        <v>221</v>
      </c>
      <c r="E102" t="s">
        <v>2369</v>
      </c>
      <c r="F102" s="126">
        <v>8.6</v>
      </c>
      <c r="G102" s="77">
        <v>35000</v>
      </c>
      <c r="H102" s="126">
        <v>36.4</v>
      </c>
      <c r="I102" s="124">
        <v>816.67</v>
      </c>
      <c r="J102" s="126">
        <v>4</v>
      </c>
      <c r="K102" s="124">
        <v>25083.333333333299</v>
      </c>
      <c r="L102" s="124">
        <v>25900.003333333301</v>
      </c>
    </row>
    <row r="103" spans="1:12" ht="15" customHeight="1" x14ac:dyDescent="0.25">
      <c r="A103" s="78">
        <v>45689</v>
      </c>
      <c r="B103" t="s">
        <v>401</v>
      </c>
      <c r="C103" t="s">
        <v>402</v>
      </c>
      <c r="D103" t="s">
        <v>221</v>
      </c>
      <c r="E103" t="s">
        <v>2369</v>
      </c>
      <c r="F103" s="126">
        <v>10.6</v>
      </c>
      <c r="G103" s="77">
        <v>35000</v>
      </c>
      <c r="H103" s="126">
        <v>42.1</v>
      </c>
      <c r="I103" s="124">
        <v>944.55</v>
      </c>
      <c r="J103" s="126">
        <v>5.2</v>
      </c>
      <c r="K103" s="124">
        <v>30916.666666666701</v>
      </c>
      <c r="L103" s="124">
        <v>31861.2166666667</v>
      </c>
    </row>
    <row r="104" spans="1:12" ht="15" customHeight="1" x14ac:dyDescent="0.25">
      <c r="A104" s="78">
        <v>45689</v>
      </c>
      <c r="B104" t="s">
        <v>401</v>
      </c>
      <c r="C104" t="s">
        <v>402</v>
      </c>
      <c r="D104" t="s">
        <v>221</v>
      </c>
      <c r="E104" t="s">
        <v>232</v>
      </c>
      <c r="F104" s="126">
        <v>19.5</v>
      </c>
      <c r="G104" s="77">
        <v>25000</v>
      </c>
      <c r="H104" s="126">
        <v>113.7</v>
      </c>
      <c r="I104" s="124">
        <v>1822.12</v>
      </c>
      <c r="J104" s="126">
        <v>8.6999999999999993</v>
      </c>
      <c r="K104" s="124">
        <v>40625</v>
      </c>
      <c r="L104" s="124">
        <v>42447.12</v>
      </c>
    </row>
    <row r="105" spans="1:12" ht="15" customHeight="1" x14ac:dyDescent="0.25">
      <c r="A105" s="78">
        <v>45689</v>
      </c>
      <c r="B105" t="s">
        <v>401</v>
      </c>
      <c r="C105" t="s">
        <v>402</v>
      </c>
      <c r="D105" t="s">
        <v>221</v>
      </c>
      <c r="E105" t="s">
        <v>230</v>
      </c>
      <c r="F105" s="126">
        <v>14.4</v>
      </c>
      <c r="G105" s="77">
        <v>41000</v>
      </c>
      <c r="H105" s="126">
        <v>41.1</v>
      </c>
      <c r="I105" s="124">
        <v>1080.19</v>
      </c>
      <c r="J105" s="126">
        <v>8.1999999999999993</v>
      </c>
      <c r="K105" s="124">
        <v>49200</v>
      </c>
      <c r="L105" s="124">
        <v>50280.19</v>
      </c>
    </row>
    <row r="106" spans="1:12" ht="15" customHeight="1" x14ac:dyDescent="0.25">
      <c r="A106" s="78">
        <v>45689</v>
      </c>
      <c r="B106" t="s">
        <v>401</v>
      </c>
      <c r="C106" t="s">
        <v>402</v>
      </c>
      <c r="D106" t="s">
        <v>221</v>
      </c>
      <c r="E106" t="s">
        <v>105</v>
      </c>
      <c r="F106" s="126">
        <v>16.100000000000001</v>
      </c>
      <c r="G106" s="77">
        <v>28000</v>
      </c>
      <c r="H106" s="126">
        <v>50</v>
      </c>
      <c r="I106" s="124">
        <v>897.44</v>
      </c>
      <c r="J106" s="126">
        <v>9</v>
      </c>
      <c r="K106" s="124">
        <v>37566.666666666701</v>
      </c>
      <c r="L106" s="124">
        <v>38464.106666666703</v>
      </c>
    </row>
    <row r="107" spans="1:12" ht="15" customHeight="1" x14ac:dyDescent="0.25">
      <c r="A107" s="78">
        <v>45689</v>
      </c>
      <c r="B107" t="s">
        <v>401</v>
      </c>
      <c r="C107" t="s">
        <v>402</v>
      </c>
      <c r="D107" t="s">
        <v>221</v>
      </c>
      <c r="E107" t="s">
        <v>2368</v>
      </c>
      <c r="F107" s="126">
        <v>6.5</v>
      </c>
      <c r="G107" s="77">
        <v>27000</v>
      </c>
      <c r="H107" s="126">
        <v>42.6</v>
      </c>
      <c r="I107" s="124">
        <v>737.31</v>
      </c>
      <c r="J107" s="126">
        <v>2.8</v>
      </c>
      <c r="K107" s="124">
        <v>14625</v>
      </c>
      <c r="L107" s="124">
        <v>15362.31</v>
      </c>
    </row>
    <row r="108" spans="1:12" ht="15" customHeight="1" x14ac:dyDescent="0.25">
      <c r="A108" s="78">
        <v>45689</v>
      </c>
      <c r="B108" t="s">
        <v>431</v>
      </c>
      <c r="C108" t="s">
        <v>432</v>
      </c>
      <c r="D108" t="s">
        <v>221</v>
      </c>
      <c r="E108" t="s">
        <v>232</v>
      </c>
      <c r="F108" s="126">
        <v>6.4</v>
      </c>
      <c r="G108" s="77">
        <v>25000</v>
      </c>
      <c r="H108" s="126">
        <v>32.1</v>
      </c>
      <c r="I108" s="124">
        <v>514.41999999999996</v>
      </c>
      <c r="J108" s="126">
        <v>2</v>
      </c>
      <c r="K108" s="124">
        <v>13333.333333333299</v>
      </c>
      <c r="L108" s="124">
        <v>13847.753333333299</v>
      </c>
    </row>
    <row r="109" spans="1:12" ht="15" customHeight="1" x14ac:dyDescent="0.25">
      <c r="A109" s="78">
        <v>45689</v>
      </c>
      <c r="B109" t="s">
        <v>431</v>
      </c>
      <c r="C109" t="s">
        <v>432</v>
      </c>
      <c r="D109" t="s">
        <v>221</v>
      </c>
      <c r="E109" t="s">
        <v>2369</v>
      </c>
      <c r="F109" s="126">
        <v>12.7</v>
      </c>
      <c r="G109" s="77">
        <v>35000</v>
      </c>
      <c r="H109" s="126">
        <v>65.2</v>
      </c>
      <c r="I109" s="124">
        <v>1462.82</v>
      </c>
      <c r="J109" s="126">
        <v>6.5</v>
      </c>
      <c r="K109" s="124">
        <v>37041.666666666701</v>
      </c>
      <c r="L109" s="124">
        <v>38504.4866666667</v>
      </c>
    </row>
    <row r="110" spans="1:12" ht="15" customHeight="1" x14ac:dyDescent="0.25">
      <c r="A110" s="78">
        <v>45689</v>
      </c>
      <c r="B110" t="s">
        <v>431</v>
      </c>
      <c r="C110" t="s">
        <v>432</v>
      </c>
      <c r="D110" t="s">
        <v>221</v>
      </c>
      <c r="E110" t="s">
        <v>105</v>
      </c>
      <c r="F110" s="126">
        <v>15.7</v>
      </c>
      <c r="G110" s="77">
        <v>28000</v>
      </c>
      <c r="H110" s="126">
        <v>73.900000000000006</v>
      </c>
      <c r="I110" s="124">
        <v>1326.41</v>
      </c>
      <c r="J110" s="126">
        <v>7.2</v>
      </c>
      <c r="K110" s="124">
        <v>36633.333333333299</v>
      </c>
      <c r="L110" s="124">
        <v>37959.743333333303</v>
      </c>
    </row>
    <row r="111" spans="1:12" ht="15" customHeight="1" x14ac:dyDescent="0.25">
      <c r="A111" s="78">
        <v>45689</v>
      </c>
      <c r="B111" t="s">
        <v>431</v>
      </c>
      <c r="C111" t="s">
        <v>432</v>
      </c>
      <c r="D111" t="s">
        <v>221</v>
      </c>
      <c r="E111" t="s">
        <v>231</v>
      </c>
      <c r="F111" s="126">
        <v>17.2</v>
      </c>
      <c r="G111" s="77">
        <v>29000</v>
      </c>
      <c r="H111" s="126">
        <v>25.9</v>
      </c>
      <c r="I111" s="124">
        <v>481.47</v>
      </c>
      <c r="J111" s="126">
        <v>9.1</v>
      </c>
      <c r="K111" s="124">
        <v>41566.666666666701</v>
      </c>
      <c r="L111" s="124">
        <v>42048.136666666702</v>
      </c>
    </row>
    <row r="112" spans="1:12" ht="15" customHeight="1" x14ac:dyDescent="0.25">
      <c r="A112" s="78">
        <v>45689</v>
      </c>
      <c r="B112" t="s">
        <v>366</v>
      </c>
      <c r="C112" t="s">
        <v>367</v>
      </c>
      <c r="D112" t="s">
        <v>221</v>
      </c>
      <c r="E112" t="s">
        <v>231</v>
      </c>
      <c r="F112" s="126">
        <v>14</v>
      </c>
      <c r="G112" s="77">
        <v>29000</v>
      </c>
      <c r="H112" s="126">
        <v>12.7</v>
      </c>
      <c r="I112" s="124">
        <v>236.09</v>
      </c>
      <c r="J112" s="126">
        <v>6.7</v>
      </c>
      <c r="K112" s="124">
        <v>33833.333333333299</v>
      </c>
      <c r="L112" s="124">
        <v>34069.423333333303</v>
      </c>
    </row>
    <row r="113" spans="1:12" ht="15" customHeight="1" x14ac:dyDescent="0.25">
      <c r="A113" s="78">
        <v>45689</v>
      </c>
      <c r="B113" t="s">
        <v>366</v>
      </c>
      <c r="C113" t="s">
        <v>367</v>
      </c>
      <c r="D113" t="s">
        <v>221</v>
      </c>
      <c r="E113" t="s">
        <v>2367</v>
      </c>
      <c r="F113" s="126">
        <v>6.9</v>
      </c>
      <c r="G113" s="77">
        <v>43000</v>
      </c>
      <c r="H113" s="126">
        <v>37.299999999999997</v>
      </c>
      <c r="I113" s="124">
        <v>1028.1400000000001</v>
      </c>
      <c r="J113" s="126">
        <v>3.6</v>
      </c>
      <c r="K113" s="124">
        <v>24725</v>
      </c>
      <c r="L113" s="124">
        <v>25753.14</v>
      </c>
    </row>
    <row r="114" spans="1:12" ht="15" customHeight="1" x14ac:dyDescent="0.25">
      <c r="A114" s="78">
        <v>45689</v>
      </c>
      <c r="B114" t="s">
        <v>366</v>
      </c>
      <c r="C114" t="s">
        <v>367</v>
      </c>
      <c r="D114" t="s">
        <v>221</v>
      </c>
      <c r="E114" t="s">
        <v>230</v>
      </c>
      <c r="F114" s="126">
        <v>18.100000000000001</v>
      </c>
      <c r="G114" s="77">
        <v>41000</v>
      </c>
      <c r="H114" s="126">
        <v>125.3</v>
      </c>
      <c r="I114" s="124">
        <v>3293.14</v>
      </c>
      <c r="J114" s="126">
        <v>10.1</v>
      </c>
      <c r="K114" s="124">
        <v>61841.666666666701</v>
      </c>
      <c r="L114" s="124">
        <v>65134.8066666667</v>
      </c>
    </row>
    <row r="115" spans="1:12" ht="15" customHeight="1" x14ac:dyDescent="0.25">
      <c r="A115" s="78">
        <v>45689</v>
      </c>
      <c r="B115" t="s">
        <v>366</v>
      </c>
      <c r="C115" t="s">
        <v>367</v>
      </c>
      <c r="D115" t="s">
        <v>221</v>
      </c>
      <c r="E115" t="s">
        <v>2368</v>
      </c>
      <c r="F115" s="126">
        <v>17.3</v>
      </c>
      <c r="G115" s="77">
        <v>27000</v>
      </c>
      <c r="H115" s="126">
        <v>52.2</v>
      </c>
      <c r="I115" s="124">
        <v>903.46</v>
      </c>
      <c r="J115" s="126">
        <v>8.6999999999999993</v>
      </c>
      <c r="K115" s="124">
        <v>38925</v>
      </c>
      <c r="L115" s="124">
        <v>39828.46</v>
      </c>
    </row>
    <row r="116" spans="1:12" ht="15" customHeight="1" x14ac:dyDescent="0.25">
      <c r="A116" s="78">
        <v>45689</v>
      </c>
      <c r="B116" t="s">
        <v>366</v>
      </c>
      <c r="C116" t="s">
        <v>367</v>
      </c>
      <c r="D116" t="s">
        <v>221</v>
      </c>
      <c r="E116" t="s">
        <v>105</v>
      </c>
      <c r="F116" s="126">
        <v>6.7</v>
      </c>
      <c r="G116" s="77">
        <v>28000</v>
      </c>
      <c r="H116" s="126">
        <v>26.3</v>
      </c>
      <c r="I116" s="124">
        <v>472.05</v>
      </c>
      <c r="J116" s="126">
        <v>1.8</v>
      </c>
      <c r="K116" s="124">
        <v>15633.333333333299</v>
      </c>
      <c r="L116" s="124">
        <v>16105.3833333333</v>
      </c>
    </row>
    <row r="117" spans="1:12" ht="15" customHeight="1" x14ac:dyDescent="0.25">
      <c r="A117" s="78">
        <v>45689</v>
      </c>
      <c r="B117" t="s">
        <v>366</v>
      </c>
      <c r="C117" t="s">
        <v>367</v>
      </c>
      <c r="D117" t="s">
        <v>221</v>
      </c>
      <c r="E117" t="s">
        <v>232</v>
      </c>
      <c r="F117" s="126">
        <v>3.4</v>
      </c>
      <c r="G117" s="77">
        <v>25000</v>
      </c>
      <c r="H117" s="126">
        <v>8.8000000000000007</v>
      </c>
      <c r="I117" s="124">
        <v>141.03</v>
      </c>
      <c r="J117" s="126">
        <v>1.1000000000000001</v>
      </c>
      <c r="K117" s="124">
        <v>7083.3333333333303</v>
      </c>
      <c r="L117" s="124">
        <v>7224.36333333333</v>
      </c>
    </row>
    <row r="118" spans="1:12" ht="15" customHeight="1" x14ac:dyDescent="0.25">
      <c r="A118" s="78">
        <v>45689</v>
      </c>
      <c r="B118" t="s">
        <v>362</v>
      </c>
      <c r="C118" t="s">
        <v>363</v>
      </c>
      <c r="D118" t="s">
        <v>221</v>
      </c>
      <c r="E118" t="s">
        <v>231</v>
      </c>
      <c r="F118" s="126">
        <v>11.5</v>
      </c>
      <c r="G118" s="77">
        <v>29000</v>
      </c>
      <c r="H118" s="126">
        <v>10.9</v>
      </c>
      <c r="I118" s="124">
        <v>202.63</v>
      </c>
      <c r="J118" s="126">
        <v>5.8</v>
      </c>
      <c r="K118" s="124">
        <v>27791.666666666701</v>
      </c>
      <c r="L118" s="124">
        <v>27994.296666666702</v>
      </c>
    </row>
    <row r="119" spans="1:12" ht="15" customHeight="1" x14ac:dyDescent="0.25">
      <c r="A119" s="78">
        <v>45689</v>
      </c>
      <c r="B119" t="s">
        <v>362</v>
      </c>
      <c r="C119" t="s">
        <v>363</v>
      </c>
      <c r="D119" t="s">
        <v>221</v>
      </c>
      <c r="E119" t="s">
        <v>105</v>
      </c>
      <c r="F119" s="126">
        <v>15.2</v>
      </c>
      <c r="G119" s="77">
        <v>28000</v>
      </c>
      <c r="H119" s="126">
        <v>55.1</v>
      </c>
      <c r="I119" s="124">
        <v>988.97</v>
      </c>
      <c r="J119" s="126">
        <v>5.9</v>
      </c>
      <c r="K119" s="124">
        <v>35466.666666666701</v>
      </c>
      <c r="L119" s="124">
        <v>36455.636666666702</v>
      </c>
    </row>
    <row r="120" spans="1:12" ht="15" customHeight="1" x14ac:dyDescent="0.25">
      <c r="A120" s="78">
        <v>45689</v>
      </c>
      <c r="B120" t="s">
        <v>362</v>
      </c>
      <c r="C120" t="s">
        <v>363</v>
      </c>
      <c r="D120" t="s">
        <v>221</v>
      </c>
      <c r="E120" t="s">
        <v>230</v>
      </c>
      <c r="F120" s="126">
        <v>15.2</v>
      </c>
      <c r="G120" s="77">
        <v>41000</v>
      </c>
      <c r="H120" s="126">
        <v>70</v>
      </c>
      <c r="I120" s="124">
        <v>1839.74</v>
      </c>
      <c r="J120" s="126">
        <v>8.3000000000000007</v>
      </c>
      <c r="K120" s="124">
        <v>51933.333333333299</v>
      </c>
      <c r="L120" s="124">
        <v>53773.073333333297</v>
      </c>
    </row>
    <row r="121" spans="1:12" ht="15" customHeight="1" x14ac:dyDescent="0.25">
      <c r="A121" s="78">
        <v>45689</v>
      </c>
      <c r="B121" t="s">
        <v>362</v>
      </c>
      <c r="C121" t="s">
        <v>363</v>
      </c>
      <c r="D121" t="s">
        <v>221</v>
      </c>
      <c r="E121" t="s">
        <v>2368</v>
      </c>
      <c r="F121" s="126">
        <v>10.8</v>
      </c>
      <c r="G121" s="77">
        <v>27000</v>
      </c>
      <c r="H121" s="126">
        <v>46.9</v>
      </c>
      <c r="I121" s="124">
        <v>811.73</v>
      </c>
      <c r="J121" s="126">
        <v>5.0999999999999996</v>
      </c>
      <c r="K121" s="124">
        <v>24300</v>
      </c>
      <c r="L121" s="124">
        <v>25111.73</v>
      </c>
    </row>
    <row r="122" spans="1:12" ht="15" customHeight="1" x14ac:dyDescent="0.25">
      <c r="A122" s="78">
        <v>45689</v>
      </c>
      <c r="B122" t="s">
        <v>335</v>
      </c>
      <c r="C122" t="s">
        <v>336</v>
      </c>
      <c r="D122" t="s">
        <v>223</v>
      </c>
      <c r="E122" t="s">
        <v>2367</v>
      </c>
      <c r="F122" s="126">
        <v>13.1</v>
      </c>
      <c r="G122" s="77">
        <v>43000</v>
      </c>
      <c r="H122" s="126">
        <v>64</v>
      </c>
      <c r="I122" s="124">
        <v>1764.1</v>
      </c>
      <c r="J122" s="126">
        <v>7.2</v>
      </c>
      <c r="K122" s="124">
        <v>46941.666666666701</v>
      </c>
      <c r="L122" s="124">
        <v>48705.766666666699</v>
      </c>
    </row>
    <row r="123" spans="1:12" ht="15" customHeight="1" x14ac:dyDescent="0.25">
      <c r="A123" s="78">
        <v>45689</v>
      </c>
      <c r="B123" t="s">
        <v>335</v>
      </c>
      <c r="C123" t="s">
        <v>336</v>
      </c>
      <c r="D123" t="s">
        <v>223</v>
      </c>
      <c r="E123" t="s">
        <v>231</v>
      </c>
      <c r="F123" s="126">
        <v>16.5</v>
      </c>
      <c r="G123" s="77">
        <v>29000</v>
      </c>
      <c r="H123" s="126">
        <v>73.599999999999994</v>
      </c>
      <c r="I123" s="124">
        <v>1368.21</v>
      </c>
      <c r="J123" s="126">
        <v>7.4</v>
      </c>
      <c r="K123" s="124">
        <v>39875</v>
      </c>
      <c r="L123" s="124">
        <v>41243.21</v>
      </c>
    </row>
    <row r="124" spans="1:12" ht="15" customHeight="1" x14ac:dyDescent="0.25">
      <c r="A124" s="78">
        <v>45689</v>
      </c>
      <c r="B124" t="s">
        <v>335</v>
      </c>
      <c r="C124" t="s">
        <v>336</v>
      </c>
      <c r="D124" t="s">
        <v>223</v>
      </c>
      <c r="E124" t="s">
        <v>2369</v>
      </c>
      <c r="F124" s="126">
        <v>14.3</v>
      </c>
      <c r="G124" s="77">
        <v>35000</v>
      </c>
      <c r="H124" s="126">
        <v>63.1</v>
      </c>
      <c r="I124" s="124">
        <v>1415.71</v>
      </c>
      <c r="J124" s="126">
        <v>8.3000000000000007</v>
      </c>
      <c r="K124" s="124">
        <v>41708.333333333299</v>
      </c>
      <c r="L124" s="124">
        <v>43124.043333333299</v>
      </c>
    </row>
    <row r="125" spans="1:12" ht="15" customHeight="1" x14ac:dyDescent="0.25">
      <c r="A125" s="78">
        <v>45689</v>
      </c>
      <c r="B125" t="s">
        <v>335</v>
      </c>
      <c r="C125" t="s">
        <v>336</v>
      </c>
      <c r="D125" t="s">
        <v>223</v>
      </c>
      <c r="E125" t="s">
        <v>105</v>
      </c>
      <c r="F125" s="126">
        <v>18.899999999999999</v>
      </c>
      <c r="G125" s="77">
        <v>28000</v>
      </c>
      <c r="H125" s="126">
        <v>58.7</v>
      </c>
      <c r="I125" s="124">
        <v>1053.5899999999999</v>
      </c>
      <c r="J125" s="126">
        <v>11.5</v>
      </c>
      <c r="K125" s="124">
        <v>44100</v>
      </c>
      <c r="L125" s="124">
        <v>45153.59</v>
      </c>
    </row>
    <row r="126" spans="1:12" ht="15" customHeight="1" x14ac:dyDescent="0.25">
      <c r="A126" s="78">
        <v>45689</v>
      </c>
      <c r="B126" t="s">
        <v>335</v>
      </c>
      <c r="C126" t="s">
        <v>336</v>
      </c>
      <c r="D126" t="s">
        <v>223</v>
      </c>
      <c r="E126" t="s">
        <v>230</v>
      </c>
      <c r="F126" s="126">
        <v>4.3</v>
      </c>
      <c r="G126" s="77">
        <v>41000</v>
      </c>
      <c r="H126" s="126">
        <v>13.8</v>
      </c>
      <c r="I126" s="124">
        <v>362.69</v>
      </c>
      <c r="J126" s="126">
        <v>2.2000000000000002</v>
      </c>
      <c r="K126" s="124">
        <v>14691.666666666701</v>
      </c>
      <c r="L126" s="124">
        <v>15054.356666666699</v>
      </c>
    </row>
    <row r="127" spans="1:12" ht="15" customHeight="1" x14ac:dyDescent="0.25">
      <c r="A127" s="78">
        <v>45689</v>
      </c>
      <c r="B127" t="s">
        <v>386</v>
      </c>
      <c r="C127" t="s">
        <v>387</v>
      </c>
      <c r="D127" t="s">
        <v>223</v>
      </c>
      <c r="E127" t="s">
        <v>232</v>
      </c>
      <c r="F127" s="126">
        <v>17.600000000000001</v>
      </c>
      <c r="G127" s="77">
        <v>25000</v>
      </c>
      <c r="H127" s="126">
        <v>52.6</v>
      </c>
      <c r="I127" s="124">
        <v>842.95</v>
      </c>
      <c r="J127" s="126">
        <v>9</v>
      </c>
      <c r="K127" s="124">
        <v>36666.666666666701</v>
      </c>
      <c r="L127" s="124">
        <v>37509.616666666698</v>
      </c>
    </row>
    <row r="128" spans="1:12" ht="15" customHeight="1" x14ac:dyDescent="0.25">
      <c r="A128" s="78">
        <v>45689</v>
      </c>
      <c r="B128" t="s">
        <v>386</v>
      </c>
      <c r="C128" t="s">
        <v>387</v>
      </c>
      <c r="D128" t="s">
        <v>223</v>
      </c>
      <c r="E128" t="s">
        <v>105</v>
      </c>
      <c r="F128" s="126">
        <v>19.100000000000001</v>
      </c>
      <c r="G128" s="77">
        <v>28000</v>
      </c>
      <c r="H128" s="126">
        <v>26.5</v>
      </c>
      <c r="I128" s="124">
        <v>475.64</v>
      </c>
      <c r="J128" s="126">
        <v>9</v>
      </c>
      <c r="K128" s="124">
        <v>44566.666666666701</v>
      </c>
      <c r="L128" s="124">
        <v>45042.3066666667</v>
      </c>
    </row>
    <row r="129" spans="1:12" ht="15" customHeight="1" x14ac:dyDescent="0.25">
      <c r="A129" s="78">
        <v>45689</v>
      </c>
      <c r="B129" t="s">
        <v>386</v>
      </c>
      <c r="C129" t="s">
        <v>387</v>
      </c>
      <c r="D129" t="s">
        <v>223</v>
      </c>
      <c r="E129" t="s">
        <v>2367</v>
      </c>
      <c r="F129" s="126">
        <v>18.8</v>
      </c>
      <c r="G129" s="77">
        <v>43000</v>
      </c>
      <c r="H129" s="126">
        <v>44.4</v>
      </c>
      <c r="I129" s="124">
        <v>1223.8499999999999</v>
      </c>
      <c r="J129" s="126">
        <v>9.5</v>
      </c>
      <c r="K129" s="124">
        <v>67366.666666666701</v>
      </c>
      <c r="L129" s="124">
        <v>68590.516666666706</v>
      </c>
    </row>
    <row r="130" spans="1:12" ht="15" customHeight="1" x14ac:dyDescent="0.25">
      <c r="A130" s="78">
        <v>45689</v>
      </c>
      <c r="B130" t="s">
        <v>386</v>
      </c>
      <c r="C130" t="s">
        <v>387</v>
      </c>
      <c r="D130" t="s">
        <v>223</v>
      </c>
      <c r="E130" t="s">
        <v>2368</v>
      </c>
      <c r="F130" s="126">
        <v>8.1999999999999993</v>
      </c>
      <c r="G130" s="77">
        <v>27000</v>
      </c>
      <c r="H130" s="126">
        <v>45</v>
      </c>
      <c r="I130" s="124">
        <v>778.85</v>
      </c>
      <c r="J130" s="126">
        <v>4.7</v>
      </c>
      <c r="K130" s="124">
        <v>18450</v>
      </c>
      <c r="L130" s="124">
        <v>19228.849999999999</v>
      </c>
    </row>
    <row r="131" spans="1:12" ht="15" customHeight="1" x14ac:dyDescent="0.25">
      <c r="A131" s="78">
        <v>45689</v>
      </c>
      <c r="B131" t="s">
        <v>341</v>
      </c>
      <c r="C131" t="s">
        <v>342</v>
      </c>
      <c r="D131" t="s">
        <v>223</v>
      </c>
      <c r="E131" t="s">
        <v>2368</v>
      </c>
      <c r="F131" s="126">
        <v>9.3000000000000007</v>
      </c>
      <c r="G131" s="77">
        <v>27000</v>
      </c>
      <c r="H131" s="126">
        <v>4.0999999999999996</v>
      </c>
      <c r="I131" s="124">
        <v>70.959999999999994</v>
      </c>
      <c r="J131" s="126">
        <v>6.7</v>
      </c>
      <c r="K131" s="124">
        <v>20925</v>
      </c>
      <c r="L131" s="124">
        <v>20995.96</v>
      </c>
    </row>
    <row r="132" spans="1:12" ht="15" customHeight="1" x14ac:dyDescent="0.25">
      <c r="A132" s="78">
        <v>45689</v>
      </c>
      <c r="B132" t="s">
        <v>341</v>
      </c>
      <c r="C132" t="s">
        <v>342</v>
      </c>
      <c r="D132" t="s">
        <v>223</v>
      </c>
      <c r="E132" t="s">
        <v>2367</v>
      </c>
      <c r="F132" s="126">
        <v>14</v>
      </c>
      <c r="G132" s="77">
        <v>43000</v>
      </c>
      <c r="H132" s="126">
        <v>62.2</v>
      </c>
      <c r="I132" s="124">
        <v>1714.49</v>
      </c>
      <c r="J132" s="126">
        <v>6.2</v>
      </c>
      <c r="K132" s="124">
        <v>50166.666666666701</v>
      </c>
      <c r="L132" s="124">
        <v>51881.156666666699</v>
      </c>
    </row>
    <row r="133" spans="1:12" ht="15" customHeight="1" x14ac:dyDescent="0.25">
      <c r="A133" s="78">
        <v>45689</v>
      </c>
      <c r="B133" t="s">
        <v>341</v>
      </c>
      <c r="C133" t="s">
        <v>342</v>
      </c>
      <c r="D133" t="s">
        <v>223</v>
      </c>
      <c r="E133" t="s">
        <v>231</v>
      </c>
      <c r="F133" s="126">
        <v>19.5</v>
      </c>
      <c r="G133" s="77">
        <v>29000</v>
      </c>
      <c r="H133" s="126">
        <v>82.6</v>
      </c>
      <c r="I133" s="124">
        <v>1535.51</v>
      </c>
      <c r="J133" s="126">
        <v>9.9</v>
      </c>
      <c r="K133" s="124">
        <v>47125</v>
      </c>
      <c r="L133" s="124">
        <v>48660.51</v>
      </c>
    </row>
    <row r="134" spans="1:12" ht="15" customHeight="1" x14ac:dyDescent="0.25">
      <c r="A134" s="78">
        <v>45689</v>
      </c>
      <c r="B134" t="s">
        <v>341</v>
      </c>
      <c r="C134" t="s">
        <v>342</v>
      </c>
      <c r="D134" t="s">
        <v>223</v>
      </c>
      <c r="E134" t="s">
        <v>232</v>
      </c>
      <c r="F134" s="126">
        <v>15.6</v>
      </c>
      <c r="G134" s="77">
        <v>25000</v>
      </c>
      <c r="H134" s="126">
        <v>46.8</v>
      </c>
      <c r="I134" s="124">
        <v>750</v>
      </c>
      <c r="J134" s="126">
        <v>8</v>
      </c>
      <c r="K134" s="124">
        <v>32500</v>
      </c>
      <c r="L134" s="124">
        <v>33250</v>
      </c>
    </row>
    <row r="135" spans="1:12" ht="15" customHeight="1" x14ac:dyDescent="0.25">
      <c r="A135" s="78">
        <v>45689</v>
      </c>
      <c r="B135" t="s">
        <v>341</v>
      </c>
      <c r="C135" t="s">
        <v>342</v>
      </c>
      <c r="D135" t="s">
        <v>223</v>
      </c>
      <c r="E135" t="s">
        <v>2369</v>
      </c>
      <c r="F135" s="126">
        <v>9.3000000000000007</v>
      </c>
      <c r="G135" s="77">
        <v>35000</v>
      </c>
      <c r="H135" s="126">
        <v>28.7</v>
      </c>
      <c r="I135" s="124">
        <v>643.91</v>
      </c>
      <c r="J135" s="126">
        <v>4.2</v>
      </c>
      <c r="K135" s="124">
        <v>27125</v>
      </c>
      <c r="L135" s="124">
        <v>27768.91</v>
      </c>
    </row>
    <row r="136" spans="1:12" ht="15" customHeight="1" x14ac:dyDescent="0.25">
      <c r="A136" s="78">
        <v>45689</v>
      </c>
      <c r="B136" t="s">
        <v>347</v>
      </c>
      <c r="C136" t="s">
        <v>348</v>
      </c>
      <c r="D136" t="s">
        <v>223</v>
      </c>
      <c r="E136" t="s">
        <v>2369</v>
      </c>
      <c r="F136" s="126">
        <v>18.3</v>
      </c>
      <c r="G136" s="77">
        <v>35000</v>
      </c>
      <c r="H136" s="126">
        <v>54.4</v>
      </c>
      <c r="I136" s="124">
        <v>1220.51</v>
      </c>
      <c r="J136" s="126">
        <v>7.7</v>
      </c>
      <c r="K136" s="124">
        <v>53375</v>
      </c>
      <c r="L136" s="124">
        <v>54595.51</v>
      </c>
    </row>
    <row r="137" spans="1:12" ht="15" customHeight="1" x14ac:dyDescent="0.25">
      <c r="A137" s="78">
        <v>45689</v>
      </c>
      <c r="B137" t="s">
        <v>347</v>
      </c>
      <c r="C137" t="s">
        <v>348</v>
      </c>
      <c r="D137" t="s">
        <v>223</v>
      </c>
      <c r="E137" t="s">
        <v>2368</v>
      </c>
      <c r="F137" s="126">
        <v>8.1</v>
      </c>
      <c r="G137" s="77">
        <v>27000</v>
      </c>
      <c r="H137" s="126">
        <v>34.200000000000003</v>
      </c>
      <c r="I137" s="124">
        <v>591.91999999999996</v>
      </c>
      <c r="J137" s="126">
        <v>4.5999999999999996</v>
      </c>
      <c r="K137" s="124">
        <v>18225</v>
      </c>
      <c r="L137" s="124">
        <v>18816.919999999998</v>
      </c>
    </row>
    <row r="138" spans="1:12" ht="15" customHeight="1" x14ac:dyDescent="0.25">
      <c r="A138" s="78">
        <v>45689</v>
      </c>
      <c r="B138" t="s">
        <v>347</v>
      </c>
      <c r="C138" t="s">
        <v>348</v>
      </c>
      <c r="D138" t="s">
        <v>223</v>
      </c>
      <c r="E138" t="s">
        <v>232</v>
      </c>
      <c r="F138" s="126">
        <v>7.5</v>
      </c>
      <c r="G138" s="77">
        <v>25000</v>
      </c>
      <c r="H138" s="126">
        <v>35.799999999999997</v>
      </c>
      <c r="I138" s="124">
        <v>573.72</v>
      </c>
      <c r="J138" s="126">
        <v>4.5999999999999996</v>
      </c>
      <c r="K138" s="124">
        <v>15625</v>
      </c>
      <c r="L138" s="124">
        <v>16198.72</v>
      </c>
    </row>
    <row r="139" spans="1:12" ht="15" customHeight="1" x14ac:dyDescent="0.25">
      <c r="A139" s="78">
        <v>45689</v>
      </c>
      <c r="B139" t="s">
        <v>347</v>
      </c>
      <c r="C139" t="s">
        <v>348</v>
      </c>
      <c r="D139" t="s">
        <v>223</v>
      </c>
      <c r="E139" t="s">
        <v>230</v>
      </c>
      <c r="F139" s="126">
        <v>18.8</v>
      </c>
      <c r="G139" s="77">
        <v>41000</v>
      </c>
      <c r="H139" s="126">
        <v>84.3</v>
      </c>
      <c r="I139" s="124">
        <v>2215.58</v>
      </c>
      <c r="J139" s="126">
        <v>8.9</v>
      </c>
      <c r="K139" s="124">
        <v>64233.333333333299</v>
      </c>
      <c r="L139" s="124">
        <v>66448.913333333301</v>
      </c>
    </row>
    <row r="140" spans="1:12" ht="15" customHeight="1" x14ac:dyDescent="0.25">
      <c r="A140" s="78">
        <v>45689</v>
      </c>
      <c r="B140" t="s">
        <v>347</v>
      </c>
      <c r="C140" t="s">
        <v>348</v>
      </c>
      <c r="D140" t="s">
        <v>223</v>
      </c>
      <c r="E140" t="s">
        <v>2367</v>
      </c>
      <c r="F140" s="126">
        <v>18.100000000000001</v>
      </c>
      <c r="G140" s="77">
        <v>43000</v>
      </c>
      <c r="H140" s="126">
        <v>95.2</v>
      </c>
      <c r="I140" s="124">
        <v>2624.1</v>
      </c>
      <c r="J140" s="126">
        <v>7.7</v>
      </c>
      <c r="K140" s="124">
        <v>64858.333333333299</v>
      </c>
      <c r="L140" s="124">
        <v>67482.433333333407</v>
      </c>
    </row>
    <row r="141" spans="1:12" ht="15" customHeight="1" x14ac:dyDescent="0.25">
      <c r="A141" s="78">
        <v>45689</v>
      </c>
      <c r="B141" t="s">
        <v>409</v>
      </c>
      <c r="C141" t="s">
        <v>410</v>
      </c>
      <c r="D141" t="s">
        <v>223</v>
      </c>
      <c r="E141" t="s">
        <v>232</v>
      </c>
      <c r="F141" s="126">
        <v>6</v>
      </c>
      <c r="G141" s="77">
        <v>25000</v>
      </c>
      <c r="H141" s="126">
        <v>15.9</v>
      </c>
      <c r="I141" s="124">
        <v>254.81</v>
      </c>
      <c r="J141" s="126">
        <v>2</v>
      </c>
      <c r="K141" s="124">
        <v>12500</v>
      </c>
      <c r="L141" s="124">
        <v>12754.81</v>
      </c>
    </row>
    <row r="142" spans="1:12" ht="15" customHeight="1" x14ac:dyDescent="0.25">
      <c r="A142" s="78">
        <v>45689</v>
      </c>
      <c r="B142" t="s">
        <v>409</v>
      </c>
      <c r="C142" t="s">
        <v>410</v>
      </c>
      <c r="D142" t="s">
        <v>223</v>
      </c>
      <c r="E142" t="s">
        <v>2368</v>
      </c>
      <c r="F142" s="126">
        <v>4.9000000000000004</v>
      </c>
      <c r="G142" s="77">
        <v>27000</v>
      </c>
      <c r="H142" s="126">
        <v>27.5</v>
      </c>
      <c r="I142" s="124">
        <v>475.96</v>
      </c>
      <c r="J142" s="126">
        <v>3.4</v>
      </c>
      <c r="K142" s="124">
        <v>11025</v>
      </c>
      <c r="L142" s="124">
        <v>11500.96</v>
      </c>
    </row>
    <row r="143" spans="1:12" ht="15" customHeight="1" x14ac:dyDescent="0.25">
      <c r="A143" s="78">
        <v>45689</v>
      </c>
      <c r="B143" t="s">
        <v>409</v>
      </c>
      <c r="C143" t="s">
        <v>410</v>
      </c>
      <c r="D143" t="s">
        <v>223</v>
      </c>
      <c r="E143" t="s">
        <v>105</v>
      </c>
      <c r="F143" s="126">
        <v>15.3</v>
      </c>
      <c r="G143" s="77">
        <v>28000</v>
      </c>
      <c r="H143" s="126">
        <v>72.400000000000006</v>
      </c>
      <c r="I143" s="124">
        <v>1299.49</v>
      </c>
      <c r="J143" s="126">
        <v>8.6999999999999993</v>
      </c>
      <c r="K143" s="124">
        <v>35700</v>
      </c>
      <c r="L143" s="124">
        <v>36999.49</v>
      </c>
    </row>
    <row r="144" spans="1:12" ht="15" customHeight="1" x14ac:dyDescent="0.25">
      <c r="A144" s="78">
        <v>45689</v>
      </c>
      <c r="B144" t="s">
        <v>409</v>
      </c>
      <c r="C144" t="s">
        <v>410</v>
      </c>
      <c r="D144" t="s">
        <v>223</v>
      </c>
      <c r="E144" t="s">
        <v>2369</v>
      </c>
      <c r="F144" s="126">
        <v>10.7</v>
      </c>
      <c r="G144" s="77">
        <v>35000</v>
      </c>
      <c r="H144" s="126">
        <v>28.7</v>
      </c>
      <c r="I144" s="124">
        <v>643.91</v>
      </c>
      <c r="J144" s="126">
        <v>5.7</v>
      </c>
      <c r="K144" s="124">
        <v>31208.333333333299</v>
      </c>
      <c r="L144" s="124">
        <v>31852.243333333299</v>
      </c>
    </row>
    <row r="145" spans="1:12" ht="15" customHeight="1" x14ac:dyDescent="0.25">
      <c r="A145" s="78">
        <v>45689</v>
      </c>
      <c r="B145" t="s">
        <v>488</v>
      </c>
      <c r="C145" t="s">
        <v>489</v>
      </c>
      <c r="D145" t="s">
        <v>225</v>
      </c>
      <c r="E145" t="s">
        <v>2368</v>
      </c>
      <c r="F145" s="126">
        <v>4.0999999999999996</v>
      </c>
      <c r="G145" s="77">
        <v>27000</v>
      </c>
      <c r="H145" s="126">
        <v>15.6</v>
      </c>
      <c r="I145" s="124">
        <v>270</v>
      </c>
      <c r="J145" s="126">
        <v>2.9</v>
      </c>
      <c r="K145" s="124">
        <v>9225</v>
      </c>
      <c r="L145" s="124">
        <v>9495</v>
      </c>
    </row>
    <row r="146" spans="1:12" ht="15" customHeight="1" x14ac:dyDescent="0.25">
      <c r="A146" s="78">
        <v>45689</v>
      </c>
      <c r="B146" t="s">
        <v>488</v>
      </c>
      <c r="C146" t="s">
        <v>489</v>
      </c>
      <c r="D146" t="s">
        <v>225</v>
      </c>
      <c r="E146" t="s">
        <v>2367</v>
      </c>
      <c r="F146" s="126">
        <v>14.8</v>
      </c>
      <c r="G146" s="77">
        <v>43000</v>
      </c>
      <c r="H146" s="126">
        <v>56.6</v>
      </c>
      <c r="I146" s="124">
        <v>1560.13</v>
      </c>
      <c r="J146" s="126">
        <v>7</v>
      </c>
      <c r="K146" s="124">
        <v>53033.333333333299</v>
      </c>
      <c r="L146" s="124">
        <v>54593.463333333297</v>
      </c>
    </row>
    <row r="147" spans="1:12" ht="15" customHeight="1" x14ac:dyDescent="0.25">
      <c r="A147" s="78">
        <v>45689</v>
      </c>
      <c r="B147" t="s">
        <v>488</v>
      </c>
      <c r="C147" t="s">
        <v>489</v>
      </c>
      <c r="D147" t="s">
        <v>225</v>
      </c>
      <c r="E147" t="s">
        <v>230</v>
      </c>
      <c r="F147" s="126">
        <v>6.7</v>
      </c>
      <c r="G147" s="77">
        <v>41000</v>
      </c>
      <c r="H147" s="126">
        <v>32.200000000000003</v>
      </c>
      <c r="I147" s="124">
        <v>846.28</v>
      </c>
      <c r="J147" s="126">
        <v>4.2</v>
      </c>
      <c r="K147" s="124">
        <v>22891.666666666701</v>
      </c>
      <c r="L147" s="124">
        <v>23737.946666666699</v>
      </c>
    </row>
    <row r="148" spans="1:12" ht="15" customHeight="1" x14ac:dyDescent="0.25">
      <c r="A148" s="78">
        <v>45689</v>
      </c>
      <c r="B148" t="s">
        <v>488</v>
      </c>
      <c r="C148" t="s">
        <v>489</v>
      </c>
      <c r="D148" t="s">
        <v>225</v>
      </c>
      <c r="E148" t="s">
        <v>105</v>
      </c>
      <c r="F148" s="126">
        <v>9.8000000000000007</v>
      </c>
      <c r="G148" s="77">
        <v>28000</v>
      </c>
      <c r="H148" s="126">
        <v>29.4</v>
      </c>
      <c r="I148" s="124">
        <v>527.69000000000005</v>
      </c>
      <c r="J148" s="126">
        <v>4.8</v>
      </c>
      <c r="K148" s="124">
        <v>22866.666666666701</v>
      </c>
      <c r="L148" s="124">
        <v>23394.356666666699</v>
      </c>
    </row>
    <row r="149" spans="1:12" ht="15" customHeight="1" x14ac:dyDescent="0.25">
      <c r="A149" s="78">
        <v>45689</v>
      </c>
      <c r="B149" t="s">
        <v>488</v>
      </c>
      <c r="C149" t="s">
        <v>489</v>
      </c>
      <c r="D149" t="s">
        <v>225</v>
      </c>
      <c r="E149" t="s">
        <v>232</v>
      </c>
      <c r="F149" s="126">
        <v>9.4</v>
      </c>
      <c r="G149" s="77">
        <v>25000</v>
      </c>
      <c r="H149" s="126">
        <v>22.7</v>
      </c>
      <c r="I149" s="124">
        <v>363.78</v>
      </c>
      <c r="J149" s="126">
        <v>2.2000000000000002</v>
      </c>
      <c r="K149" s="124">
        <v>19583.333333333299</v>
      </c>
      <c r="L149" s="124">
        <v>19947.113333333298</v>
      </c>
    </row>
    <row r="150" spans="1:12" ht="15" customHeight="1" x14ac:dyDescent="0.25">
      <c r="A150" s="78">
        <v>45689</v>
      </c>
      <c r="B150" t="s">
        <v>488</v>
      </c>
      <c r="C150" t="s">
        <v>489</v>
      </c>
      <c r="D150" t="s">
        <v>225</v>
      </c>
      <c r="E150" t="s">
        <v>231</v>
      </c>
      <c r="F150" s="126">
        <v>3.6</v>
      </c>
      <c r="G150" s="77">
        <v>29000</v>
      </c>
      <c r="H150" s="126">
        <v>15.5</v>
      </c>
      <c r="I150" s="124">
        <v>288.14</v>
      </c>
      <c r="J150" s="126">
        <v>2.4</v>
      </c>
      <c r="K150" s="124">
        <v>8700</v>
      </c>
      <c r="L150" s="124">
        <v>8988.14</v>
      </c>
    </row>
    <row r="151" spans="1:12" ht="15" customHeight="1" x14ac:dyDescent="0.25">
      <c r="A151" s="78">
        <v>45689</v>
      </c>
      <c r="B151" t="s">
        <v>406</v>
      </c>
      <c r="C151" t="s">
        <v>407</v>
      </c>
      <c r="D151" t="s">
        <v>225</v>
      </c>
      <c r="E151" t="s">
        <v>105</v>
      </c>
      <c r="F151" s="126">
        <v>12.8</v>
      </c>
      <c r="G151" s="77">
        <v>28000</v>
      </c>
      <c r="H151" s="126">
        <v>56.2</v>
      </c>
      <c r="I151" s="124">
        <v>1008.72</v>
      </c>
      <c r="J151" s="126">
        <v>4.5</v>
      </c>
      <c r="K151" s="124">
        <v>29866.666666666701</v>
      </c>
      <c r="L151" s="124">
        <v>30875.386666666702</v>
      </c>
    </row>
    <row r="152" spans="1:12" ht="15" customHeight="1" x14ac:dyDescent="0.25">
      <c r="A152" s="78">
        <v>45689</v>
      </c>
      <c r="B152" t="s">
        <v>406</v>
      </c>
      <c r="C152" t="s">
        <v>407</v>
      </c>
      <c r="D152" t="s">
        <v>225</v>
      </c>
      <c r="E152" t="s">
        <v>2369</v>
      </c>
      <c r="F152" s="126">
        <v>3.7</v>
      </c>
      <c r="G152" s="77">
        <v>35000</v>
      </c>
      <c r="H152" s="126">
        <v>12.9</v>
      </c>
      <c r="I152" s="124">
        <v>289.42</v>
      </c>
      <c r="J152" s="126">
        <v>0</v>
      </c>
      <c r="K152" s="124">
        <v>10791.666666666701</v>
      </c>
      <c r="L152" s="124">
        <v>11081.086666666701</v>
      </c>
    </row>
    <row r="153" spans="1:12" ht="15" customHeight="1" x14ac:dyDescent="0.25">
      <c r="A153" s="78">
        <v>45689</v>
      </c>
      <c r="B153" t="s">
        <v>406</v>
      </c>
      <c r="C153" t="s">
        <v>407</v>
      </c>
      <c r="D153" t="s">
        <v>225</v>
      </c>
      <c r="E153" t="s">
        <v>2368</v>
      </c>
      <c r="F153" s="126">
        <v>4.0999999999999996</v>
      </c>
      <c r="G153" s="77">
        <v>27000</v>
      </c>
      <c r="H153" s="126">
        <v>24.8</v>
      </c>
      <c r="I153" s="124">
        <v>429.23</v>
      </c>
      <c r="J153" s="126">
        <v>1</v>
      </c>
      <c r="K153" s="124">
        <v>9225</v>
      </c>
      <c r="L153" s="124">
        <v>9654.23</v>
      </c>
    </row>
    <row r="154" spans="1:12" ht="15" customHeight="1" x14ac:dyDescent="0.25">
      <c r="A154" s="78">
        <v>45689</v>
      </c>
      <c r="B154" t="s">
        <v>406</v>
      </c>
      <c r="C154" t="s">
        <v>407</v>
      </c>
      <c r="D154" t="s">
        <v>225</v>
      </c>
      <c r="E154" t="s">
        <v>231</v>
      </c>
      <c r="F154" s="126">
        <v>16.100000000000001</v>
      </c>
      <c r="G154" s="77">
        <v>29000</v>
      </c>
      <c r="H154" s="126">
        <v>94.7</v>
      </c>
      <c r="I154" s="124">
        <v>1760.45</v>
      </c>
      <c r="J154" s="126">
        <v>9</v>
      </c>
      <c r="K154" s="124">
        <v>38908.333333333299</v>
      </c>
      <c r="L154" s="124">
        <v>40668.783333333296</v>
      </c>
    </row>
    <row r="155" spans="1:12" ht="15" customHeight="1" x14ac:dyDescent="0.25">
      <c r="A155" s="78">
        <v>45689</v>
      </c>
      <c r="B155" t="s">
        <v>406</v>
      </c>
      <c r="C155" t="s">
        <v>407</v>
      </c>
      <c r="D155" t="s">
        <v>225</v>
      </c>
      <c r="E155" t="s">
        <v>232</v>
      </c>
      <c r="F155" s="126">
        <v>7.8</v>
      </c>
      <c r="G155" s="77">
        <v>25000</v>
      </c>
      <c r="H155" s="126">
        <v>20.7</v>
      </c>
      <c r="I155" s="124">
        <v>331.73</v>
      </c>
      <c r="J155" s="126">
        <v>2.8</v>
      </c>
      <c r="K155" s="124">
        <v>16250</v>
      </c>
      <c r="L155" s="124">
        <v>16581.73</v>
      </c>
    </row>
    <row r="156" spans="1:12" ht="15" customHeight="1" x14ac:dyDescent="0.25">
      <c r="A156" s="78">
        <v>45689</v>
      </c>
      <c r="B156" t="s">
        <v>358</v>
      </c>
      <c r="C156" t="s">
        <v>359</v>
      </c>
      <c r="D156" t="s">
        <v>225</v>
      </c>
      <c r="E156" t="s">
        <v>2368</v>
      </c>
      <c r="F156" s="126">
        <v>14.4</v>
      </c>
      <c r="G156" s="77">
        <v>27000</v>
      </c>
      <c r="H156" s="126">
        <v>65.2</v>
      </c>
      <c r="I156" s="124">
        <v>1128.46</v>
      </c>
      <c r="J156" s="126">
        <v>6.4</v>
      </c>
      <c r="K156" s="124">
        <v>32400</v>
      </c>
      <c r="L156" s="124">
        <v>33528.46</v>
      </c>
    </row>
    <row r="157" spans="1:12" ht="15" customHeight="1" x14ac:dyDescent="0.25">
      <c r="A157" s="78">
        <v>45689</v>
      </c>
      <c r="B157" t="s">
        <v>358</v>
      </c>
      <c r="C157" t="s">
        <v>359</v>
      </c>
      <c r="D157" t="s">
        <v>225</v>
      </c>
      <c r="E157" t="s">
        <v>2369</v>
      </c>
      <c r="F157" s="126">
        <v>19.399999999999999</v>
      </c>
      <c r="G157" s="77">
        <v>35000</v>
      </c>
      <c r="H157" s="126">
        <v>80.599999999999994</v>
      </c>
      <c r="I157" s="124">
        <v>1808.33</v>
      </c>
      <c r="J157" s="126">
        <v>9.1999999999999993</v>
      </c>
      <c r="K157" s="124">
        <v>56583.333333333299</v>
      </c>
      <c r="L157" s="124">
        <v>58391.663333333301</v>
      </c>
    </row>
    <row r="158" spans="1:12" ht="15" customHeight="1" x14ac:dyDescent="0.25">
      <c r="A158" s="78">
        <v>45689</v>
      </c>
      <c r="B158" t="s">
        <v>358</v>
      </c>
      <c r="C158" t="s">
        <v>359</v>
      </c>
      <c r="D158" t="s">
        <v>225</v>
      </c>
      <c r="E158" t="s">
        <v>231</v>
      </c>
      <c r="F158" s="126">
        <v>6.2</v>
      </c>
      <c r="G158" s="77">
        <v>29000</v>
      </c>
      <c r="H158" s="126">
        <v>8.1999999999999993</v>
      </c>
      <c r="I158" s="124">
        <v>152.44</v>
      </c>
      <c r="J158" s="126">
        <v>0.9</v>
      </c>
      <c r="K158" s="124">
        <v>14983.333333333299</v>
      </c>
      <c r="L158" s="124">
        <v>15135.7733333333</v>
      </c>
    </row>
    <row r="159" spans="1:12" ht="15" customHeight="1" x14ac:dyDescent="0.25">
      <c r="A159" s="78">
        <v>45689</v>
      </c>
      <c r="B159" t="s">
        <v>358</v>
      </c>
      <c r="C159" t="s">
        <v>359</v>
      </c>
      <c r="D159" t="s">
        <v>225</v>
      </c>
      <c r="E159" t="s">
        <v>230</v>
      </c>
      <c r="F159" s="126">
        <v>14.7</v>
      </c>
      <c r="G159" s="77">
        <v>41000</v>
      </c>
      <c r="H159" s="126">
        <v>63.8</v>
      </c>
      <c r="I159" s="124">
        <v>1676.79</v>
      </c>
      <c r="J159" s="126">
        <v>6.8</v>
      </c>
      <c r="K159" s="124">
        <v>50225</v>
      </c>
      <c r="L159" s="124">
        <v>51901.79</v>
      </c>
    </row>
    <row r="160" spans="1:12" ht="15" customHeight="1" x14ac:dyDescent="0.25">
      <c r="A160" s="78">
        <v>45689</v>
      </c>
      <c r="B160" t="s">
        <v>358</v>
      </c>
      <c r="C160" t="s">
        <v>359</v>
      </c>
      <c r="D160" t="s">
        <v>225</v>
      </c>
      <c r="E160" t="s">
        <v>232</v>
      </c>
      <c r="F160" s="126">
        <v>16.8</v>
      </c>
      <c r="G160" s="77">
        <v>25000</v>
      </c>
      <c r="H160" s="126">
        <v>53.3</v>
      </c>
      <c r="I160" s="124">
        <v>854.17</v>
      </c>
      <c r="J160" s="126">
        <v>9.1</v>
      </c>
      <c r="K160" s="124">
        <v>35000</v>
      </c>
      <c r="L160" s="124">
        <v>35854.17</v>
      </c>
    </row>
    <row r="161" spans="1:12" ht="15" customHeight="1" x14ac:dyDescent="0.25">
      <c r="A161" s="78">
        <v>45689</v>
      </c>
      <c r="B161" t="s">
        <v>383</v>
      </c>
      <c r="C161" t="s">
        <v>384</v>
      </c>
      <c r="D161" t="s">
        <v>225</v>
      </c>
      <c r="E161" t="s">
        <v>232</v>
      </c>
      <c r="F161" s="126">
        <v>7.9</v>
      </c>
      <c r="G161" s="77">
        <v>25000</v>
      </c>
      <c r="H161" s="126">
        <v>45.5</v>
      </c>
      <c r="I161" s="124">
        <v>729.17</v>
      </c>
      <c r="J161" s="126">
        <v>3.7</v>
      </c>
      <c r="K161" s="124">
        <v>16458.333333333299</v>
      </c>
      <c r="L161" s="124">
        <v>17187.503333333301</v>
      </c>
    </row>
    <row r="162" spans="1:12" ht="15" customHeight="1" x14ac:dyDescent="0.25">
      <c r="A162" s="78">
        <v>45689</v>
      </c>
      <c r="B162" t="s">
        <v>383</v>
      </c>
      <c r="C162" t="s">
        <v>384</v>
      </c>
      <c r="D162" t="s">
        <v>225</v>
      </c>
      <c r="E162" t="s">
        <v>2367</v>
      </c>
      <c r="F162" s="126">
        <v>4.5</v>
      </c>
      <c r="G162" s="77">
        <v>43000</v>
      </c>
      <c r="H162" s="126">
        <v>15.7</v>
      </c>
      <c r="I162" s="124">
        <v>432.76</v>
      </c>
      <c r="J162" s="126">
        <v>2.8</v>
      </c>
      <c r="K162" s="124">
        <v>16125</v>
      </c>
      <c r="L162" s="124">
        <v>16557.759999999998</v>
      </c>
    </row>
    <row r="163" spans="1:12" ht="15" customHeight="1" x14ac:dyDescent="0.25">
      <c r="A163" s="78">
        <v>45689</v>
      </c>
      <c r="B163" t="s">
        <v>383</v>
      </c>
      <c r="C163" t="s">
        <v>384</v>
      </c>
      <c r="D163" t="s">
        <v>225</v>
      </c>
      <c r="E163" t="s">
        <v>2369</v>
      </c>
      <c r="F163" s="126">
        <v>9.1999999999999993</v>
      </c>
      <c r="G163" s="77">
        <v>35000</v>
      </c>
      <c r="H163" s="126">
        <v>18.100000000000001</v>
      </c>
      <c r="I163" s="124">
        <v>406.09</v>
      </c>
      <c r="J163" s="126">
        <v>4.8</v>
      </c>
      <c r="K163" s="124">
        <v>26833.333333333299</v>
      </c>
      <c r="L163" s="124">
        <v>27239.4233333333</v>
      </c>
    </row>
    <row r="164" spans="1:12" ht="15" customHeight="1" x14ac:dyDescent="0.25">
      <c r="A164" s="78">
        <v>45689</v>
      </c>
      <c r="B164" t="s">
        <v>383</v>
      </c>
      <c r="C164" t="s">
        <v>384</v>
      </c>
      <c r="D164" t="s">
        <v>225</v>
      </c>
      <c r="E164" t="s">
        <v>2368</v>
      </c>
      <c r="F164" s="126">
        <v>17</v>
      </c>
      <c r="G164" s="77">
        <v>27000</v>
      </c>
      <c r="H164" s="126">
        <v>82.1</v>
      </c>
      <c r="I164" s="124">
        <v>1420.96</v>
      </c>
      <c r="J164" s="126">
        <v>9.1999999999999993</v>
      </c>
      <c r="K164" s="124">
        <v>38250</v>
      </c>
      <c r="L164" s="124">
        <v>39670.959999999999</v>
      </c>
    </row>
    <row r="165" spans="1:12" ht="15" customHeight="1" x14ac:dyDescent="0.25">
      <c r="A165" s="78">
        <v>45689</v>
      </c>
      <c r="B165" t="s">
        <v>383</v>
      </c>
      <c r="C165" t="s">
        <v>384</v>
      </c>
      <c r="D165" t="s">
        <v>225</v>
      </c>
      <c r="E165" t="s">
        <v>105</v>
      </c>
      <c r="F165" s="126">
        <v>12.3</v>
      </c>
      <c r="G165" s="77">
        <v>28000</v>
      </c>
      <c r="H165" s="126">
        <v>13.5</v>
      </c>
      <c r="I165" s="124">
        <v>242.31</v>
      </c>
      <c r="J165" s="126">
        <v>5.4</v>
      </c>
      <c r="K165" s="124">
        <v>28700</v>
      </c>
      <c r="L165" s="124">
        <v>28942.31</v>
      </c>
    </row>
    <row r="166" spans="1:12" ht="15" customHeight="1" x14ac:dyDescent="0.25">
      <c r="A166" s="78">
        <v>45689</v>
      </c>
      <c r="B166" t="s">
        <v>383</v>
      </c>
      <c r="C166" t="s">
        <v>384</v>
      </c>
      <c r="D166" t="s">
        <v>225</v>
      </c>
      <c r="E166" t="s">
        <v>230</v>
      </c>
      <c r="F166" s="126">
        <v>9.3000000000000007</v>
      </c>
      <c r="G166" s="77">
        <v>41000</v>
      </c>
      <c r="H166" s="126">
        <v>24.9</v>
      </c>
      <c r="I166" s="124">
        <v>654.41999999999996</v>
      </c>
      <c r="J166" s="126">
        <v>4.7</v>
      </c>
      <c r="K166" s="124">
        <v>31775</v>
      </c>
      <c r="L166" s="124">
        <v>32429.42</v>
      </c>
    </row>
    <row r="167" spans="1:12" ht="15" customHeight="1" x14ac:dyDescent="0.25">
      <c r="A167" s="78">
        <v>45689</v>
      </c>
      <c r="B167" t="s">
        <v>373</v>
      </c>
      <c r="C167" t="s">
        <v>374</v>
      </c>
      <c r="D167" t="s">
        <v>225</v>
      </c>
      <c r="E167" t="s">
        <v>2368</v>
      </c>
      <c r="F167" s="126">
        <v>15.5</v>
      </c>
      <c r="G167" s="77">
        <v>27000</v>
      </c>
      <c r="H167" s="126">
        <v>73.2</v>
      </c>
      <c r="I167" s="124">
        <v>1266.92</v>
      </c>
      <c r="J167" s="126">
        <v>9.1999999999999993</v>
      </c>
      <c r="K167" s="124">
        <v>34875</v>
      </c>
      <c r="L167" s="124">
        <v>36141.919999999998</v>
      </c>
    </row>
    <row r="168" spans="1:12" ht="15" customHeight="1" x14ac:dyDescent="0.25">
      <c r="A168" s="78">
        <v>45689</v>
      </c>
      <c r="B168" t="s">
        <v>373</v>
      </c>
      <c r="C168" t="s">
        <v>374</v>
      </c>
      <c r="D168" t="s">
        <v>225</v>
      </c>
      <c r="E168" t="s">
        <v>2367</v>
      </c>
      <c r="F168" s="126">
        <v>8.9</v>
      </c>
      <c r="G168" s="77">
        <v>43000</v>
      </c>
      <c r="H168" s="126">
        <v>29</v>
      </c>
      <c r="I168" s="124">
        <v>799.36</v>
      </c>
      <c r="J168" s="126">
        <v>4</v>
      </c>
      <c r="K168" s="124">
        <v>31891.666666666701</v>
      </c>
      <c r="L168" s="124">
        <v>32691.026666666701</v>
      </c>
    </row>
    <row r="169" spans="1:12" ht="15" customHeight="1" x14ac:dyDescent="0.25">
      <c r="A169" s="78">
        <v>45689</v>
      </c>
      <c r="B169" t="s">
        <v>373</v>
      </c>
      <c r="C169" t="s">
        <v>374</v>
      </c>
      <c r="D169" t="s">
        <v>225</v>
      </c>
      <c r="E169" t="s">
        <v>105</v>
      </c>
      <c r="F169" s="126">
        <v>6</v>
      </c>
      <c r="G169" s="77">
        <v>28000</v>
      </c>
      <c r="H169" s="126">
        <v>34.299999999999997</v>
      </c>
      <c r="I169" s="124">
        <v>615.64</v>
      </c>
      <c r="J169" s="126">
        <v>3.3</v>
      </c>
      <c r="K169" s="124">
        <v>14000</v>
      </c>
      <c r="L169" s="124">
        <v>14615.64</v>
      </c>
    </row>
    <row r="170" spans="1:12" ht="15" customHeight="1" x14ac:dyDescent="0.25">
      <c r="A170" s="78">
        <v>45689</v>
      </c>
      <c r="B170" t="s">
        <v>373</v>
      </c>
      <c r="C170" t="s">
        <v>374</v>
      </c>
      <c r="D170" t="s">
        <v>225</v>
      </c>
      <c r="E170" t="s">
        <v>231</v>
      </c>
      <c r="F170" s="126">
        <v>9.8000000000000007</v>
      </c>
      <c r="G170" s="77">
        <v>29000</v>
      </c>
      <c r="H170" s="126">
        <v>57.8</v>
      </c>
      <c r="I170" s="124">
        <v>1074.49</v>
      </c>
      <c r="J170" s="126">
        <v>5.2</v>
      </c>
      <c r="K170" s="124">
        <v>23683.333333333299</v>
      </c>
      <c r="L170" s="124">
        <v>24757.823333333301</v>
      </c>
    </row>
    <row r="171" spans="1:12" ht="15" customHeight="1" x14ac:dyDescent="0.25">
      <c r="A171" s="78">
        <v>45689</v>
      </c>
      <c r="B171" t="s">
        <v>373</v>
      </c>
      <c r="C171" t="s">
        <v>374</v>
      </c>
      <c r="D171" t="s">
        <v>225</v>
      </c>
      <c r="E171" t="s">
        <v>2369</v>
      </c>
      <c r="F171" s="126">
        <v>10.9</v>
      </c>
      <c r="G171" s="77">
        <v>35000</v>
      </c>
      <c r="H171" s="126">
        <v>24.7</v>
      </c>
      <c r="I171" s="124">
        <v>554.16999999999996</v>
      </c>
      <c r="J171" s="126">
        <v>4.0999999999999996</v>
      </c>
      <c r="K171" s="124">
        <v>31791.666666666701</v>
      </c>
      <c r="L171" s="124">
        <v>32345.836666666699</v>
      </c>
    </row>
    <row r="172" spans="1:12" ht="15" customHeight="1" x14ac:dyDescent="0.25">
      <c r="A172" s="78">
        <v>45689</v>
      </c>
      <c r="B172" t="s">
        <v>354</v>
      </c>
      <c r="C172" t="s">
        <v>355</v>
      </c>
      <c r="D172" t="s">
        <v>227</v>
      </c>
      <c r="E172" t="s">
        <v>105</v>
      </c>
      <c r="F172" s="126">
        <v>12.2</v>
      </c>
      <c r="G172" s="77">
        <v>28000</v>
      </c>
      <c r="H172" s="126">
        <v>20.399999999999999</v>
      </c>
      <c r="I172" s="124">
        <v>366.15</v>
      </c>
      <c r="J172" s="126">
        <v>6.8</v>
      </c>
      <c r="K172" s="124">
        <v>28466.666666666701</v>
      </c>
      <c r="L172" s="124">
        <v>28832.816666666698</v>
      </c>
    </row>
    <row r="173" spans="1:12" ht="15" customHeight="1" x14ac:dyDescent="0.25">
      <c r="A173" s="78">
        <v>45689</v>
      </c>
      <c r="B173" t="s">
        <v>354</v>
      </c>
      <c r="C173" t="s">
        <v>355</v>
      </c>
      <c r="D173" t="s">
        <v>227</v>
      </c>
      <c r="E173" t="s">
        <v>230</v>
      </c>
      <c r="F173" s="126">
        <v>9.1</v>
      </c>
      <c r="G173" s="77">
        <v>41000</v>
      </c>
      <c r="H173" s="126">
        <v>52.6</v>
      </c>
      <c r="I173" s="124">
        <v>1382.44</v>
      </c>
      <c r="J173" s="126">
        <v>6.4</v>
      </c>
      <c r="K173" s="124">
        <v>31091.666666666701</v>
      </c>
      <c r="L173" s="124">
        <v>32474.106666666699</v>
      </c>
    </row>
    <row r="174" spans="1:12" ht="15" customHeight="1" x14ac:dyDescent="0.25">
      <c r="A174" s="78">
        <v>45689</v>
      </c>
      <c r="B174" t="s">
        <v>354</v>
      </c>
      <c r="C174" t="s">
        <v>355</v>
      </c>
      <c r="D174" t="s">
        <v>227</v>
      </c>
      <c r="E174" t="s">
        <v>231</v>
      </c>
      <c r="F174" s="126">
        <v>10.3</v>
      </c>
      <c r="G174" s="77">
        <v>29000</v>
      </c>
      <c r="H174" s="126">
        <v>54.2</v>
      </c>
      <c r="I174" s="124">
        <v>1007.56</v>
      </c>
      <c r="J174" s="126">
        <v>6.3</v>
      </c>
      <c r="K174" s="124">
        <v>24891.666666666701</v>
      </c>
      <c r="L174" s="124">
        <v>25899.226666666698</v>
      </c>
    </row>
    <row r="175" spans="1:12" ht="15" customHeight="1" x14ac:dyDescent="0.25">
      <c r="A175" s="78">
        <v>45689</v>
      </c>
      <c r="B175" t="s">
        <v>354</v>
      </c>
      <c r="C175" t="s">
        <v>355</v>
      </c>
      <c r="D175" t="s">
        <v>227</v>
      </c>
      <c r="E175" t="s">
        <v>2369</v>
      </c>
      <c r="F175" s="126">
        <v>13.2</v>
      </c>
      <c r="G175" s="77">
        <v>35000</v>
      </c>
      <c r="H175" s="126">
        <v>41.3</v>
      </c>
      <c r="I175" s="124">
        <v>926.6</v>
      </c>
      <c r="J175" s="126">
        <v>5.4</v>
      </c>
      <c r="K175" s="124">
        <v>38500</v>
      </c>
      <c r="L175" s="124">
        <v>39426.6</v>
      </c>
    </row>
    <row r="176" spans="1:12" ht="15" customHeight="1" x14ac:dyDescent="0.25">
      <c r="A176" s="78">
        <v>45689</v>
      </c>
      <c r="B176" t="s">
        <v>354</v>
      </c>
      <c r="C176" t="s">
        <v>355</v>
      </c>
      <c r="D176" t="s">
        <v>227</v>
      </c>
      <c r="E176" t="s">
        <v>2368</v>
      </c>
      <c r="F176" s="126">
        <v>18</v>
      </c>
      <c r="G176" s="77">
        <v>27000</v>
      </c>
      <c r="H176" s="126">
        <v>95</v>
      </c>
      <c r="I176" s="124">
        <v>1644.23</v>
      </c>
      <c r="J176" s="126">
        <v>9.4</v>
      </c>
      <c r="K176" s="124">
        <v>40500</v>
      </c>
      <c r="L176" s="124">
        <v>42144.23</v>
      </c>
    </row>
    <row r="177" spans="1:12" ht="15" customHeight="1" x14ac:dyDescent="0.25">
      <c r="A177" s="78">
        <v>45689</v>
      </c>
      <c r="B177" t="s">
        <v>370</v>
      </c>
      <c r="C177" t="s">
        <v>371</v>
      </c>
      <c r="D177" t="s">
        <v>227</v>
      </c>
      <c r="E177" t="s">
        <v>230</v>
      </c>
      <c r="F177" s="126">
        <v>17.7</v>
      </c>
      <c r="G177" s="77">
        <v>41000</v>
      </c>
      <c r="H177" s="126">
        <v>73.7</v>
      </c>
      <c r="I177" s="124">
        <v>1936.99</v>
      </c>
      <c r="J177" s="126">
        <v>9.1999999999999993</v>
      </c>
      <c r="K177" s="124">
        <v>60475</v>
      </c>
      <c r="L177" s="124">
        <v>62411.99</v>
      </c>
    </row>
    <row r="178" spans="1:12" ht="15" customHeight="1" x14ac:dyDescent="0.25">
      <c r="A178" s="78">
        <v>45689</v>
      </c>
      <c r="B178" t="s">
        <v>370</v>
      </c>
      <c r="C178" t="s">
        <v>371</v>
      </c>
      <c r="D178" t="s">
        <v>227</v>
      </c>
      <c r="E178" t="s">
        <v>2368</v>
      </c>
      <c r="F178" s="126">
        <v>5.8</v>
      </c>
      <c r="G178" s="77">
        <v>27000</v>
      </c>
      <c r="H178" s="126">
        <v>26</v>
      </c>
      <c r="I178" s="124">
        <v>450</v>
      </c>
      <c r="J178" s="126">
        <v>4.2</v>
      </c>
      <c r="K178" s="124">
        <v>13050</v>
      </c>
      <c r="L178" s="124">
        <v>13500</v>
      </c>
    </row>
    <row r="179" spans="1:12" ht="15" customHeight="1" x14ac:dyDescent="0.25">
      <c r="A179" s="78">
        <v>45689</v>
      </c>
      <c r="B179" t="s">
        <v>370</v>
      </c>
      <c r="C179" t="s">
        <v>371</v>
      </c>
      <c r="D179" t="s">
        <v>227</v>
      </c>
      <c r="E179" t="s">
        <v>2369</v>
      </c>
      <c r="F179" s="126">
        <v>3.7</v>
      </c>
      <c r="G179" s="77">
        <v>35000</v>
      </c>
      <c r="H179" s="126">
        <v>22</v>
      </c>
      <c r="I179" s="124">
        <v>493.59</v>
      </c>
      <c r="J179" s="126">
        <v>2.4</v>
      </c>
      <c r="K179" s="124">
        <v>10791.666666666701</v>
      </c>
      <c r="L179" s="124">
        <v>11285.256666666701</v>
      </c>
    </row>
    <row r="180" spans="1:12" ht="15" customHeight="1" x14ac:dyDescent="0.25">
      <c r="A180" s="78">
        <v>45689</v>
      </c>
      <c r="B180" t="s">
        <v>370</v>
      </c>
      <c r="C180" t="s">
        <v>371</v>
      </c>
      <c r="D180" t="s">
        <v>227</v>
      </c>
      <c r="E180" t="s">
        <v>2367</v>
      </c>
      <c r="F180" s="126">
        <v>11.6</v>
      </c>
      <c r="G180" s="77">
        <v>43000</v>
      </c>
      <c r="H180" s="126">
        <v>61.1</v>
      </c>
      <c r="I180" s="124">
        <v>1684.17</v>
      </c>
      <c r="J180" s="126">
        <v>6.3</v>
      </c>
      <c r="K180" s="124">
        <v>41566.666666666701</v>
      </c>
      <c r="L180" s="124">
        <v>43250.836666666699</v>
      </c>
    </row>
    <row r="181" spans="1:12" ht="15" customHeight="1" x14ac:dyDescent="0.25">
      <c r="A181" s="78">
        <v>45689</v>
      </c>
      <c r="B181" t="s">
        <v>370</v>
      </c>
      <c r="C181" t="s">
        <v>371</v>
      </c>
      <c r="D181" t="s">
        <v>227</v>
      </c>
      <c r="E181" t="s">
        <v>105</v>
      </c>
      <c r="F181" s="126">
        <v>17.600000000000001</v>
      </c>
      <c r="G181" s="77">
        <v>28000</v>
      </c>
      <c r="H181" s="126">
        <v>58.2</v>
      </c>
      <c r="I181" s="124">
        <v>1044.6199999999999</v>
      </c>
      <c r="J181" s="126">
        <v>9.6</v>
      </c>
      <c r="K181" s="124">
        <v>41066.666666666701</v>
      </c>
      <c r="L181" s="124">
        <v>42111.286666666703</v>
      </c>
    </row>
    <row r="182" spans="1:12" ht="15" customHeight="1" x14ac:dyDescent="0.25">
      <c r="A182" s="78">
        <v>45689</v>
      </c>
      <c r="B182" t="s">
        <v>398</v>
      </c>
      <c r="C182" t="s">
        <v>399</v>
      </c>
      <c r="D182" t="s">
        <v>227</v>
      </c>
      <c r="E182" t="s">
        <v>231</v>
      </c>
      <c r="F182" s="126">
        <v>19.600000000000001</v>
      </c>
      <c r="G182" s="77">
        <v>29000</v>
      </c>
      <c r="H182" s="126">
        <v>37.4</v>
      </c>
      <c r="I182" s="124">
        <v>695.26</v>
      </c>
      <c r="J182" s="126">
        <v>10.9</v>
      </c>
      <c r="K182" s="124">
        <v>47366.666666666701</v>
      </c>
      <c r="L182" s="124">
        <v>48061.926666666703</v>
      </c>
    </row>
    <row r="183" spans="1:12" ht="15" customHeight="1" x14ac:dyDescent="0.25">
      <c r="A183" s="78">
        <v>45689</v>
      </c>
      <c r="B183" t="s">
        <v>398</v>
      </c>
      <c r="C183" t="s">
        <v>399</v>
      </c>
      <c r="D183" t="s">
        <v>227</v>
      </c>
      <c r="E183" t="s">
        <v>2367</v>
      </c>
      <c r="F183" s="126">
        <v>16.5</v>
      </c>
      <c r="G183" s="77">
        <v>43000</v>
      </c>
      <c r="H183" s="126">
        <v>36.4</v>
      </c>
      <c r="I183" s="124">
        <v>1003.33</v>
      </c>
      <c r="J183" s="126">
        <v>8.5</v>
      </c>
      <c r="K183" s="124">
        <v>59125</v>
      </c>
      <c r="L183" s="124">
        <v>60128.33</v>
      </c>
    </row>
    <row r="184" spans="1:12" ht="15" customHeight="1" x14ac:dyDescent="0.25">
      <c r="A184" s="78">
        <v>45689</v>
      </c>
      <c r="B184" t="s">
        <v>398</v>
      </c>
      <c r="C184" t="s">
        <v>399</v>
      </c>
      <c r="D184" t="s">
        <v>227</v>
      </c>
      <c r="E184" t="s">
        <v>230</v>
      </c>
      <c r="F184" s="126">
        <v>17</v>
      </c>
      <c r="G184" s="77">
        <v>41000</v>
      </c>
      <c r="H184" s="126">
        <v>46.4</v>
      </c>
      <c r="I184" s="124">
        <v>1219.49</v>
      </c>
      <c r="J184" s="126">
        <v>9.1</v>
      </c>
      <c r="K184" s="124">
        <v>58083.333333333299</v>
      </c>
      <c r="L184" s="124">
        <v>59302.823333333297</v>
      </c>
    </row>
    <row r="185" spans="1:12" ht="15" customHeight="1" x14ac:dyDescent="0.25">
      <c r="A185" s="78">
        <v>45689</v>
      </c>
      <c r="B185" t="s">
        <v>398</v>
      </c>
      <c r="C185" t="s">
        <v>399</v>
      </c>
      <c r="D185" t="s">
        <v>227</v>
      </c>
      <c r="E185" t="s">
        <v>105</v>
      </c>
      <c r="F185" s="126">
        <v>9.6999999999999993</v>
      </c>
      <c r="G185" s="77">
        <v>28000</v>
      </c>
      <c r="H185" s="126">
        <v>38.299999999999997</v>
      </c>
      <c r="I185" s="124">
        <v>687.44</v>
      </c>
      <c r="J185" s="126">
        <v>3.3</v>
      </c>
      <c r="K185" s="124">
        <v>22633.333333333299</v>
      </c>
      <c r="L185" s="124">
        <v>23320.773333333302</v>
      </c>
    </row>
    <row r="186" spans="1:12" ht="15" customHeight="1" x14ac:dyDescent="0.25">
      <c r="A186" s="78">
        <v>45689</v>
      </c>
      <c r="B186" t="s">
        <v>398</v>
      </c>
      <c r="C186" t="s">
        <v>399</v>
      </c>
      <c r="D186" t="s">
        <v>227</v>
      </c>
      <c r="E186" t="s">
        <v>2368</v>
      </c>
      <c r="F186" s="126">
        <v>17</v>
      </c>
      <c r="G186" s="77">
        <v>27000</v>
      </c>
      <c r="H186" s="126">
        <v>78.7</v>
      </c>
      <c r="I186" s="124">
        <v>1362.12</v>
      </c>
      <c r="J186" s="126">
        <v>7.9</v>
      </c>
      <c r="K186" s="124">
        <v>38250</v>
      </c>
      <c r="L186" s="124">
        <v>39612.120000000003</v>
      </c>
    </row>
    <row r="187" spans="1:12" ht="15" customHeight="1" x14ac:dyDescent="0.25">
      <c r="A187" s="78">
        <v>45689</v>
      </c>
      <c r="B187" t="s">
        <v>398</v>
      </c>
      <c r="C187" t="s">
        <v>399</v>
      </c>
      <c r="D187" t="s">
        <v>227</v>
      </c>
      <c r="E187" t="s">
        <v>232</v>
      </c>
      <c r="F187" s="126">
        <v>18</v>
      </c>
      <c r="G187" s="77">
        <v>25000</v>
      </c>
      <c r="H187" s="126">
        <v>95.8</v>
      </c>
      <c r="I187" s="124">
        <v>1535.26</v>
      </c>
      <c r="J187" s="126">
        <v>9</v>
      </c>
      <c r="K187" s="124">
        <v>37500</v>
      </c>
      <c r="L187" s="124">
        <v>39035.26</v>
      </c>
    </row>
    <row r="188" spans="1:12" ht="15" customHeight="1" x14ac:dyDescent="0.25">
      <c r="A188" s="78">
        <v>45689</v>
      </c>
      <c r="B188" t="s">
        <v>378</v>
      </c>
      <c r="C188" t="s">
        <v>379</v>
      </c>
      <c r="D188" t="s">
        <v>227</v>
      </c>
      <c r="E188" t="s">
        <v>2367</v>
      </c>
      <c r="F188" s="126">
        <v>7.3</v>
      </c>
      <c r="G188" s="77">
        <v>43000</v>
      </c>
      <c r="H188" s="126">
        <v>33.5</v>
      </c>
      <c r="I188" s="124">
        <v>923.4</v>
      </c>
      <c r="J188" s="126">
        <v>2.7</v>
      </c>
      <c r="K188" s="124">
        <v>26158.333333333299</v>
      </c>
      <c r="L188" s="124">
        <v>27081.733333333301</v>
      </c>
    </row>
    <row r="189" spans="1:12" ht="15" customHeight="1" x14ac:dyDescent="0.25">
      <c r="A189" s="78">
        <v>45689</v>
      </c>
      <c r="B189" t="s">
        <v>378</v>
      </c>
      <c r="C189" t="s">
        <v>379</v>
      </c>
      <c r="D189" t="s">
        <v>227</v>
      </c>
      <c r="E189" t="s">
        <v>232</v>
      </c>
      <c r="F189" s="126">
        <v>12.4</v>
      </c>
      <c r="G189" s="77">
        <v>25000</v>
      </c>
      <c r="H189" s="126">
        <v>38.6</v>
      </c>
      <c r="I189" s="124">
        <v>618.59</v>
      </c>
      <c r="J189" s="126">
        <v>5.7</v>
      </c>
      <c r="K189" s="124">
        <v>25833.333333333299</v>
      </c>
      <c r="L189" s="124">
        <v>26451.9233333333</v>
      </c>
    </row>
    <row r="190" spans="1:12" ht="15" customHeight="1" x14ac:dyDescent="0.25">
      <c r="A190" s="78">
        <v>45689</v>
      </c>
      <c r="B190" t="s">
        <v>378</v>
      </c>
      <c r="C190" t="s">
        <v>379</v>
      </c>
      <c r="D190" t="s">
        <v>227</v>
      </c>
      <c r="E190" t="s">
        <v>105</v>
      </c>
      <c r="F190" s="126">
        <v>19</v>
      </c>
      <c r="G190" s="77">
        <v>28000</v>
      </c>
      <c r="H190" s="126">
        <v>100.4</v>
      </c>
      <c r="I190" s="124">
        <v>1802.05</v>
      </c>
      <c r="J190" s="126">
        <v>11.2</v>
      </c>
      <c r="K190" s="124">
        <v>44333.333333333299</v>
      </c>
      <c r="L190" s="124">
        <v>46135.383333333302</v>
      </c>
    </row>
    <row r="191" spans="1:12" ht="15" customHeight="1" x14ac:dyDescent="0.25">
      <c r="A191" s="78">
        <v>45689</v>
      </c>
      <c r="B191" t="s">
        <v>378</v>
      </c>
      <c r="C191" t="s">
        <v>379</v>
      </c>
      <c r="D191" t="s">
        <v>227</v>
      </c>
      <c r="E191" t="s">
        <v>2368</v>
      </c>
      <c r="F191" s="126">
        <v>15.6</v>
      </c>
      <c r="G191" s="77">
        <v>27000</v>
      </c>
      <c r="H191" s="126">
        <v>43.6</v>
      </c>
      <c r="I191" s="124">
        <v>754.62</v>
      </c>
      <c r="J191" s="126">
        <v>8.9</v>
      </c>
      <c r="K191" s="124">
        <v>35100</v>
      </c>
      <c r="L191" s="124">
        <v>35854.620000000003</v>
      </c>
    </row>
    <row r="192" spans="1:12" ht="15" customHeight="1" x14ac:dyDescent="0.25">
      <c r="A192" s="78">
        <v>45689</v>
      </c>
      <c r="B192" t="s">
        <v>378</v>
      </c>
      <c r="C192" t="s">
        <v>379</v>
      </c>
      <c r="D192" t="s">
        <v>227</v>
      </c>
      <c r="E192" t="s">
        <v>230</v>
      </c>
      <c r="F192" s="126">
        <v>14.6</v>
      </c>
      <c r="G192" s="77">
        <v>41000</v>
      </c>
      <c r="H192" s="126">
        <v>10.9</v>
      </c>
      <c r="I192" s="124">
        <v>286.47000000000003</v>
      </c>
      <c r="J192" s="126">
        <v>6.1</v>
      </c>
      <c r="K192" s="124">
        <v>49883.333333333299</v>
      </c>
      <c r="L192" s="124">
        <v>50169.803333333301</v>
      </c>
    </row>
    <row r="193" spans="1:12" ht="15" customHeight="1" x14ac:dyDescent="0.25">
      <c r="A193" s="78">
        <v>45689</v>
      </c>
      <c r="B193" t="s">
        <v>378</v>
      </c>
      <c r="C193" t="s">
        <v>379</v>
      </c>
      <c r="D193" t="s">
        <v>227</v>
      </c>
      <c r="E193" t="s">
        <v>2369</v>
      </c>
      <c r="F193" s="126">
        <v>16.399999999999999</v>
      </c>
      <c r="G193" s="77">
        <v>35000</v>
      </c>
      <c r="H193" s="126">
        <v>42</v>
      </c>
      <c r="I193" s="124">
        <v>942.31</v>
      </c>
      <c r="J193" s="126">
        <v>6.8</v>
      </c>
      <c r="K193" s="124">
        <v>47833.333333333299</v>
      </c>
      <c r="L193" s="124">
        <v>48775.643333333297</v>
      </c>
    </row>
    <row r="194" spans="1:12" ht="15" customHeight="1" x14ac:dyDescent="0.25">
      <c r="A194" s="78">
        <v>45689</v>
      </c>
      <c r="B194" t="s">
        <v>393</v>
      </c>
      <c r="C194" t="s">
        <v>394</v>
      </c>
      <c r="D194" t="s">
        <v>227</v>
      </c>
      <c r="E194" t="s">
        <v>232</v>
      </c>
      <c r="F194" s="126">
        <v>14.2</v>
      </c>
      <c r="G194" s="77">
        <v>25000</v>
      </c>
      <c r="H194" s="126">
        <v>23.1</v>
      </c>
      <c r="I194" s="124">
        <v>370.19</v>
      </c>
      <c r="J194" s="126">
        <v>7.5</v>
      </c>
      <c r="K194" s="124">
        <v>29583.333333333299</v>
      </c>
      <c r="L194" s="124">
        <v>29953.523333333302</v>
      </c>
    </row>
    <row r="195" spans="1:12" ht="15" customHeight="1" x14ac:dyDescent="0.25">
      <c r="A195" s="78">
        <v>45689</v>
      </c>
      <c r="B195" t="s">
        <v>393</v>
      </c>
      <c r="C195" t="s">
        <v>394</v>
      </c>
      <c r="D195" t="s">
        <v>227</v>
      </c>
      <c r="E195" t="s">
        <v>230</v>
      </c>
      <c r="F195" s="126">
        <v>9.6999999999999993</v>
      </c>
      <c r="G195" s="77">
        <v>41000</v>
      </c>
      <c r="H195" s="126">
        <v>35.700000000000003</v>
      </c>
      <c r="I195" s="124">
        <v>938.27</v>
      </c>
      <c r="J195" s="126">
        <v>5.2</v>
      </c>
      <c r="K195" s="124">
        <v>33141.666666666701</v>
      </c>
      <c r="L195" s="124">
        <v>34079.936666666697</v>
      </c>
    </row>
    <row r="196" spans="1:12" ht="15" customHeight="1" x14ac:dyDescent="0.25">
      <c r="A196" s="78">
        <v>45689</v>
      </c>
      <c r="B196" t="s">
        <v>393</v>
      </c>
      <c r="C196" t="s">
        <v>394</v>
      </c>
      <c r="D196" t="s">
        <v>227</v>
      </c>
      <c r="E196" t="s">
        <v>2368</v>
      </c>
      <c r="F196" s="126">
        <v>12.8</v>
      </c>
      <c r="G196" s="77">
        <v>27000</v>
      </c>
      <c r="H196" s="126">
        <v>64.5</v>
      </c>
      <c r="I196" s="124">
        <v>1116.3499999999999</v>
      </c>
      <c r="J196" s="126">
        <v>6.7</v>
      </c>
      <c r="K196" s="124">
        <v>28800</v>
      </c>
      <c r="L196" s="124">
        <v>29916.35</v>
      </c>
    </row>
    <row r="197" spans="1:12" ht="15" customHeight="1" x14ac:dyDescent="0.25">
      <c r="A197" s="78">
        <v>45689</v>
      </c>
      <c r="B197" t="s">
        <v>393</v>
      </c>
      <c r="C197" t="s">
        <v>394</v>
      </c>
      <c r="D197" t="s">
        <v>227</v>
      </c>
      <c r="E197" t="s">
        <v>2369</v>
      </c>
      <c r="F197" s="126">
        <v>15.7</v>
      </c>
      <c r="G197" s="77">
        <v>35000</v>
      </c>
      <c r="H197" s="126">
        <v>78.3</v>
      </c>
      <c r="I197" s="124">
        <v>1756.73</v>
      </c>
      <c r="J197" s="126">
        <v>7.8</v>
      </c>
      <c r="K197" s="124">
        <v>45791.666666666701</v>
      </c>
      <c r="L197" s="124">
        <v>47548.396666666697</v>
      </c>
    </row>
    <row r="198" spans="1:12" ht="15" customHeight="1" x14ac:dyDescent="0.25">
      <c r="A198" s="78">
        <v>45689</v>
      </c>
      <c r="B198" t="s">
        <v>393</v>
      </c>
      <c r="C198" t="s">
        <v>394</v>
      </c>
      <c r="D198" t="s">
        <v>227</v>
      </c>
      <c r="E198" t="s">
        <v>2367</v>
      </c>
      <c r="F198" s="126">
        <v>14.7</v>
      </c>
      <c r="G198" s="77">
        <v>43000</v>
      </c>
      <c r="H198" s="126">
        <v>32.6</v>
      </c>
      <c r="I198" s="124">
        <v>898.59</v>
      </c>
      <c r="J198" s="126">
        <v>8.4</v>
      </c>
      <c r="K198" s="124">
        <v>52675</v>
      </c>
      <c r="L198" s="124">
        <v>53573.59</v>
      </c>
    </row>
    <row r="199" spans="1:12" ht="15" customHeight="1" x14ac:dyDescent="0.25">
      <c r="A199" s="78">
        <v>45717</v>
      </c>
      <c r="B199" t="s">
        <v>390</v>
      </c>
      <c r="C199" t="s">
        <v>391</v>
      </c>
      <c r="D199" t="s">
        <v>221</v>
      </c>
      <c r="E199" t="s">
        <v>231</v>
      </c>
      <c r="F199" s="126">
        <v>17.2</v>
      </c>
      <c r="G199" s="77">
        <v>29000</v>
      </c>
      <c r="H199" s="126">
        <v>53.6</v>
      </c>
      <c r="I199" s="124">
        <v>996.41</v>
      </c>
      <c r="J199" s="126">
        <v>7.7</v>
      </c>
      <c r="K199" s="124">
        <v>41566.666666666701</v>
      </c>
      <c r="L199" s="124">
        <v>42563.076666666697</v>
      </c>
    </row>
    <row r="200" spans="1:12" ht="15" customHeight="1" x14ac:dyDescent="0.25">
      <c r="A200" s="78">
        <v>45717</v>
      </c>
      <c r="B200" t="s">
        <v>390</v>
      </c>
      <c r="C200" t="s">
        <v>391</v>
      </c>
      <c r="D200" t="s">
        <v>221</v>
      </c>
      <c r="E200" t="s">
        <v>2368</v>
      </c>
      <c r="F200" s="126">
        <v>18.2</v>
      </c>
      <c r="G200" s="77">
        <v>27000</v>
      </c>
      <c r="H200" s="126">
        <v>67.900000000000006</v>
      </c>
      <c r="I200" s="124">
        <v>1175.19</v>
      </c>
      <c r="J200" s="126">
        <v>8.1999999999999993</v>
      </c>
      <c r="K200" s="124">
        <v>40950</v>
      </c>
      <c r="L200" s="124">
        <v>42125.19</v>
      </c>
    </row>
    <row r="201" spans="1:12" ht="15" customHeight="1" x14ac:dyDescent="0.25">
      <c r="A201" s="78">
        <v>45717</v>
      </c>
      <c r="B201" t="s">
        <v>390</v>
      </c>
      <c r="C201" t="s">
        <v>391</v>
      </c>
      <c r="D201" t="s">
        <v>221</v>
      </c>
      <c r="E201" t="s">
        <v>2369</v>
      </c>
      <c r="F201" s="126">
        <v>6.2</v>
      </c>
      <c r="G201" s="77">
        <v>35000</v>
      </c>
      <c r="H201" s="126">
        <v>20.9</v>
      </c>
      <c r="I201" s="124">
        <v>468.91</v>
      </c>
      <c r="J201" s="126">
        <v>3.4</v>
      </c>
      <c r="K201" s="124">
        <v>18083.333333333299</v>
      </c>
      <c r="L201" s="124">
        <v>18552.243333333299</v>
      </c>
    </row>
    <row r="202" spans="1:12" ht="15" customHeight="1" x14ac:dyDescent="0.25">
      <c r="A202" s="78">
        <v>45717</v>
      </c>
      <c r="B202" t="s">
        <v>390</v>
      </c>
      <c r="C202" t="s">
        <v>391</v>
      </c>
      <c r="D202" t="s">
        <v>221</v>
      </c>
      <c r="E202" t="s">
        <v>105</v>
      </c>
      <c r="F202" s="126">
        <v>3</v>
      </c>
      <c r="G202" s="77">
        <v>28000</v>
      </c>
      <c r="H202" s="126">
        <v>13.6</v>
      </c>
      <c r="I202" s="124">
        <v>244.1</v>
      </c>
      <c r="J202" s="126">
        <v>0.6</v>
      </c>
      <c r="K202" s="124">
        <v>7000</v>
      </c>
      <c r="L202" s="124">
        <v>7244.1</v>
      </c>
    </row>
    <row r="203" spans="1:12" ht="15" customHeight="1" x14ac:dyDescent="0.25">
      <c r="A203" s="78">
        <v>45717</v>
      </c>
      <c r="B203" t="s">
        <v>401</v>
      </c>
      <c r="C203" t="s">
        <v>402</v>
      </c>
      <c r="D203" t="s">
        <v>221</v>
      </c>
      <c r="E203" t="s">
        <v>105</v>
      </c>
      <c r="F203" s="126">
        <v>7.1</v>
      </c>
      <c r="G203" s="77">
        <v>28000</v>
      </c>
      <c r="H203" s="126">
        <v>23.2</v>
      </c>
      <c r="I203" s="124">
        <v>416.41</v>
      </c>
      <c r="J203" s="126">
        <v>4.5999999999999996</v>
      </c>
      <c r="K203" s="124">
        <v>16566.666666666701</v>
      </c>
      <c r="L203" s="124">
        <v>16983.0766666667</v>
      </c>
    </row>
    <row r="204" spans="1:12" ht="15" customHeight="1" x14ac:dyDescent="0.25">
      <c r="A204" s="78">
        <v>45717</v>
      </c>
      <c r="B204" t="s">
        <v>401</v>
      </c>
      <c r="C204" t="s">
        <v>402</v>
      </c>
      <c r="D204" t="s">
        <v>221</v>
      </c>
      <c r="E204" t="s">
        <v>232</v>
      </c>
      <c r="F204" s="126">
        <v>9.9</v>
      </c>
      <c r="G204" s="77">
        <v>25000</v>
      </c>
      <c r="H204" s="126">
        <v>47</v>
      </c>
      <c r="I204" s="124">
        <v>753.21</v>
      </c>
      <c r="J204" s="126">
        <v>7</v>
      </c>
      <c r="K204" s="124">
        <v>20625</v>
      </c>
      <c r="L204" s="124">
        <v>21378.21</v>
      </c>
    </row>
    <row r="205" spans="1:12" ht="15" customHeight="1" x14ac:dyDescent="0.25">
      <c r="A205" s="78">
        <v>45717</v>
      </c>
      <c r="B205" t="s">
        <v>401</v>
      </c>
      <c r="C205" t="s">
        <v>402</v>
      </c>
      <c r="D205" t="s">
        <v>221</v>
      </c>
      <c r="E205" t="s">
        <v>2369</v>
      </c>
      <c r="F205" s="126">
        <v>17</v>
      </c>
      <c r="G205" s="77">
        <v>35000</v>
      </c>
      <c r="H205" s="126">
        <v>98.1</v>
      </c>
      <c r="I205" s="124">
        <v>2200.96</v>
      </c>
      <c r="J205" s="126">
        <v>9.6</v>
      </c>
      <c r="K205" s="124">
        <v>49583.333333333299</v>
      </c>
      <c r="L205" s="124">
        <v>51784.293333333299</v>
      </c>
    </row>
    <row r="206" spans="1:12" ht="15" customHeight="1" x14ac:dyDescent="0.25">
      <c r="A206" s="78">
        <v>45717</v>
      </c>
      <c r="B206" t="s">
        <v>401</v>
      </c>
      <c r="C206" t="s">
        <v>402</v>
      </c>
      <c r="D206" t="s">
        <v>221</v>
      </c>
      <c r="E206" t="s">
        <v>231</v>
      </c>
      <c r="F206" s="126">
        <v>12.2</v>
      </c>
      <c r="G206" s="77">
        <v>29000</v>
      </c>
      <c r="H206" s="126">
        <v>23.4</v>
      </c>
      <c r="I206" s="124">
        <v>435</v>
      </c>
      <c r="J206" s="126">
        <v>6.9</v>
      </c>
      <c r="K206" s="124">
        <v>29483.333333333299</v>
      </c>
      <c r="L206" s="124">
        <v>29918.333333333299</v>
      </c>
    </row>
    <row r="207" spans="1:12" ht="15" customHeight="1" x14ac:dyDescent="0.25">
      <c r="A207" s="78">
        <v>45717</v>
      </c>
      <c r="B207" t="s">
        <v>401</v>
      </c>
      <c r="C207" t="s">
        <v>402</v>
      </c>
      <c r="D207" t="s">
        <v>221</v>
      </c>
      <c r="E207" t="s">
        <v>2368</v>
      </c>
      <c r="F207" s="126">
        <v>4.5999999999999996</v>
      </c>
      <c r="G207" s="77">
        <v>27000</v>
      </c>
      <c r="H207" s="126">
        <v>18</v>
      </c>
      <c r="I207" s="124">
        <v>311.54000000000002</v>
      </c>
      <c r="J207" s="126">
        <v>1.7</v>
      </c>
      <c r="K207" s="124">
        <v>10350</v>
      </c>
      <c r="L207" s="124">
        <v>10661.54</v>
      </c>
    </row>
    <row r="208" spans="1:12" ht="15" customHeight="1" x14ac:dyDescent="0.25">
      <c r="A208" s="78">
        <v>45717</v>
      </c>
      <c r="B208" t="s">
        <v>401</v>
      </c>
      <c r="C208" t="s">
        <v>402</v>
      </c>
      <c r="D208" t="s">
        <v>221</v>
      </c>
      <c r="E208" t="s">
        <v>2367</v>
      </c>
      <c r="F208" s="126">
        <v>16.8</v>
      </c>
      <c r="G208" s="77">
        <v>43000</v>
      </c>
      <c r="H208" s="126">
        <v>71.400000000000006</v>
      </c>
      <c r="I208" s="124">
        <v>1968.08</v>
      </c>
      <c r="J208" s="126">
        <v>9.3000000000000007</v>
      </c>
      <c r="K208" s="124">
        <v>60200</v>
      </c>
      <c r="L208" s="124">
        <v>62168.08</v>
      </c>
    </row>
    <row r="209" spans="1:12" ht="15" customHeight="1" x14ac:dyDescent="0.25">
      <c r="A209" s="78">
        <v>45717</v>
      </c>
      <c r="B209" t="s">
        <v>431</v>
      </c>
      <c r="C209" t="s">
        <v>432</v>
      </c>
      <c r="D209" t="s">
        <v>221</v>
      </c>
      <c r="E209" t="s">
        <v>232</v>
      </c>
      <c r="F209" s="126">
        <v>6.5</v>
      </c>
      <c r="G209" s="77">
        <v>25000</v>
      </c>
      <c r="H209" s="126">
        <v>30.9</v>
      </c>
      <c r="I209" s="124">
        <v>495.19</v>
      </c>
      <c r="J209" s="126">
        <v>2.4</v>
      </c>
      <c r="K209" s="124">
        <v>13541.666666666701</v>
      </c>
      <c r="L209" s="124">
        <v>14036.856666666699</v>
      </c>
    </row>
    <row r="210" spans="1:12" ht="15" customHeight="1" x14ac:dyDescent="0.25">
      <c r="A210" s="78">
        <v>45717</v>
      </c>
      <c r="B210" t="s">
        <v>431</v>
      </c>
      <c r="C210" t="s">
        <v>432</v>
      </c>
      <c r="D210" t="s">
        <v>221</v>
      </c>
      <c r="E210" t="s">
        <v>105</v>
      </c>
      <c r="F210" s="126">
        <v>17.100000000000001</v>
      </c>
      <c r="G210" s="77">
        <v>28000</v>
      </c>
      <c r="H210" s="126">
        <v>87.4</v>
      </c>
      <c r="I210" s="124">
        <v>1568.72</v>
      </c>
      <c r="J210" s="126">
        <v>7.9</v>
      </c>
      <c r="K210" s="124">
        <v>39900</v>
      </c>
      <c r="L210" s="124">
        <v>41468.720000000001</v>
      </c>
    </row>
    <row r="211" spans="1:12" ht="15" customHeight="1" x14ac:dyDescent="0.25">
      <c r="A211" s="78">
        <v>45717</v>
      </c>
      <c r="B211" t="s">
        <v>431</v>
      </c>
      <c r="C211" t="s">
        <v>432</v>
      </c>
      <c r="D211" t="s">
        <v>221</v>
      </c>
      <c r="E211" t="s">
        <v>230</v>
      </c>
      <c r="F211" s="126">
        <v>14.6</v>
      </c>
      <c r="G211" s="77">
        <v>41000</v>
      </c>
      <c r="H211" s="126">
        <v>63.1</v>
      </c>
      <c r="I211" s="124">
        <v>1658.4</v>
      </c>
      <c r="J211" s="126">
        <v>7</v>
      </c>
      <c r="K211" s="124">
        <v>49883.333333333299</v>
      </c>
      <c r="L211" s="124">
        <v>51541.733333333301</v>
      </c>
    </row>
    <row r="212" spans="1:12" ht="15" customHeight="1" x14ac:dyDescent="0.25">
      <c r="A212" s="78">
        <v>45717</v>
      </c>
      <c r="B212" t="s">
        <v>431</v>
      </c>
      <c r="C212" t="s">
        <v>432</v>
      </c>
      <c r="D212" t="s">
        <v>221</v>
      </c>
      <c r="E212" t="s">
        <v>2368</v>
      </c>
      <c r="F212" s="126">
        <v>4.0999999999999996</v>
      </c>
      <c r="G212" s="77">
        <v>27000</v>
      </c>
      <c r="H212" s="126">
        <v>15.1</v>
      </c>
      <c r="I212" s="124">
        <v>261.35000000000002</v>
      </c>
      <c r="J212" s="126">
        <v>2.8</v>
      </c>
      <c r="K212" s="124">
        <v>9225</v>
      </c>
      <c r="L212" s="124">
        <v>9486.35</v>
      </c>
    </row>
    <row r="213" spans="1:12" ht="15" customHeight="1" x14ac:dyDescent="0.25">
      <c r="A213" s="78">
        <v>45717</v>
      </c>
      <c r="B213" t="s">
        <v>366</v>
      </c>
      <c r="C213" t="s">
        <v>367</v>
      </c>
      <c r="D213" t="s">
        <v>221</v>
      </c>
      <c r="E213" t="s">
        <v>232</v>
      </c>
      <c r="F213" s="126">
        <v>14.9</v>
      </c>
      <c r="G213" s="77">
        <v>25000</v>
      </c>
      <c r="H213" s="126">
        <v>36.4</v>
      </c>
      <c r="I213" s="124">
        <v>583.33000000000004</v>
      </c>
      <c r="J213" s="126">
        <v>9.4</v>
      </c>
      <c r="K213" s="124">
        <v>31041.666666666701</v>
      </c>
      <c r="L213" s="124">
        <v>31624.996666666699</v>
      </c>
    </row>
    <row r="214" spans="1:12" ht="15" customHeight="1" x14ac:dyDescent="0.25">
      <c r="A214" s="78">
        <v>45717</v>
      </c>
      <c r="B214" t="s">
        <v>366</v>
      </c>
      <c r="C214" t="s">
        <v>367</v>
      </c>
      <c r="D214" t="s">
        <v>221</v>
      </c>
      <c r="E214" t="s">
        <v>2369</v>
      </c>
      <c r="F214" s="126">
        <v>8.1</v>
      </c>
      <c r="G214" s="77">
        <v>35000</v>
      </c>
      <c r="H214" s="126">
        <v>10.3</v>
      </c>
      <c r="I214" s="124">
        <v>231.09</v>
      </c>
      <c r="J214" s="126">
        <v>3.5</v>
      </c>
      <c r="K214" s="124">
        <v>23625</v>
      </c>
      <c r="L214" s="124">
        <v>23856.09</v>
      </c>
    </row>
    <row r="215" spans="1:12" ht="15" customHeight="1" x14ac:dyDescent="0.25">
      <c r="A215" s="78">
        <v>45717</v>
      </c>
      <c r="B215" t="s">
        <v>366</v>
      </c>
      <c r="C215" t="s">
        <v>367</v>
      </c>
      <c r="D215" t="s">
        <v>221</v>
      </c>
      <c r="E215" t="s">
        <v>230</v>
      </c>
      <c r="F215" s="126">
        <v>9.6</v>
      </c>
      <c r="G215" s="77">
        <v>41000</v>
      </c>
      <c r="H215" s="126">
        <v>43.7</v>
      </c>
      <c r="I215" s="124">
        <v>1148.53</v>
      </c>
      <c r="J215" s="126">
        <v>5.4</v>
      </c>
      <c r="K215" s="124">
        <v>32800</v>
      </c>
      <c r="L215" s="124">
        <v>33948.53</v>
      </c>
    </row>
    <row r="216" spans="1:12" ht="15" customHeight="1" x14ac:dyDescent="0.25">
      <c r="A216" s="78">
        <v>45717</v>
      </c>
      <c r="B216" t="s">
        <v>366</v>
      </c>
      <c r="C216" t="s">
        <v>367</v>
      </c>
      <c r="D216" t="s">
        <v>221</v>
      </c>
      <c r="E216" t="s">
        <v>2368</v>
      </c>
      <c r="F216" s="126">
        <v>6.5</v>
      </c>
      <c r="G216" s="77">
        <v>27000</v>
      </c>
      <c r="H216" s="126">
        <v>25</v>
      </c>
      <c r="I216" s="124">
        <v>432.69</v>
      </c>
      <c r="J216" s="126">
        <v>3.2</v>
      </c>
      <c r="K216" s="124">
        <v>14625</v>
      </c>
      <c r="L216" s="124">
        <v>15057.69</v>
      </c>
    </row>
    <row r="217" spans="1:12" ht="15" customHeight="1" x14ac:dyDescent="0.25">
      <c r="A217" s="78">
        <v>45717</v>
      </c>
      <c r="B217" t="s">
        <v>366</v>
      </c>
      <c r="C217" t="s">
        <v>367</v>
      </c>
      <c r="D217" t="s">
        <v>221</v>
      </c>
      <c r="E217" t="s">
        <v>105</v>
      </c>
      <c r="F217" s="126">
        <v>10.3</v>
      </c>
      <c r="G217" s="77">
        <v>28000</v>
      </c>
      <c r="H217" s="126">
        <v>47.5</v>
      </c>
      <c r="I217" s="124">
        <v>852.56</v>
      </c>
      <c r="J217" s="126">
        <v>4.9000000000000004</v>
      </c>
      <c r="K217" s="124">
        <v>24033.333333333299</v>
      </c>
      <c r="L217" s="124">
        <v>24885.893333333301</v>
      </c>
    </row>
    <row r="218" spans="1:12" ht="15" customHeight="1" x14ac:dyDescent="0.25">
      <c r="A218" s="78">
        <v>45717</v>
      </c>
      <c r="B218" t="s">
        <v>362</v>
      </c>
      <c r="C218" t="s">
        <v>363</v>
      </c>
      <c r="D218" t="s">
        <v>221</v>
      </c>
      <c r="E218" t="s">
        <v>2369</v>
      </c>
      <c r="F218" s="126">
        <v>19.600000000000001</v>
      </c>
      <c r="G218" s="77">
        <v>35000</v>
      </c>
      <c r="H218" s="126">
        <v>119.4</v>
      </c>
      <c r="I218" s="124">
        <v>2678.85</v>
      </c>
      <c r="J218" s="126">
        <v>10.6</v>
      </c>
      <c r="K218" s="124">
        <v>57166.666666666701</v>
      </c>
      <c r="L218" s="124">
        <v>59845.516666666699</v>
      </c>
    </row>
    <row r="219" spans="1:12" ht="15" customHeight="1" x14ac:dyDescent="0.25">
      <c r="A219" s="78">
        <v>45717</v>
      </c>
      <c r="B219" t="s">
        <v>362</v>
      </c>
      <c r="C219" t="s">
        <v>363</v>
      </c>
      <c r="D219" t="s">
        <v>221</v>
      </c>
      <c r="E219" t="s">
        <v>2368</v>
      </c>
      <c r="F219" s="126">
        <v>11.5</v>
      </c>
      <c r="G219" s="77">
        <v>27000</v>
      </c>
      <c r="H219" s="126">
        <v>61.1</v>
      </c>
      <c r="I219" s="124">
        <v>1057.5</v>
      </c>
      <c r="J219" s="126">
        <v>4.8</v>
      </c>
      <c r="K219" s="124">
        <v>25875</v>
      </c>
      <c r="L219" s="124">
        <v>26932.5</v>
      </c>
    </row>
    <row r="220" spans="1:12" ht="15" customHeight="1" x14ac:dyDescent="0.25">
      <c r="A220" s="78">
        <v>45717</v>
      </c>
      <c r="B220" t="s">
        <v>362</v>
      </c>
      <c r="C220" t="s">
        <v>363</v>
      </c>
      <c r="D220" t="s">
        <v>221</v>
      </c>
      <c r="E220" t="s">
        <v>2367</v>
      </c>
      <c r="F220" s="126">
        <v>9</v>
      </c>
      <c r="G220" s="77">
        <v>43000</v>
      </c>
      <c r="H220" s="126">
        <v>34.9</v>
      </c>
      <c r="I220" s="124">
        <v>961.99</v>
      </c>
      <c r="J220" s="126">
        <v>4.2</v>
      </c>
      <c r="K220" s="124">
        <v>32250</v>
      </c>
      <c r="L220" s="124">
        <v>33211.99</v>
      </c>
    </row>
    <row r="221" spans="1:12" ht="15" customHeight="1" x14ac:dyDescent="0.25">
      <c r="A221" s="78">
        <v>45717</v>
      </c>
      <c r="B221" t="s">
        <v>362</v>
      </c>
      <c r="C221" t="s">
        <v>363</v>
      </c>
      <c r="D221" t="s">
        <v>221</v>
      </c>
      <c r="E221" t="s">
        <v>232</v>
      </c>
      <c r="F221" s="126">
        <v>7.3</v>
      </c>
      <c r="G221" s="77">
        <v>25000</v>
      </c>
      <c r="H221" s="126">
        <v>18.2</v>
      </c>
      <c r="I221" s="124">
        <v>291.67</v>
      </c>
      <c r="J221" s="126">
        <v>4</v>
      </c>
      <c r="K221" s="124">
        <v>15208.333333333299</v>
      </c>
      <c r="L221" s="124">
        <v>15500.003333333299</v>
      </c>
    </row>
    <row r="222" spans="1:12" ht="15" customHeight="1" x14ac:dyDescent="0.25">
      <c r="A222" s="78">
        <v>45717</v>
      </c>
      <c r="B222" t="s">
        <v>362</v>
      </c>
      <c r="C222" t="s">
        <v>363</v>
      </c>
      <c r="D222" t="s">
        <v>221</v>
      </c>
      <c r="E222" t="s">
        <v>230</v>
      </c>
      <c r="F222" s="126">
        <v>11.1</v>
      </c>
      <c r="G222" s="77">
        <v>41000</v>
      </c>
      <c r="H222" s="126">
        <v>35.4</v>
      </c>
      <c r="I222" s="124">
        <v>930.38</v>
      </c>
      <c r="J222" s="126">
        <v>6.2</v>
      </c>
      <c r="K222" s="124">
        <v>37925</v>
      </c>
      <c r="L222" s="124">
        <v>38855.379999999997</v>
      </c>
    </row>
    <row r="223" spans="1:12" ht="15" customHeight="1" x14ac:dyDescent="0.25">
      <c r="A223" s="78">
        <v>45717</v>
      </c>
      <c r="B223" t="s">
        <v>362</v>
      </c>
      <c r="C223" t="s">
        <v>363</v>
      </c>
      <c r="D223" t="s">
        <v>221</v>
      </c>
      <c r="E223" t="s">
        <v>231</v>
      </c>
      <c r="F223" s="126">
        <v>16.600000000000001</v>
      </c>
      <c r="G223" s="77">
        <v>29000</v>
      </c>
      <c r="H223" s="126">
        <v>39.799999999999997</v>
      </c>
      <c r="I223" s="124">
        <v>739.87</v>
      </c>
      <c r="J223" s="126">
        <v>10</v>
      </c>
      <c r="K223" s="124">
        <v>40116.666666666701</v>
      </c>
      <c r="L223" s="124">
        <v>40856.536666666703</v>
      </c>
    </row>
    <row r="224" spans="1:12" ht="15" customHeight="1" x14ac:dyDescent="0.25">
      <c r="A224" s="78">
        <v>45717</v>
      </c>
      <c r="B224" t="s">
        <v>335</v>
      </c>
      <c r="C224" t="s">
        <v>336</v>
      </c>
      <c r="D224" t="s">
        <v>223</v>
      </c>
      <c r="E224" t="s">
        <v>105</v>
      </c>
      <c r="F224" s="126">
        <v>19.899999999999999</v>
      </c>
      <c r="G224" s="77">
        <v>28000</v>
      </c>
      <c r="H224" s="126">
        <v>52.8</v>
      </c>
      <c r="I224" s="124">
        <v>947.69</v>
      </c>
      <c r="J224" s="126">
        <v>10.199999999999999</v>
      </c>
      <c r="K224" s="124">
        <v>46433.333333333299</v>
      </c>
      <c r="L224" s="124">
        <v>47381.023333333302</v>
      </c>
    </row>
    <row r="225" spans="1:12" ht="15" customHeight="1" x14ac:dyDescent="0.25">
      <c r="A225" s="78">
        <v>45717</v>
      </c>
      <c r="B225" t="s">
        <v>335</v>
      </c>
      <c r="C225" t="s">
        <v>336</v>
      </c>
      <c r="D225" t="s">
        <v>223</v>
      </c>
      <c r="E225" t="s">
        <v>232</v>
      </c>
      <c r="F225" s="126">
        <v>9.5</v>
      </c>
      <c r="G225" s="77">
        <v>25000</v>
      </c>
      <c r="H225" s="126">
        <v>49.3</v>
      </c>
      <c r="I225" s="124">
        <v>790.06</v>
      </c>
      <c r="J225" s="126">
        <v>4.2</v>
      </c>
      <c r="K225" s="124">
        <v>19791.666666666701</v>
      </c>
      <c r="L225" s="124">
        <v>20581.726666666698</v>
      </c>
    </row>
    <row r="226" spans="1:12" ht="15" customHeight="1" x14ac:dyDescent="0.25">
      <c r="A226" s="78">
        <v>45717</v>
      </c>
      <c r="B226" t="s">
        <v>335</v>
      </c>
      <c r="C226" t="s">
        <v>336</v>
      </c>
      <c r="D226" t="s">
        <v>223</v>
      </c>
      <c r="E226" t="s">
        <v>2369</v>
      </c>
      <c r="F226" s="126">
        <v>19.399999999999999</v>
      </c>
      <c r="G226" s="77">
        <v>35000</v>
      </c>
      <c r="H226" s="126">
        <v>102.4</v>
      </c>
      <c r="I226" s="124">
        <v>2297.44</v>
      </c>
      <c r="J226" s="126">
        <v>8.5</v>
      </c>
      <c r="K226" s="124">
        <v>56583.333333333299</v>
      </c>
      <c r="L226" s="124">
        <v>58880.773333333302</v>
      </c>
    </row>
    <row r="227" spans="1:12" ht="15" customHeight="1" x14ac:dyDescent="0.25">
      <c r="A227" s="78">
        <v>45717</v>
      </c>
      <c r="B227" t="s">
        <v>335</v>
      </c>
      <c r="C227" t="s">
        <v>336</v>
      </c>
      <c r="D227" t="s">
        <v>223</v>
      </c>
      <c r="E227" t="s">
        <v>230</v>
      </c>
      <c r="F227" s="126">
        <v>15.9</v>
      </c>
      <c r="G227" s="77">
        <v>41000</v>
      </c>
      <c r="H227" s="126">
        <v>98.2</v>
      </c>
      <c r="I227" s="124">
        <v>2580.9</v>
      </c>
      <c r="J227" s="126">
        <v>8</v>
      </c>
      <c r="K227" s="124">
        <v>54325</v>
      </c>
      <c r="L227" s="124">
        <v>56905.9</v>
      </c>
    </row>
    <row r="228" spans="1:12" ht="15" customHeight="1" x14ac:dyDescent="0.25">
      <c r="A228" s="78">
        <v>45717</v>
      </c>
      <c r="B228" t="s">
        <v>335</v>
      </c>
      <c r="C228" t="s">
        <v>336</v>
      </c>
      <c r="D228" t="s">
        <v>223</v>
      </c>
      <c r="E228" t="s">
        <v>2367</v>
      </c>
      <c r="F228" s="126">
        <v>4.5</v>
      </c>
      <c r="G228" s="77">
        <v>43000</v>
      </c>
      <c r="H228" s="126">
        <v>14</v>
      </c>
      <c r="I228" s="124">
        <v>385.9</v>
      </c>
      <c r="J228" s="126">
        <v>2</v>
      </c>
      <c r="K228" s="124">
        <v>16125</v>
      </c>
      <c r="L228" s="124">
        <v>16510.900000000001</v>
      </c>
    </row>
    <row r="229" spans="1:12" ht="15" customHeight="1" x14ac:dyDescent="0.25">
      <c r="A229" s="78">
        <v>45717</v>
      </c>
      <c r="B229" t="s">
        <v>335</v>
      </c>
      <c r="C229" t="s">
        <v>336</v>
      </c>
      <c r="D229" t="s">
        <v>223</v>
      </c>
      <c r="E229" t="s">
        <v>231</v>
      </c>
      <c r="F229" s="126">
        <v>7.3</v>
      </c>
      <c r="G229" s="77">
        <v>29000</v>
      </c>
      <c r="H229" s="126">
        <v>38.1</v>
      </c>
      <c r="I229" s="124">
        <v>708.27</v>
      </c>
      <c r="J229" s="126">
        <v>3.1</v>
      </c>
      <c r="K229" s="124">
        <v>17641.666666666701</v>
      </c>
      <c r="L229" s="124">
        <v>18349.936666666701</v>
      </c>
    </row>
    <row r="230" spans="1:12" ht="15" customHeight="1" x14ac:dyDescent="0.25">
      <c r="A230" s="78">
        <v>45717</v>
      </c>
      <c r="B230" t="s">
        <v>386</v>
      </c>
      <c r="C230" t="s">
        <v>387</v>
      </c>
      <c r="D230" t="s">
        <v>223</v>
      </c>
      <c r="E230" t="s">
        <v>232</v>
      </c>
      <c r="F230" s="126">
        <v>9.5</v>
      </c>
      <c r="G230" s="77">
        <v>25000</v>
      </c>
      <c r="H230" s="126">
        <v>27.3</v>
      </c>
      <c r="I230" s="124">
        <v>437.5</v>
      </c>
      <c r="J230" s="126">
        <v>4.5</v>
      </c>
      <c r="K230" s="124">
        <v>19791.666666666701</v>
      </c>
      <c r="L230" s="124">
        <v>20229.166666666701</v>
      </c>
    </row>
    <row r="231" spans="1:12" ht="15" customHeight="1" x14ac:dyDescent="0.25">
      <c r="A231" s="78">
        <v>45717</v>
      </c>
      <c r="B231" t="s">
        <v>386</v>
      </c>
      <c r="C231" t="s">
        <v>387</v>
      </c>
      <c r="D231" t="s">
        <v>223</v>
      </c>
      <c r="E231" t="s">
        <v>231</v>
      </c>
      <c r="F231" s="126">
        <v>8.6999999999999993</v>
      </c>
      <c r="G231" s="77">
        <v>29000</v>
      </c>
      <c r="H231" s="126">
        <v>19.399999999999999</v>
      </c>
      <c r="I231" s="124">
        <v>360.64</v>
      </c>
      <c r="J231" s="126">
        <v>6.2</v>
      </c>
      <c r="K231" s="124">
        <v>21025</v>
      </c>
      <c r="L231" s="124">
        <v>21385.64</v>
      </c>
    </row>
    <row r="232" spans="1:12" ht="15" customHeight="1" x14ac:dyDescent="0.25">
      <c r="A232" s="78">
        <v>45717</v>
      </c>
      <c r="B232" t="s">
        <v>386</v>
      </c>
      <c r="C232" t="s">
        <v>387</v>
      </c>
      <c r="D232" t="s">
        <v>223</v>
      </c>
      <c r="E232" t="s">
        <v>105</v>
      </c>
      <c r="F232" s="126">
        <v>13.3</v>
      </c>
      <c r="G232" s="77">
        <v>28000</v>
      </c>
      <c r="H232" s="126">
        <v>41.9</v>
      </c>
      <c r="I232" s="124">
        <v>752.05</v>
      </c>
      <c r="J232" s="126">
        <v>7.5</v>
      </c>
      <c r="K232" s="124">
        <v>31033.333333333299</v>
      </c>
      <c r="L232" s="124">
        <v>31785.383333333299</v>
      </c>
    </row>
    <row r="233" spans="1:12" ht="15" customHeight="1" x14ac:dyDescent="0.25">
      <c r="A233" s="78">
        <v>45717</v>
      </c>
      <c r="B233" t="s">
        <v>386</v>
      </c>
      <c r="C233" t="s">
        <v>387</v>
      </c>
      <c r="D233" t="s">
        <v>223</v>
      </c>
      <c r="E233" t="s">
        <v>2369</v>
      </c>
      <c r="F233" s="126">
        <v>11</v>
      </c>
      <c r="G233" s="77">
        <v>35000</v>
      </c>
      <c r="H233" s="126">
        <v>47.5</v>
      </c>
      <c r="I233" s="124">
        <v>1065.71</v>
      </c>
      <c r="J233" s="126">
        <v>4.5</v>
      </c>
      <c r="K233" s="124">
        <v>32083.333333333299</v>
      </c>
      <c r="L233" s="124">
        <v>33149.043333333299</v>
      </c>
    </row>
    <row r="234" spans="1:12" ht="15" customHeight="1" x14ac:dyDescent="0.25">
      <c r="A234" s="78">
        <v>45717</v>
      </c>
      <c r="B234" t="s">
        <v>341</v>
      </c>
      <c r="C234" t="s">
        <v>342</v>
      </c>
      <c r="D234" t="s">
        <v>223</v>
      </c>
      <c r="E234" t="s">
        <v>230</v>
      </c>
      <c r="F234" s="126">
        <v>10</v>
      </c>
      <c r="G234" s="77">
        <v>41000</v>
      </c>
      <c r="H234" s="126">
        <v>39.9</v>
      </c>
      <c r="I234" s="124">
        <v>1048.6500000000001</v>
      </c>
      <c r="J234" s="126">
        <v>5.8</v>
      </c>
      <c r="K234" s="124">
        <v>34166.666666666701</v>
      </c>
      <c r="L234" s="124">
        <v>35215.316666666702</v>
      </c>
    </row>
    <row r="235" spans="1:12" ht="15" customHeight="1" x14ac:dyDescent="0.25">
      <c r="A235" s="78">
        <v>45717</v>
      </c>
      <c r="B235" t="s">
        <v>341</v>
      </c>
      <c r="C235" t="s">
        <v>342</v>
      </c>
      <c r="D235" t="s">
        <v>223</v>
      </c>
      <c r="E235" t="s">
        <v>2367</v>
      </c>
      <c r="F235" s="126">
        <v>3.2</v>
      </c>
      <c r="G235" s="77">
        <v>43000</v>
      </c>
      <c r="H235" s="126">
        <v>11.9</v>
      </c>
      <c r="I235" s="124">
        <v>328.01</v>
      </c>
      <c r="J235" s="126">
        <v>2.8</v>
      </c>
      <c r="K235" s="124">
        <v>11466.666666666701</v>
      </c>
      <c r="L235" s="124">
        <v>11794.676666666701</v>
      </c>
    </row>
    <row r="236" spans="1:12" ht="15" customHeight="1" x14ac:dyDescent="0.25">
      <c r="A236" s="78">
        <v>45717</v>
      </c>
      <c r="B236" t="s">
        <v>341</v>
      </c>
      <c r="C236" t="s">
        <v>342</v>
      </c>
      <c r="D236" t="s">
        <v>223</v>
      </c>
      <c r="E236" t="s">
        <v>2369</v>
      </c>
      <c r="F236" s="126">
        <v>5.2</v>
      </c>
      <c r="G236" s="77">
        <v>35000</v>
      </c>
      <c r="H236" s="126">
        <v>28.8</v>
      </c>
      <c r="I236" s="124">
        <v>646.15</v>
      </c>
      <c r="J236" s="126">
        <v>3.5</v>
      </c>
      <c r="K236" s="124">
        <v>15166.666666666701</v>
      </c>
      <c r="L236" s="124">
        <v>15812.8166666667</v>
      </c>
    </row>
    <row r="237" spans="1:12" ht="15" customHeight="1" x14ac:dyDescent="0.25">
      <c r="A237" s="78">
        <v>45717</v>
      </c>
      <c r="B237" t="s">
        <v>341</v>
      </c>
      <c r="C237" t="s">
        <v>342</v>
      </c>
      <c r="D237" t="s">
        <v>223</v>
      </c>
      <c r="E237" t="s">
        <v>231</v>
      </c>
      <c r="F237" s="126">
        <v>17.7</v>
      </c>
      <c r="G237" s="77">
        <v>29000</v>
      </c>
      <c r="H237" s="126">
        <v>58.6</v>
      </c>
      <c r="I237" s="124">
        <v>1089.3599999999999</v>
      </c>
      <c r="J237" s="126">
        <v>7.8</v>
      </c>
      <c r="K237" s="124">
        <v>42775</v>
      </c>
      <c r="L237" s="124">
        <v>43864.36</v>
      </c>
    </row>
    <row r="238" spans="1:12" ht="15" customHeight="1" x14ac:dyDescent="0.25">
      <c r="A238" s="78">
        <v>45717</v>
      </c>
      <c r="B238" t="s">
        <v>341</v>
      </c>
      <c r="C238" t="s">
        <v>342</v>
      </c>
      <c r="D238" t="s">
        <v>223</v>
      </c>
      <c r="E238" t="s">
        <v>105</v>
      </c>
      <c r="F238" s="126">
        <v>16.3</v>
      </c>
      <c r="G238" s="77">
        <v>28000</v>
      </c>
      <c r="H238" s="126">
        <v>50.2</v>
      </c>
      <c r="I238" s="124">
        <v>901.03</v>
      </c>
      <c r="J238" s="126">
        <v>8.3000000000000007</v>
      </c>
      <c r="K238" s="124">
        <v>38033.333333333299</v>
      </c>
      <c r="L238" s="124">
        <v>38934.363333333298</v>
      </c>
    </row>
    <row r="239" spans="1:12" ht="15" customHeight="1" x14ac:dyDescent="0.25">
      <c r="A239" s="78">
        <v>45717</v>
      </c>
      <c r="B239" t="s">
        <v>347</v>
      </c>
      <c r="C239" t="s">
        <v>348</v>
      </c>
      <c r="D239" t="s">
        <v>223</v>
      </c>
      <c r="E239" t="s">
        <v>2369</v>
      </c>
      <c r="F239" s="126">
        <v>14.9</v>
      </c>
      <c r="G239" s="77">
        <v>35000</v>
      </c>
      <c r="H239" s="126">
        <v>71.8</v>
      </c>
      <c r="I239" s="124">
        <v>1610.9</v>
      </c>
      <c r="J239" s="126">
        <v>5.3</v>
      </c>
      <c r="K239" s="124">
        <v>43458.333333333299</v>
      </c>
      <c r="L239" s="124">
        <v>45069.233333333301</v>
      </c>
    </row>
    <row r="240" spans="1:12" ht="15" customHeight="1" x14ac:dyDescent="0.25">
      <c r="A240" s="78">
        <v>45717</v>
      </c>
      <c r="B240" t="s">
        <v>347</v>
      </c>
      <c r="C240" t="s">
        <v>348</v>
      </c>
      <c r="D240" t="s">
        <v>223</v>
      </c>
      <c r="E240" t="s">
        <v>232</v>
      </c>
      <c r="F240" s="126">
        <v>9.6</v>
      </c>
      <c r="G240" s="77">
        <v>25000</v>
      </c>
      <c r="H240" s="126">
        <v>38.299999999999997</v>
      </c>
      <c r="I240" s="124">
        <v>613.78</v>
      </c>
      <c r="J240" s="126">
        <v>5</v>
      </c>
      <c r="K240" s="124">
        <v>20000</v>
      </c>
      <c r="L240" s="124">
        <v>20613.78</v>
      </c>
    </row>
    <row r="241" spans="1:12" ht="15" customHeight="1" x14ac:dyDescent="0.25">
      <c r="A241" s="78">
        <v>45717</v>
      </c>
      <c r="B241" t="s">
        <v>347</v>
      </c>
      <c r="C241" t="s">
        <v>348</v>
      </c>
      <c r="D241" t="s">
        <v>223</v>
      </c>
      <c r="E241" t="s">
        <v>2367</v>
      </c>
      <c r="F241" s="126">
        <v>18.7</v>
      </c>
      <c r="G241" s="77">
        <v>43000</v>
      </c>
      <c r="H241" s="126">
        <v>67</v>
      </c>
      <c r="I241" s="124">
        <v>1846.79</v>
      </c>
      <c r="J241" s="126">
        <v>10.6</v>
      </c>
      <c r="K241" s="124">
        <v>67008.333333333299</v>
      </c>
      <c r="L241" s="124">
        <v>68855.123333333293</v>
      </c>
    </row>
    <row r="242" spans="1:12" ht="15" customHeight="1" x14ac:dyDescent="0.25">
      <c r="A242" s="78">
        <v>45717</v>
      </c>
      <c r="B242" t="s">
        <v>347</v>
      </c>
      <c r="C242" t="s">
        <v>348</v>
      </c>
      <c r="D242" t="s">
        <v>223</v>
      </c>
      <c r="E242" t="s">
        <v>231</v>
      </c>
      <c r="F242" s="126">
        <v>14.1</v>
      </c>
      <c r="G242" s="77">
        <v>29000</v>
      </c>
      <c r="H242" s="126">
        <v>65.3</v>
      </c>
      <c r="I242" s="124">
        <v>1213.9100000000001</v>
      </c>
      <c r="J242" s="126">
        <v>8.4</v>
      </c>
      <c r="K242" s="124">
        <v>34075</v>
      </c>
      <c r="L242" s="124">
        <v>35288.910000000003</v>
      </c>
    </row>
    <row r="243" spans="1:12" ht="15" customHeight="1" x14ac:dyDescent="0.25">
      <c r="A243" s="78">
        <v>45717</v>
      </c>
      <c r="B243" t="s">
        <v>347</v>
      </c>
      <c r="C243" t="s">
        <v>348</v>
      </c>
      <c r="D243" t="s">
        <v>223</v>
      </c>
      <c r="E243" t="s">
        <v>105</v>
      </c>
      <c r="F243" s="126">
        <v>3.8</v>
      </c>
      <c r="G243" s="77">
        <v>28000</v>
      </c>
      <c r="H243" s="126">
        <v>14</v>
      </c>
      <c r="I243" s="124">
        <v>251.28</v>
      </c>
      <c r="J243" s="126">
        <v>2.8</v>
      </c>
      <c r="K243" s="124">
        <v>8866.6666666666697</v>
      </c>
      <c r="L243" s="124">
        <v>9117.9466666666704</v>
      </c>
    </row>
    <row r="244" spans="1:12" ht="15" customHeight="1" x14ac:dyDescent="0.25">
      <c r="A244" s="78">
        <v>45717</v>
      </c>
      <c r="B244" t="s">
        <v>347</v>
      </c>
      <c r="C244" t="s">
        <v>348</v>
      </c>
      <c r="D244" t="s">
        <v>223</v>
      </c>
      <c r="E244" t="s">
        <v>230</v>
      </c>
      <c r="F244" s="126">
        <v>13</v>
      </c>
      <c r="G244" s="77">
        <v>41000</v>
      </c>
      <c r="H244" s="126">
        <v>83.9</v>
      </c>
      <c r="I244" s="124">
        <v>2205.06</v>
      </c>
      <c r="J244" s="126">
        <v>7.8</v>
      </c>
      <c r="K244" s="124">
        <v>44416.666666666701</v>
      </c>
      <c r="L244" s="124">
        <v>46621.726666666698</v>
      </c>
    </row>
    <row r="245" spans="1:12" ht="15" customHeight="1" x14ac:dyDescent="0.25">
      <c r="A245" s="78">
        <v>45717</v>
      </c>
      <c r="B245" t="s">
        <v>409</v>
      </c>
      <c r="C245" t="s">
        <v>410</v>
      </c>
      <c r="D245" t="s">
        <v>223</v>
      </c>
      <c r="E245" t="s">
        <v>2367</v>
      </c>
      <c r="F245" s="126">
        <v>3.7</v>
      </c>
      <c r="G245" s="77">
        <v>43000</v>
      </c>
      <c r="H245" s="126">
        <v>8.6999999999999993</v>
      </c>
      <c r="I245" s="124">
        <v>239.81</v>
      </c>
      <c r="J245" s="126">
        <v>1.6</v>
      </c>
      <c r="K245" s="124">
        <v>13258.333333333299</v>
      </c>
      <c r="L245" s="124">
        <v>13498.143333333301</v>
      </c>
    </row>
    <row r="246" spans="1:12" ht="15" customHeight="1" x14ac:dyDescent="0.25">
      <c r="A246" s="78">
        <v>45717</v>
      </c>
      <c r="B246" t="s">
        <v>409</v>
      </c>
      <c r="C246" t="s">
        <v>410</v>
      </c>
      <c r="D246" t="s">
        <v>223</v>
      </c>
      <c r="E246" t="s">
        <v>2369</v>
      </c>
      <c r="F246" s="126">
        <v>13.2</v>
      </c>
      <c r="G246" s="77">
        <v>35000</v>
      </c>
      <c r="H246" s="126">
        <v>46</v>
      </c>
      <c r="I246" s="124">
        <v>1032.05</v>
      </c>
      <c r="J246" s="126">
        <v>7.1</v>
      </c>
      <c r="K246" s="124">
        <v>38500</v>
      </c>
      <c r="L246" s="124">
        <v>39532.050000000003</v>
      </c>
    </row>
    <row r="247" spans="1:12" ht="15" customHeight="1" x14ac:dyDescent="0.25">
      <c r="A247" s="78">
        <v>45717</v>
      </c>
      <c r="B247" t="s">
        <v>409</v>
      </c>
      <c r="C247" t="s">
        <v>410</v>
      </c>
      <c r="D247" t="s">
        <v>223</v>
      </c>
      <c r="E247" t="s">
        <v>231</v>
      </c>
      <c r="F247" s="126">
        <v>10.3</v>
      </c>
      <c r="G247" s="77">
        <v>29000</v>
      </c>
      <c r="H247" s="126">
        <v>51.8</v>
      </c>
      <c r="I247" s="124">
        <v>962.95</v>
      </c>
      <c r="J247" s="126">
        <v>4.3</v>
      </c>
      <c r="K247" s="124">
        <v>24891.666666666701</v>
      </c>
      <c r="L247" s="124">
        <v>25854.616666666701</v>
      </c>
    </row>
    <row r="248" spans="1:12" ht="15" customHeight="1" x14ac:dyDescent="0.25">
      <c r="A248" s="78">
        <v>45717</v>
      </c>
      <c r="B248" t="s">
        <v>409</v>
      </c>
      <c r="C248" t="s">
        <v>410</v>
      </c>
      <c r="D248" t="s">
        <v>223</v>
      </c>
      <c r="E248" t="s">
        <v>2368</v>
      </c>
      <c r="F248" s="126">
        <v>14.7</v>
      </c>
      <c r="G248" s="77">
        <v>27000</v>
      </c>
      <c r="H248" s="126">
        <v>60.3</v>
      </c>
      <c r="I248" s="124">
        <v>1043.6500000000001</v>
      </c>
      <c r="J248" s="126">
        <v>5.3</v>
      </c>
      <c r="K248" s="124">
        <v>33075</v>
      </c>
      <c r="L248" s="124">
        <v>34118.65</v>
      </c>
    </row>
    <row r="249" spans="1:12" ht="15" customHeight="1" x14ac:dyDescent="0.25">
      <c r="A249" s="78">
        <v>45717</v>
      </c>
      <c r="B249" t="s">
        <v>409</v>
      </c>
      <c r="C249" t="s">
        <v>410</v>
      </c>
      <c r="D249" t="s">
        <v>223</v>
      </c>
      <c r="E249" t="s">
        <v>105</v>
      </c>
      <c r="F249" s="126">
        <v>19.5</v>
      </c>
      <c r="G249" s="77">
        <v>28000</v>
      </c>
      <c r="H249" s="126">
        <v>120.2</v>
      </c>
      <c r="I249" s="124">
        <v>2157.44</v>
      </c>
      <c r="J249" s="126">
        <v>9.1999999999999993</v>
      </c>
      <c r="K249" s="124">
        <v>45500</v>
      </c>
      <c r="L249" s="124">
        <v>47657.440000000002</v>
      </c>
    </row>
    <row r="250" spans="1:12" ht="15" customHeight="1" x14ac:dyDescent="0.25">
      <c r="A250" s="78">
        <v>45717</v>
      </c>
      <c r="B250" t="s">
        <v>409</v>
      </c>
      <c r="C250" t="s">
        <v>410</v>
      </c>
      <c r="D250" t="s">
        <v>223</v>
      </c>
      <c r="E250" t="s">
        <v>232</v>
      </c>
      <c r="F250" s="126">
        <v>4.3</v>
      </c>
      <c r="G250" s="77">
        <v>25000</v>
      </c>
      <c r="H250" s="126">
        <v>17.600000000000001</v>
      </c>
      <c r="I250" s="124">
        <v>282.05</v>
      </c>
      <c r="J250" s="126">
        <v>1.8</v>
      </c>
      <c r="K250" s="124">
        <v>8958.3333333333303</v>
      </c>
      <c r="L250" s="124">
        <v>9240.3833333333296</v>
      </c>
    </row>
    <row r="251" spans="1:12" ht="15" customHeight="1" x14ac:dyDescent="0.25">
      <c r="A251" s="78">
        <v>45717</v>
      </c>
      <c r="B251" t="s">
        <v>488</v>
      </c>
      <c r="C251" t="s">
        <v>489</v>
      </c>
      <c r="D251" t="s">
        <v>225</v>
      </c>
      <c r="E251" t="s">
        <v>2369</v>
      </c>
      <c r="F251" s="126">
        <v>16.7</v>
      </c>
      <c r="G251" s="77">
        <v>35000</v>
      </c>
      <c r="H251" s="126">
        <v>95.5</v>
      </c>
      <c r="I251" s="124">
        <v>2142.63</v>
      </c>
      <c r="J251" s="126">
        <v>5.5</v>
      </c>
      <c r="K251" s="124">
        <v>48708.333333333299</v>
      </c>
      <c r="L251" s="124">
        <v>50850.963333333297</v>
      </c>
    </row>
    <row r="252" spans="1:12" ht="15" customHeight="1" x14ac:dyDescent="0.25">
      <c r="A252" s="78">
        <v>45717</v>
      </c>
      <c r="B252" t="s">
        <v>488</v>
      </c>
      <c r="C252" t="s">
        <v>489</v>
      </c>
      <c r="D252" t="s">
        <v>225</v>
      </c>
      <c r="E252" t="s">
        <v>231</v>
      </c>
      <c r="F252" s="126">
        <v>18.399999999999999</v>
      </c>
      <c r="G252" s="77">
        <v>29000</v>
      </c>
      <c r="H252" s="126">
        <v>73.099999999999994</v>
      </c>
      <c r="I252" s="124">
        <v>1358.91</v>
      </c>
      <c r="J252" s="126">
        <v>9.1</v>
      </c>
      <c r="K252" s="124">
        <v>44466.666666666701</v>
      </c>
      <c r="L252" s="124">
        <v>45825.576666666697</v>
      </c>
    </row>
    <row r="253" spans="1:12" ht="15" customHeight="1" x14ac:dyDescent="0.25">
      <c r="A253" s="78">
        <v>45717</v>
      </c>
      <c r="B253" t="s">
        <v>488</v>
      </c>
      <c r="C253" t="s">
        <v>489</v>
      </c>
      <c r="D253" t="s">
        <v>225</v>
      </c>
      <c r="E253" t="s">
        <v>232</v>
      </c>
      <c r="F253" s="126">
        <v>16.100000000000001</v>
      </c>
      <c r="G253" s="77">
        <v>25000</v>
      </c>
      <c r="H253" s="126">
        <v>53.4</v>
      </c>
      <c r="I253" s="124">
        <v>855.77</v>
      </c>
      <c r="J253" s="126">
        <v>9.8000000000000007</v>
      </c>
      <c r="K253" s="124">
        <v>33541.666666666701</v>
      </c>
      <c r="L253" s="124">
        <v>34397.436666666697</v>
      </c>
    </row>
    <row r="254" spans="1:12" ht="15" customHeight="1" x14ac:dyDescent="0.25">
      <c r="A254" s="78">
        <v>45717</v>
      </c>
      <c r="B254" t="s">
        <v>488</v>
      </c>
      <c r="C254" t="s">
        <v>489</v>
      </c>
      <c r="D254" t="s">
        <v>225</v>
      </c>
      <c r="E254" t="s">
        <v>105</v>
      </c>
      <c r="F254" s="126">
        <v>3.7</v>
      </c>
      <c r="G254" s="77">
        <v>28000</v>
      </c>
      <c r="H254" s="126">
        <v>9.9</v>
      </c>
      <c r="I254" s="124">
        <v>177.69</v>
      </c>
      <c r="J254" s="126">
        <v>2.6</v>
      </c>
      <c r="K254" s="124">
        <v>8633.3333333333303</v>
      </c>
      <c r="L254" s="124">
        <v>8811.0233333333308</v>
      </c>
    </row>
    <row r="255" spans="1:12" ht="15" customHeight="1" x14ac:dyDescent="0.25">
      <c r="A255" s="78">
        <v>45717</v>
      </c>
      <c r="B255" t="s">
        <v>488</v>
      </c>
      <c r="C255" t="s">
        <v>489</v>
      </c>
      <c r="D255" t="s">
        <v>225</v>
      </c>
      <c r="E255" t="s">
        <v>230</v>
      </c>
      <c r="F255" s="126">
        <v>6.1</v>
      </c>
      <c r="G255" s="77">
        <v>41000</v>
      </c>
      <c r="H255" s="126">
        <v>27.7</v>
      </c>
      <c r="I255" s="124">
        <v>728.01</v>
      </c>
      <c r="J255" s="126">
        <v>4.3</v>
      </c>
      <c r="K255" s="124">
        <v>20841.666666666701</v>
      </c>
      <c r="L255" s="124">
        <v>21569.676666666699</v>
      </c>
    </row>
    <row r="256" spans="1:12" ht="15" customHeight="1" x14ac:dyDescent="0.25">
      <c r="A256" s="78">
        <v>45717</v>
      </c>
      <c r="B256" t="s">
        <v>406</v>
      </c>
      <c r="C256" t="s">
        <v>407</v>
      </c>
      <c r="D256" t="s">
        <v>225</v>
      </c>
      <c r="E256" t="s">
        <v>105</v>
      </c>
      <c r="F256" s="126">
        <v>15.1</v>
      </c>
      <c r="G256" s="77">
        <v>28000</v>
      </c>
      <c r="H256" s="126">
        <v>45.3</v>
      </c>
      <c r="I256" s="124">
        <v>813.08</v>
      </c>
      <c r="J256" s="126">
        <v>6.8</v>
      </c>
      <c r="K256" s="124">
        <v>35233.333333333299</v>
      </c>
      <c r="L256" s="124">
        <v>36046.413333333301</v>
      </c>
    </row>
    <row r="257" spans="1:12" ht="15" customHeight="1" x14ac:dyDescent="0.25">
      <c r="A257" s="78">
        <v>45717</v>
      </c>
      <c r="B257" t="s">
        <v>406</v>
      </c>
      <c r="C257" t="s">
        <v>407</v>
      </c>
      <c r="D257" t="s">
        <v>225</v>
      </c>
      <c r="E257" t="s">
        <v>2368</v>
      </c>
      <c r="F257" s="126">
        <v>16.7</v>
      </c>
      <c r="G257" s="77">
        <v>27000</v>
      </c>
      <c r="H257" s="126">
        <v>94.3</v>
      </c>
      <c r="I257" s="124">
        <v>1632.12</v>
      </c>
      <c r="J257" s="126">
        <v>8.8000000000000007</v>
      </c>
      <c r="K257" s="124">
        <v>37575</v>
      </c>
      <c r="L257" s="124">
        <v>39207.120000000003</v>
      </c>
    </row>
    <row r="258" spans="1:12" ht="15" customHeight="1" x14ac:dyDescent="0.25">
      <c r="A258" s="78">
        <v>45717</v>
      </c>
      <c r="B258" t="s">
        <v>406</v>
      </c>
      <c r="C258" t="s">
        <v>407</v>
      </c>
      <c r="D258" t="s">
        <v>225</v>
      </c>
      <c r="E258" t="s">
        <v>2367</v>
      </c>
      <c r="F258" s="126">
        <v>19.100000000000001</v>
      </c>
      <c r="G258" s="77">
        <v>43000</v>
      </c>
      <c r="H258" s="126">
        <v>32.1</v>
      </c>
      <c r="I258" s="124">
        <v>884.81</v>
      </c>
      <c r="J258" s="126">
        <v>9</v>
      </c>
      <c r="K258" s="124">
        <v>68441.666666666701</v>
      </c>
      <c r="L258" s="124">
        <v>69326.476666666698</v>
      </c>
    </row>
    <row r="259" spans="1:12" ht="15" customHeight="1" x14ac:dyDescent="0.25">
      <c r="A259" s="78">
        <v>45717</v>
      </c>
      <c r="B259" t="s">
        <v>406</v>
      </c>
      <c r="C259" t="s">
        <v>407</v>
      </c>
      <c r="D259" t="s">
        <v>225</v>
      </c>
      <c r="E259" t="s">
        <v>2369</v>
      </c>
      <c r="F259" s="126">
        <v>5</v>
      </c>
      <c r="G259" s="77">
        <v>35000</v>
      </c>
      <c r="H259" s="126">
        <v>22.9</v>
      </c>
      <c r="I259" s="124">
        <v>513.78</v>
      </c>
      <c r="J259" s="126">
        <v>3.3</v>
      </c>
      <c r="K259" s="124">
        <v>14583.333333333299</v>
      </c>
      <c r="L259" s="124">
        <v>15097.1133333333</v>
      </c>
    </row>
    <row r="260" spans="1:12" ht="15" customHeight="1" x14ac:dyDescent="0.25">
      <c r="A260" s="78">
        <v>45717</v>
      </c>
      <c r="B260" t="s">
        <v>406</v>
      </c>
      <c r="C260" t="s">
        <v>407</v>
      </c>
      <c r="D260" t="s">
        <v>225</v>
      </c>
      <c r="E260" t="s">
        <v>232</v>
      </c>
      <c r="F260" s="126">
        <v>5.8</v>
      </c>
      <c r="G260" s="77">
        <v>25000</v>
      </c>
      <c r="H260" s="126">
        <v>17.3</v>
      </c>
      <c r="I260" s="124">
        <v>277.24</v>
      </c>
      <c r="J260" s="126">
        <v>0</v>
      </c>
      <c r="K260" s="124">
        <v>12083.333333333299</v>
      </c>
      <c r="L260" s="124">
        <v>12360.573333333299</v>
      </c>
    </row>
    <row r="261" spans="1:12" ht="15" customHeight="1" x14ac:dyDescent="0.25">
      <c r="A261" s="78">
        <v>45717</v>
      </c>
      <c r="B261" t="s">
        <v>358</v>
      </c>
      <c r="C261" t="s">
        <v>359</v>
      </c>
      <c r="D261" t="s">
        <v>225</v>
      </c>
      <c r="E261" t="s">
        <v>2368</v>
      </c>
      <c r="F261" s="126">
        <v>10.4</v>
      </c>
      <c r="G261" s="77">
        <v>27000</v>
      </c>
      <c r="H261" s="126">
        <v>49.8</v>
      </c>
      <c r="I261" s="124">
        <v>861.92</v>
      </c>
      <c r="J261" s="126">
        <v>4</v>
      </c>
      <c r="K261" s="124">
        <v>23400</v>
      </c>
      <c r="L261" s="124">
        <v>24261.919999999998</v>
      </c>
    </row>
    <row r="262" spans="1:12" ht="15" customHeight="1" x14ac:dyDescent="0.25">
      <c r="A262" s="78">
        <v>45717</v>
      </c>
      <c r="B262" t="s">
        <v>358</v>
      </c>
      <c r="C262" t="s">
        <v>359</v>
      </c>
      <c r="D262" t="s">
        <v>225</v>
      </c>
      <c r="E262" t="s">
        <v>2367</v>
      </c>
      <c r="F262" s="126">
        <v>9.1999999999999993</v>
      </c>
      <c r="G262" s="77">
        <v>43000</v>
      </c>
      <c r="H262" s="126">
        <v>9</v>
      </c>
      <c r="I262" s="124">
        <v>248.08</v>
      </c>
      <c r="J262" s="126">
        <v>1.8</v>
      </c>
      <c r="K262" s="124">
        <v>32966.666666666701</v>
      </c>
      <c r="L262" s="124">
        <v>33214.746666666702</v>
      </c>
    </row>
    <row r="263" spans="1:12" ht="15" customHeight="1" x14ac:dyDescent="0.25">
      <c r="A263" s="78">
        <v>45717</v>
      </c>
      <c r="B263" t="s">
        <v>358</v>
      </c>
      <c r="C263" t="s">
        <v>359</v>
      </c>
      <c r="D263" t="s">
        <v>225</v>
      </c>
      <c r="E263" t="s">
        <v>105</v>
      </c>
      <c r="F263" s="126">
        <v>14.9</v>
      </c>
      <c r="G263" s="77">
        <v>28000</v>
      </c>
      <c r="H263" s="126">
        <v>77.8</v>
      </c>
      <c r="I263" s="124">
        <v>1396.41</v>
      </c>
      <c r="J263" s="126">
        <v>7.6</v>
      </c>
      <c r="K263" s="124">
        <v>34766.666666666701</v>
      </c>
      <c r="L263" s="124">
        <v>36163.076666666697</v>
      </c>
    </row>
    <row r="264" spans="1:12" ht="15" customHeight="1" x14ac:dyDescent="0.25">
      <c r="A264" s="78">
        <v>45717</v>
      </c>
      <c r="B264" t="s">
        <v>358</v>
      </c>
      <c r="C264" t="s">
        <v>359</v>
      </c>
      <c r="D264" t="s">
        <v>225</v>
      </c>
      <c r="E264" t="s">
        <v>232</v>
      </c>
      <c r="F264" s="126">
        <v>3.3</v>
      </c>
      <c r="G264" s="77">
        <v>25000</v>
      </c>
      <c r="H264" s="126">
        <v>12.1</v>
      </c>
      <c r="I264" s="124">
        <v>193.91</v>
      </c>
      <c r="J264" s="126">
        <v>3</v>
      </c>
      <c r="K264" s="124">
        <v>6875</v>
      </c>
      <c r="L264" s="124">
        <v>7068.91</v>
      </c>
    </row>
    <row r="265" spans="1:12" ht="15" customHeight="1" x14ac:dyDescent="0.25">
      <c r="A265" s="78">
        <v>45717</v>
      </c>
      <c r="B265" t="s">
        <v>383</v>
      </c>
      <c r="C265" t="s">
        <v>384</v>
      </c>
      <c r="D265" t="s">
        <v>225</v>
      </c>
      <c r="E265" t="s">
        <v>2368</v>
      </c>
      <c r="F265" s="126">
        <v>3.6</v>
      </c>
      <c r="G265" s="77">
        <v>27000</v>
      </c>
      <c r="H265" s="126">
        <v>17.8</v>
      </c>
      <c r="I265" s="124">
        <v>308.08</v>
      </c>
      <c r="J265" s="126">
        <v>3.4</v>
      </c>
      <c r="K265" s="124">
        <v>8100</v>
      </c>
      <c r="L265" s="124">
        <v>8408.08</v>
      </c>
    </row>
    <row r="266" spans="1:12" ht="15" customHeight="1" x14ac:dyDescent="0.25">
      <c r="A266" s="78">
        <v>45717</v>
      </c>
      <c r="B266" t="s">
        <v>383</v>
      </c>
      <c r="C266" t="s">
        <v>384</v>
      </c>
      <c r="D266" t="s">
        <v>225</v>
      </c>
      <c r="E266" t="s">
        <v>230</v>
      </c>
      <c r="F266" s="126">
        <v>10.4</v>
      </c>
      <c r="G266" s="77">
        <v>41000</v>
      </c>
      <c r="H266" s="126">
        <v>19.899999999999999</v>
      </c>
      <c r="I266" s="124">
        <v>523.01</v>
      </c>
      <c r="J266" s="126">
        <v>5.2</v>
      </c>
      <c r="K266" s="124">
        <v>35533.333333333299</v>
      </c>
      <c r="L266" s="124">
        <v>36056.343333333301</v>
      </c>
    </row>
    <row r="267" spans="1:12" ht="15" customHeight="1" x14ac:dyDescent="0.25">
      <c r="A267" s="78">
        <v>45717</v>
      </c>
      <c r="B267" t="s">
        <v>383</v>
      </c>
      <c r="C267" t="s">
        <v>384</v>
      </c>
      <c r="D267" t="s">
        <v>225</v>
      </c>
      <c r="E267" t="s">
        <v>2367</v>
      </c>
      <c r="F267" s="126">
        <v>14.9</v>
      </c>
      <c r="G267" s="77">
        <v>43000</v>
      </c>
      <c r="H267" s="126">
        <v>23.5</v>
      </c>
      <c r="I267" s="124">
        <v>647.76</v>
      </c>
      <c r="J267" s="126">
        <v>7.2</v>
      </c>
      <c r="K267" s="124">
        <v>53391.666666666701</v>
      </c>
      <c r="L267" s="124">
        <v>54039.426666666703</v>
      </c>
    </row>
    <row r="268" spans="1:12" ht="15" customHeight="1" x14ac:dyDescent="0.25">
      <c r="A268" s="78">
        <v>45717</v>
      </c>
      <c r="B268" t="s">
        <v>383</v>
      </c>
      <c r="C268" t="s">
        <v>384</v>
      </c>
      <c r="D268" t="s">
        <v>225</v>
      </c>
      <c r="E268" t="s">
        <v>232</v>
      </c>
      <c r="F268" s="126">
        <v>4.0999999999999996</v>
      </c>
      <c r="G268" s="77">
        <v>25000</v>
      </c>
      <c r="H268" s="126">
        <v>14.9</v>
      </c>
      <c r="I268" s="124">
        <v>238.78</v>
      </c>
      <c r="J268" s="126">
        <v>2.7</v>
      </c>
      <c r="K268" s="124">
        <v>8541.6666666666697</v>
      </c>
      <c r="L268" s="124">
        <v>8780.4466666666704</v>
      </c>
    </row>
    <row r="269" spans="1:12" ht="15" customHeight="1" x14ac:dyDescent="0.25">
      <c r="A269" s="78">
        <v>45717</v>
      </c>
      <c r="B269" t="s">
        <v>383</v>
      </c>
      <c r="C269" t="s">
        <v>384</v>
      </c>
      <c r="D269" t="s">
        <v>225</v>
      </c>
      <c r="E269" t="s">
        <v>231</v>
      </c>
      <c r="F269" s="126">
        <v>4.5</v>
      </c>
      <c r="G269" s="77">
        <v>29000</v>
      </c>
      <c r="H269" s="126">
        <v>18.3</v>
      </c>
      <c r="I269" s="124">
        <v>340.19</v>
      </c>
      <c r="J269" s="126">
        <v>2.9</v>
      </c>
      <c r="K269" s="124">
        <v>10875</v>
      </c>
      <c r="L269" s="124">
        <v>11215.19</v>
      </c>
    </row>
    <row r="270" spans="1:12" ht="15" customHeight="1" x14ac:dyDescent="0.25">
      <c r="A270" s="78">
        <v>45717</v>
      </c>
      <c r="B270" t="s">
        <v>383</v>
      </c>
      <c r="C270" t="s">
        <v>384</v>
      </c>
      <c r="D270" t="s">
        <v>225</v>
      </c>
      <c r="E270" t="s">
        <v>105</v>
      </c>
      <c r="F270" s="126">
        <v>17.899999999999999</v>
      </c>
      <c r="G270" s="77">
        <v>28000</v>
      </c>
      <c r="H270" s="126">
        <v>90.5</v>
      </c>
      <c r="I270" s="124">
        <v>1624.36</v>
      </c>
      <c r="J270" s="126">
        <v>11.1</v>
      </c>
      <c r="K270" s="124">
        <v>41766.666666666701</v>
      </c>
      <c r="L270" s="124">
        <v>43391.026666666701</v>
      </c>
    </row>
    <row r="271" spans="1:12" ht="15" customHeight="1" x14ac:dyDescent="0.25">
      <c r="A271" s="78">
        <v>45717</v>
      </c>
      <c r="B271" t="s">
        <v>373</v>
      </c>
      <c r="C271" t="s">
        <v>374</v>
      </c>
      <c r="D271" t="s">
        <v>225</v>
      </c>
      <c r="E271" t="s">
        <v>230</v>
      </c>
      <c r="F271" s="126">
        <v>3.4</v>
      </c>
      <c r="G271" s="77">
        <v>41000</v>
      </c>
      <c r="H271" s="126">
        <v>12</v>
      </c>
      <c r="I271" s="124">
        <v>315.38</v>
      </c>
      <c r="J271" s="126">
        <v>0.8</v>
      </c>
      <c r="K271" s="124">
        <v>11616.666666666701</v>
      </c>
      <c r="L271" s="124">
        <v>11932.0466666667</v>
      </c>
    </row>
    <row r="272" spans="1:12" ht="15" customHeight="1" x14ac:dyDescent="0.25">
      <c r="A272" s="78">
        <v>45717</v>
      </c>
      <c r="B272" t="s">
        <v>373</v>
      </c>
      <c r="C272" t="s">
        <v>374</v>
      </c>
      <c r="D272" t="s">
        <v>225</v>
      </c>
      <c r="E272" t="s">
        <v>2369</v>
      </c>
      <c r="F272" s="126">
        <v>4.5</v>
      </c>
      <c r="G272" s="77">
        <v>35000</v>
      </c>
      <c r="H272" s="126">
        <v>19.7</v>
      </c>
      <c r="I272" s="124">
        <v>441.99</v>
      </c>
      <c r="J272" s="126">
        <v>1.4</v>
      </c>
      <c r="K272" s="124">
        <v>13125</v>
      </c>
      <c r="L272" s="124">
        <v>13566.99</v>
      </c>
    </row>
    <row r="273" spans="1:12" ht="15" customHeight="1" x14ac:dyDescent="0.25">
      <c r="A273" s="78">
        <v>45717</v>
      </c>
      <c r="B273" t="s">
        <v>373</v>
      </c>
      <c r="C273" t="s">
        <v>374</v>
      </c>
      <c r="D273" t="s">
        <v>225</v>
      </c>
      <c r="E273" t="s">
        <v>2368</v>
      </c>
      <c r="F273" s="126">
        <v>6.2</v>
      </c>
      <c r="G273" s="77">
        <v>27000</v>
      </c>
      <c r="H273" s="126">
        <v>38.6</v>
      </c>
      <c r="I273" s="124">
        <v>668.08</v>
      </c>
      <c r="J273" s="126">
        <v>2.8</v>
      </c>
      <c r="K273" s="124">
        <v>13950</v>
      </c>
      <c r="L273" s="124">
        <v>14618.08</v>
      </c>
    </row>
    <row r="274" spans="1:12" ht="15" customHeight="1" x14ac:dyDescent="0.25">
      <c r="A274" s="78">
        <v>45717</v>
      </c>
      <c r="B274" t="s">
        <v>373</v>
      </c>
      <c r="C274" t="s">
        <v>374</v>
      </c>
      <c r="D274" t="s">
        <v>225</v>
      </c>
      <c r="E274" t="s">
        <v>231</v>
      </c>
      <c r="F274" s="126">
        <v>6.3</v>
      </c>
      <c r="G274" s="77">
        <v>29000</v>
      </c>
      <c r="H274" s="126">
        <v>19.899999999999999</v>
      </c>
      <c r="I274" s="124">
        <v>369.94</v>
      </c>
      <c r="J274" s="126">
        <v>2.7</v>
      </c>
      <c r="K274" s="124">
        <v>15225</v>
      </c>
      <c r="L274" s="124">
        <v>15594.94</v>
      </c>
    </row>
    <row r="275" spans="1:12" ht="15" customHeight="1" x14ac:dyDescent="0.25">
      <c r="A275" s="78">
        <v>45717</v>
      </c>
      <c r="B275" t="s">
        <v>373</v>
      </c>
      <c r="C275" t="s">
        <v>374</v>
      </c>
      <c r="D275" t="s">
        <v>225</v>
      </c>
      <c r="E275" t="s">
        <v>232</v>
      </c>
      <c r="F275" s="126">
        <v>14.2</v>
      </c>
      <c r="G275" s="77">
        <v>25000</v>
      </c>
      <c r="H275" s="126">
        <v>72.099999999999994</v>
      </c>
      <c r="I275" s="124">
        <v>1155.45</v>
      </c>
      <c r="J275" s="126">
        <v>6.9</v>
      </c>
      <c r="K275" s="124">
        <v>29583.333333333299</v>
      </c>
      <c r="L275" s="124">
        <v>30738.7833333333</v>
      </c>
    </row>
    <row r="276" spans="1:12" ht="15" customHeight="1" x14ac:dyDescent="0.25">
      <c r="A276" s="78">
        <v>45717</v>
      </c>
      <c r="B276" t="s">
        <v>373</v>
      </c>
      <c r="C276" t="s">
        <v>374</v>
      </c>
      <c r="D276" t="s">
        <v>225</v>
      </c>
      <c r="E276" t="s">
        <v>105</v>
      </c>
      <c r="F276" s="126">
        <v>12.3</v>
      </c>
      <c r="G276" s="77">
        <v>28000</v>
      </c>
      <c r="H276" s="126">
        <v>37.4</v>
      </c>
      <c r="I276" s="124">
        <v>671.28</v>
      </c>
      <c r="J276" s="126">
        <v>7.8</v>
      </c>
      <c r="K276" s="124">
        <v>28700</v>
      </c>
      <c r="L276" s="124">
        <v>29371.279999999999</v>
      </c>
    </row>
    <row r="277" spans="1:12" ht="15" customHeight="1" x14ac:dyDescent="0.25">
      <c r="A277" s="78">
        <v>45717</v>
      </c>
      <c r="B277" t="s">
        <v>354</v>
      </c>
      <c r="C277" t="s">
        <v>355</v>
      </c>
      <c r="D277" t="s">
        <v>227</v>
      </c>
      <c r="E277" t="s">
        <v>230</v>
      </c>
      <c r="F277" s="126">
        <v>5</v>
      </c>
      <c r="G277" s="77">
        <v>41000</v>
      </c>
      <c r="H277" s="126">
        <v>13.6</v>
      </c>
      <c r="I277" s="124">
        <v>357.44</v>
      </c>
      <c r="J277" s="126">
        <v>2.5</v>
      </c>
      <c r="K277" s="124">
        <v>17083.333333333299</v>
      </c>
      <c r="L277" s="124">
        <v>17440.773333333302</v>
      </c>
    </row>
    <row r="278" spans="1:12" ht="15" customHeight="1" x14ac:dyDescent="0.25">
      <c r="A278" s="78">
        <v>45717</v>
      </c>
      <c r="B278" t="s">
        <v>354</v>
      </c>
      <c r="C278" t="s">
        <v>355</v>
      </c>
      <c r="D278" t="s">
        <v>227</v>
      </c>
      <c r="E278" t="s">
        <v>2369</v>
      </c>
      <c r="F278" s="126">
        <v>3.7</v>
      </c>
      <c r="G278" s="77">
        <v>35000</v>
      </c>
      <c r="H278" s="126">
        <v>18.399999999999999</v>
      </c>
      <c r="I278" s="124">
        <v>412.82</v>
      </c>
      <c r="J278" s="126">
        <v>0.2</v>
      </c>
      <c r="K278" s="124">
        <v>10791.666666666701</v>
      </c>
      <c r="L278" s="124">
        <v>11204.4866666667</v>
      </c>
    </row>
    <row r="279" spans="1:12" ht="15" customHeight="1" x14ac:dyDescent="0.25">
      <c r="A279" s="78">
        <v>45717</v>
      </c>
      <c r="B279" t="s">
        <v>354</v>
      </c>
      <c r="C279" t="s">
        <v>355</v>
      </c>
      <c r="D279" t="s">
        <v>227</v>
      </c>
      <c r="E279" t="s">
        <v>232</v>
      </c>
      <c r="F279" s="126">
        <v>6.4</v>
      </c>
      <c r="G279" s="77">
        <v>25000</v>
      </c>
      <c r="H279" s="126">
        <v>30.2</v>
      </c>
      <c r="I279" s="124">
        <v>483.97</v>
      </c>
      <c r="J279" s="126">
        <v>2.1</v>
      </c>
      <c r="K279" s="124">
        <v>13333.333333333299</v>
      </c>
      <c r="L279" s="124">
        <v>13817.303333333301</v>
      </c>
    </row>
    <row r="280" spans="1:12" ht="15" customHeight="1" x14ac:dyDescent="0.25">
      <c r="A280" s="78">
        <v>45717</v>
      </c>
      <c r="B280" t="s">
        <v>354</v>
      </c>
      <c r="C280" t="s">
        <v>355</v>
      </c>
      <c r="D280" t="s">
        <v>227</v>
      </c>
      <c r="E280" t="s">
        <v>231</v>
      </c>
      <c r="F280" s="126">
        <v>8.1</v>
      </c>
      <c r="G280" s="77">
        <v>29000</v>
      </c>
      <c r="H280" s="126">
        <v>42.4</v>
      </c>
      <c r="I280" s="124">
        <v>788.21</v>
      </c>
      <c r="J280" s="126">
        <v>3.1</v>
      </c>
      <c r="K280" s="124">
        <v>19575</v>
      </c>
      <c r="L280" s="124">
        <v>20363.21</v>
      </c>
    </row>
    <row r="281" spans="1:12" ht="15" customHeight="1" x14ac:dyDescent="0.25">
      <c r="A281" s="78">
        <v>45717</v>
      </c>
      <c r="B281" t="s">
        <v>354</v>
      </c>
      <c r="C281" t="s">
        <v>355</v>
      </c>
      <c r="D281" t="s">
        <v>227</v>
      </c>
      <c r="E281" t="s">
        <v>105</v>
      </c>
      <c r="F281" s="126">
        <v>15.7</v>
      </c>
      <c r="G281" s="77">
        <v>28000</v>
      </c>
      <c r="H281" s="126">
        <v>79.099999999999994</v>
      </c>
      <c r="I281" s="124">
        <v>1419.74</v>
      </c>
      <c r="J281" s="126">
        <v>9</v>
      </c>
      <c r="K281" s="124">
        <v>36633.333333333299</v>
      </c>
      <c r="L281" s="124">
        <v>38053.073333333297</v>
      </c>
    </row>
    <row r="282" spans="1:12" ht="15" customHeight="1" x14ac:dyDescent="0.25">
      <c r="A282" s="78">
        <v>45717</v>
      </c>
      <c r="B282" t="s">
        <v>354</v>
      </c>
      <c r="C282" t="s">
        <v>355</v>
      </c>
      <c r="D282" t="s">
        <v>227</v>
      </c>
      <c r="E282" t="s">
        <v>2368</v>
      </c>
      <c r="F282" s="126">
        <v>9.6</v>
      </c>
      <c r="G282" s="77">
        <v>27000</v>
      </c>
      <c r="H282" s="126">
        <v>50.8</v>
      </c>
      <c r="I282" s="124">
        <v>879.23</v>
      </c>
      <c r="J282" s="126">
        <v>5.0999999999999996</v>
      </c>
      <c r="K282" s="124">
        <v>21600</v>
      </c>
      <c r="L282" s="124">
        <v>22479.23</v>
      </c>
    </row>
    <row r="283" spans="1:12" ht="15" customHeight="1" x14ac:dyDescent="0.25">
      <c r="A283" s="78">
        <v>45717</v>
      </c>
      <c r="B283" t="s">
        <v>370</v>
      </c>
      <c r="C283" t="s">
        <v>371</v>
      </c>
      <c r="D283" t="s">
        <v>227</v>
      </c>
      <c r="E283" t="s">
        <v>232</v>
      </c>
      <c r="F283" s="126">
        <v>14.3</v>
      </c>
      <c r="G283" s="77">
        <v>25000</v>
      </c>
      <c r="H283" s="126">
        <v>52.2</v>
      </c>
      <c r="I283" s="124">
        <v>836.54</v>
      </c>
      <c r="J283" s="126">
        <v>6.6</v>
      </c>
      <c r="K283" s="124">
        <v>29791.666666666701</v>
      </c>
      <c r="L283" s="124">
        <v>30628.206666666701</v>
      </c>
    </row>
    <row r="284" spans="1:12" ht="15" customHeight="1" x14ac:dyDescent="0.25">
      <c r="A284" s="78">
        <v>45717</v>
      </c>
      <c r="B284" t="s">
        <v>370</v>
      </c>
      <c r="C284" t="s">
        <v>371</v>
      </c>
      <c r="D284" t="s">
        <v>227</v>
      </c>
      <c r="E284" t="s">
        <v>2367</v>
      </c>
      <c r="F284" s="126">
        <v>13</v>
      </c>
      <c r="G284" s="77">
        <v>43000</v>
      </c>
      <c r="H284" s="126">
        <v>80.7</v>
      </c>
      <c r="I284" s="124">
        <v>2224.42</v>
      </c>
      <c r="J284" s="126">
        <v>5.8</v>
      </c>
      <c r="K284" s="124">
        <v>46583.333333333299</v>
      </c>
      <c r="L284" s="124">
        <v>48807.753333333298</v>
      </c>
    </row>
    <row r="285" spans="1:12" ht="15" customHeight="1" x14ac:dyDescent="0.25">
      <c r="A285" s="78">
        <v>45717</v>
      </c>
      <c r="B285" t="s">
        <v>370</v>
      </c>
      <c r="C285" t="s">
        <v>371</v>
      </c>
      <c r="D285" t="s">
        <v>227</v>
      </c>
      <c r="E285" t="s">
        <v>105</v>
      </c>
      <c r="F285" s="126">
        <v>3.2</v>
      </c>
      <c r="G285" s="77">
        <v>28000</v>
      </c>
      <c r="H285" s="126">
        <v>7.8</v>
      </c>
      <c r="I285" s="124">
        <v>140</v>
      </c>
      <c r="J285" s="126">
        <v>2.2999999999999998</v>
      </c>
      <c r="K285" s="124">
        <v>7466.6666666666697</v>
      </c>
      <c r="L285" s="124">
        <v>7606.6666666666697</v>
      </c>
    </row>
    <row r="286" spans="1:12" ht="15" customHeight="1" x14ac:dyDescent="0.25">
      <c r="A286" s="78">
        <v>45717</v>
      </c>
      <c r="B286" t="s">
        <v>370</v>
      </c>
      <c r="C286" t="s">
        <v>371</v>
      </c>
      <c r="D286" t="s">
        <v>227</v>
      </c>
      <c r="E286" t="s">
        <v>2368</v>
      </c>
      <c r="F286" s="126">
        <v>18</v>
      </c>
      <c r="G286" s="77">
        <v>27000</v>
      </c>
      <c r="H286" s="126">
        <v>50.5</v>
      </c>
      <c r="I286" s="124">
        <v>874.04</v>
      </c>
      <c r="J286" s="126">
        <v>8</v>
      </c>
      <c r="K286" s="124">
        <v>40500</v>
      </c>
      <c r="L286" s="124">
        <v>41374.04</v>
      </c>
    </row>
    <row r="287" spans="1:12" ht="15" customHeight="1" x14ac:dyDescent="0.25">
      <c r="A287" s="78">
        <v>45717</v>
      </c>
      <c r="B287" t="s">
        <v>370</v>
      </c>
      <c r="C287" t="s">
        <v>371</v>
      </c>
      <c r="D287" t="s">
        <v>227</v>
      </c>
      <c r="E287" t="s">
        <v>230</v>
      </c>
      <c r="F287" s="126">
        <v>5.3</v>
      </c>
      <c r="G287" s="77">
        <v>41000</v>
      </c>
      <c r="H287" s="126">
        <v>9.6999999999999993</v>
      </c>
      <c r="I287" s="124">
        <v>254.94</v>
      </c>
      <c r="J287" s="126">
        <v>2.2000000000000002</v>
      </c>
      <c r="K287" s="124">
        <v>18108.333333333299</v>
      </c>
      <c r="L287" s="124">
        <v>18363.273333333302</v>
      </c>
    </row>
    <row r="288" spans="1:12" ht="15" customHeight="1" x14ac:dyDescent="0.25">
      <c r="A288" s="78">
        <v>45717</v>
      </c>
      <c r="B288" t="s">
        <v>398</v>
      </c>
      <c r="C288" t="s">
        <v>399</v>
      </c>
      <c r="D288" t="s">
        <v>227</v>
      </c>
      <c r="E288" t="s">
        <v>105</v>
      </c>
      <c r="F288" s="126">
        <v>14.3</v>
      </c>
      <c r="G288" s="77">
        <v>28000</v>
      </c>
      <c r="H288" s="126">
        <v>55.4</v>
      </c>
      <c r="I288" s="124">
        <v>994.36</v>
      </c>
      <c r="J288" s="126">
        <v>7.4</v>
      </c>
      <c r="K288" s="124">
        <v>33366.666666666701</v>
      </c>
      <c r="L288" s="124">
        <v>34361.026666666701</v>
      </c>
    </row>
    <row r="289" spans="1:12" ht="15" customHeight="1" x14ac:dyDescent="0.25">
      <c r="A289" s="78">
        <v>45717</v>
      </c>
      <c r="B289" t="s">
        <v>398</v>
      </c>
      <c r="C289" t="s">
        <v>399</v>
      </c>
      <c r="D289" t="s">
        <v>227</v>
      </c>
      <c r="E289" t="s">
        <v>2369</v>
      </c>
      <c r="F289" s="126">
        <v>11.1</v>
      </c>
      <c r="G289" s="77">
        <v>35000</v>
      </c>
      <c r="H289" s="126">
        <v>60.2</v>
      </c>
      <c r="I289" s="124">
        <v>1350.64</v>
      </c>
      <c r="J289" s="126">
        <v>6.1</v>
      </c>
      <c r="K289" s="124">
        <v>32375</v>
      </c>
      <c r="L289" s="124">
        <v>33725.64</v>
      </c>
    </row>
    <row r="290" spans="1:12" ht="15" customHeight="1" x14ac:dyDescent="0.25">
      <c r="A290" s="78">
        <v>45717</v>
      </c>
      <c r="B290" t="s">
        <v>398</v>
      </c>
      <c r="C290" t="s">
        <v>399</v>
      </c>
      <c r="D290" t="s">
        <v>227</v>
      </c>
      <c r="E290" t="s">
        <v>231</v>
      </c>
      <c r="F290" s="126">
        <v>6.6</v>
      </c>
      <c r="G290" s="77">
        <v>29000</v>
      </c>
      <c r="H290" s="126">
        <v>24.5</v>
      </c>
      <c r="I290" s="124">
        <v>455.45</v>
      </c>
      <c r="J290" s="126">
        <v>3.1</v>
      </c>
      <c r="K290" s="124">
        <v>15950</v>
      </c>
      <c r="L290" s="124">
        <v>16405.45</v>
      </c>
    </row>
    <row r="291" spans="1:12" ht="15" customHeight="1" x14ac:dyDescent="0.25">
      <c r="A291" s="78">
        <v>45717</v>
      </c>
      <c r="B291" t="s">
        <v>398</v>
      </c>
      <c r="C291" t="s">
        <v>399</v>
      </c>
      <c r="D291" t="s">
        <v>227</v>
      </c>
      <c r="E291" t="s">
        <v>2367</v>
      </c>
      <c r="F291" s="126">
        <v>5.9</v>
      </c>
      <c r="G291" s="77">
        <v>43000</v>
      </c>
      <c r="H291" s="126">
        <v>28.1</v>
      </c>
      <c r="I291" s="124">
        <v>774.55</v>
      </c>
      <c r="J291" s="126">
        <v>4.2</v>
      </c>
      <c r="K291" s="124">
        <v>21141.666666666701</v>
      </c>
      <c r="L291" s="124">
        <v>21916.2166666667</v>
      </c>
    </row>
    <row r="292" spans="1:12" ht="15" customHeight="1" x14ac:dyDescent="0.25">
      <c r="A292" s="78">
        <v>45717</v>
      </c>
      <c r="B292" t="s">
        <v>378</v>
      </c>
      <c r="C292" t="s">
        <v>379</v>
      </c>
      <c r="D292" t="s">
        <v>227</v>
      </c>
      <c r="E292" t="s">
        <v>2368</v>
      </c>
      <c r="F292" s="126">
        <v>17.600000000000001</v>
      </c>
      <c r="G292" s="77">
        <v>27000</v>
      </c>
      <c r="H292" s="126">
        <v>73.7</v>
      </c>
      <c r="I292" s="124">
        <v>1275.58</v>
      </c>
      <c r="J292" s="126">
        <v>8.3000000000000007</v>
      </c>
      <c r="K292" s="124">
        <v>39600</v>
      </c>
      <c r="L292" s="124">
        <v>40875.58</v>
      </c>
    </row>
    <row r="293" spans="1:12" ht="15" customHeight="1" x14ac:dyDescent="0.25">
      <c r="A293" s="78">
        <v>45717</v>
      </c>
      <c r="B293" t="s">
        <v>378</v>
      </c>
      <c r="C293" t="s">
        <v>379</v>
      </c>
      <c r="D293" t="s">
        <v>227</v>
      </c>
      <c r="E293" t="s">
        <v>105</v>
      </c>
      <c r="F293" s="126">
        <v>5.5</v>
      </c>
      <c r="G293" s="77">
        <v>28000</v>
      </c>
      <c r="H293" s="126">
        <v>13.8</v>
      </c>
      <c r="I293" s="124">
        <v>247.69</v>
      </c>
      <c r="J293" s="126">
        <v>1.3</v>
      </c>
      <c r="K293" s="124">
        <v>12833.333333333299</v>
      </c>
      <c r="L293" s="124">
        <v>13081.0233333333</v>
      </c>
    </row>
    <row r="294" spans="1:12" ht="15" customHeight="1" x14ac:dyDescent="0.25">
      <c r="A294" s="78">
        <v>45717</v>
      </c>
      <c r="B294" t="s">
        <v>378</v>
      </c>
      <c r="C294" t="s">
        <v>379</v>
      </c>
      <c r="D294" t="s">
        <v>227</v>
      </c>
      <c r="E294" t="s">
        <v>2367</v>
      </c>
      <c r="F294" s="126">
        <v>15.9</v>
      </c>
      <c r="G294" s="77">
        <v>43000</v>
      </c>
      <c r="H294" s="126">
        <v>79.5</v>
      </c>
      <c r="I294" s="124">
        <v>2191.35</v>
      </c>
      <c r="J294" s="126">
        <v>8.5</v>
      </c>
      <c r="K294" s="124">
        <v>56975</v>
      </c>
      <c r="L294" s="124">
        <v>59166.35</v>
      </c>
    </row>
    <row r="295" spans="1:12" ht="15" customHeight="1" x14ac:dyDescent="0.25">
      <c r="A295" s="78">
        <v>45717</v>
      </c>
      <c r="B295" t="s">
        <v>378</v>
      </c>
      <c r="C295" t="s">
        <v>379</v>
      </c>
      <c r="D295" t="s">
        <v>227</v>
      </c>
      <c r="E295" t="s">
        <v>232</v>
      </c>
      <c r="F295" s="126">
        <v>11.1</v>
      </c>
      <c r="G295" s="77">
        <v>25000</v>
      </c>
      <c r="H295" s="126">
        <v>54</v>
      </c>
      <c r="I295" s="124">
        <v>865.38</v>
      </c>
      <c r="J295" s="126">
        <v>5.4</v>
      </c>
      <c r="K295" s="124">
        <v>23125</v>
      </c>
      <c r="L295" s="124">
        <v>23990.38</v>
      </c>
    </row>
    <row r="296" spans="1:12" ht="15" customHeight="1" x14ac:dyDescent="0.25">
      <c r="A296" s="78">
        <v>45717</v>
      </c>
      <c r="B296" t="s">
        <v>378</v>
      </c>
      <c r="C296" t="s">
        <v>379</v>
      </c>
      <c r="D296" t="s">
        <v>227</v>
      </c>
      <c r="E296" t="s">
        <v>2369</v>
      </c>
      <c r="F296" s="126">
        <v>19.8</v>
      </c>
      <c r="G296" s="77">
        <v>35000</v>
      </c>
      <c r="H296" s="126">
        <v>121</v>
      </c>
      <c r="I296" s="124">
        <v>2714.74</v>
      </c>
      <c r="J296" s="126">
        <v>9.4</v>
      </c>
      <c r="K296" s="124">
        <v>57750</v>
      </c>
      <c r="L296" s="124">
        <v>60464.74</v>
      </c>
    </row>
    <row r="297" spans="1:12" ht="15" customHeight="1" x14ac:dyDescent="0.25">
      <c r="A297" s="78">
        <v>45717</v>
      </c>
      <c r="B297" t="s">
        <v>378</v>
      </c>
      <c r="C297" t="s">
        <v>379</v>
      </c>
      <c r="D297" t="s">
        <v>227</v>
      </c>
      <c r="E297" t="s">
        <v>230</v>
      </c>
      <c r="F297" s="126">
        <v>4.2</v>
      </c>
      <c r="G297" s="77">
        <v>41000</v>
      </c>
      <c r="H297" s="126">
        <v>22.8</v>
      </c>
      <c r="I297" s="124">
        <v>599.23</v>
      </c>
      <c r="J297" s="126">
        <v>2.1</v>
      </c>
      <c r="K297" s="124">
        <v>14350</v>
      </c>
      <c r="L297" s="124">
        <v>14949.23</v>
      </c>
    </row>
    <row r="298" spans="1:12" ht="15" customHeight="1" x14ac:dyDescent="0.25">
      <c r="A298" s="78">
        <v>45717</v>
      </c>
      <c r="B298" t="s">
        <v>393</v>
      </c>
      <c r="C298" t="s">
        <v>394</v>
      </c>
      <c r="D298" t="s">
        <v>227</v>
      </c>
      <c r="E298" t="s">
        <v>231</v>
      </c>
      <c r="F298" s="126">
        <v>18.899999999999999</v>
      </c>
      <c r="G298" s="77">
        <v>29000</v>
      </c>
      <c r="H298" s="126">
        <v>58.4</v>
      </c>
      <c r="I298" s="124">
        <v>1085.6400000000001</v>
      </c>
      <c r="J298" s="126">
        <v>10</v>
      </c>
      <c r="K298" s="124">
        <v>45675</v>
      </c>
      <c r="L298" s="124">
        <v>46760.639999999999</v>
      </c>
    </row>
    <row r="299" spans="1:12" ht="15" customHeight="1" x14ac:dyDescent="0.25">
      <c r="A299" s="78">
        <v>45717</v>
      </c>
      <c r="B299" t="s">
        <v>393</v>
      </c>
      <c r="C299" t="s">
        <v>394</v>
      </c>
      <c r="D299" t="s">
        <v>227</v>
      </c>
      <c r="E299" t="s">
        <v>2368</v>
      </c>
      <c r="F299" s="126">
        <v>17.100000000000001</v>
      </c>
      <c r="G299" s="77">
        <v>27000</v>
      </c>
      <c r="H299" s="126">
        <v>78.900000000000006</v>
      </c>
      <c r="I299" s="124">
        <v>1365.58</v>
      </c>
      <c r="J299" s="126">
        <v>8.9</v>
      </c>
      <c r="K299" s="124">
        <v>38475</v>
      </c>
      <c r="L299" s="124">
        <v>39840.58</v>
      </c>
    </row>
    <row r="300" spans="1:12" ht="15" customHeight="1" x14ac:dyDescent="0.25">
      <c r="A300" s="78">
        <v>45717</v>
      </c>
      <c r="B300" t="s">
        <v>393</v>
      </c>
      <c r="C300" t="s">
        <v>394</v>
      </c>
      <c r="D300" t="s">
        <v>227</v>
      </c>
      <c r="E300" t="s">
        <v>2369</v>
      </c>
      <c r="F300" s="126">
        <v>9.9</v>
      </c>
      <c r="G300" s="77">
        <v>35000</v>
      </c>
      <c r="H300" s="126">
        <v>40.799999999999997</v>
      </c>
      <c r="I300" s="124">
        <v>915.38</v>
      </c>
      <c r="J300" s="126">
        <v>4.9000000000000004</v>
      </c>
      <c r="K300" s="124">
        <v>28875</v>
      </c>
      <c r="L300" s="124">
        <v>29790.38</v>
      </c>
    </row>
    <row r="301" spans="1:12" ht="15" customHeight="1" x14ac:dyDescent="0.25">
      <c r="A301" s="78">
        <v>45717</v>
      </c>
      <c r="B301" t="s">
        <v>393</v>
      </c>
      <c r="C301" t="s">
        <v>394</v>
      </c>
      <c r="D301" t="s">
        <v>227</v>
      </c>
      <c r="E301" t="s">
        <v>230</v>
      </c>
      <c r="F301" s="126">
        <v>15.8</v>
      </c>
      <c r="G301" s="77">
        <v>41000</v>
      </c>
      <c r="H301" s="126">
        <v>119.8</v>
      </c>
      <c r="I301" s="124">
        <v>3148.59</v>
      </c>
      <c r="J301" s="126">
        <v>9.1</v>
      </c>
      <c r="K301" s="124">
        <v>53983.333333333299</v>
      </c>
      <c r="L301" s="124">
        <v>57131.923333333303</v>
      </c>
    </row>
    <row r="302" spans="1:12" ht="15" customHeight="1" x14ac:dyDescent="0.25">
      <c r="A302" s="78">
        <v>45748</v>
      </c>
      <c r="B302" t="s">
        <v>390</v>
      </c>
      <c r="C302" t="s">
        <v>391</v>
      </c>
      <c r="D302" t="s">
        <v>221</v>
      </c>
      <c r="E302" t="s">
        <v>105</v>
      </c>
      <c r="F302" s="126">
        <v>6.3</v>
      </c>
      <c r="G302" s="77">
        <v>28000</v>
      </c>
      <c r="H302" s="126">
        <v>32</v>
      </c>
      <c r="I302" s="124">
        <v>574.36</v>
      </c>
      <c r="J302" s="126">
        <v>3.3</v>
      </c>
      <c r="K302" s="124">
        <v>14700</v>
      </c>
      <c r="L302" s="124">
        <v>15274.36</v>
      </c>
    </row>
    <row r="303" spans="1:12" ht="15" customHeight="1" x14ac:dyDescent="0.25">
      <c r="A303" s="78">
        <v>45748</v>
      </c>
      <c r="B303" t="s">
        <v>390</v>
      </c>
      <c r="C303" t="s">
        <v>391</v>
      </c>
      <c r="D303" t="s">
        <v>221</v>
      </c>
      <c r="E303" t="s">
        <v>230</v>
      </c>
      <c r="F303" s="126">
        <v>15.4</v>
      </c>
      <c r="G303" s="77">
        <v>41000</v>
      </c>
      <c r="H303" s="126">
        <v>84.9</v>
      </c>
      <c r="I303" s="124">
        <v>2231.35</v>
      </c>
      <c r="J303" s="126">
        <v>8.1999999999999993</v>
      </c>
      <c r="K303" s="124">
        <v>52616.666666666701</v>
      </c>
      <c r="L303" s="124">
        <v>54848.016666666699</v>
      </c>
    </row>
    <row r="304" spans="1:12" ht="15" customHeight="1" x14ac:dyDescent="0.25">
      <c r="A304" s="78">
        <v>45748</v>
      </c>
      <c r="B304" t="s">
        <v>390</v>
      </c>
      <c r="C304" t="s">
        <v>391</v>
      </c>
      <c r="D304" t="s">
        <v>221</v>
      </c>
      <c r="E304" t="s">
        <v>2369</v>
      </c>
      <c r="F304" s="126">
        <v>9.4</v>
      </c>
      <c r="G304" s="77">
        <v>35000</v>
      </c>
      <c r="H304" s="126">
        <v>38</v>
      </c>
      <c r="I304" s="124">
        <v>852.56</v>
      </c>
      <c r="J304" s="126">
        <v>4.4000000000000004</v>
      </c>
      <c r="K304" s="124">
        <v>27416.666666666701</v>
      </c>
      <c r="L304" s="124">
        <v>28269.226666666698</v>
      </c>
    </row>
    <row r="305" spans="1:12" ht="15" customHeight="1" x14ac:dyDescent="0.25">
      <c r="A305" s="78">
        <v>45748</v>
      </c>
      <c r="B305" t="s">
        <v>390</v>
      </c>
      <c r="C305" t="s">
        <v>391</v>
      </c>
      <c r="D305" t="s">
        <v>221</v>
      </c>
      <c r="E305" t="s">
        <v>232</v>
      </c>
      <c r="F305" s="126">
        <v>10.6</v>
      </c>
      <c r="G305" s="77">
        <v>25000</v>
      </c>
      <c r="H305" s="126">
        <v>41.1</v>
      </c>
      <c r="I305" s="124">
        <v>658.65</v>
      </c>
      <c r="J305" s="126">
        <v>2.1</v>
      </c>
      <c r="K305" s="124">
        <v>22083.333333333299</v>
      </c>
      <c r="L305" s="124">
        <v>22741.983333333301</v>
      </c>
    </row>
    <row r="306" spans="1:12" ht="15" customHeight="1" x14ac:dyDescent="0.25">
      <c r="A306" s="78">
        <v>45748</v>
      </c>
      <c r="B306" t="s">
        <v>401</v>
      </c>
      <c r="C306" t="s">
        <v>402</v>
      </c>
      <c r="D306" t="s">
        <v>221</v>
      </c>
      <c r="E306" t="s">
        <v>2368</v>
      </c>
      <c r="F306" s="126">
        <v>14</v>
      </c>
      <c r="G306" s="77">
        <v>27000</v>
      </c>
      <c r="H306" s="126">
        <v>60.4</v>
      </c>
      <c r="I306" s="124">
        <v>1045.3800000000001</v>
      </c>
      <c r="J306" s="126">
        <v>6.5</v>
      </c>
      <c r="K306" s="124">
        <v>31500</v>
      </c>
      <c r="L306" s="124">
        <v>32545.38</v>
      </c>
    </row>
    <row r="307" spans="1:12" ht="15" customHeight="1" x14ac:dyDescent="0.25">
      <c r="A307" s="78">
        <v>45748</v>
      </c>
      <c r="B307" t="s">
        <v>401</v>
      </c>
      <c r="C307" t="s">
        <v>402</v>
      </c>
      <c r="D307" t="s">
        <v>221</v>
      </c>
      <c r="E307" t="s">
        <v>231</v>
      </c>
      <c r="F307" s="126">
        <v>15.8</v>
      </c>
      <c r="G307" s="77">
        <v>29000</v>
      </c>
      <c r="H307" s="126">
        <v>100.9</v>
      </c>
      <c r="I307" s="124">
        <v>1875.71</v>
      </c>
      <c r="J307" s="126">
        <v>7.9</v>
      </c>
      <c r="K307" s="124">
        <v>38183.333333333299</v>
      </c>
      <c r="L307" s="124">
        <v>40059.043333333299</v>
      </c>
    </row>
    <row r="308" spans="1:12" ht="15" customHeight="1" x14ac:dyDescent="0.25">
      <c r="A308" s="78">
        <v>45748</v>
      </c>
      <c r="B308" t="s">
        <v>401</v>
      </c>
      <c r="C308" t="s">
        <v>402</v>
      </c>
      <c r="D308" t="s">
        <v>221</v>
      </c>
      <c r="E308" t="s">
        <v>2369</v>
      </c>
      <c r="F308" s="126">
        <v>5.7</v>
      </c>
      <c r="G308" s="77">
        <v>35000</v>
      </c>
      <c r="H308" s="126">
        <v>12.6</v>
      </c>
      <c r="I308" s="124">
        <v>282.69</v>
      </c>
      <c r="J308" s="126">
        <v>2.8</v>
      </c>
      <c r="K308" s="124">
        <v>16625</v>
      </c>
      <c r="L308" s="124">
        <v>16907.689999999999</v>
      </c>
    </row>
    <row r="309" spans="1:12" ht="15" customHeight="1" x14ac:dyDescent="0.25">
      <c r="A309" s="78">
        <v>45748</v>
      </c>
      <c r="B309" t="s">
        <v>401</v>
      </c>
      <c r="C309" t="s">
        <v>402</v>
      </c>
      <c r="D309" t="s">
        <v>221</v>
      </c>
      <c r="E309" t="s">
        <v>2367</v>
      </c>
      <c r="F309" s="126">
        <v>13.2</v>
      </c>
      <c r="G309" s="77">
        <v>43000</v>
      </c>
      <c r="H309" s="126">
        <v>32.1</v>
      </c>
      <c r="I309" s="124">
        <v>884.81</v>
      </c>
      <c r="J309" s="126">
        <v>7.1</v>
      </c>
      <c r="K309" s="124">
        <v>47300</v>
      </c>
      <c r="L309" s="124">
        <v>48184.81</v>
      </c>
    </row>
    <row r="310" spans="1:12" ht="15" customHeight="1" x14ac:dyDescent="0.25">
      <c r="A310" s="78">
        <v>45748</v>
      </c>
      <c r="B310" t="s">
        <v>431</v>
      </c>
      <c r="C310" t="s">
        <v>432</v>
      </c>
      <c r="D310" t="s">
        <v>221</v>
      </c>
      <c r="E310" t="s">
        <v>2369</v>
      </c>
      <c r="F310" s="126">
        <v>4.0999999999999996</v>
      </c>
      <c r="G310" s="77">
        <v>35000</v>
      </c>
      <c r="H310" s="126">
        <v>18.2</v>
      </c>
      <c r="I310" s="124">
        <v>408.33</v>
      </c>
      <c r="J310" s="126">
        <v>3</v>
      </c>
      <c r="K310" s="124">
        <v>11958.333333333299</v>
      </c>
      <c r="L310" s="124">
        <v>12366.663333333299</v>
      </c>
    </row>
    <row r="311" spans="1:12" ht="15" customHeight="1" x14ac:dyDescent="0.25">
      <c r="A311" s="78">
        <v>45748</v>
      </c>
      <c r="B311" t="s">
        <v>431</v>
      </c>
      <c r="C311" t="s">
        <v>432</v>
      </c>
      <c r="D311" t="s">
        <v>221</v>
      </c>
      <c r="E311" t="s">
        <v>232</v>
      </c>
      <c r="F311" s="126">
        <v>4.4000000000000004</v>
      </c>
      <c r="G311" s="77">
        <v>25000</v>
      </c>
      <c r="H311" s="126">
        <v>12.4</v>
      </c>
      <c r="I311" s="124">
        <v>198.72</v>
      </c>
      <c r="J311" s="126">
        <v>2.2000000000000002</v>
      </c>
      <c r="K311" s="124">
        <v>9166.6666666666697</v>
      </c>
      <c r="L311" s="124">
        <v>9365.3866666666709</v>
      </c>
    </row>
    <row r="312" spans="1:12" ht="15" customHeight="1" x14ac:dyDescent="0.25">
      <c r="A312" s="78">
        <v>45748</v>
      </c>
      <c r="B312" t="s">
        <v>431</v>
      </c>
      <c r="C312" t="s">
        <v>432</v>
      </c>
      <c r="D312" t="s">
        <v>221</v>
      </c>
      <c r="E312" t="s">
        <v>105</v>
      </c>
      <c r="F312" s="126">
        <v>18.2</v>
      </c>
      <c r="G312" s="77">
        <v>28000</v>
      </c>
      <c r="H312" s="126">
        <v>35.5</v>
      </c>
      <c r="I312" s="124">
        <v>637.17999999999995</v>
      </c>
      <c r="J312" s="126">
        <v>9.8000000000000007</v>
      </c>
      <c r="K312" s="124">
        <v>42466.666666666701</v>
      </c>
      <c r="L312" s="124">
        <v>43103.846666666701</v>
      </c>
    </row>
    <row r="313" spans="1:12" ht="15" customHeight="1" x14ac:dyDescent="0.25">
      <c r="A313" s="78">
        <v>45748</v>
      </c>
      <c r="B313" t="s">
        <v>431</v>
      </c>
      <c r="C313" t="s">
        <v>432</v>
      </c>
      <c r="D313" t="s">
        <v>221</v>
      </c>
      <c r="E313" t="s">
        <v>2368</v>
      </c>
      <c r="F313" s="126">
        <v>5.5</v>
      </c>
      <c r="G313" s="77">
        <v>27000</v>
      </c>
      <c r="H313" s="126">
        <v>26.3</v>
      </c>
      <c r="I313" s="124">
        <v>455.19</v>
      </c>
      <c r="J313" s="126">
        <v>3.2</v>
      </c>
      <c r="K313" s="124">
        <v>12375</v>
      </c>
      <c r="L313" s="124">
        <v>12830.19</v>
      </c>
    </row>
    <row r="314" spans="1:12" ht="15" customHeight="1" x14ac:dyDescent="0.25">
      <c r="A314" s="78">
        <v>45748</v>
      </c>
      <c r="B314" t="s">
        <v>431</v>
      </c>
      <c r="C314" t="s">
        <v>432</v>
      </c>
      <c r="D314" t="s">
        <v>221</v>
      </c>
      <c r="E314" t="s">
        <v>231</v>
      </c>
      <c r="F314" s="126">
        <v>13.9</v>
      </c>
      <c r="G314" s="77">
        <v>29000</v>
      </c>
      <c r="H314" s="126">
        <v>55.6</v>
      </c>
      <c r="I314" s="124">
        <v>1033.5899999999999</v>
      </c>
      <c r="J314" s="126">
        <v>7.4</v>
      </c>
      <c r="K314" s="124">
        <v>33591.666666666701</v>
      </c>
      <c r="L314" s="124">
        <v>34625.256666666697</v>
      </c>
    </row>
    <row r="315" spans="1:12" ht="15" customHeight="1" x14ac:dyDescent="0.25">
      <c r="A315" s="78">
        <v>45748</v>
      </c>
      <c r="B315" t="s">
        <v>366</v>
      </c>
      <c r="C315" t="s">
        <v>367</v>
      </c>
      <c r="D315" t="s">
        <v>221</v>
      </c>
      <c r="E315" t="s">
        <v>230</v>
      </c>
      <c r="F315" s="126">
        <v>16.7</v>
      </c>
      <c r="G315" s="77">
        <v>41000</v>
      </c>
      <c r="H315" s="126">
        <v>107</v>
      </c>
      <c r="I315" s="124">
        <v>2812.18</v>
      </c>
      <c r="J315" s="126">
        <v>8.1</v>
      </c>
      <c r="K315" s="124">
        <v>57058.333333333299</v>
      </c>
      <c r="L315" s="124">
        <v>59870.5133333333</v>
      </c>
    </row>
    <row r="316" spans="1:12" ht="15" customHeight="1" x14ac:dyDescent="0.25">
      <c r="A316" s="78">
        <v>45748</v>
      </c>
      <c r="B316" t="s">
        <v>366</v>
      </c>
      <c r="C316" t="s">
        <v>367</v>
      </c>
      <c r="D316" t="s">
        <v>221</v>
      </c>
      <c r="E316" t="s">
        <v>2369</v>
      </c>
      <c r="F316" s="126">
        <v>18.600000000000001</v>
      </c>
      <c r="G316" s="77">
        <v>35000</v>
      </c>
      <c r="H316" s="126">
        <v>78.3</v>
      </c>
      <c r="I316" s="124">
        <v>1756.73</v>
      </c>
      <c r="J316" s="126">
        <v>8.1999999999999993</v>
      </c>
      <c r="K316" s="124">
        <v>54250</v>
      </c>
      <c r="L316" s="124">
        <v>56006.73</v>
      </c>
    </row>
    <row r="317" spans="1:12" ht="15" customHeight="1" x14ac:dyDescent="0.25">
      <c r="A317" s="78">
        <v>45748</v>
      </c>
      <c r="B317" t="s">
        <v>366</v>
      </c>
      <c r="C317" t="s">
        <v>367</v>
      </c>
      <c r="D317" t="s">
        <v>221</v>
      </c>
      <c r="E317" t="s">
        <v>105</v>
      </c>
      <c r="F317" s="126">
        <v>8.1999999999999993</v>
      </c>
      <c r="G317" s="77">
        <v>28000</v>
      </c>
      <c r="H317" s="126">
        <v>22.1</v>
      </c>
      <c r="I317" s="124">
        <v>396.67</v>
      </c>
      <c r="J317" s="126">
        <v>4.2</v>
      </c>
      <c r="K317" s="124">
        <v>19133.333333333299</v>
      </c>
      <c r="L317" s="124">
        <v>19530.003333333301</v>
      </c>
    </row>
    <row r="318" spans="1:12" ht="15" customHeight="1" x14ac:dyDescent="0.25">
      <c r="A318" s="78">
        <v>45748</v>
      </c>
      <c r="B318" t="s">
        <v>366</v>
      </c>
      <c r="C318" t="s">
        <v>367</v>
      </c>
      <c r="D318" t="s">
        <v>221</v>
      </c>
      <c r="E318" t="s">
        <v>2368</v>
      </c>
      <c r="F318" s="126">
        <v>12.1</v>
      </c>
      <c r="G318" s="77">
        <v>27000</v>
      </c>
      <c r="H318" s="126">
        <v>68.400000000000006</v>
      </c>
      <c r="I318" s="124">
        <v>1183.8499999999999</v>
      </c>
      <c r="J318" s="126">
        <v>5.8</v>
      </c>
      <c r="K318" s="124">
        <v>27225</v>
      </c>
      <c r="L318" s="124">
        <v>28408.85</v>
      </c>
    </row>
    <row r="319" spans="1:12" ht="15" customHeight="1" x14ac:dyDescent="0.25">
      <c r="A319" s="78">
        <v>45748</v>
      </c>
      <c r="B319" t="s">
        <v>366</v>
      </c>
      <c r="C319" t="s">
        <v>367</v>
      </c>
      <c r="D319" t="s">
        <v>221</v>
      </c>
      <c r="E319" t="s">
        <v>2367</v>
      </c>
      <c r="F319" s="126">
        <v>8.6</v>
      </c>
      <c r="G319" s="77">
        <v>43000</v>
      </c>
      <c r="H319" s="126">
        <v>31.4</v>
      </c>
      <c r="I319" s="124">
        <v>865.51</v>
      </c>
      <c r="J319" s="126">
        <v>3.9</v>
      </c>
      <c r="K319" s="124">
        <v>30816.666666666701</v>
      </c>
      <c r="L319" s="124">
        <v>31682.176666666699</v>
      </c>
    </row>
    <row r="320" spans="1:12" ht="15" customHeight="1" x14ac:dyDescent="0.25">
      <c r="A320" s="78">
        <v>45748</v>
      </c>
      <c r="B320" t="s">
        <v>362</v>
      </c>
      <c r="C320" t="s">
        <v>363</v>
      </c>
      <c r="D320" t="s">
        <v>221</v>
      </c>
      <c r="E320" t="s">
        <v>105</v>
      </c>
      <c r="F320" s="126">
        <v>15.9</v>
      </c>
      <c r="G320" s="77">
        <v>28000</v>
      </c>
      <c r="H320" s="126">
        <v>50.8</v>
      </c>
      <c r="I320" s="124">
        <v>911.79</v>
      </c>
      <c r="J320" s="126">
        <v>8.1999999999999993</v>
      </c>
      <c r="K320" s="124">
        <v>37100</v>
      </c>
      <c r="L320" s="124">
        <v>38011.79</v>
      </c>
    </row>
    <row r="321" spans="1:12" ht="15" customHeight="1" x14ac:dyDescent="0.25">
      <c r="A321" s="78">
        <v>45748</v>
      </c>
      <c r="B321" t="s">
        <v>362</v>
      </c>
      <c r="C321" t="s">
        <v>363</v>
      </c>
      <c r="D321" t="s">
        <v>221</v>
      </c>
      <c r="E321" t="s">
        <v>2369</v>
      </c>
      <c r="F321" s="126">
        <v>17.3</v>
      </c>
      <c r="G321" s="77">
        <v>35000</v>
      </c>
      <c r="H321" s="126">
        <v>30.3</v>
      </c>
      <c r="I321" s="124">
        <v>679.81</v>
      </c>
      <c r="J321" s="126">
        <v>9.9</v>
      </c>
      <c r="K321" s="124">
        <v>50458.333333333299</v>
      </c>
      <c r="L321" s="124">
        <v>51138.143333333297</v>
      </c>
    </row>
    <row r="322" spans="1:12" ht="15" customHeight="1" x14ac:dyDescent="0.25">
      <c r="A322" s="78">
        <v>45748</v>
      </c>
      <c r="B322" t="s">
        <v>362</v>
      </c>
      <c r="C322" t="s">
        <v>363</v>
      </c>
      <c r="D322" t="s">
        <v>221</v>
      </c>
      <c r="E322" t="s">
        <v>2367</v>
      </c>
      <c r="F322" s="126">
        <v>13</v>
      </c>
      <c r="G322" s="77">
        <v>43000</v>
      </c>
      <c r="H322" s="126">
        <v>39</v>
      </c>
      <c r="I322" s="124">
        <v>1075</v>
      </c>
      <c r="J322" s="126">
        <v>7.2</v>
      </c>
      <c r="K322" s="124">
        <v>46583.333333333299</v>
      </c>
      <c r="L322" s="124">
        <v>47658.333333333299</v>
      </c>
    </row>
    <row r="323" spans="1:12" ht="15" customHeight="1" x14ac:dyDescent="0.25">
      <c r="A323" s="78">
        <v>45748</v>
      </c>
      <c r="B323" t="s">
        <v>362</v>
      </c>
      <c r="C323" t="s">
        <v>363</v>
      </c>
      <c r="D323" t="s">
        <v>221</v>
      </c>
      <c r="E323" t="s">
        <v>2368</v>
      </c>
      <c r="F323" s="126">
        <v>12.5</v>
      </c>
      <c r="G323" s="77">
        <v>27000</v>
      </c>
      <c r="H323" s="126">
        <v>26.2</v>
      </c>
      <c r="I323" s="124">
        <v>453.46</v>
      </c>
      <c r="J323" s="126">
        <v>6.9</v>
      </c>
      <c r="K323" s="124">
        <v>28125</v>
      </c>
      <c r="L323" s="124">
        <v>28578.46</v>
      </c>
    </row>
    <row r="324" spans="1:12" ht="15" customHeight="1" x14ac:dyDescent="0.25">
      <c r="A324" s="78">
        <v>45748</v>
      </c>
      <c r="B324" t="s">
        <v>362</v>
      </c>
      <c r="C324" t="s">
        <v>363</v>
      </c>
      <c r="D324" t="s">
        <v>221</v>
      </c>
      <c r="E324" t="s">
        <v>231</v>
      </c>
      <c r="F324" s="126">
        <v>14.6</v>
      </c>
      <c r="G324" s="77">
        <v>29000</v>
      </c>
      <c r="H324" s="126">
        <v>73.099999999999994</v>
      </c>
      <c r="I324" s="124">
        <v>1358.91</v>
      </c>
      <c r="J324" s="126">
        <v>7.7</v>
      </c>
      <c r="K324" s="124">
        <v>35283.333333333299</v>
      </c>
      <c r="L324" s="124">
        <v>36642.243333333303</v>
      </c>
    </row>
    <row r="325" spans="1:12" ht="15" customHeight="1" x14ac:dyDescent="0.25">
      <c r="A325" s="78">
        <v>45748</v>
      </c>
      <c r="B325" t="s">
        <v>335</v>
      </c>
      <c r="C325" t="s">
        <v>336</v>
      </c>
      <c r="D325" t="s">
        <v>223</v>
      </c>
      <c r="E325" t="s">
        <v>2368</v>
      </c>
      <c r="F325" s="126">
        <v>14.8</v>
      </c>
      <c r="G325" s="77">
        <v>27000</v>
      </c>
      <c r="H325" s="126">
        <v>37.1</v>
      </c>
      <c r="I325" s="124">
        <v>642.12</v>
      </c>
      <c r="J325" s="126">
        <v>7.6</v>
      </c>
      <c r="K325" s="124">
        <v>33300</v>
      </c>
      <c r="L325" s="124">
        <v>33942.120000000003</v>
      </c>
    </row>
    <row r="326" spans="1:12" ht="15" customHeight="1" x14ac:dyDescent="0.25">
      <c r="A326" s="78">
        <v>45748</v>
      </c>
      <c r="B326" t="s">
        <v>335</v>
      </c>
      <c r="C326" t="s">
        <v>336</v>
      </c>
      <c r="D326" t="s">
        <v>223</v>
      </c>
      <c r="E326" t="s">
        <v>2367</v>
      </c>
      <c r="F326" s="126">
        <v>19.600000000000001</v>
      </c>
      <c r="G326" s="77">
        <v>43000</v>
      </c>
      <c r="H326" s="126">
        <v>43.6</v>
      </c>
      <c r="I326" s="124">
        <v>1201.79</v>
      </c>
      <c r="J326" s="126">
        <v>9.5</v>
      </c>
      <c r="K326" s="124">
        <v>70233.333333333299</v>
      </c>
      <c r="L326" s="124">
        <v>71435.123333333293</v>
      </c>
    </row>
    <row r="327" spans="1:12" ht="15" customHeight="1" x14ac:dyDescent="0.25">
      <c r="A327" s="78">
        <v>45748</v>
      </c>
      <c r="B327" t="s">
        <v>335</v>
      </c>
      <c r="C327" t="s">
        <v>336</v>
      </c>
      <c r="D327" t="s">
        <v>223</v>
      </c>
      <c r="E327" t="s">
        <v>231</v>
      </c>
      <c r="F327" s="126">
        <v>12.1</v>
      </c>
      <c r="G327" s="77">
        <v>29000</v>
      </c>
      <c r="H327" s="126">
        <v>67.099999999999994</v>
      </c>
      <c r="I327" s="124">
        <v>1247.3699999999999</v>
      </c>
      <c r="J327" s="126">
        <v>6.8</v>
      </c>
      <c r="K327" s="124">
        <v>29241.666666666701</v>
      </c>
      <c r="L327" s="124">
        <v>30489.0366666667</v>
      </c>
    </row>
    <row r="328" spans="1:12" ht="15" customHeight="1" x14ac:dyDescent="0.25">
      <c r="A328" s="78">
        <v>45748</v>
      </c>
      <c r="B328" t="s">
        <v>335</v>
      </c>
      <c r="C328" t="s">
        <v>336</v>
      </c>
      <c r="D328" t="s">
        <v>223</v>
      </c>
      <c r="E328" t="s">
        <v>2369</v>
      </c>
      <c r="F328" s="126">
        <v>13.5</v>
      </c>
      <c r="G328" s="77">
        <v>35000</v>
      </c>
      <c r="H328" s="126">
        <v>54.3</v>
      </c>
      <c r="I328" s="124">
        <v>1218.27</v>
      </c>
      <c r="J328" s="126">
        <v>5.8</v>
      </c>
      <c r="K328" s="124">
        <v>39375</v>
      </c>
      <c r="L328" s="124">
        <v>40593.269999999997</v>
      </c>
    </row>
    <row r="329" spans="1:12" ht="15" customHeight="1" x14ac:dyDescent="0.25">
      <c r="A329" s="78">
        <v>45748</v>
      </c>
      <c r="B329" t="s">
        <v>335</v>
      </c>
      <c r="C329" t="s">
        <v>336</v>
      </c>
      <c r="D329" t="s">
        <v>223</v>
      </c>
      <c r="E329" t="s">
        <v>105</v>
      </c>
      <c r="F329" s="126">
        <v>4.0999999999999996</v>
      </c>
      <c r="G329" s="77">
        <v>28000</v>
      </c>
      <c r="H329" s="126">
        <v>20.399999999999999</v>
      </c>
      <c r="I329" s="124">
        <v>366.15</v>
      </c>
      <c r="J329" s="126">
        <v>2.1</v>
      </c>
      <c r="K329" s="124">
        <v>9566.6666666666697</v>
      </c>
      <c r="L329" s="124">
        <v>9932.8166666666693</v>
      </c>
    </row>
    <row r="330" spans="1:12" ht="15" customHeight="1" x14ac:dyDescent="0.25">
      <c r="A330" s="78">
        <v>45748</v>
      </c>
      <c r="B330" t="s">
        <v>335</v>
      </c>
      <c r="C330" t="s">
        <v>336</v>
      </c>
      <c r="D330" t="s">
        <v>223</v>
      </c>
      <c r="E330" t="s">
        <v>232</v>
      </c>
      <c r="F330" s="126">
        <v>13.7</v>
      </c>
      <c r="G330" s="77">
        <v>25000</v>
      </c>
      <c r="H330" s="126">
        <v>7.1</v>
      </c>
      <c r="I330" s="124">
        <v>113.78</v>
      </c>
      <c r="J330" s="126">
        <v>7.6</v>
      </c>
      <c r="K330" s="124">
        <v>28541.666666666701</v>
      </c>
      <c r="L330" s="124">
        <v>28655.446666666699</v>
      </c>
    </row>
    <row r="331" spans="1:12" ht="15" customHeight="1" x14ac:dyDescent="0.25">
      <c r="A331" s="78">
        <v>45748</v>
      </c>
      <c r="B331" t="s">
        <v>386</v>
      </c>
      <c r="C331" t="s">
        <v>387</v>
      </c>
      <c r="D331" t="s">
        <v>223</v>
      </c>
      <c r="E331" t="s">
        <v>105</v>
      </c>
      <c r="F331" s="126">
        <v>18.8</v>
      </c>
      <c r="G331" s="77">
        <v>28000</v>
      </c>
      <c r="H331" s="126">
        <v>74.5</v>
      </c>
      <c r="I331" s="124">
        <v>1337.18</v>
      </c>
      <c r="J331" s="126">
        <v>10.6</v>
      </c>
      <c r="K331" s="124">
        <v>43866.666666666701</v>
      </c>
      <c r="L331" s="124">
        <v>45203.846666666701</v>
      </c>
    </row>
    <row r="332" spans="1:12" ht="15" customHeight="1" x14ac:dyDescent="0.25">
      <c r="A332" s="78">
        <v>45748</v>
      </c>
      <c r="B332" t="s">
        <v>386</v>
      </c>
      <c r="C332" t="s">
        <v>387</v>
      </c>
      <c r="D332" t="s">
        <v>223</v>
      </c>
      <c r="E332" t="s">
        <v>230</v>
      </c>
      <c r="F332" s="126">
        <v>8.5</v>
      </c>
      <c r="G332" s="77">
        <v>41000</v>
      </c>
      <c r="H332" s="126">
        <v>20</v>
      </c>
      <c r="I332" s="124">
        <v>525.64</v>
      </c>
      <c r="J332" s="126">
        <v>1.1000000000000001</v>
      </c>
      <c r="K332" s="124">
        <v>29041.666666666701</v>
      </c>
      <c r="L332" s="124">
        <v>29567.3066666667</v>
      </c>
    </row>
    <row r="333" spans="1:12" ht="15" customHeight="1" x14ac:dyDescent="0.25">
      <c r="A333" s="78">
        <v>45748</v>
      </c>
      <c r="B333" t="s">
        <v>386</v>
      </c>
      <c r="C333" t="s">
        <v>387</v>
      </c>
      <c r="D333" t="s">
        <v>223</v>
      </c>
      <c r="E333" t="s">
        <v>2367</v>
      </c>
      <c r="F333" s="126">
        <v>7.1</v>
      </c>
      <c r="G333" s="77">
        <v>43000</v>
      </c>
      <c r="H333" s="126">
        <v>31.4</v>
      </c>
      <c r="I333" s="124">
        <v>865.51</v>
      </c>
      <c r="J333" s="126">
        <v>3.8</v>
      </c>
      <c r="K333" s="124">
        <v>25441.666666666701</v>
      </c>
      <c r="L333" s="124">
        <v>26307.176666666699</v>
      </c>
    </row>
    <row r="334" spans="1:12" ht="15" customHeight="1" x14ac:dyDescent="0.25">
      <c r="A334" s="78">
        <v>45748</v>
      </c>
      <c r="B334" t="s">
        <v>386</v>
      </c>
      <c r="C334" t="s">
        <v>387</v>
      </c>
      <c r="D334" t="s">
        <v>223</v>
      </c>
      <c r="E334" t="s">
        <v>231</v>
      </c>
      <c r="F334" s="126">
        <v>6.3</v>
      </c>
      <c r="G334" s="77">
        <v>29000</v>
      </c>
      <c r="H334" s="126">
        <v>9.1999999999999993</v>
      </c>
      <c r="I334" s="124">
        <v>171.03</v>
      </c>
      <c r="J334" s="126">
        <v>2.2000000000000002</v>
      </c>
      <c r="K334" s="124">
        <v>15225</v>
      </c>
      <c r="L334" s="124">
        <v>15396.03</v>
      </c>
    </row>
    <row r="335" spans="1:12" ht="15" customHeight="1" x14ac:dyDescent="0.25">
      <c r="A335" s="78">
        <v>45748</v>
      </c>
      <c r="B335" t="s">
        <v>386</v>
      </c>
      <c r="C335" t="s">
        <v>387</v>
      </c>
      <c r="D335" t="s">
        <v>223</v>
      </c>
      <c r="E335" t="s">
        <v>2369</v>
      </c>
      <c r="F335" s="126">
        <v>19.5</v>
      </c>
      <c r="G335" s="77">
        <v>35000</v>
      </c>
      <c r="H335" s="126">
        <v>158.6</v>
      </c>
      <c r="I335" s="124">
        <v>3558.33</v>
      </c>
      <c r="J335" s="126">
        <v>9.4</v>
      </c>
      <c r="K335" s="124">
        <v>56875</v>
      </c>
      <c r="L335" s="124">
        <v>60433.33</v>
      </c>
    </row>
    <row r="336" spans="1:12" ht="15" customHeight="1" x14ac:dyDescent="0.25">
      <c r="A336" s="78">
        <v>45748</v>
      </c>
      <c r="B336" t="s">
        <v>341</v>
      </c>
      <c r="C336" t="s">
        <v>342</v>
      </c>
      <c r="D336" t="s">
        <v>223</v>
      </c>
      <c r="E336" t="s">
        <v>105</v>
      </c>
      <c r="F336" s="126">
        <v>7.7</v>
      </c>
      <c r="G336" s="77">
        <v>28000</v>
      </c>
      <c r="H336" s="126">
        <v>39.200000000000003</v>
      </c>
      <c r="I336" s="124">
        <v>703.59</v>
      </c>
      <c r="J336" s="126">
        <v>3.2</v>
      </c>
      <c r="K336" s="124">
        <v>17966.666666666701</v>
      </c>
      <c r="L336" s="124">
        <v>18670.256666666701</v>
      </c>
    </row>
    <row r="337" spans="1:12" ht="15" customHeight="1" x14ac:dyDescent="0.25">
      <c r="A337" s="78">
        <v>45748</v>
      </c>
      <c r="B337" t="s">
        <v>341</v>
      </c>
      <c r="C337" t="s">
        <v>342</v>
      </c>
      <c r="D337" t="s">
        <v>223</v>
      </c>
      <c r="E337" t="s">
        <v>230</v>
      </c>
      <c r="F337" s="126">
        <v>13.2</v>
      </c>
      <c r="G337" s="77">
        <v>41000</v>
      </c>
      <c r="H337" s="126">
        <v>11.4</v>
      </c>
      <c r="I337" s="124">
        <v>299.62</v>
      </c>
      <c r="J337" s="126">
        <v>6.4</v>
      </c>
      <c r="K337" s="124">
        <v>45100</v>
      </c>
      <c r="L337" s="124">
        <v>45399.62</v>
      </c>
    </row>
    <row r="338" spans="1:12" ht="15" customHeight="1" x14ac:dyDescent="0.25">
      <c r="A338" s="78">
        <v>45748</v>
      </c>
      <c r="B338" t="s">
        <v>341</v>
      </c>
      <c r="C338" t="s">
        <v>342</v>
      </c>
      <c r="D338" t="s">
        <v>223</v>
      </c>
      <c r="E338" t="s">
        <v>2367</v>
      </c>
      <c r="F338" s="126">
        <v>14.4</v>
      </c>
      <c r="G338" s="77">
        <v>43000</v>
      </c>
      <c r="H338" s="126">
        <v>51.9</v>
      </c>
      <c r="I338" s="124">
        <v>1430.58</v>
      </c>
      <c r="J338" s="126">
        <v>6.8</v>
      </c>
      <c r="K338" s="124">
        <v>51600</v>
      </c>
      <c r="L338" s="124">
        <v>53030.58</v>
      </c>
    </row>
    <row r="339" spans="1:12" ht="15" customHeight="1" x14ac:dyDescent="0.25">
      <c r="A339" s="78">
        <v>45748</v>
      </c>
      <c r="B339" t="s">
        <v>341</v>
      </c>
      <c r="C339" t="s">
        <v>342</v>
      </c>
      <c r="D339" t="s">
        <v>223</v>
      </c>
      <c r="E339" t="s">
        <v>2369</v>
      </c>
      <c r="F339" s="126">
        <v>6.2</v>
      </c>
      <c r="G339" s="77">
        <v>35000</v>
      </c>
      <c r="H339" s="126">
        <v>23.7</v>
      </c>
      <c r="I339" s="124">
        <v>531.73</v>
      </c>
      <c r="J339" s="126">
        <v>3.4</v>
      </c>
      <c r="K339" s="124">
        <v>18083.333333333299</v>
      </c>
      <c r="L339" s="124">
        <v>18615.063333333299</v>
      </c>
    </row>
    <row r="340" spans="1:12" ht="15" customHeight="1" x14ac:dyDescent="0.25">
      <c r="A340" s="78">
        <v>45748</v>
      </c>
      <c r="B340" t="s">
        <v>347</v>
      </c>
      <c r="C340" t="s">
        <v>348</v>
      </c>
      <c r="D340" t="s">
        <v>223</v>
      </c>
      <c r="E340" t="s">
        <v>105</v>
      </c>
      <c r="F340" s="126">
        <v>15.1</v>
      </c>
      <c r="G340" s="77">
        <v>28000</v>
      </c>
      <c r="H340" s="126">
        <v>57</v>
      </c>
      <c r="I340" s="124">
        <v>1023.08</v>
      </c>
      <c r="J340" s="126">
        <v>6.3</v>
      </c>
      <c r="K340" s="124">
        <v>35233.333333333299</v>
      </c>
      <c r="L340" s="124">
        <v>36256.413333333301</v>
      </c>
    </row>
    <row r="341" spans="1:12" ht="15" customHeight="1" x14ac:dyDescent="0.25">
      <c r="A341" s="78">
        <v>45748</v>
      </c>
      <c r="B341" t="s">
        <v>347</v>
      </c>
      <c r="C341" t="s">
        <v>348</v>
      </c>
      <c r="D341" t="s">
        <v>223</v>
      </c>
      <c r="E341" t="s">
        <v>231</v>
      </c>
      <c r="F341" s="126">
        <v>12.4</v>
      </c>
      <c r="G341" s="77">
        <v>29000</v>
      </c>
      <c r="H341" s="126">
        <v>58.6</v>
      </c>
      <c r="I341" s="124">
        <v>1089.3599999999999</v>
      </c>
      <c r="J341" s="126">
        <v>4.3</v>
      </c>
      <c r="K341" s="124">
        <v>29966.666666666701</v>
      </c>
      <c r="L341" s="124">
        <v>31056.026666666701</v>
      </c>
    </row>
    <row r="342" spans="1:12" ht="15" customHeight="1" x14ac:dyDescent="0.25">
      <c r="A342" s="78">
        <v>45748</v>
      </c>
      <c r="B342" t="s">
        <v>347</v>
      </c>
      <c r="C342" t="s">
        <v>348</v>
      </c>
      <c r="D342" t="s">
        <v>223</v>
      </c>
      <c r="E342" t="s">
        <v>230</v>
      </c>
      <c r="F342" s="126">
        <v>6.5</v>
      </c>
      <c r="G342" s="77">
        <v>41000</v>
      </c>
      <c r="H342" s="126">
        <v>6</v>
      </c>
      <c r="I342" s="124">
        <v>157.69</v>
      </c>
      <c r="J342" s="126">
        <v>4</v>
      </c>
      <c r="K342" s="124">
        <v>22208.333333333299</v>
      </c>
      <c r="L342" s="124">
        <v>22366.023333333302</v>
      </c>
    </row>
    <row r="343" spans="1:12" ht="15" customHeight="1" x14ac:dyDescent="0.25">
      <c r="A343" s="78">
        <v>45748</v>
      </c>
      <c r="B343" t="s">
        <v>347</v>
      </c>
      <c r="C343" t="s">
        <v>348</v>
      </c>
      <c r="D343" t="s">
        <v>223</v>
      </c>
      <c r="E343" t="s">
        <v>2368</v>
      </c>
      <c r="F343" s="126">
        <v>10.9</v>
      </c>
      <c r="G343" s="77">
        <v>27000</v>
      </c>
      <c r="H343" s="126">
        <v>51.9</v>
      </c>
      <c r="I343" s="124">
        <v>898.27</v>
      </c>
      <c r="J343" s="126">
        <v>5.4</v>
      </c>
      <c r="K343" s="124">
        <v>24525</v>
      </c>
      <c r="L343" s="124">
        <v>25423.27</v>
      </c>
    </row>
    <row r="344" spans="1:12" ht="15" customHeight="1" x14ac:dyDescent="0.25">
      <c r="A344" s="78">
        <v>45748</v>
      </c>
      <c r="B344" t="s">
        <v>347</v>
      </c>
      <c r="C344" t="s">
        <v>348</v>
      </c>
      <c r="D344" t="s">
        <v>223</v>
      </c>
      <c r="E344" t="s">
        <v>2367</v>
      </c>
      <c r="F344" s="126">
        <v>11.8</v>
      </c>
      <c r="G344" s="77">
        <v>43000</v>
      </c>
      <c r="H344" s="126">
        <v>22.5</v>
      </c>
      <c r="I344" s="124">
        <v>620.19000000000005</v>
      </c>
      <c r="J344" s="126">
        <v>5.2</v>
      </c>
      <c r="K344" s="124">
        <v>42283.333333333299</v>
      </c>
      <c r="L344" s="124">
        <v>42903.523333333302</v>
      </c>
    </row>
    <row r="345" spans="1:12" ht="15" customHeight="1" x14ac:dyDescent="0.25">
      <c r="A345" s="78">
        <v>45748</v>
      </c>
      <c r="B345" t="s">
        <v>347</v>
      </c>
      <c r="C345" t="s">
        <v>348</v>
      </c>
      <c r="D345" t="s">
        <v>223</v>
      </c>
      <c r="E345" t="s">
        <v>2369</v>
      </c>
      <c r="F345" s="126">
        <v>5</v>
      </c>
      <c r="G345" s="77">
        <v>35000</v>
      </c>
      <c r="H345" s="126">
        <v>18</v>
      </c>
      <c r="I345" s="124">
        <v>403.85</v>
      </c>
      <c r="J345" s="126">
        <v>0.9</v>
      </c>
      <c r="K345" s="124">
        <v>14583.333333333299</v>
      </c>
      <c r="L345" s="124">
        <v>14987.1833333333</v>
      </c>
    </row>
    <row r="346" spans="1:12" ht="15" customHeight="1" x14ac:dyDescent="0.25">
      <c r="A346" s="78">
        <v>45748</v>
      </c>
      <c r="B346" t="s">
        <v>409</v>
      </c>
      <c r="C346" t="s">
        <v>410</v>
      </c>
      <c r="D346" t="s">
        <v>223</v>
      </c>
      <c r="E346" t="s">
        <v>230</v>
      </c>
      <c r="F346" s="126">
        <v>6.1</v>
      </c>
      <c r="G346" s="77">
        <v>41000</v>
      </c>
      <c r="H346" s="126">
        <v>17.600000000000001</v>
      </c>
      <c r="I346" s="124">
        <v>462.56</v>
      </c>
      <c r="J346" s="126">
        <v>3.7</v>
      </c>
      <c r="K346" s="124">
        <v>20841.666666666701</v>
      </c>
      <c r="L346" s="124">
        <v>21304.226666666698</v>
      </c>
    </row>
    <row r="347" spans="1:12" ht="15" customHeight="1" x14ac:dyDescent="0.25">
      <c r="A347" s="78">
        <v>45748</v>
      </c>
      <c r="B347" t="s">
        <v>409</v>
      </c>
      <c r="C347" t="s">
        <v>410</v>
      </c>
      <c r="D347" t="s">
        <v>223</v>
      </c>
      <c r="E347" t="s">
        <v>2368</v>
      </c>
      <c r="F347" s="126">
        <v>14</v>
      </c>
      <c r="G347" s="77">
        <v>27000</v>
      </c>
      <c r="H347" s="126">
        <v>86</v>
      </c>
      <c r="I347" s="124">
        <v>1488.46</v>
      </c>
      <c r="J347" s="126">
        <v>6.6</v>
      </c>
      <c r="K347" s="124">
        <v>31500</v>
      </c>
      <c r="L347" s="124">
        <v>32988.46</v>
      </c>
    </row>
    <row r="348" spans="1:12" ht="15" customHeight="1" x14ac:dyDescent="0.25">
      <c r="A348" s="78">
        <v>45748</v>
      </c>
      <c r="B348" t="s">
        <v>409</v>
      </c>
      <c r="C348" t="s">
        <v>410</v>
      </c>
      <c r="D348" t="s">
        <v>223</v>
      </c>
      <c r="E348" t="s">
        <v>231</v>
      </c>
      <c r="F348" s="126">
        <v>11.4</v>
      </c>
      <c r="G348" s="77">
        <v>29000</v>
      </c>
      <c r="H348" s="126">
        <v>58.5</v>
      </c>
      <c r="I348" s="124">
        <v>1087.5</v>
      </c>
      <c r="J348" s="126">
        <v>3.8</v>
      </c>
      <c r="K348" s="124">
        <v>27550</v>
      </c>
      <c r="L348" s="124">
        <v>28637.5</v>
      </c>
    </row>
    <row r="349" spans="1:12" ht="15" customHeight="1" x14ac:dyDescent="0.25">
      <c r="A349" s="78">
        <v>45748</v>
      </c>
      <c r="B349" t="s">
        <v>409</v>
      </c>
      <c r="C349" t="s">
        <v>410</v>
      </c>
      <c r="D349" t="s">
        <v>223</v>
      </c>
      <c r="E349" t="s">
        <v>2367</v>
      </c>
      <c r="F349" s="126">
        <v>7.2</v>
      </c>
      <c r="G349" s="77">
        <v>43000</v>
      </c>
      <c r="H349" s="126">
        <v>35.9</v>
      </c>
      <c r="I349" s="124">
        <v>989.55</v>
      </c>
      <c r="J349" s="126">
        <v>2.8</v>
      </c>
      <c r="K349" s="124">
        <v>25800</v>
      </c>
      <c r="L349" s="124">
        <v>26789.55</v>
      </c>
    </row>
    <row r="350" spans="1:12" ht="15" customHeight="1" x14ac:dyDescent="0.25">
      <c r="A350" s="78">
        <v>45748</v>
      </c>
      <c r="B350" t="s">
        <v>409</v>
      </c>
      <c r="C350" t="s">
        <v>410</v>
      </c>
      <c r="D350" t="s">
        <v>223</v>
      </c>
      <c r="E350" t="s">
        <v>105</v>
      </c>
      <c r="F350" s="126">
        <v>11.2</v>
      </c>
      <c r="G350" s="77">
        <v>28000</v>
      </c>
      <c r="H350" s="126">
        <v>50</v>
      </c>
      <c r="I350" s="124">
        <v>897.44</v>
      </c>
      <c r="J350" s="126">
        <v>5.4</v>
      </c>
      <c r="K350" s="124">
        <v>26133.333333333299</v>
      </c>
      <c r="L350" s="124">
        <v>27030.773333333302</v>
      </c>
    </row>
    <row r="351" spans="1:12" ht="15" customHeight="1" x14ac:dyDescent="0.25">
      <c r="A351" s="78">
        <v>45748</v>
      </c>
      <c r="B351" t="s">
        <v>409</v>
      </c>
      <c r="C351" t="s">
        <v>410</v>
      </c>
      <c r="D351" t="s">
        <v>223</v>
      </c>
      <c r="E351" t="s">
        <v>2369</v>
      </c>
      <c r="F351" s="126">
        <v>7.6</v>
      </c>
      <c r="G351" s="77">
        <v>35000</v>
      </c>
      <c r="H351" s="126">
        <v>45.5</v>
      </c>
      <c r="I351" s="124">
        <v>1020.83</v>
      </c>
      <c r="J351" s="126">
        <v>2.9</v>
      </c>
      <c r="K351" s="124">
        <v>22166.666666666701</v>
      </c>
      <c r="L351" s="124">
        <v>23187.496666666699</v>
      </c>
    </row>
    <row r="352" spans="1:12" ht="15" customHeight="1" x14ac:dyDescent="0.25">
      <c r="A352" s="78">
        <v>45748</v>
      </c>
      <c r="B352" t="s">
        <v>488</v>
      </c>
      <c r="C352" t="s">
        <v>489</v>
      </c>
      <c r="D352" t="s">
        <v>225</v>
      </c>
      <c r="E352" t="s">
        <v>2369</v>
      </c>
      <c r="F352" s="126">
        <v>7.3</v>
      </c>
      <c r="G352" s="77">
        <v>35000</v>
      </c>
      <c r="H352" s="126">
        <v>36.1</v>
      </c>
      <c r="I352" s="124">
        <v>809.94</v>
      </c>
      <c r="J352" s="126">
        <v>3.4</v>
      </c>
      <c r="K352" s="124">
        <v>21291.666666666701</v>
      </c>
      <c r="L352" s="124">
        <v>22101.606666666699</v>
      </c>
    </row>
    <row r="353" spans="1:12" ht="15" customHeight="1" x14ac:dyDescent="0.25">
      <c r="A353" s="78">
        <v>45748</v>
      </c>
      <c r="B353" t="s">
        <v>488</v>
      </c>
      <c r="C353" t="s">
        <v>489</v>
      </c>
      <c r="D353" t="s">
        <v>225</v>
      </c>
      <c r="E353" t="s">
        <v>2367</v>
      </c>
      <c r="F353" s="126">
        <v>19.399999999999999</v>
      </c>
      <c r="G353" s="77">
        <v>43000</v>
      </c>
      <c r="H353" s="126">
        <v>73</v>
      </c>
      <c r="I353" s="124">
        <v>2012.18</v>
      </c>
      <c r="J353" s="126">
        <v>9.5</v>
      </c>
      <c r="K353" s="124">
        <v>69516.666666666701</v>
      </c>
      <c r="L353" s="124">
        <v>71528.846666666694</v>
      </c>
    </row>
    <row r="354" spans="1:12" ht="15" customHeight="1" x14ac:dyDescent="0.25">
      <c r="A354" s="78">
        <v>45748</v>
      </c>
      <c r="B354" t="s">
        <v>488</v>
      </c>
      <c r="C354" t="s">
        <v>489</v>
      </c>
      <c r="D354" t="s">
        <v>225</v>
      </c>
      <c r="E354" t="s">
        <v>230</v>
      </c>
      <c r="F354" s="126">
        <v>16.8</v>
      </c>
      <c r="G354" s="77">
        <v>41000</v>
      </c>
      <c r="H354" s="126">
        <v>45.9</v>
      </c>
      <c r="I354" s="124">
        <v>1206.3499999999999</v>
      </c>
      <c r="J354" s="126">
        <v>8.4</v>
      </c>
      <c r="K354" s="124">
        <v>57400</v>
      </c>
      <c r="L354" s="124">
        <v>58606.35</v>
      </c>
    </row>
    <row r="355" spans="1:12" ht="15" customHeight="1" x14ac:dyDescent="0.25">
      <c r="A355" s="78">
        <v>45748</v>
      </c>
      <c r="B355" t="s">
        <v>488</v>
      </c>
      <c r="C355" t="s">
        <v>489</v>
      </c>
      <c r="D355" t="s">
        <v>225</v>
      </c>
      <c r="E355" t="s">
        <v>231</v>
      </c>
      <c r="F355" s="126">
        <v>19.7</v>
      </c>
      <c r="G355" s="77">
        <v>29000</v>
      </c>
      <c r="H355" s="126">
        <v>76.900000000000006</v>
      </c>
      <c r="I355" s="124">
        <v>1429.55</v>
      </c>
      <c r="J355" s="126">
        <v>10.1</v>
      </c>
      <c r="K355" s="124">
        <v>47608.333333333299</v>
      </c>
      <c r="L355" s="124">
        <v>49037.883333333302</v>
      </c>
    </row>
    <row r="356" spans="1:12" ht="15" customHeight="1" x14ac:dyDescent="0.25">
      <c r="A356" s="78">
        <v>45748</v>
      </c>
      <c r="B356" t="s">
        <v>488</v>
      </c>
      <c r="C356" t="s">
        <v>489</v>
      </c>
      <c r="D356" t="s">
        <v>225</v>
      </c>
      <c r="E356" t="s">
        <v>105</v>
      </c>
      <c r="F356" s="126">
        <v>3.1</v>
      </c>
      <c r="G356" s="77">
        <v>28000</v>
      </c>
      <c r="H356" s="126">
        <v>12.8</v>
      </c>
      <c r="I356" s="124">
        <v>229.74</v>
      </c>
      <c r="J356" s="126">
        <v>2.2999999999999998</v>
      </c>
      <c r="K356" s="124">
        <v>7233.3333333333303</v>
      </c>
      <c r="L356" s="124">
        <v>7463.0733333333301</v>
      </c>
    </row>
    <row r="357" spans="1:12" ht="15" customHeight="1" x14ac:dyDescent="0.25">
      <c r="A357" s="78">
        <v>45748</v>
      </c>
      <c r="B357" t="s">
        <v>488</v>
      </c>
      <c r="C357" t="s">
        <v>489</v>
      </c>
      <c r="D357" t="s">
        <v>225</v>
      </c>
      <c r="E357" t="s">
        <v>232</v>
      </c>
      <c r="F357" s="126">
        <v>6.2</v>
      </c>
      <c r="G357" s="77">
        <v>25000</v>
      </c>
      <c r="H357" s="126">
        <v>33.4</v>
      </c>
      <c r="I357" s="124">
        <v>535.26</v>
      </c>
      <c r="J357" s="126">
        <v>2</v>
      </c>
      <c r="K357" s="124">
        <v>12916.666666666701</v>
      </c>
      <c r="L357" s="124">
        <v>13451.926666666701</v>
      </c>
    </row>
    <row r="358" spans="1:12" ht="15" customHeight="1" x14ac:dyDescent="0.25">
      <c r="A358" s="78">
        <v>45748</v>
      </c>
      <c r="B358" t="s">
        <v>406</v>
      </c>
      <c r="C358" t="s">
        <v>407</v>
      </c>
      <c r="D358" t="s">
        <v>225</v>
      </c>
      <c r="E358" t="s">
        <v>2369</v>
      </c>
      <c r="F358" s="126">
        <v>12.6</v>
      </c>
      <c r="G358" s="77">
        <v>35000</v>
      </c>
      <c r="H358" s="126">
        <v>66.8</v>
      </c>
      <c r="I358" s="124">
        <v>1498.72</v>
      </c>
      <c r="J358" s="126">
        <v>5.0999999999999996</v>
      </c>
      <c r="K358" s="124">
        <v>36750</v>
      </c>
      <c r="L358" s="124">
        <v>38248.720000000001</v>
      </c>
    </row>
    <row r="359" spans="1:12" ht="15" customHeight="1" x14ac:dyDescent="0.25">
      <c r="A359" s="78">
        <v>45748</v>
      </c>
      <c r="B359" t="s">
        <v>406</v>
      </c>
      <c r="C359" t="s">
        <v>407</v>
      </c>
      <c r="D359" t="s">
        <v>225</v>
      </c>
      <c r="E359" t="s">
        <v>105</v>
      </c>
      <c r="F359" s="126">
        <v>6.4</v>
      </c>
      <c r="G359" s="77">
        <v>28000</v>
      </c>
      <c r="H359" s="126">
        <v>31.2</v>
      </c>
      <c r="I359" s="124">
        <v>560</v>
      </c>
      <c r="J359" s="126">
        <v>3.8</v>
      </c>
      <c r="K359" s="124">
        <v>14933.333333333299</v>
      </c>
      <c r="L359" s="124">
        <v>15493.333333333299</v>
      </c>
    </row>
    <row r="360" spans="1:12" ht="15" customHeight="1" x14ac:dyDescent="0.25">
      <c r="A360" s="78">
        <v>45748</v>
      </c>
      <c r="B360" t="s">
        <v>406</v>
      </c>
      <c r="C360" t="s">
        <v>407</v>
      </c>
      <c r="D360" t="s">
        <v>225</v>
      </c>
      <c r="E360" t="s">
        <v>2367</v>
      </c>
      <c r="F360" s="126">
        <v>3.9</v>
      </c>
      <c r="G360" s="77">
        <v>43000</v>
      </c>
      <c r="H360" s="126">
        <v>4.4000000000000004</v>
      </c>
      <c r="I360" s="124">
        <v>121.28</v>
      </c>
      <c r="J360" s="126">
        <v>2</v>
      </c>
      <c r="K360" s="124">
        <v>13975</v>
      </c>
      <c r="L360" s="124">
        <v>14096.28</v>
      </c>
    </row>
    <row r="361" spans="1:12" ht="15" customHeight="1" x14ac:dyDescent="0.25">
      <c r="A361" s="78">
        <v>45748</v>
      </c>
      <c r="B361" t="s">
        <v>406</v>
      </c>
      <c r="C361" t="s">
        <v>407</v>
      </c>
      <c r="D361" t="s">
        <v>225</v>
      </c>
      <c r="E361" t="s">
        <v>230</v>
      </c>
      <c r="F361" s="126">
        <v>10.3</v>
      </c>
      <c r="G361" s="77">
        <v>41000</v>
      </c>
      <c r="H361" s="126">
        <v>34</v>
      </c>
      <c r="I361" s="124">
        <v>893.59</v>
      </c>
      <c r="J361" s="126">
        <v>4.4000000000000004</v>
      </c>
      <c r="K361" s="124">
        <v>35191.666666666701</v>
      </c>
      <c r="L361" s="124">
        <v>36085.256666666697</v>
      </c>
    </row>
    <row r="362" spans="1:12" ht="15" customHeight="1" x14ac:dyDescent="0.25">
      <c r="A362" s="78">
        <v>45748</v>
      </c>
      <c r="B362" t="s">
        <v>406</v>
      </c>
      <c r="C362" t="s">
        <v>407</v>
      </c>
      <c r="D362" t="s">
        <v>225</v>
      </c>
      <c r="E362" t="s">
        <v>2368</v>
      </c>
      <c r="F362" s="126">
        <v>19.7</v>
      </c>
      <c r="G362" s="77">
        <v>27000</v>
      </c>
      <c r="H362" s="126">
        <v>118.7</v>
      </c>
      <c r="I362" s="124">
        <v>2054.42</v>
      </c>
      <c r="J362" s="126">
        <v>9.1999999999999993</v>
      </c>
      <c r="K362" s="124">
        <v>44325</v>
      </c>
      <c r="L362" s="124">
        <v>46379.42</v>
      </c>
    </row>
    <row r="363" spans="1:12" ht="15" customHeight="1" x14ac:dyDescent="0.25">
      <c r="A363" s="78">
        <v>45748</v>
      </c>
      <c r="B363" t="s">
        <v>358</v>
      </c>
      <c r="C363" t="s">
        <v>359</v>
      </c>
      <c r="D363" t="s">
        <v>225</v>
      </c>
      <c r="E363" t="s">
        <v>232</v>
      </c>
      <c r="F363" s="126">
        <v>5.4</v>
      </c>
      <c r="G363" s="77">
        <v>25000</v>
      </c>
      <c r="H363" s="126">
        <v>15.1</v>
      </c>
      <c r="I363" s="124">
        <v>241.99</v>
      </c>
      <c r="J363" s="126">
        <v>2.8</v>
      </c>
      <c r="K363" s="124">
        <v>11250</v>
      </c>
      <c r="L363" s="124">
        <v>11491.99</v>
      </c>
    </row>
    <row r="364" spans="1:12" ht="15" customHeight="1" x14ac:dyDescent="0.25">
      <c r="A364" s="78">
        <v>45748</v>
      </c>
      <c r="B364" t="s">
        <v>358</v>
      </c>
      <c r="C364" t="s">
        <v>359</v>
      </c>
      <c r="D364" t="s">
        <v>225</v>
      </c>
      <c r="E364" t="s">
        <v>2369</v>
      </c>
      <c r="F364" s="126">
        <v>5.0999999999999996</v>
      </c>
      <c r="G364" s="77">
        <v>35000</v>
      </c>
      <c r="H364" s="126">
        <v>25.6</v>
      </c>
      <c r="I364" s="124">
        <v>574.36</v>
      </c>
      <c r="J364" s="126">
        <v>2.4</v>
      </c>
      <c r="K364" s="124">
        <v>14875</v>
      </c>
      <c r="L364" s="124">
        <v>15449.36</v>
      </c>
    </row>
    <row r="365" spans="1:12" ht="15" customHeight="1" x14ac:dyDescent="0.25">
      <c r="A365" s="78">
        <v>45748</v>
      </c>
      <c r="B365" t="s">
        <v>358</v>
      </c>
      <c r="C365" t="s">
        <v>359</v>
      </c>
      <c r="D365" t="s">
        <v>225</v>
      </c>
      <c r="E365" t="s">
        <v>2368</v>
      </c>
      <c r="F365" s="126">
        <v>15.9</v>
      </c>
      <c r="G365" s="77">
        <v>27000</v>
      </c>
      <c r="H365" s="126">
        <v>91.4</v>
      </c>
      <c r="I365" s="124">
        <v>1581.92</v>
      </c>
      <c r="J365" s="126">
        <v>8.5</v>
      </c>
      <c r="K365" s="124">
        <v>35775</v>
      </c>
      <c r="L365" s="124">
        <v>37356.92</v>
      </c>
    </row>
    <row r="366" spans="1:12" ht="15" customHeight="1" x14ac:dyDescent="0.25">
      <c r="A366" s="78">
        <v>45748</v>
      </c>
      <c r="B366" t="s">
        <v>358</v>
      </c>
      <c r="C366" t="s">
        <v>359</v>
      </c>
      <c r="D366" t="s">
        <v>225</v>
      </c>
      <c r="E366" t="s">
        <v>2367</v>
      </c>
      <c r="F366" s="126">
        <v>19.899999999999999</v>
      </c>
      <c r="G366" s="77">
        <v>43000</v>
      </c>
      <c r="H366" s="126">
        <v>14.6</v>
      </c>
      <c r="I366" s="124">
        <v>402.44</v>
      </c>
      <c r="J366" s="126">
        <v>9.4</v>
      </c>
      <c r="K366" s="124">
        <v>71308.333333333299</v>
      </c>
      <c r="L366" s="124">
        <v>71710.773333333302</v>
      </c>
    </row>
    <row r="367" spans="1:12" ht="15" customHeight="1" x14ac:dyDescent="0.25">
      <c r="A367" s="78">
        <v>45748</v>
      </c>
      <c r="B367" t="s">
        <v>358</v>
      </c>
      <c r="C367" t="s">
        <v>359</v>
      </c>
      <c r="D367" t="s">
        <v>225</v>
      </c>
      <c r="E367" t="s">
        <v>231</v>
      </c>
      <c r="F367" s="126">
        <v>3.7</v>
      </c>
      <c r="G367" s="77">
        <v>29000</v>
      </c>
      <c r="H367" s="126">
        <v>11.7</v>
      </c>
      <c r="I367" s="124">
        <v>217.5</v>
      </c>
      <c r="J367" s="126">
        <v>2.2999999999999998</v>
      </c>
      <c r="K367" s="124">
        <v>8941.6666666666697</v>
      </c>
      <c r="L367" s="124">
        <v>9159.1666666666697</v>
      </c>
    </row>
    <row r="368" spans="1:12" ht="15" customHeight="1" x14ac:dyDescent="0.25">
      <c r="A368" s="78">
        <v>45748</v>
      </c>
      <c r="B368" t="s">
        <v>358</v>
      </c>
      <c r="C368" t="s">
        <v>359</v>
      </c>
      <c r="D368" t="s">
        <v>225</v>
      </c>
      <c r="E368" t="s">
        <v>105</v>
      </c>
      <c r="F368" s="126">
        <v>4.2</v>
      </c>
      <c r="G368" s="77">
        <v>28000</v>
      </c>
      <c r="H368" s="126">
        <v>0.3</v>
      </c>
      <c r="I368" s="124">
        <v>5.38</v>
      </c>
      <c r="J368" s="126">
        <v>4.5999999999999996</v>
      </c>
      <c r="K368" s="124">
        <v>9800</v>
      </c>
      <c r="L368" s="124">
        <v>9805.3799999999992</v>
      </c>
    </row>
    <row r="369" spans="1:12" ht="15" customHeight="1" x14ac:dyDescent="0.25">
      <c r="A369" s="78">
        <v>45748</v>
      </c>
      <c r="B369" t="s">
        <v>383</v>
      </c>
      <c r="C369" t="s">
        <v>384</v>
      </c>
      <c r="D369" t="s">
        <v>225</v>
      </c>
      <c r="E369" t="s">
        <v>2367</v>
      </c>
      <c r="F369" s="126">
        <v>16.3</v>
      </c>
      <c r="G369" s="77">
        <v>43000</v>
      </c>
      <c r="H369" s="126">
        <v>78.2</v>
      </c>
      <c r="I369" s="124">
        <v>2155.5100000000002</v>
      </c>
      <c r="J369" s="126">
        <v>8.3000000000000007</v>
      </c>
      <c r="K369" s="124">
        <v>58408.333333333299</v>
      </c>
      <c r="L369" s="124">
        <v>60563.843333333301</v>
      </c>
    </row>
    <row r="370" spans="1:12" ht="15" customHeight="1" x14ac:dyDescent="0.25">
      <c r="A370" s="78">
        <v>45748</v>
      </c>
      <c r="B370" t="s">
        <v>383</v>
      </c>
      <c r="C370" t="s">
        <v>384</v>
      </c>
      <c r="D370" t="s">
        <v>225</v>
      </c>
      <c r="E370" t="s">
        <v>105</v>
      </c>
      <c r="F370" s="126">
        <v>18.7</v>
      </c>
      <c r="G370" s="77">
        <v>28000</v>
      </c>
      <c r="H370" s="126">
        <v>107.9</v>
      </c>
      <c r="I370" s="124">
        <v>1936.67</v>
      </c>
      <c r="J370" s="126">
        <v>11.7</v>
      </c>
      <c r="K370" s="124">
        <v>43633.333333333299</v>
      </c>
      <c r="L370" s="124">
        <v>45570.003333333298</v>
      </c>
    </row>
    <row r="371" spans="1:12" ht="15" customHeight="1" x14ac:dyDescent="0.25">
      <c r="A371" s="78">
        <v>45748</v>
      </c>
      <c r="B371" t="s">
        <v>383</v>
      </c>
      <c r="C371" t="s">
        <v>384</v>
      </c>
      <c r="D371" t="s">
        <v>225</v>
      </c>
      <c r="E371" t="s">
        <v>230</v>
      </c>
      <c r="F371" s="126">
        <v>14.7</v>
      </c>
      <c r="G371" s="77">
        <v>41000</v>
      </c>
      <c r="H371" s="126">
        <v>78</v>
      </c>
      <c r="I371" s="124">
        <v>2050</v>
      </c>
      <c r="J371" s="126">
        <v>8.3000000000000007</v>
      </c>
      <c r="K371" s="124">
        <v>50225</v>
      </c>
      <c r="L371" s="124">
        <v>52275</v>
      </c>
    </row>
    <row r="372" spans="1:12" ht="15" customHeight="1" x14ac:dyDescent="0.25">
      <c r="A372" s="78">
        <v>45748</v>
      </c>
      <c r="B372" t="s">
        <v>383</v>
      </c>
      <c r="C372" t="s">
        <v>384</v>
      </c>
      <c r="D372" t="s">
        <v>225</v>
      </c>
      <c r="E372" t="s">
        <v>231</v>
      </c>
      <c r="F372" s="126">
        <v>6.5</v>
      </c>
      <c r="G372" s="77">
        <v>29000</v>
      </c>
      <c r="H372" s="126">
        <v>27.3</v>
      </c>
      <c r="I372" s="124">
        <v>507.5</v>
      </c>
      <c r="J372" s="126">
        <v>3.1</v>
      </c>
      <c r="K372" s="124">
        <v>15708.333333333299</v>
      </c>
      <c r="L372" s="124">
        <v>16215.833333333299</v>
      </c>
    </row>
    <row r="373" spans="1:12" ht="15" customHeight="1" x14ac:dyDescent="0.25">
      <c r="A373" s="78">
        <v>45748</v>
      </c>
      <c r="B373" t="s">
        <v>373</v>
      </c>
      <c r="C373" t="s">
        <v>374</v>
      </c>
      <c r="D373" t="s">
        <v>225</v>
      </c>
      <c r="E373" t="s">
        <v>2367</v>
      </c>
      <c r="F373" s="126">
        <v>7.8</v>
      </c>
      <c r="G373" s="77">
        <v>43000</v>
      </c>
      <c r="H373" s="126">
        <v>25.6</v>
      </c>
      <c r="I373" s="124">
        <v>705.64</v>
      </c>
      <c r="J373" s="126">
        <v>3.1</v>
      </c>
      <c r="K373" s="124">
        <v>27950</v>
      </c>
      <c r="L373" s="124">
        <v>28655.64</v>
      </c>
    </row>
    <row r="374" spans="1:12" ht="15" customHeight="1" x14ac:dyDescent="0.25">
      <c r="A374" s="78">
        <v>45748</v>
      </c>
      <c r="B374" t="s">
        <v>373</v>
      </c>
      <c r="C374" t="s">
        <v>374</v>
      </c>
      <c r="D374" t="s">
        <v>225</v>
      </c>
      <c r="E374" t="s">
        <v>232</v>
      </c>
      <c r="F374" s="126">
        <v>7.1</v>
      </c>
      <c r="G374" s="77">
        <v>25000</v>
      </c>
      <c r="H374" s="126">
        <v>21.1</v>
      </c>
      <c r="I374" s="124">
        <v>338.14</v>
      </c>
      <c r="J374" s="126">
        <v>2.2000000000000002</v>
      </c>
      <c r="K374" s="124">
        <v>14791.666666666701</v>
      </c>
      <c r="L374" s="124">
        <v>15129.8066666667</v>
      </c>
    </row>
    <row r="375" spans="1:12" ht="15" customHeight="1" x14ac:dyDescent="0.25">
      <c r="A375" s="78">
        <v>45748</v>
      </c>
      <c r="B375" t="s">
        <v>373</v>
      </c>
      <c r="C375" t="s">
        <v>374</v>
      </c>
      <c r="D375" t="s">
        <v>225</v>
      </c>
      <c r="E375" t="s">
        <v>2368</v>
      </c>
      <c r="F375" s="126">
        <v>6.7</v>
      </c>
      <c r="G375" s="77">
        <v>27000</v>
      </c>
      <c r="H375" s="126">
        <v>26</v>
      </c>
      <c r="I375" s="124">
        <v>450</v>
      </c>
      <c r="J375" s="126">
        <v>1.7</v>
      </c>
      <c r="K375" s="124">
        <v>15075</v>
      </c>
      <c r="L375" s="124">
        <v>15525</v>
      </c>
    </row>
    <row r="376" spans="1:12" ht="15" customHeight="1" x14ac:dyDescent="0.25">
      <c r="A376" s="78">
        <v>45748</v>
      </c>
      <c r="B376" t="s">
        <v>373</v>
      </c>
      <c r="C376" t="s">
        <v>374</v>
      </c>
      <c r="D376" t="s">
        <v>225</v>
      </c>
      <c r="E376" t="s">
        <v>105</v>
      </c>
      <c r="F376" s="126">
        <v>13.3</v>
      </c>
      <c r="G376" s="77">
        <v>28000</v>
      </c>
      <c r="H376" s="126">
        <v>57</v>
      </c>
      <c r="I376" s="124">
        <v>1023.08</v>
      </c>
      <c r="J376" s="126">
        <v>6.6</v>
      </c>
      <c r="K376" s="124">
        <v>31033.333333333299</v>
      </c>
      <c r="L376" s="124">
        <v>32056.413333333301</v>
      </c>
    </row>
    <row r="377" spans="1:12" ht="15" customHeight="1" x14ac:dyDescent="0.25">
      <c r="A377" s="78">
        <v>45748</v>
      </c>
      <c r="B377" t="s">
        <v>373</v>
      </c>
      <c r="C377" t="s">
        <v>374</v>
      </c>
      <c r="D377" t="s">
        <v>225</v>
      </c>
      <c r="E377" t="s">
        <v>231</v>
      </c>
      <c r="F377" s="126">
        <v>15.8</v>
      </c>
      <c r="G377" s="77">
        <v>29000</v>
      </c>
      <c r="H377" s="126">
        <v>66.7</v>
      </c>
      <c r="I377" s="124">
        <v>1239.94</v>
      </c>
      <c r="J377" s="126">
        <v>7.4</v>
      </c>
      <c r="K377" s="124">
        <v>38183.333333333299</v>
      </c>
      <c r="L377" s="124">
        <v>39423.273333333302</v>
      </c>
    </row>
    <row r="378" spans="1:12" ht="15" customHeight="1" x14ac:dyDescent="0.25">
      <c r="A378" s="78">
        <v>45748</v>
      </c>
      <c r="B378" t="s">
        <v>373</v>
      </c>
      <c r="C378" t="s">
        <v>374</v>
      </c>
      <c r="D378" t="s">
        <v>225</v>
      </c>
      <c r="E378" t="s">
        <v>230</v>
      </c>
      <c r="F378" s="126">
        <v>18.8</v>
      </c>
      <c r="G378" s="77">
        <v>41000</v>
      </c>
      <c r="H378" s="126">
        <v>162</v>
      </c>
      <c r="I378" s="124">
        <v>4257.6899999999996</v>
      </c>
      <c r="J378" s="126">
        <v>10.8</v>
      </c>
      <c r="K378" s="124">
        <v>64233.333333333299</v>
      </c>
      <c r="L378" s="124">
        <v>68491.023333333302</v>
      </c>
    </row>
    <row r="379" spans="1:12" ht="15" customHeight="1" x14ac:dyDescent="0.25">
      <c r="A379" s="78">
        <v>45748</v>
      </c>
      <c r="B379" t="s">
        <v>354</v>
      </c>
      <c r="C379" t="s">
        <v>355</v>
      </c>
      <c r="D379" t="s">
        <v>227</v>
      </c>
      <c r="E379" t="s">
        <v>105</v>
      </c>
      <c r="F379" s="126">
        <v>12.9</v>
      </c>
      <c r="G379" s="77">
        <v>28000</v>
      </c>
      <c r="H379" s="126">
        <v>27.5</v>
      </c>
      <c r="I379" s="124">
        <v>493.59</v>
      </c>
      <c r="J379" s="126">
        <v>6.7</v>
      </c>
      <c r="K379" s="124">
        <v>30100</v>
      </c>
      <c r="L379" s="124">
        <v>30593.59</v>
      </c>
    </row>
    <row r="380" spans="1:12" ht="15" customHeight="1" x14ac:dyDescent="0.25">
      <c r="A380" s="78">
        <v>45748</v>
      </c>
      <c r="B380" t="s">
        <v>354</v>
      </c>
      <c r="C380" t="s">
        <v>355</v>
      </c>
      <c r="D380" t="s">
        <v>227</v>
      </c>
      <c r="E380" t="s">
        <v>231</v>
      </c>
      <c r="F380" s="126">
        <v>16</v>
      </c>
      <c r="G380" s="77">
        <v>29000</v>
      </c>
      <c r="H380" s="126">
        <v>49.4</v>
      </c>
      <c r="I380" s="124">
        <v>918.33</v>
      </c>
      <c r="J380" s="126">
        <v>7</v>
      </c>
      <c r="K380" s="124">
        <v>38666.666666666701</v>
      </c>
      <c r="L380" s="124">
        <v>39584.996666666702</v>
      </c>
    </row>
    <row r="381" spans="1:12" ht="15" customHeight="1" x14ac:dyDescent="0.25">
      <c r="A381" s="78">
        <v>45748</v>
      </c>
      <c r="B381" t="s">
        <v>354</v>
      </c>
      <c r="C381" t="s">
        <v>355</v>
      </c>
      <c r="D381" t="s">
        <v>227</v>
      </c>
      <c r="E381" t="s">
        <v>2368</v>
      </c>
      <c r="F381" s="126">
        <v>5.9</v>
      </c>
      <c r="G381" s="77">
        <v>27000</v>
      </c>
      <c r="H381" s="126">
        <v>11.7</v>
      </c>
      <c r="I381" s="124">
        <v>202.5</v>
      </c>
      <c r="J381" s="126">
        <v>3.4</v>
      </c>
      <c r="K381" s="124">
        <v>13275</v>
      </c>
      <c r="L381" s="124">
        <v>13477.5</v>
      </c>
    </row>
    <row r="382" spans="1:12" ht="15" customHeight="1" x14ac:dyDescent="0.25">
      <c r="A382" s="78">
        <v>45748</v>
      </c>
      <c r="B382" t="s">
        <v>354</v>
      </c>
      <c r="C382" t="s">
        <v>355</v>
      </c>
      <c r="D382" t="s">
        <v>227</v>
      </c>
      <c r="E382" t="s">
        <v>232</v>
      </c>
      <c r="F382" s="126">
        <v>19.399999999999999</v>
      </c>
      <c r="G382" s="77">
        <v>25000</v>
      </c>
      <c r="H382" s="126">
        <v>57.8</v>
      </c>
      <c r="I382" s="124">
        <v>926.28</v>
      </c>
      <c r="J382" s="126">
        <v>10.7</v>
      </c>
      <c r="K382" s="124">
        <v>40416.666666666701</v>
      </c>
      <c r="L382" s="124">
        <v>41342.946666666699</v>
      </c>
    </row>
    <row r="383" spans="1:12" ht="15" customHeight="1" x14ac:dyDescent="0.25">
      <c r="A383" s="78">
        <v>45748</v>
      </c>
      <c r="B383" t="s">
        <v>354</v>
      </c>
      <c r="C383" t="s">
        <v>355</v>
      </c>
      <c r="D383" t="s">
        <v>227</v>
      </c>
      <c r="E383" t="s">
        <v>230</v>
      </c>
      <c r="F383" s="126">
        <v>9.5</v>
      </c>
      <c r="G383" s="77">
        <v>41000</v>
      </c>
      <c r="H383" s="126">
        <v>52.2</v>
      </c>
      <c r="I383" s="124">
        <v>1371.92</v>
      </c>
      <c r="J383" s="126">
        <v>6.1</v>
      </c>
      <c r="K383" s="124">
        <v>32458.333333333299</v>
      </c>
      <c r="L383" s="124">
        <v>33830.253333333298</v>
      </c>
    </row>
    <row r="384" spans="1:12" ht="15" customHeight="1" x14ac:dyDescent="0.25">
      <c r="A384" s="78">
        <v>45748</v>
      </c>
      <c r="B384" t="s">
        <v>370</v>
      </c>
      <c r="C384" t="s">
        <v>371</v>
      </c>
      <c r="D384" t="s">
        <v>227</v>
      </c>
      <c r="E384" t="s">
        <v>2367</v>
      </c>
      <c r="F384" s="126">
        <v>16.8</v>
      </c>
      <c r="G384" s="77">
        <v>43000</v>
      </c>
      <c r="H384" s="126">
        <v>45.7</v>
      </c>
      <c r="I384" s="124">
        <v>1259.68</v>
      </c>
      <c r="J384" s="126">
        <v>8.9</v>
      </c>
      <c r="K384" s="124">
        <v>60200</v>
      </c>
      <c r="L384" s="124">
        <v>61459.68</v>
      </c>
    </row>
    <row r="385" spans="1:12" ht="15" customHeight="1" x14ac:dyDescent="0.25">
      <c r="A385" s="78">
        <v>45748</v>
      </c>
      <c r="B385" t="s">
        <v>370</v>
      </c>
      <c r="C385" t="s">
        <v>371</v>
      </c>
      <c r="D385" t="s">
        <v>227</v>
      </c>
      <c r="E385" t="s">
        <v>232</v>
      </c>
      <c r="F385" s="126">
        <v>5.0999999999999996</v>
      </c>
      <c r="G385" s="77">
        <v>25000</v>
      </c>
      <c r="H385" s="126">
        <v>25.2</v>
      </c>
      <c r="I385" s="124">
        <v>403.85</v>
      </c>
      <c r="J385" s="126">
        <v>2.1</v>
      </c>
      <c r="K385" s="124">
        <v>10625</v>
      </c>
      <c r="L385" s="124">
        <v>11028.85</v>
      </c>
    </row>
    <row r="386" spans="1:12" ht="15" customHeight="1" x14ac:dyDescent="0.25">
      <c r="A386" s="78">
        <v>45748</v>
      </c>
      <c r="B386" t="s">
        <v>370</v>
      </c>
      <c r="C386" t="s">
        <v>371</v>
      </c>
      <c r="D386" t="s">
        <v>227</v>
      </c>
      <c r="E386" t="s">
        <v>231</v>
      </c>
      <c r="F386" s="126">
        <v>7.2</v>
      </c>
      <c r="G386" s="77">
        <v>29000</v>
      </c>
      <c r="H386" s="126">
        <v>20.5</v>
      </c>
      <c r="I386" s="124">
        <v>381.09</v>
      </c>
      <c r="J386" s="126">
        <v>5.2</v>
      </c>
      <c r="K386" s="124">
        <v>17400</v>
      </c>
      <c r="L386" s="124">
        <v>17781.09</v>
      </c>
    </row>
    <row r="387" spans="1:12" ht="15" customHeight="1" x14ac:dyDescent="0.25">
      <c r="A387" s="78">
        <v>45748</v>
      </c>
      <c r="B387" t="s">
        <v>370</v>
      </c>
      <c r="C387" t="s">
        <v>371</v>
      </c>
      <c r="D387" t="s">
        <v>227</v>
      </c>
      <c r="E387" t="s">
        <v>2368</v>
      </c>
      <c r="F387" s="126">
        <v>9.9</v>
      </c>
      <c r="G387" s="77">
        <v>27000</v>
      </c>
      <c r="H387" s="126">
        <v>43</v>
      </c>
      <c r="I387" s="124">
        <v>744.23</v>
      </c>
      <c r="J387" s="126">
        <v>5.6</v>
      </c>
      <c r="K387" s="124">
        <v>22275</v>
      </c>
      <c r="L387" s="124">
        <v>23019.23</v>
      </c>
    </row>
    <row r="388" spans="1:12" ht="15" customHeight="1" x14ac:dyDescent="0.25">
      <c r="A388" s="78">
        <v>45748</v>
      </c>
      <c r="B388" t="s">
        <v>370</v>
      </c>
      <c r="C388" t="s">
        <v>371</v>
      </c>
      <c r="D388" t="s">
        <v>227</v>
      </c>
      <c r="E388" t="s">
        <v>230</v>
      </c>
      <c r="F388" s="126">
        <v>7.1</v>
      </c>
      <c r="G388" s="77">
        <v>41000</v>
      </c>
      <c r="H388" s="126">
        <v>19.600000000000001</v>
      </c>
      <c r="I388" s="124">
        <v>515.13</v>
      </c>
      <c r="J388" s="126">
        <v>2.2999999999999998</v>
      </c>
      <c r="K388" s="124">
        <v>24258.333333333299</v>
      </c>
      <c r="L388" s="124">
        <v>24773.4633333333</v>
      </c>
    </row>
    <row r="389" spans="1:12" ht="15" customHeight="1" x14ac:dyDescent="0.25">
      <c r="A389" s="78">
        <v>45748</v>
      </c>
      <c r="B389" t="s">
        <v>370</v>
      </c>
      <c r="C389" t="s">
        <v>371</v>
      </c>
      <c r="D389" t="s">
        <v>227</v>
      </c>
      <c r="E389" t="s">
        <v>105</v>
      </c>
      <c r="F389" s="126">
        <v>13.4</v>
      </c>
      <c r="G389" s="77">
        <v>28000</v>
      </c>
      <c r="H389" s="126">
        <v>42.2</v>
      </c>
      <c r="I389" s="124">
        <v>757.44</v>
      </c>
      <c r="J389" s="126">
        <v>6.6</v>
      </c>
      <c r="K389" s="124">
        <v>31266.666666666701</v>
      </c>
      <c r="L389" s="124">
        <v>32024.106666666699</v>
      </c>
    </row>
    <row r="390" spans="1:12" ht="15" customHeight="1" x14ac:dyDescent="0.25">
      <c r="A390" s="78">
        <v>45748</v>
      </c>
      <c r="B390" t="s">
        <v>398</v>
      </c>
      <c r="C390" t="s">
        <v>399</v>
      </c>
      <c r="D390" t="s">
        <v>227</v>
      </c>
      <c r="E390" t="s">
        <v>231</v>
      </c>
      <c r="F390" s="126">
        <v>7.1</v>
      </c>
      <c r="G390" s="77">
        <v>29000</v>
      </c>
      <c r="H390" s="126">
        <v>17.100000000000001</v>
      </c>
      <c r="I390" s="124">
        <v>317.88</v>
      </c>
      <c r="J390" s="126">
        <v>3.5</v>
      </c>
      <c r="K390" s="124">
        <v>17158.333333333299</v>
      </c>
      <c r="L390" s="124">
        <v>17476.2133333333</v>
      </c>
    </row>
    <row r="391" spans="1:12" ht="15" customHeight="1" x14ac:dyDescent="0.25">
      <c r="A391" s="78">
        <v>45748</v>
      </c>
      <c r="B391" t="s">
        <v>398</v>
      </c>
      <c r="C391" t="s">
        <v>399</v>
      </c>
      <c r="D391" t="s">
        <v>227</v>
      </c>
      <c r="E391" t="s">
        <v>230</v>
      </c>
      <c r="F391" s="126">
        <v>8.1999999999999993</v>
      </c>
      <c r="G391" s="77">
        <v>41000</v>
      </c>
      <c r="H391" s="126">
        <v>12</v>
      </c>
      <c r="I391" s="124">
        <v>315.38</v>
      </c>
      <c r="J391" s="126">
        <v>3</v>
      </c>
      <c r="K391" s="124">
        <v>28016.666666666701</v>
      </c>
      <c r="L391" s="124">
        <v>28332.046666666702</v>
      </c>
    </row>
    <row r="392" spans="1:12" ht="15" customHeight="1" x14ac:dyDescent="0.25">
      <c r="A392" s="78">
        <v>45748</v>
      </c>
      <c r="B392" t="s">
        <v>398</v>
      </c>
      <c r="C392" t="s">
        <v>399</v>
      </c>
      <c r="D392" t="s">
        <v>227</v>
      </c>
      <c r="E392" t="s">
        <v>232</v>
      </c>
      <c r="F392" s="126">
        <v>12.9</v>
      </c>
      <c r="G392" s="77">
        <v>25000</v>
      </c>
      <c r="H392" s="126">
        <v>64.599999999999994</v>
      </c>
      <c r="I392" s="124">
        <v>1035.26</v>
      </c>
      <c r="J392" s="126">
        <v>7.1</v>
      </c>
      <c r="K392" s="124">
        <v>26875</v>
      </c>
      <c r="L392" s="124">
        <v>27910.26</v>
      </c>
    </row>
    <row r="393" spans="1:12" ht="15" customHeight="1" x14ac:dyDescent="0.25">
      <c r="A393" s="78">
        <v>45748</v>
      </c>
      <c r="B393" t="s">
        <v>398</v>
      </c>
      <c r="C393" t="s">
        <v>399</v>
      </c>
      <c r="D393" t="s">
        <v>227</v>
      </c>
      <c r="E393" t="s">
        <v>2367</v>
      </c>
      <c r="F393" s="126">
        <v>13.2</v>
      </c>
      <c r="G393" s="77">
        <v>43000</v>
      </c>
      <c r="H393" s="126">
        <v>45</v>
      </c>
      <c r="I393" s="124">
        <v>1240.3800000000001</v>
      </c>
      <c r="J393" s="126">
        <v>5.6</v>
      </c>
      <c r="K393" s="124">
        <v>47300</v>
      </c>
      <c r="L393" s="124">
        <v>48540.38</v>
      </c>
    </row>
    <row r="394" spans="1:12" ht="15" customHeight="1" x14ac:dyDescent="0.25">
      <c r="A394" s="78">
        <v>45748</v>
      </c>
      <c r="B394" t="s">
        <v>378</v>
      </c>
      <c r="C394" t="s">
        <v>379</v>
      </c>
      <c r="D394" t="s">
        <v>227</v>
      </c>
      <c r="E394" t="s">
        <v>2369</v>
      </c>
      <c r="F394" s="126">
        <v>9.9</v>
      </c>
      <c r="G394" s="77">
        <v>35000</v>
      </c>
      <c r="H394" s="126">
        <v>24.3</v>
      </c>
      <c r="I394" s="124">
        <v>545.19000000000005</v>
      </c>
      <c r="J394" s="126">
        <v>4.5999999999999996</v>
      </c>
      <c r="K394" s="124">
        <v>28875</v>
      </c>
      <c r="L394" s="124">
        <v>29420.19</v>
      </c>
    </row>
    <row r="395" spans="1:12" ht="15" customHeight="1" x14ac:dyDescent="0.25">
      <c r="A395" s="78">
        <v>45748</v>
      </c>
      <c r="B395" t="s">
        <v>378</v>
      </c>
      <c r="C395" t="s">
        <v>379</v>
      </c>
      <c r="D395" t="s">
        <v>227</v>
      </c>
      <c r="E395" t="s">
        <v>231</v>
      </c>
      <c r="F395" s="126">
        <v>10.6</v>
      </c>
      <c r="G395" s="77">
        <v>29000</v>
      </c>
      <c r="H395" s="126">
        <v>52.6</v>
      </c>
      <c r="I395" s="124">
        <v>977.82</v>
      </c>
      <c r="J395" s="126">
        <v>6.2</v>
      </c>
      <c r="K395" s="124">
        <v>25616.666666666701</v>
      </c>
      <c r="L395" s="124">
        <v>26594.4866666667</v>
      </c>
    </row>
    <row r="396" spans="1:12" ht="15" customHeight="1" x14ac:dyDescent="0.25">
      <c r="A396" s="78">
        <v>45748</v>
      </c>
      <c r="B396" t="s">
        <v>378</v>
      </c>
      <c r="C396" t="s">
        <v>379</v>
      </c>
      <c r="D396" t="s">
        <v>227</v>
      </c>
      <c r="E396" t="s">
        <v>2368</v>
      </c>
      <c r="F396" s="126">
        <v>5.6</v>
      </c>
      <c r="G396" s="77">
        <v>27000</v>
      </c>
      <c r="H396" s="126">
        <v>18.2</v>
      </c>
      <c r="I396" s="124">
        <v>315</v>
      </c>
      <c r="J396" s="126">
        <v>1.6</v>
      </c>
      <c r="K396" s="124">
        <v>12600</v>
      </c>
      <c r="L396" s="124">
        <v>12915</v>
      </c>
    </row>
    <row r="397" spans="1:12" ht="15" customHeight="1" x14ac:dyDescent="0.25">
      <c r="A397" s="78">
        <v>45748</v>
      </c>
      <c r="B397" t="s">
        <v>378</v>
      </c>
      <c r="C397" t="s">
        <v>379</v>
      </c>
      <c r="D397" t="s">
        <v>227</v>
      </c>
      <c r="E397" t="s">
        <v>232</v>
      </c>
      <c r="F397" s="126">
        <v>18.100000000000001</v>
      </c>
      <c r="G397" s="77">
        <v>25000</v>
      </c>
      <c r="H397" s="126">
        <v>79.7</v>
      </c>
      <c r="I397" s="124">
        <v>1277.24</v>
      </c>
      <c r="J397" s="126">
        <v>8.1999999999999993</v>
      </c>
      <c r="K397" s="124">
        <v>37708.333333333299</v>
      </c>
      <c r="L397" s="124">
        <v>38985.573333333297</v>
      </c>
    </row>
    <row r="398" spans="1:12" ht="15" customHeight="1" x14ac:dyDescent="0.25">
      <c r="A398" s="78">
        <v>45748</v>
      </c>
      <c r="B398" t="s">
        <v>378</v>
      </c>
      <c r="C398" t="s">
        <v>379</v>
      </c>
      <c r="D398" t="s">
        <v>227</v>
      </c>
      <c r="E398" t="s">
        <v>105</v>
      </c>
      <c r="F398" s="126">
        <v>17.5</v>
      </c>
      <c r="G398" s="77">
        <v>28000</v>
      </c>
      <c r="H398" s="126">
        <v>56.4</v>
      </c>
      <c r="I398" s="124">
        <v>1012.31</v>
      </c>
      <c r="J398" s="126">
        <v>10.1</v>
      </c>
      <c r="K398" s="124">
        <v>40833.333333333299</v>
      </c>
      <c r="L398" s="124">
        <v>41845.643333333297</v>
      </c>
    </row>
    <row r="399" spans="1:12" ht="15" customHeight="1" x14ac:dyDescent="0.25">
      <c r="A399" s="78">
        <v>45748</v>
      </c>
      <c r="B399" t="s">
        <v>393</v>
      </c>
      <c r="C399" t="s">
        <v>394</v>
      </c>
      <c r="D399" t="s">
        <v>227</v>
      </c>
      <c r="E399" t="s">
        <v>232</v>
      </c>
      <c r="F399" s="126">
        <v>11.4</v>
      </c>
      <c r="G399" s="77">
        <v>25000</v>
      </c>
      <c r="H399" s="126">
        <v>59.7</v>
      </c>
      <c r="I399" s="124">
        <v>956.73</v>
      </c>
      <c r="J399" s="126">
        <v>5.9</v>
      </c>
      <c r="K399" s="124">
        <v>23750</v>
      </c>
      <c r="L399" s="124">
        <v>24706.73</v>
      </c>
    </row>
    <row r="400" spans="1:12" ht="15" customHeight="1" x14ac:dyDescent="0.25">
      <c r="A400" s="78">
        <v>45748</v>
      </c>
      <c r="B400" t="s">
        <v>393</v>
      </c>
      <c r="C400" t="s">
        <v>394</v>
      </c>
      <c r="D400" t="s">
        <v>227</v>
      </c>
      <c r="E400" t="s">
        <v>2367</v>
      </c>
      <c r="F400" s="126">
        <v>16.399999999999999</v>
      </c>
      <c r="G400" s="77">
        <v>43000</v>
      </c>
      <c r="H400" s="126">
        <v>34.299999999999997</v>
      </c>
      <c r="I400" s="124">
        <v>945.45</v>
      </c>
      <c r="J400" s="126">
        <v>8.4</v>
      </c>
      <c r="K400" s="124">
        <v>58766.666666666701</v>
      </c>
      <c r="L400" s="124">
        <v>59712.116666666698</v>
      </c>
    </row>
    <row r="401" spans="1:12" ht="15" customHeight="1" x14ac:dyDescent="0.25">
      <c r="A401" s="78">
        <v>45748</v>
      </c>
      <c r="B401" t="s">
        <v>393</v>
      </c>
      <c r="C401" t="s">
        <v>394</v>
      </c>
      <c r="D401" t="s">
        <v>227</v>
      </c>
      <c r="E401" t="s">
        <v>230</v>
      </c>
      <c r="F401" s="126">
        <v>11.9</v>
      </c>
      <c r="G401" s="77">
        <v>41000</v>
      </c>
      <c r="H401" s="126">
        <v>66.599999999999994</v>
      </c>
      <c r="I401" s="124">
        <v>1750.38</v>
      </c>
      <c r="J401" s="126">
        <v>5.6</v>
      </c>
      <c r="K401" s="124">
        <v>40658.333333333299</v>
      </c>
      <c r="L401" s="124">
        <v>42408.713333333297</v>
      </c>
    </row>
    <row r="402" spans="1:12" ht="15" customHeight="1" x14ac:dyDescent="0.25">
      <c r="A402" s="78">
        <v>45748</v>
      </c>
      <c r="B402" t="s">
        <v>393</v>
      </c>
      <c r="C402" t="s">
        <v>394</v>
      </c>
      <c r="D402" t="s">
        <v>227</v>
      </c>
      <c r="E402" t="s">
        <v>231</v>
      </c>
      <c r="F402" s="126">
        <v>8.5</v>
      </c>
      <c r="G402" s="77">
        <v>29000</v>
      </c>
      <c r="H402" s="126">
        <v>51.2</v>
      </c>
      <c r="I402" s="124">
        <v>951.79</v>
      </c>
      <c r="J402" s="126">
        <v>5.5</v>
      </c>
      <c r="K402" s="124">
        <v>20541.666666666701</v>
      </c>
      <c r="L402" s="124">
        <v>21493.456666666701</v>
      </c>
    </row>
    <row r="403" spans="1:12" ht="15" customHeight="1" x14ac:dyDescent="0.25">
      <c r="A403" s="78">
        <v>45748</v>
      </c>
      <c r="B403" t="s">
        <v>393</v>
      </c>
      <c r="C403" t="s">
        <v>394</v>
      </c>
      <c r="D403" t="s">
        <v>227</v>
      </c>
      <c r="E403" t="s">
        <v>2368</v>
      </c>
      <c r="F403" s="126">
        <v>11.5</v>
      </c>
      <c r="G403" s="77">
        <v>27000</v>
      </c>
      <c r="H403" s="126">
        <v>74.7</v>
      </c>
      <c r="I403" s="124">
        <v>1292.8800000000001</v>
      </c>
      <c r="J403" s="126">
        <v>6.1</v>
      </c>
      <c r="K403" s="124">
        <v>25875</v>
      </c>
      <c r="L403" s="124">
        <v>27167.88</v>
      </c>
    </row>
    <row r="404" spans="1:12" ht="15" customHeight="1" x14ac:dyDescent="0.25">
      <c r="A404" s="78">
        <v>45778</v>
      </c>
      <c r="B404" t="s">
        <v>390</v>
      </c>
      <c r="C404" t="s">
        <v>391</v>
      </c>
      <c r="D404" t="s">
        <v>221</v>
      </c>
      <c r="E404" t="s">
        <v>2369</v>
      </c>
      <c r="F404" s="126">
        <v>15</v>
      </c>
      <c r="G404" s="77">
        <v>35000</v>
      </c>
      <c r="H404" s="126">
        <v>73.2</v>
      </c>
      <c r="I404" s="124">
        <v>1642.31</v>
      </c>
      <c r="J404" s="126">
        <v>8.9</v>
      </c>
      <c r="K404" s="124">
        <v>43750</v>
      </c>
      <c r="L404" s="124">
        <v>45392.31</v>
      </c>
    </row>
    <row r="405" spans="1:12" ht="15" customHeight="1" x14ac:dyDescent="0.25">
      <c r="A405" s="78">
        <v>45778</v>
      </c>
      <c r="B405" t="s">
        <v>390</v>
      </c>
      <c r="C405" t="s">
        <v>391</v>
      </c>
      <c r="D405" t="s">
        <v>221</v>
      </c>
      <c r="E405" t="s">
        <v>105</v>
      </c>
      <c r="F405" s="126">
        <v>13.2</v>
      </c>
      <c r="G405" s="77">
        <v>28000</v>
      </c>
      <c r="H405" s="126">
        <v>61.7</v>
      </c>
      <c r="I405" s="124">
        <v>1107.44</v>
      </c>
      <c r="J405" s="126">
        <v>6.1</v>
      </c>
      <c r="K405" s="124">
        <v>30800</v>
      </c>
      <c r="L405" s="124">
        <v>31907.439999999999</v>
      </c>
    </row>
    <row r="406" spans="1:12" ht="15" customHeight="1" x14ac:dyDescent="0.25">
      <c r="A406" s="78">
        <v>45778</v>
      </c>
      <c r="B406" t="s">
        <v>390</v>
      </c>
      <c r="C406" t="s">
        <v>391</v>
      </c>
      <c r="D406" t="s">
        <v>221</v>
      </c>
      <c r="E406" t="s">
        <v>2367</v>
      </c>
      <c r="F406" s="126">
        <v>14.9</v>
      </c>
      <c r="G406" s="77">
        <v>43000</v>
      </c>
      <c r="H406" s="126">
        <v>49.6</v>
      </c>
      <c r="I406" s="124">
        <v>1367.18</v>
      </c>
      <c r="J406" s="126">
        <v>7.7</v>
      </c>
      <c r="K406" s="124">
        <v>53391.666666666701</v>
      </c>
      <c r="L406" s="124">
        <v>54758.846666666701</v>
      </c>
    </row>
    <row r="407" spans="1:12" ht="15" customHeight="1" x14ac:dyDescent="0.25">
      <c r="A407" s="78">
        <v>45778</v>
      </c>
      <c r="B407" t="s">
        <v>390</v>
      </c>
      <c r="C407" t="s">
        <v>391</v>
      </c>
      <c r="D407" t="s">
        <v>221</v>
      </c>
      <c r="E407" t="s">
        <v>231</v>
      </c>
      <c r="F407" s="126">
        <v>9.4</v>
      </c>
      <c r="G407" s="77">
        <v>29000</v>
      </c>
      <c r="H407" s="126">
        <v>19.399999999999999</v>
      </c>
      <c r="I407" s="124">
        <v>360.64</v>
      </c>
      <c r="J407" s="126">
        <v>4.5999999999999996</v>
      </c>
      <c r="K407" s="124">
        <v>22716.666666666701</v>
      </c>
      <c r="L407" s="124">
        <v>23077.3066666667</v>
      </c>
    </row>
    <row r="408" spans="1:12" ht="15" customHeight="1" x14ac:dyDescent="0.25">
      <c r="A408" s="78">
        <v>45778</v>
      </c>
      <c r="B408" t="s">
        <v>390</v>
      </c>
      <c r="C408" t="s">
        <v>391</v>
      </c>
      <c r="D408" t="s">
        <v>221</v>
      </c>
      <c r="E408" t="s">
        <v>2368</v>
      </c>
      <c r="F408" s="126">
        <v>16.399999999999999</v>
      </c>
      <c r="G408" s="77">
        <v>27000</v>
      </c>
      <c r="H408" s="126">
        <v>92.6</v>
      </c>
      <c r="I408" s="124">
        <v>1602.69</v>
      </c>
      <c r="J408" s="126">
        <v>6</v>
      </c>
      <c r="K408" s="124">
        <v>36900</v>
      </c>
      <c r="L408" s="124">
        <v>38502.69</v>
      </c>
    </row>
    <row r="409" spans="1:12" ht="15" customHeight="1" x14ac:dyDescent="0.25">
      <c r="A409" s="78">
        <v>45778</v>
      </c>
      <c r="B409" t="s">
        <v>390</v>
      </c>
      <c r="C409" t="s">
        <v>391</v>
      </c>
      <c r="D409" t="s">
        <v>221</v>
      </c>
      <c r="E409" t="s">
        <v>232</v>
      </c>
      <c r="F409" s="126">
        <v>6.5</v>
      </c>
      <c r="G409" s="77">
        <v>25000</v>
      </c>
      <c r="H409" s="126">
        <v>41</v>
      </c>
      <c r="I409" s="124">
        <v>657.05</v>
      </c>
      <c r="J409" s="126">
        <v>4.4000000000000004</v>
      </c>
      <c r="K409" s="124">
        <v>13541.666666666701</v>
      </c>
      <c r="L409" s="124">
        <v>14198.7166666667</v>
      </c>
    </row>
    <row r="410" spans="1:12" ht="15" customHeight="1" x14ac:dyDescent="0.25">
      <c r="A410" s="78">
        <v>45778</v>
      </c>
      <c r="B410" t="s">
        <v>401</v>
      </c>
      <c r="C410" t="s">
        <v>402</v>
      </c>
      <c r="D410" t="s">
        <v>221</v>
      </c>
      <c r="E410" t="s">
        <v>230</v>
      </c>
      <c r="F410" s="126">
        <v>7.9</v>
      </c>
      <c r="G410" s="77">
        <v>41000</v>
      </c>
      <c r="H410" s="126">
        <v>26.2</v>
      </c>
      <c r="I410" s="124">
        <v>688.59</v>
      </c>
      <c r="J410" s="126">
        <v>4.5</v>
      </c>
      <c r="K410" s="124">
        <v>26991.666666666701</v>
      </c>
      <c r="L410" s="124">
        <v>27680.256666666701</v>
      </c>
    </row>
    <row r="411" spans="1:12" ht="15" customHeight="1" x14ac:dyDescent="0.25">
      <c r="A411" s="78">
        <v>45778</v>
      </c>
      <c r="B411" t="s">
        <v>401</v>
      </c>
      <c r="C411" t="s">
        <v>402</v>
      </c>
      <c r="D411" t="s">
        <v>221</v>
      </c>
      <c r="E411" t="s">
        <v>2369</v>
      </c>
      <c r="F411" s="126">
        <v>6.9</v>
      </c>
      <c r="G411" s="77">
        <v>35000</v>
      </c>
      <c r="H411" s="126">
        <v>27.6</v>
      </c>
      <c r="I411" s="124">
        <v>619.23</v>
      </c>
      <c r="J411" s="126">
        <v>4.7</v>
      </c>
      <c r="K411" s="124">
        <v>20125</v>
      </c>
      <c r="L411" s="124">
        <v>20744.23</v>
      </c>
    </row>
    <row r="412" spans="1:12" ht="15" customHeight="1" x14ac:dyDescent="0.25">
      <c r="A412" s="78">
        <v>45778</v>
      </c>
      <c r="B412" t="s">
        <v>401</v>
      </c>
      <c r="C412" t="s">
        <v>402</v>
      </c>
      <c r="D412" t="s">
        <v>221</v>
      </c>
      <c r="E412" t="s">
        <v>105</v>
      </c>
      <c r="F412" s="126">
        <v>13.2</v>
      </c>
      <c r="G412" s="77">
        <v>28000</v>
      </c>
      <c r="H412" s="126">
        <v>72.3</v>
      </c>
      <c r="I412" s="124">
        <v>1297.69</v>
      </c>
      <c r="J412" s="126">
        <v>5.2</v>
      </c>
      <c r="K412" s="124">
        <v>30800</v>
      </c>
      <c r="L412" s="124">
        <v>32097.69</v>
      </c>
    </row>
    <row r="413" spans="1:12" ht="15" customHeight="1" x14ac:dyDescent="0.25">
      <c r="A413" s="78">
        <v>45778</v>
      </c>
      <c r="B413" t="s">
        <v>401</v>
      </c>
      <c r="C413" t="s">
        <v>402</v>
      </c>
      <c r="D413" t="s">
        <v>221</v>
      </c>
      <c r="E413" t="s">
        <v>231</v>
      </c>
      <c r="F413" s="126">
        <v>11</v>
      </c>
      <c r="G413" s="77">
        <v>29000</v>
      </c>
      <c r="H413" s="126">
        <v>53.7</v>
      </c>
      <c r="I413" s="124">
        <v>998.27</v>
      </c>
      <c r="J413" s="126">
        <v>5.3</v>
      </c>
      <c r="K413" s="124">
        <v>26583.333333333299</v>
      </c>
      <c r="L413" s="124">
        <v>27581.6033333333</v>
      </c>
    </row>
    <row r="414" spans="1:12" ht="15" customHeight="1" x14ac:dyDescent="0.25">
      <c r="A414" s="78">
        <v>45778</v>
      </c>
      <c r="B414" t="s">
        <v>401</v>
      </c>
      <c r="C414" t="s">
        <v>402</v>
      </c>
      <c r="D414" t="s">
        <v>221</v>
      </c>
      <c r="E414" t="s">
        <v>2367</v>
      </c>
      <c r="F414" s="126">
        <v>3.4</v>
      </c>
      <c r="G414" s="77">
        <v>43000</v>
      </c>
      <c r="H414" s="126">
        <v>14</v>
      </c>
      <c r="I414" s="124">
        <v>385.9</v>
      </c>
      <c r="J414" s="126">
        <v>1</v>
      </c>
      <c r="K414" s="124">
        <v>12183.333333333299</v>
      </c>
      <c r="L414" s="124">
        <v>12569.233333333301</v>
      </c>
    </row>
    <row r="415" spans="1:12" ht="15" customHeight="1" x14ac:dyDescent="0.25">
      <c r="A415" s="78">
        <v>45778</v>
      </c>
      <c r="B415" t="s">
        <v>431</v>
      </c>
      <c r="C415" t="s">
        <v>432</v>
      </c>
      <c r="D415" t="s">
        <v>221</v>
      </c>
      <c r="E415" t="s">
        <v>231</v>
      </c>
      <c r="F415" s="126">
        <v>9.6</v>
      </c>
      <c r="G415" s="77">
        <v>29000</v>
      </c>
      <c r="H415" s="126">
        <v>63.6</v>
      </c>
      <c r="I415" s="124">
        <v>1182.31</v>
      </c>
      <c r="J415" s="126">
        <v>5.8</v>
      </c>
      <c r="K415" s="124">
        <v>23200</v>
      </c>
      <c r="L415" s="124">
        <v>24382.31</v>
      </c>
    </row>
    <row r="416" spans="1:12" ht="15" customHeight="1" x14ac:dyDescent="0.25">
      <c r="A416" s="78">
        <v>45778</v>
      </c>
      <c r="B416" t="s">
        <v>431</v>
      </c>
      <c r="C416" t="s">
        <v>432</v>
      </c>
      <c r="D416" t="s">
        <v>221</v>
      </c>
      <c r="E416" t="s">
        <v>2368</v>
      </c>
      <c r="F416" s="126">
        <v>8.9</v>
      </c>
      <c r="G416" s="77">
        <v>27000</v>
      </c>
      <c r="H416" s="126">
        <v>25.7</v>
      </c>
      <c r="I416" s="124">
        <v>444.81</v>
      </c>
      <c r="J416" s="126">
        <v>3.1</v>
      </c>
      <c r="K416" s="124">
        <v>20025</v>
      </c>
      <c r="L416" s="124">
        <v>20469.810000000001</v>
      </c>
    </row>
    <row r="417" spans="1:12" ht="15" customHeight="1" x14ac:dyDescent="0.25">
      <c r="A417" s="78">
        <v>45778</v>
      </c>
      <c r="B417" t="s">
        <v>431</v>
      </c>
      <c r="C417" t="s">
        <v>432</v>
      </c>
      <c r="D417" t="s">
        <v>221</v>
      </c>
      <c r="E417" t="s">
        <v>232</v>
      </c>
      <c r="F417" s="126">
        <v>9.5</v>
      </c>
      <c r="G417" s="77">
        <v>25000</v>
      </c>
      <c r="H417" s="126">
        <v>32.5</v>
      </c>
      <c r="I417" s="124">
        <v>520.83000000000004</v>
      </c>
      <c r="J417" s="126">
        <v>5.2</v>
      </c>
      <c r="K417" s="124">
        <v>19791.666666666701</v>
      </c>
      <c r="L417" s="124">
        <v>20312.496666666699</v>
      </c>
    </row>
    <row r="418" spans="1:12" ht="15" customHeight="1" x14ac:dyDescent="0.25">
      <c r="A418" s="78">
        <v>45778</v>
      </c>
      <c r="B418" t="s">
        <v>431</v>
      </c>
      <c r="C418" t="s">
        <v>432</v>
      </c>
      <c r="D418" t="s">
        <v>221</v>
      </c>
      <c r="E418" t="s">
        <v>2369</v>
      </c>
      <c r="F418" s="126">
        <v>11.3</v>
      </c>
      <c r="G418" s="77">
        <v>35000</v>
      </c>
      <c r="H418" s="126">
        <v>49.3</v>
      </c>
      <c r="I418" s="124">
        <v>1106.0899999999999</v>
      </c>
      <c r="J418" s="126">
        <v>6.9</v>
      </c>
      <c r="K418" s="124">
        <v>32958.333333333299</v>
      </c>
      <c r="L418" s="124">
        <v>34064.423333333303</v>
      </c>
    </row>
    <row r="419" spans="1:12" ht="15" customHeight="1" x14ac:dyDescent="0.25">
      <c r="A419" s="78">
        <v>45778</v>
      </c>
      <c r="B419" t="s">
        <v>431</v>
      </c>
      <c r="C419" t="s">
        <v>432</v>
      </c>
      <c r="D419" t="s">
        <v>221</v>
      </c>
      <c r="E419" t="s">
        <v>230</v>
      </c>
      <c r="F419" s="126">
        <v>15.3</v>
      </c>
      <c r="G419" s="77">
        <v>41000</v>
      </c>
      <c r="H419" s="126">
        <v>79.3</v>
      </c>
      <c r="I419" s="124">
        <v>2084.17</v>
      </c>
      <c r="J419" s="126">
        <v>8.6</v>
      </c>
      <c r="K419" s="124">
        <v>52275</v>
      </c>
      <c r="L419" s="124">
        <v>54359.17</v>
      </c>
    </row>
    <row r="420" spans="1:12" ht="15" customHeight="1" x14ac:dyDescent="0.25">
      <c r="A420" s="78">
        <v>45778</v>
      </c>
      <c r="B420" t="s">
        <v>431</v>
      </c>
      <c r="C420" t="s">
        <v>432</v>
      </c>
      <c r="D420" t="s">
        <v>221</v>
      </c>
      <c r="E420" t="s">
        <v>2367</v>
      </c>
      <c r="F420" s="126">
        <v>18.5</v>
      </c>
      <c r="G420" s="77">
        <v>43000</v>
      </c>
      <c r="H420" s="126">
        <v>83.1</v>
      </c>
      <c r="I420" s="124">
        <v>2290.58</v>
      </c>
      <c r="J420" s="126">
        <v>7.9</v>
      </c>
      <c r="K420" s="124">
        <v>66291.666666666701</v>
      </c>
      <c r="L420" s="124">
        <v>68582.246666666702</v>
      </c>
    </row>
    <row r="421" spans="1:12" ht="15" customHeight="1" x14ac:dyDescent="0.25">
      <c r="A421" s="78">
        <v>45778</v>
      </c>
      <c r="B421" t="s">
        <v>366</v>
      </c>
      <c r="C421" t="s">
        <v>367</v>
      </c>
      <c r="D421" t="s">
        <v>221</v>
      </c>
      <c r="E421" t="s">
        <v>2369</v>
      </c>
      <c r="F421" s="126">
        <v>7.6</v>
      </c>
      <c r="G421" s="77">
        <v>35000</v>
      </c>
      <c r="H421" s="126">
        <v>28.2</v>
      </c>
      <c r="I421" s="124">
        <v>632.69000000000005</v>
      </c>
      <c r="J421" s="126">
        <v>4.9000000000000004</v>
      </c>
      <c r="K421" s="124">
        <v>22166.666666666701</v>
      </c>
      <c r="L421" s="124">
        <v>22799.356666666699</v>
      </c>
    </row>
    <row r="422" spans="1:12" ht="15" customHeight="1" x14ac:dyDescent="0.25">
      <c r="A422" s="78">
        <v>45778</v>
      </c>
      <c r="B422" t="s">
        <v>366</v>
      </c>
      <c r="C422" t="s">
        <v>367</v>
      </c>
      <c r="D422" t="s">
        <v>221</v>
      </c>
      <c r="E422" t="s">
        <v>230</v>
      </c>
      <c r="F422" s="126">
        <v>18.5</v>
      </c>
      <c r="G422" s="77">
        <v>41000</v>
      </c>
      <c r="H422" s="126">
        <v>72.599999999999994</v>
      </c>
      <c r="I422" s="124">
        <v>1908.08</v>
      </c>
      <c r="J422" s="126">
        <v>9.8000000000000007</v>
      </c>
      <c r="K422" s="124">
        <v>63208.333333333299</v>
      </c>
      <c r="L422" s="124">
        <v>65116.413333333301</v>
      </c>
    </row>
    <row r="423" spans="1:12" ht="15" customHeight="1" x14ac:dyDescent="0.25">
      <c r="A423" s="78">
        <v>45778</v>
      </c>
      <c r="B423" t="s">
        <v>366</v>
      </c>
      <c r="C423" t="s">
        <v>367</v>
      </c>
      <c r="D423" t="s">
        <v>221</v>
      </c>
      <c r="E423" t="s">
        <v>2368</v>
      </c>
      <c r="F423" s="126">
        <v>7.4</v>
      </c>
      <c r="G423" s="77">
        <v>27000</v>
      </c>
      <c r="H423" s="126">
        <v>26.1</v>
      </c>
      <c r="I423" s="124">
        <v>451.73</v>
      </c>
      <c r="J423" s="126">
        <v>2.7</v>
      </c>
      <c r="K423" s="124">
        <v>16650</v>
      </c>
      <c r="L423" s="124">
        <v>17101.73</v>
      </c>
    </row>
    <row r="424" spans="1:12" ht="15" customHeight="1" x14ac:dyDescent="0.25">
      <c r="A424" s="78">
        <v>45778</v>
      </c>
      <c r="B424" t="s">
        <v>366</v>
      </c>
      <c r="C424" t="s">
        <v>367</v>
      </c>
      <c r="D424" t="s">
        <v>221</v>
      </c>
      <c r="E424" t="s">
        <v>231</v>
      </c>
      <c r="F424" s="126">
        <v>5.7</v>
      </c>
      <c r="G424" s="77">
        <v>29000</v>
      </c>
      <c r="H424" s="126">
        <v>21.7</v>
      </c>
      <c r="I424" s="124">
        <v>403.4</v>
      </c>
      <c r="J424" s="126">
        <v>3.2</v>
      </c>
      <c r="K424" s="124">
        <v>13775</v>
      </c>
      <c r="L424" s="124">
        <v>14178.4</v>
      </c>
    </row>
    <row r="425" spans="1:12" ht="15" customHeight="1" x14ac:dyDescent="0.25">
      <c r="A425" s="78">
        <v>45778</v>
      </c>
      <c r="B425" t="s">
        <v>362</v>
      </c>
      <c r="C425" t="s">
        <v>363</v>
      </c>
      <c r="D425" t="s">
        <v>221</v>
      </c>
      <c r="E425" t="s">
        <v>105</v>
      </c>
      <c r="F425" s="126">
        <v>17.399999999999999</v>
      </c>
      <c r="G425" s="77">
        <v>28000</v>
      </c>
      <c r="H425" s="126">
        <v>52.5</v>
      </c>
      <c r="I425" s="124">
        <v>942.31</v>
      </c>
      <c r="J425" s="126">
        <v>8.5</v>
      </c>
      <c r="K425" s="124">
        <v>40600</v>
      </c>
      <c r="L425" s="124">
        <v>41542.31</v>
      </c>
    </row>
    <row r="426" spans="1:12" ht="15" customHeight="1" x14ac:dyDescent="0.25">
      <c r="A426" s="78">
        <v>45778</v>
      </c>
      <c r="B426" t="s">
        <v>362</v>
      </c>
      <c r="C426" t="s">
        <v>363</v>
      </c>
      <c r="D426" t="s">
        <v>221</v>
      </c>
      <c r="E426" t="s">
        <v>2367</v>
      </c>
      <c r="F426" s="126">
        <v>19.600000000000001</v>
      </c>
      <c r="G426" s="77">
        <v>43000</v>
      </c>
      <c r="H426" s="126">
        <v>50.8</v>
      </c>
      <c r="I426" s="124">
        <v>1400.26</v>
      </c>
      <c r="J426" s="126">
        <v>10.9</v>
      </c>
      <c r="K426" s="124">
        <v>70233.333333333299</v>
      </c>
      <c r="L426" s="124">
        <v>71633.593333333294</v>
      </c>
    </row>
    <row r="427" spans="1:12" ht="15" customHeight="1" x14ac:dyDescent="0.25">
      <c r="A427" s="78">
        <v>45778</v>
      </c>
      <c r="B427" t="s">
        <v>362</v>
      </c>
      <c r="C427" t="s">
        <v>363</v>
      </c>
      <c r="D427" t="s">
        <v>221</v>
      </c>
      <c r="E427" t="s">
        <v>2368</v>
      </c>
      <c r="F427" s="126">
        <v>9.1999999999999993</v>
      </c>
      <c r="G427" s="77">
        <v>27000</v>
      </c>
      <c r="H427" s="126">
        <v>32.700000000000003</v>
      </c>
      <c r="I427" s="124">
        <v>565.96</v>
      </c>
      <c r="J427" s="126">
        <v>6.1</v>
      </c>
      <c r="K427" s="124">
        <v>20700</v>
      </c>
      <c r="L427" s="124">
        <v>21265.96</v>
      </c>
    </row>
    <row r="428" spans="1:12" ht="15" customHeight="1" x14ac:dyDescent="0.25">
      <c r="A428" s="78">
        <v>45778</v>
      </c>
      <c r="B428" t="s">
        <v>362</v>
      </c>
      <c r="C428" t="s">
        <v>363</v>
      </c>
      <c r="D428" t="s">
        <v>221</v>
      </c>
      <c r="E428" t="s">
        <v>231</v>
      </c>
      <c r="F428" s="126">
        <v>15.9</v>
      </c>
      <c r="G428" s="77">
        <v>29000</v>
      </c>
      <c r="H428" s="126">
        <v>100.1</v>
      </c>
      <c r="I428" s="124">
        <v>1860.83</v>
      </c>
      <c r="J428" s="126">
        <v>7.9</v>
      </c>
      <c r="K428" s="124">
        <v>38425</v>
      </c>
      <c r="L428" s="124">
        <v>40285.83</v>
      </c>
    </row>
    <row r="429" spans="1:12" ht="15" customHeight="1" x14ac:dyDescent="0.25">
      <c r="A429" s="78">
        <v>45778</v>
      </c>
      <c r="B429" t="s">
        <v>335</v>
      </c>
      <c r="C429" t="s">
        <v>336</v>
      </c>
      <c r="D429" t="s">
        <v>223</v>
      </c>
      <c r="E429" t="s">
        <v>2368</v>
      </c>
      <c r="F429" s="126">
        <v>7.3</v>
      </c>
      <c r="G429" s="77">
        <v>27000</v>
      </c>
      <c r="H429" s="126">
        <v>18.2</v>
      </c>
      <c r="I429" s="124">
        <v>315</v>
      </c>
      <c r="J429" s="126">
        <v>1.6</v>
      </c>
      <c r="K429" s="124">
        <v>16425</v>
      </c>
      <c r="L429" s="124">
        <v>16740</v>
      </c>
    </row>
    <row r="430" spans="1:12" ht="15" customHeight="1" x14ac:dyDescent="0.25">
      <c r="A430" s="78">
        <v>45778</v>
      </c>
      <c r="B430" t="s">
        <v>335</v>
      </c>
      <c r="C430" t="s">
        <v>336</v>
      </c>
      <c r="D430" t="s">
        <v>223</v>
      </c>
      <c r="E430" t="s">
        <v>231</v>
      </c>
      <c r="F430" s="126">
        <v>11.9</v>
      </c>
      <c r="G430" s="77">
        <v>29000</v>
      </c>
      <c r="H430" s="126">
        <v>21.3</v>
      </c>
      <c r="I430" s="124">
        <v>395.96</v>
      </c>
      <c r="J430" s="126">
        <v>4.5999999999999996</v>
      </c>
      <c r="K430" s="124">
        <v>28758.333333333299</v>
      </c>
      <c r="L430" s="124">
        <v>29154.293333333299</v>
      </c>
    </row>
    <row r="431" spans="1:12" ht="15" customHeight="1" x14ac:dyDescent="0.25">
      <c r="A431" s="78">
        <v>45778</v>
      </c>
      <c r="B431" t="s">
        <v>335</v>
      </c>
      <c r="C431" t="s">
        <v>336</v>
      </c>
      <c r="D431" t="s">
        <v>223</v>
      </c>
      <c r="E431" t="s">
        <v>232</v>
      </c>
      <c r="F431" s="126">
        <v>7.3</v>
      </c>
      <c r="G431" s="77">
        <v>25000</v>
      </c>
      <c r="H431" s="126">
        <v>44.3</v>
      </c>
      <c r="I431" s="124">
        <v>709.94</v>
      </c>
      <c r="J431" s="126">
        <v>3.8</v>
      </c>
      <c r="K431" s="124">
        <v>15208.333333333299</v>
      </c>
      <c r="L431" s="124">
        <v>15918.2733333333</v>
      </c>
    </row>
    <row r="432" spans="1:12" ht="15" customHeight="1" x14ac:dyDescent="0.25">
      <c r="A432" s="78">
        <v>45778</v>
      </c>
      <c r="B432" t="s">
        <v>335</v>
      </c>
      <c r="C432" t="s">
        <v>336</v>
      </c>
      <c r="D432" t="s">
        <v>223</v>
      </c>
      <c r="E432" t="s">
        <v>2367</v>
      </c>
      <c r="F432" s="126">
        <v>5.5</v>
      </c>
      <c r="G432" s="77">
        <v>43000</v>
      </c>
      <c r="H432" s="126">
        <v>25.2</v>
      </c>
      <c r="I432" s="124">
        <v>694.62</v>
      </c>
      <c r="J432" s="126">
        <v>0.5</v>
      </c>
      <c r="K432" s="124">
        <v>19708.333333333299</v>
      </c>
      <c r="L432" s="124">
        <v>20402.953333333298</v>
      </c>
    </row>
    <row r="433" spans="1:12" ht="15" customHeight="1" x14ac:dyDescent="0.25">
      <c r="A433" s="78">
        <v>45778</v>
      </c>
      <c r="B433" t="s">
        <v>386</v>
      </c>
      <c r="C433" t="s">
        <v>387</v>
      </c>
      <c r="D433" t="s">
        <v>223</v>
      </c>
      <c r="E433" t="s">
        <v>105</v>
      </c>
      <c r="F433" s="126">
        <v>6.9</v>
      </c>
      <c r="G433" s="77">
        <v>28000</v>
      </c>
      <c r="H433" s="126">
        <v>15.2</v>
      </c>
      <c r="I433" s="124">
        <v>272.82</v>
      </c>
      <c r="J433" s="126">
        <v>4.3</v>
      </c>
      <c r="K433" s="124">
        <v>16100</v>
      </c>
      <c r="L433" s="124">
        <v>16372.82</v>
      </c>
    </row>
    <row r="434" spans="1:12" ht="15" customHeight="1" x14ac:dyDescent="0.25">
      <c r="A434" s="78">
        <v>45778</v>
      </c>
      <c r="B434" t="s">
        <v>386</v>
      </c>
      <c r="C434" t="s">
        <v>387</v>
      </c>
      <c r="D434" t="s">
        <v>223</v>
      </c>
      <c r="E434" t="s">
        <v>2369</v>
      </c>
      <c r="F434" s="126">
        <v>8.3000000000000007</v>
      </c>
      <c r="G434" s="77">
        <v>35000</v>
      </c>
      <c r="H434" s="126">
        <v>36.799999999999997</v>
      </c>
      <c r="I434" s="124">
        <v>825.64</v>
      </c>
      <c r="J434" s="126">
        <v>4</v>
      </c>
      <c r="K434" s="124">
        <v>24208.333333333299</v>
      </c>
      <c r="L434" s="124">
        <v>25033.973333333299</v>
      </c>
    </row>
    <row r="435" spans="1:12" ht="15" customHeight="1" x14ac:dyDescent="0.25">
      <c r="A435" s="78">
        <v>45778</v>
      </c>
      <c r="B435" t="s">
        <v>386</v>
      </c>
      <c r="C435" t="s">
        <v>387</v>
      </c>
      <c r="D435" t="s">
        <v>223</v>
      </c>
      <c r="E435" t="s">
        <v>230</v>
      </c>
      <c r="F435" s="126">
        <v>11.8</v>
      </c>
      <c r="G435" s="77">
        <v>41000</v>
      </c>
      <c r="H435" s="126">
        <v>57.2</v>
      </c>
      <c r="I435" s="124">
        <v>1503.33</v>
      </c>
      <c r="J435" s="126">
        <v>7.5</v>
      </c>
      <c r="K435" s="124">
        <v>40316.666666666701</v>
      </c>
      <c r="L435" s="124">
        <v>41819.996666666702</v>
      </c>
    </row>
    <row r="436" spans="1:12" ht="15" customHeight="1" x14ac:dyDescent="0.25">
      <c r="A436" s="78">
        <v>45778</v>
      </c>
      <c r="B436" t="s">
        <v>386</v>
      </c>
      <c r="C436" t="s">
        <v>387</v>
      </c>
      <c r="D436" t="s">
        <v>223</v>
      </c>
      <c r="E436" t="s">
        <v>231</v>
      </c>
      <c r="F436" s="126">
        <v>6.9</v>
      </c>
      <c r="G436" s="77">
        <v>29000</v>
      </c>
      <c r="H436" s="126">
        <v>25.3</v>
      </c>
      <c r="I436" s="124">
        <v>470.32</v>
      </c>
      <c r="J436" s="126">
        <v>3.5</v>
      </c>
      <c r="K436" s="124">
        <v>16675</v>
      </c>
      <c r="L436" s="124">
        <v>17145.32</v>
      </c>
    </row>
    <row r="437" spans="1:12" ht="15" customHeight="1" x14ac:dyDescent="0.25">
      <c r="A437" s="78">
        <v>45778</v>
      </c>
      <c r="B437" t="s">
        <v>341</v>
      </c>
      <c r="C437" t="s">
        <v>342</v>
      </c>
      <c r="D437" t="s">
        <v>223</v>
      </c>
      <c r="E437" t="s">
        <v>2367</v>
      </c>
      <c r="F437" s="126">
        <v>7.9</v>
      </c>
      <c r="G437" s="77">
        <v>43000</v>
      </c>
      <c r="H437" s="126">
        <v>33.9</v>
      </c>
      <c r="I437" s="124">
        <v>934.42</v>
      </c>
      <c r="J437" s="126">
        <v>6.3</v>
      </c>
      <c r="K437" s="124">
        <v>28308.333333333299</v>
      </c>
      <c r="L437" s="124">
        <v>29242.753333333301</v>
      </c>
    </row>
    <row r="438" spans="1:12" ht="15" customHeight="1" x14ac:dyDescent="0.25">
      <c r="A438" s="78">
        <v>45778</v>
      </c>
      <c r="B438" t="s">
        <v>341</v>
      </c>
      <c r="C438" t="s">
        <v>342</v>
      </c>
      <c r="D438" t="s">
        <v>223</v>
      </c>
      <c r="E438" t="s">
        <v>232</v>
      </c>
      <c r="F438" s="126">
        <v>11</v>
      </c>
      <c r="G438" s="77">
        <v>25000</v>
      </c>
      <c r="H438" s="126">
        <v>9.4</v>
      </c>
      <c r="I438" s="124">
        <v>150.63999999999999</v>
      </c>
      <c r="J438" s="126">
        <v>6.2</v>
      </c>
      <c r="K438" s="124">
        <v>22916.666666666701</v>
      </c>
      <c r="L438" s="124">
        <v>23067.3066666667</v>
      </c>
    </row>
    <row r="439" spans="1:12" ht="15" customHeight="1" x14ac:dyDescent="0.25">
      <c r="A439" s="78">
        <v>45778</v>
      </c>
      <c r="B439" t="s">
        <v>341</v>
      </c>
      <c r="C439" t="s">
        <v>342</v>
      </c>
      <c r="D439" t="s">
        <v>223</v>
      </c>
      <c r="E439" t="s">
        <v>105</v>
      </c>
      <c r="F439" s="126">
        <v>10.199999999999999</v>
      </c>
      <c r="G439" s="77">
        <v>28000</v>
      </c>
      <c r="H439" s="126">
        <v>39</v>
      </c>
      <c r="I439" s="124">
        <v>700</v>
      </c>
      <c r="J439" s="126">
        <v>5.7</v>
      </c>
      <c r="K439" s="124">
        <v>23800</v>
      </c>
      <c r="L439" s="124">
        <v>24500</v>
      </c>
    </row>
    <row r="440" spans="1:12" ht="15" customHeight="1" x14ac:dyDescent="0.25">
      <c r="A440" s="78">
        <v>45778</v>
      </c>
      <c r="B440" t="s">
        <v>341</v>
      </c>
      <c r="C440" t="s">
        <v>342</v>
      </c>
      <c r="D440" t="s">
        <v>223</v>
      </c>
      <c r="E440" t="s">
        <v>231</v>
      </c>
      <c r="F440" s="126">
        <v>5.9</v>
      </c>
      <c r="G440" s="77">
        <v>29000</v>
      </c>
      <c r="H440" s="126">
        <v>17.8</v>
      </c>
      <c r="I440" s="124">
        <v>330.9</v>
      </c>
      <c r="J440" s="126">
        <v>2.9</v>
      </c>
      <c r="K440" s="124">
        <v>14258.333333333299</v>
      </c>
      <c r="L440" s="124">
        <v>14589.233333333301</v>
      </c>
    </row>
    <row r="441" spans="1:12" ht="15" customHeight="1" x14ac:dyDescent="0.25">
      <c r="A441" s="78">
        <v>45778</v>
      </c>
      <c r="B441" t="s">
        <v>347</v>
      </c>
      <c r="C441" t="s">
        <v>348</v>
      </c>
      <c r="D441" t="s">
        <v>223</v>
      </c>
      <c r="E441" t="s">
        <v>105</v>
      </c>
      <c r="F441" s="126">
        <v>4.0999999999999996</v>
      </c>
      <c r="G441" s="77">
        <v>28000</v>
      </c>
      <c r="H441" s="126">
        <v>20.8</v>
      </c>
      <c r="I441" s="124">
        <v>373.33</v>
      </c>
      <c r="J441" s="126">
        <v>5.2</v>
      </c>
      <c r="K441" s="124">
        <v>9566.6666666666697</v>
      </c>
      <c r="L441" s="124">
        <v>9939.9966666666696</v>
      </c>
    </row>
    <row r="442" spans="1:12" ht="15" customHeight="1" x14ac:dyDescent="0.25">
      <c r="A442" s="78">
        <v>45778</v>
      </c>
      <c r="B442" t="s">
        <v>347</v>
      </c>
      <c r="C442" t="s">
        <v>348</v>
      </c>
      <c r="D442" t="s">
        <v>223</v>
      </c>
      <c r="E442" t="s">
        <v>231</v>
      </c>
      <c r="F442" s="126">
        <v>4.7</v>
      </c>
      <c r="G442" s="77">
        <v>29000</v>
      </c>
      <c r="H442" s="126">
        <v>24.5</v>
      </c>
      <c r="I442" s="124">
        <v>455.45</v>
      </c>
      <c r="J442" s="126">
        <v>1.5</v>
      </c>
      <c r="K442" s="124">
        <v>11358.333333333299</v>
      </c>
      <c r="L442" s="124">
        <v>11813.7833333333</v>
      </c>
    </row>
    <row r="443" spans="1:12" ht="15" customHeight="1" x14ac:dyDescent="0.25">
      <c r="A443" s="78">
        <v>45778</v>
      </c>
      <c r="B443" t="s">
        <v>347</v>
      </c>
      <c r="C443" t="s">
        <v>348</v>
      </c>
      <c r="D443" t="s">
        <v>223</v>
      </c>
      <c r="E443" t="s">
        <v>2367</v>
      </c>
      <c r="F443" s="126">
        <v>16.899999999999999</v>
      </c>
      <c r="G443" s="77">
        <v>43000</v>
      </c>
      <c r="H443" s="126">
        <v>56.9</v>
      </c>
      <c r="I443" s="124">
        <v>1568.4</v>
      </c>
      <c r="J443" s="126">
        <v>8</v>
      </c>
      <c r="K443" s="124">
        <v>60558.333333333299</v>
      </c>
      <c r="L443" s="124">
        <v>62126.733333333301</v>
      </c>
    </row>
    <row r="444" spans="1:12" ht="15" customHeight="1" x14ac:dyDescent="0.25">
      <c r="A444" s="78">
        <v>45778</v>
      </c>
      <c r="B444" t="s">
        <v>347</v>
      </c>
      <c r="C444" t="s">
        <v>348</v>
      </c>
      <c r="D444" t="s">
        <v>223</v>
      </c>
      <c r="E444" t="s">
        <v>232</v>
      </c>
      <c r="F444" s="126">
        <v>6</v>
      </c>
      <c r="G444" s="77">
        <v>25000</v>
      </c>
      <c r="H444" s="126">
        <v>7.8</v>
      </c>
      <c r="I444" s="124">
        <v>125</v>
      </c>
      <c r="J444" s="126">
        <v>2.7</v>
      </c>
      <c r="K444" s="124">
        <v>12500</v>
      </c>
      <c r="L444" s="124">
        <v>12625</v>
      </c>
    </row>
    <row r="445" spans="1:12" ht="15" customHeight="1" x14ac:dyDescent="0.25">
      <c r="A445" s="78">
        <v>45778</v>
      </c>
      <c r="B445" t="s">
        <v>409</v>
      </c>
      <c r="C445" t="s">
        <v>410</v>
      </c>
      <c r="D445" t="s">
        <v>223</v>
      </c>
      <c r="E445" t="s">
        <v>105</v>
      </c>
      <c r="F445" s="126">
        <v>15.3</v>
      </c>
      <c r="G445" s="77">
        <v>28000</v>
      </c>
      <c r="H445" s="126">
        <v>78</v>
      </c>
      <c r="I445" s="124">
        <v>1400</v>
      </c>
      <c r="J445" s="126">
        <v>6.4</v>
      </c>
      <c r="K445" s="124">
        <v>35700</v>
      </c>
      <c r="L445" s="124">
        <v>37100</v>
      </c>
    </row>
    <row r="446" spans="1:12" ht="15" customHeight="1" x14ac:dyDescent="0.25">
      <c r="A446" s="78">
        <v>45778</v>
      </c>
      <c r="B446" t="s">
        <v>409</v>
      </c>
      <c r="C446" t="s">
        <v>410</v>
      </c>
      <c r="D446" t="s">
        <v>223</v>
      </c>
      <c r="E446" t="s">
        <v>2369</v>
      </c>
      <c r="F446" s="126">
        <v>5.6</v>
      </c>
      <c r="G446" s="77">
        <v>35000</v>
      </c>
      <c r="H446" s="126">
        <v>31.2</v>
      </c>
      <c r="I446" s="124">
        <v>700</v>
      </c>
      <c r="J446" s="126">
        <v>3.3</v>
      </c>
      <c r="K446" s="124">
        <v>16333.333333333299</v>
      </c>
      <c r="L446" s="124">
        <v>17033.333333333299</v>
      </c>
    </row>
    <row r="447" spans="1:12" ht="15" customHeight="1" x14ac:dyDescent="0.25">
      <c r="A447" s="78">
        <v>45778</v>
      </c>
      <c r="B447" t="s">
        <v>409</v>
      </c>
      <c r="C447" t="s">
        <v>410</v>
      </c>
      <c r="D447" t="s">
        <v>223</v>
      </c>
      <c r="E447" t="s">
        <v>2367</v>
      </c>
      <c r="F447" s="126">
        <v>18.8</v>
      </c>
      <c r="G447" s="77">
        <v>43000</v>
      </c>
      <c r="H447" s="126">
        <v>54.5</v>
      </c>
      <c r="I447" s="124">
        <v>1502.24</v>
      </c>
      <c r="J447" s="126">
        <v>9.3000000000000007</v>
      </c>
      <c r="K447" s="124">
        <v>67366.666666666701</v>
      </c>
      <c r="L447" s="124">
        <v>68868.906666666706</v>
      </c>
    </row>
    <row r="448" spans="1:12" ht="15" customHeight="1" x14ac:dyDescent="0.25">
      <c r="A448" s="78">
        <v>45778</v>
      </c>
      <c r="B448" t="s">
        <v>409</v>
      </c>
      <c r="C448" t="s">
        <v>410</v>
      </c>
      <c r="D448" t="s">
        <v>223</v>
      </c>
      <c r="E448" t="s">
        <v>230</v>
      </c>
      <c r="F448" s="126">
        <v>7.2</v>
      </c>
      <c r="G448" s="77">
        <v>41000</v>
      </c>
      <c r="H448" s="126">
        <v>46.1</v>
      </c>
      <c r="I448" s="124">
        <v>1211.5999999999999</v>
      </c>
      <c r="J448" s="126">
        <v>4.3</v>
      </c>
      <c r="K448" s="124">
        <v>24600</v>
      </c>
      <c r="L448" s="124">
        <v>25811.599999999999</v>
      </c>
    </row>
    <row r="449" spans="1:12" ht="15" customHeight="1" x14ac:dyDescent="0.25">
      <c r="A449" s="78">
        <v>45778</v>
      </c>
      <c r="B449" t="s">
        <v>488</v>
      </c>
      <c r="C449" t="s">
        <v>489</v>
      </c>
      <c r="D449" t="s">
        <v>225</v>
      </c>
      <c r="E449" t="s">
        <v>230</v>
      </c>
      <c r="F449" s="126">
        <v>11.5</v>
      </c>
      <c r="G449" s="77">
        <v>41000</v>
      </c>
      <c r="H449" s="126">
        <v>46.2</v>
      </c>
      <c r="I449" s="124">
        <v>1214.23</v>
      </c>
      <c r="J449" s="126">
        <v>5.5</v>
      </c>
      <c r="K449" s="124">
        <v>39291.666666666701</v>
      </c>
      <c r="L449" s="124">
        <v>40505.896666666697</v>
      </c>
    </row>
    <row r="450" spans="1:12" ht="15" customHeight="1" x14ac:dyDescent="0.25">
      <c r="A450" s="78">
        <v>45778</v>
      </c>
      <c r="B450" t="s">
        <v>488</v>
      </c>
      <c r="C450" t="s">
        <v>489</v>
      </c>
      <c r="D450" t="s">
        <v>225</v>
      </c>
      <c r="E450" t="s">
        <v>231</v>
      </c>
      <c r="F450" s="126">
        <v>18.2</v>
      </c>
      <c r="G450" s="77">
        <v>29000</v>
      </c>
      <c r="H450" s="126">
        <v>74.900000000000006</v>
      </c>
      <c r="I450" s="124">
        <v>1392.37</v>
      </c>
      <c r="J450" s="126">
        <v>8.6</v>
      </c>
      <c r="K450" s="124">
        <v>43983.333333333299</v>
      </c>
      <c r="L450" s="124">
        <v>45375.703333333302</v>
      </c>
    </row>
    <row r="451" spans="1:12" ht="15" customHeight="1" x14ac:dyDescent="0.25">
      <c r="A451" s="78">
        <v>45778</v>
      </c>
      <c r="B451" t="s">
        <v>488</v>
      </c>
      <c r="C451" t="s">
        <v>489</v>
      </c>
      <c r="D451" t="s">
        <v>225</v>
      </c>
      <c r="E451" t="s">
        <v>105</v>
      </c>
      <c r="F451" s="126">
        <v>9.6999999999999993</v>
      </c>
      <c r="G451" s="77">
        <v>28000</v>
      </c>
      <c r="H451" s="126">
        <v>8.1999999999999993</v>
      </c>
      <c r="I451" s="124">
        <v>147.18</v>
      </c>
      <c r="J451" s="126">
        <v>6.9</v>
      </c>
      <c r="K451" s="124">
        <v>22633.333333333299</v>
      </c>
      <c r="L451" s="124">
        <v>22780.5133333333</v>
      </c>
    </row>
    <row r="452" spans="1:12" ht="15" customHeight="1" x14ac:dyDescent="0.25">
      <c r="A452" s="78">
        <v>45778</v>
      </c>
      <c r="B452" t="s">
        <v>488</v>
      </c>
      <c r="C452" t="s">
        <v>489</v>
      </c>
      <c r="D452" t="s">
        <v>225</v>
      </c>
      <c r="E452" t="s">
        <v>232</v>
      </c>
      <c r="F452" s="126">
        <v>5.8</v>
      </c>
      <c r="G452" s="77">
        <v>25000</v>
      </c>
      <c r="H452" s="126">
        <v>24.6</v>
      </c>
      <c r="I452" s="124">
        <v>394.23</v>
      </c>
      <c r="J452" s="126">
        <v>3.3</v>
      </c>
      <c r="K452" s="124">
        <v>12083.333333333299</v>
      </c>
      <c r="L452" s="124">
        <v>12477.563333333301</v>
      </c>
    </row>
    <row r="453" spans="1:12" ht="15" customHeight="1" x14ac:dyDescent="0.25">
      <c r="A453" s="78">
        <v>45778</v>
      </c>
      <c r="B453" t="s">
        <v>406</v>
      </c>
      <c r="C453" t="s">
        <v>407</v>
      </c>
      <c r="D453" t="s">
        <v>225</v>
      </c>
      <c r="E453" t="s">
        <v>231</v>
      </c>
      <c r="F453" s="126">
        <v>16.3</v>
      </c>
      <c r="G453" s="77">
        <v>29000</v>
      </c>
      <c r="H453" s="126">
        <v>63.8</v>
      </c>
      <c r="I453" s="124">
        <v>1186.03</v>
      </c>
      <c r="J453" s="126">
        <v>7.4</v>
      </c>
      <c r="K453" s="124">
        <v>39391.666666666701</v>
      </c>
      <c r="L453" s="124">
        <v>40577.696666666699</v>
      </c>
    </row>
    <row r="454" spans="1:12" ht="15" customHeight="1" x14ac:dyDescent="0.25">
      <c r="A454" s="78">
        <v>45778</v>
      </c>
      <c r="B454" t="s">
        <v>406</v>
      </c>
      <c r="C454" t="s">
        <v>407</v>
      </c>
      <c r="D454" t="s">
        <v>225</v>
      </c>
      <c r="E454" t="s">
        <v>105</v>
      </c>
      <c r="F454" s="126">
        <v>10.9</v>
      </c>
      <c r="G454" s="77">
        <v>28000</v>
      </c>
      <c r="H454" s="126">
        <v>40.6</v>
      </c>
      <c r="I454" s="124">
        <v>728.72</v>
      </c>
      <c r="J454" s="126">
        <v>3.9</v>
      </c>
      <c r="K454" s="124">
        <v>25433.333333333299</v>
      </c>
      <c r="L454" s="124">
        <v>26162.053333333301</v>
      </c>
    </row>
    <row r="455" spans="1:12" ht="15" customHeight="1" x14ac:dyDescent="0.25">
      <c r="A455" s="78">
        <v>45778</v>
      </c>
      <c r="B455" t="s">
        <v>406</v>
      </c>
      <c r="C455" t="s">
        <v>407</v>
      </c>
      <c r="D455" t="s">
        <v>225</v>
      </c>
      <c r="E455" t="s">
        <v>2368</v>
      </c>
      <c r="F455" s="126">
        <v>10.7</v>
      </c>
      <c r="G455" s="77">
        <v>27000</v>
      </c>
      <c r="H455" s="126">
        <v>79.3</v>
      </c>
      <c r="I455" s="124">
        <v>1372.5</v>
      </c>
      <c r="J455" s="126">
        <v>4.0999999999999996</v>
      </c>
      <c r="K455" s="124">
        <v>24075</v>
      </c>
      <c r="L455" s="124">
        <v>25447.5</v>
      </c>
    </row>
    <row r="456" spans="1:12" ht="15" customHeight="1" x14ac:dyDescent="0.25">
      <c r="A456" s="78">
        <v>45778</v>
      </c>
      <c r="B456" t="s">
        <v>406</v>
      </c>
      <c r="C456" t="s">
        <v>407</v>
      </c>
      <c r="D456" t="s">
        <v>225</v>
      </c>
      <c r="E456" t="s">
        <v>230</v>
      </c>
      <c r="F456" s="126">
        <v>15.1</v>
      </c>
      <c r="G456" s="77">
        <v>41000</v>
      </c>
      <c r="H456" s="126">
        <v>37</v>
      </c>
      <c r="I456" s="124">
        <v>972.44</v>
      </c>
      <c r="J456" s="126">
        <v>7.1</v>
      </c>
      <c r="K456" s="124">
        <v>51591.666666666701</v>
      </c>
      <c r="L456" s="124">
        <v>52564.106666666703</v>
      </c>
    </row>
    <row r="457" spans="1:12" ht="15" customHeight="1" x14ac:dyDescent="0.25">
      <c r="A457" s="78">
        <v>45778</v>
      </c>
      <c r="B457" t="s">
        <v>406</v>
      </c>
      <c r="C457" t="s">
        <v>407</v>
      </c>
      <c r="D457" t="s">
        <v>225</v>
      </c>
      <c r="E457" t="s">
        <v>2369</v>
      </c>
      <c r="F457" s="126">
        <v>15.1</v>
      </c>
      <c r="G457" s="77">
        <v>35000</v>
      </c>
      <c r="H457" s="126">
        <v>89.6</v>
      </c>
      <c r="I457" s="124">
        <v>2010.26</v>
      </c>
      <c r="J457" s="126">
        <v>7.6</v>
      </c>
      <c r="K457" s="124">
        <v>44041.666666666701</v>
      </c>
      <c r="L457" s="124">
        <v>46051.926666666703</v>
      </c>
    </row>
    <row r="458" spans="1:12" ht="15" customHeight="1" x14ac:dyDescent="0.25">
      <c r="A458" s="78">
        <v>45778</v>
      </c>
      <c r="B458" t="s">
        <v>358</v>
      </c>
      <c r="C458" t="s">
        <v>359</v>
      </c>
      <c r="D458" t="s">
        <v>225</v>
      </c>
      <c r="E458" t="s">
        <v>2368</v>
      </c>
      <c r="F458" s="126">
        <v>19.7</v>
      </c>
      <c r="G458" s="77">
        <v>27000</v>
      </c>
      <c r="H458" s="126">
        <v>42.3</v>
      </c>
      <c r="I458" s="124">
        <v>732.12</v>
      </c>
      <c r="J458" s="126">
        <v>11.1</v>
      </c>
      <c r="K458" s="124">
        <v>44325</v>
      </c>
      <c r="L458" s="124">
        <v>45057.120000000003</v>
      </c>
    </row>
    <row r="459" spans="1:12" ht="15" customHeight="1" x14ac:dyDescent="0.25">
      <c r="A459" s="78">
        <v>45778</v>
      </c>
      <c r="B459" t="s">
        <v>358</v>
      </c>
      <c r="C459" t="s">
        <v>359</v>
      </c>
      <c r="D459" t="s">
        <v>225</v>
      </c>
      <c r="E459" t="s">
        <v>2367</v>
      </c>
      <c r="F459" s="126">
        <v>5.3</v>
      </c>
      <c r="G459" s="77">
        <v>43000</v>
      </c>
      <c r="H459" s="126">
        <v>27</v>
      </c>
      <c r="I459" s="124">
        <v>744.23</v>
      </c>
      <c r="J459" s="126">
        <v>3.2</v>
      </c>
      <c r="K459" s="124">
        <v>18991.666666666701</v>
      </c>
      <c r="L459" s="124">
        <v>19735.8966666667</v>
      </c>
    </row>
    <row r="460" spans="1:12" ht="15" customHeight="1" x14ac:dyDescent="0.25">
      <c r="A460" s="78">
        <v>45778</v>
      </c>
      <c r="B460" t="s">
        <v>358</v>
      </c>
      <c r="C460" t="s">
        <v>359</v>
      </c>
      <c r="D460" t="s">
        <v>225</v>
      </c>
      <c r="E460" t="s">
        <v>232</v>
      </c>
      <c r="F460" s="126">
        <v>7.9</v>
      </c>
      <c r="G460" s="77">
        <v>25000</v>
      </c>
      <c r="H460" s="126">
        <v>40.1</v>
      </c>
      <c r="I460" s="124">
        <v>642.63</v>
      </c>
      <c r="J460" s="126">
        <v>6.3</v>
      </c>
      <c r="K460" s="124">
        <v>16458.333333333299</v>
      </c>
      <c r="L460" s="124">
        <v>17100.9633333333</v>
      </c>
    </row>
    <row r="461" spans="1:12" ht="15" customHeight="1" x14ac:dyDescent="0.25">
      <c r="A461" s="78">
        <v>45778</v>
      </c>
      <c r="B461" t="s">
        <v>358</v>
      </c>
      <c r="C461" t="s">
        <v>359</v>
      </c>
      <c r="D461" t="s">
        <v>225</v>
      </c>
      <c r="E461" t="s">
        <v>105</v>
      </c>
      <c r="F461" s="126">
        <v>12</v>
      </c>
      <c r="G461" s="77">
        <v>28000</v>
      </c>
      <c r="H461" s="126">
        <v>87.3</v>
      </c>
      <c r="I461" s="124">
        <v>1566.92</v>
      </c>
      <c r="J461" s="126">
        <v>5.3</v>
      </c>
      <c r="K461" s="124">
        <v>28000</v>
      </c>
      <c r="L461" s="124">
        <v>29566.92</v>
      </c>
    </row>
    <row r="462" spans="1:12" ht="15" customHeight="1" x14ac:dyDescent="0.25">
      <c r="A462" s="78">
        <v>45778</v>
      </c>
      <c r="B462" t="s">
        <v>383</v>
      </c>
      <c r="C462" t="s">
        <v>384</v>
      </c>
      <c r="D462" t="s">
        <v>225</v>
      </c>
      <c r="E462" t="s">
        <v>2368</v>
      </c>
      <c r="F462" s="126">
        <v>10.9</v>
      </c>
      <c r="G462" s="77">
        <v>27000</v>
      </c>
      <c r="H462" s="126">
        <v>70.2</v>
      </c>
      <c r="I462" s="124">
        <v>1215</v>
      </c>
      <c r="J462" s="126">
        <v>5.8</v>
      </c>
      <c r="K462" s="124">
        <v>24525</v>
      </c>
      <c r="L462" s="124">
        <v>25740</v>
      </c>
    </row>
    <row r="463" spans="1:12" ht="15" customHeight="1" x14ac:dyDescent="0.25">
      <c r="A463" s="78">
        <v>45778</v>
      </c>
      <c r="B463" t="s">
        <v>383</v>
      </c>
      <c r="C463" t="s">
        <v>384</v>
      </c>
      <c r="D463" t="s">
        <v>225</v>
      </c>
      <c r="E463" t="s">
        <v>2369</v>
      </c>
      <c r="F463" s="126">
        <v>14</v>
      </c>
      <c r="G463" s="77">
        <v>35000</v>
      </c>
      <c r="H463" s="126">
        <v>66.5</v>
      </c>
      <c r="I463" s="124">
        <v>1491.99</v>
      </c>
      <c r="J463" s="126">
        <v>5.3</v>
      </c>
      <c r="K463" s="124">
        <v>40833.333333333299</v>
      </c>
      <c r="L463" s="124">
        <v>42325.323333333297</v>
      </c>
    </row>
    <row r="464" spans="1:12" ht="15" customHeight="1" x14ac:dyDescent="0.25">
      <c r="A464" s="78">
        <v>45778</v>
      </c>
      <c r="B464" t="s">
        <v>383</v>
      </c>
      <c r="C464" t="s">
        <v>384</v>
      </c>
      <c r="D464" t="s">
        <v>225</v>
      </c>
      <c r="E464" t="s">
        <v>2367</v>
      </c>
      <c r="F464" s="126">
        <v>11.8</v>
      </c>
      <c r="G464" s="77">
        <v>43000</v>
      </c>
      <c r="H464" s="126">
        <v>44.2</v>
      </c>
      <c r="I464" s="124">
        <v>1218.33</v>
      </c>
      <c r="J464" s="126">
        <v>5.0999999999999996</v>
      </c>
      <c r="K464" s="124">
        <v>42283.333333333299</v>
      </c>
      <c r="L464" s="124">
        <v>43501.663333333301</v>
      </c>
    </row>
    <row r="465" spans="1:12" ht="15" customHeight="1" x14ac:dyDescent="0.25">
      <c r="A465" s="78">
        <v>45778</v>
      </c>
      <c r="B465" t="s">
        <v>383</v>
      </c>
      <c r="C465" t="s">
        <v>384</v>
      </c>
      <c r="D465" t="s">
        <v>225</v>
      </c>
      <c r="E465" t="s">
        <v>105</v>
      </c>
      <c r="F465" s="126">
        <v>16.399999999999999</v>
      </c>
      <c r="G465" s="77">
        <v>28000</v>
      </c>
      <c r="H465" s="126">
        <v>86</v>
      </c>
      <c r="I465" s="124">
        <v>1543.59</v>
      </c>
      <c r="J465" s="126">
        <v>9.3000000000000007</v>
      </c>
      <c r="K465" s="124">
        <v>38266.666666666701</v>
      </c>
      <c r="L465" s="124">
        <v>39810.256666666697</v>
      </c>
    </row>
    <row r="466" spans="1:12" ht="15" customHeight="1" x14ac:dyDescent="0.25">
      <c r="A466" s="78">
        <v>45778</v>
      </c>
      <c r="B466" t="s">
        <v>383</v>
      </c>
      <c r="C466" t="s">
        <v>384</v>
      </c>
      <c r="D466" t="s">
        <v>225</v>
      </c>
      <c r="E466" t="s">
        <v>230</v>
      </c>
      <c r="F466" s="126">
        <v>12.8</v>
      </c>
      <c r="G466" s="77">
        <v>41000</v>
      </c>
      <c r="H466" s="126">
        <v>11.4</v>
      </c>
      <c r="I466" s="124">
        <v>299.62</v>
      </c>
      <c r="J466" s="126">
        <v>6.4</v>
      </c>
      <c r="K466" s="124">
        <v>43733.333333333299</v>
      </c>
      <c r="L466" s="124">
        <v>44032.953333333302</v>
      </c>
    </row>
    <row r="467" spans="1:12" ht="15" customHeight="1" x14ac:dyDescent="0.25">
      <c r="A467" s="78">
        <v>45778</v>
      </c>
      <c r="B467" t="s">
        <v>373</v>
      </c>
      <c r="C467" t="s">
        <v>374</v>
      </c>
      <c r="D467" t="s">
        <v>225</v>
      </c>
      <c r="E467" t="s">
        <v>2369</v>
      </c>
      <c r="F467" s="126">
        <v>5.0999999999999996</v>
      </c>
      <c r="G467" s="77">
        <v>35000</v>
      </c>
      <c r="H467" s="126">
        <v>29</v>
      </c>
      <c r="I467" s="124">
        <v>650.64</v>
      </c>
      <c r="J467" s="126">
        <v>2.4</v>
      </c>
      <c r="K467" s="124">
        <v>14875</v>
      </c>
      <c r="L467" s="124">
        <v>15525.64</v>
      </c>
    </row>
    <row r="468" spans="1:12" ht="15" customHeight="1" x14ac:dyDescent="0.25">
      <c r="A468" s="78">
        <v>45778</v>
      </c>
      <c r="B468" t="s">
        <v>373</v>
      </c>
      <c r="C468" t="s">
        <v>374</v>
      </c>
      <c r="D468" t="s">
        <v>225</v>
      </c>
      <c r="E468" t="s">
        <v>230</v>
      </c>
      <c r="F468" s="126">
        <v>3.6</v>
      </c>
      <c r="G468" s="77">
        <v>41000</v>
      </c>
      <c r="H468" s="126">
        <v>18.3</v>
      </c>
      <c r="I468" s="124">
        <v>480.96</v>
      </c>
      <c r="J468" s="126">
        <v>2.2000000000000002</v>
      </c>
      <c r="K468" s="124">
        <v>12300</v>
      </c>
      <c r="L468" s="124">
        <v>12780.96</v>
      </c>
    </row>
    <row r="469" spans="1:12" ht="15" customHeight="1" x14ac:dyDescent="0.25">
      <c r="A469" s="78">
        <v>45778</v>
      </c>
      <c r="B469" t="s">
        <v>373</v>
      </c>
      <c r="C469" t="s">
        <v>374</v>
      </c>
      <c r="D469" t="s">
        <v>225</v>
      </c>
      <c r="E469" t="s">
        <v>2367</v>
      </c>
      <c r="F469" s="126">
        <v>4.2</v>
      </c>
      <c r="G469" s="77">
        <v>43000</v>
      </c>
      <c r="H469" s="126">
        <v>19</v>
      </c>
      <c r="I469" s="124">
        <v>523.72</v>
      </c>
      <c r="J469" s="126">
        <v>1.8</v>
      </c>
      <c r="K469" s="124">
        <v>15050</v>
      </c>
      <c r="L469" s="124">
        <v>15573.72</v>
      </c>
    </row>
    <row r="470" spans="1:12" ht="15" customHeight="1" x14ac:dyDescent="0.25">
      <c r="A470" s="78">
        <v>45778</v>
      </c>
      <c r="B470" t="s">
        <v>373</v>
      </c>
      <c r="C470" t="s">
        <v>374</v>
      </c>
      <c r="D470" t="s">
        <v>225</v>
      </c>
      <c r="E470" t="s">
        <v>105</v>
      </c>
      <c r="F470" s="126">
        <v>19.899999999999999</v>
      </c>
      <c r="G470" s="77">
        <v>28000</v>
      </c>
      <c r="H470" s="126">
        <v>43.3</v>
      </c>
      <c r="I470" s="124">
        <v>777.18</v>
      </c>
      <c r="J470" s="126">
        <v>8.8000000000000007</v>
      </c>
      <c r="K470" s="124">
        <v>46433.333333333299</v>
      </c>
      <c r="L470" s="124">
        <v>47210.5133333333</v>
      </c>
    </row>
    <row r="471" spans="1:12" ht="15" customHeight="1" x14ac:dyDescent="0.25">
      <c r="A471" s="78">
        <v>45778</v>
      </c>
      <c r="B471" t="s">
        <v>373</v>
      </c>
      <c r="C471" t="s">
        <v>374</v>
      </c>
      <c r="D471" t="s">
        <v>225</v>
      </c>
      <c r="E471" t="s">
        <v>232</v>
      </c>
      <c r="F471" s="126">
        <v>17.3</v>
      </c>
      <c r="G471" s="77">
        <v>25000</v>
      </c>
      <c r="H471" s="126">
        <v>87.6</v>
      </c>
      <c r="I471" s="124">
        <v>1403.85</v>
      </c>
      <c r="J471" s="126">
        <v>8.6999999999999993</v>
      </c>
      <c r="K471" s="124">
        <v>36041.666666666701</v>
      </c>
      <c r="L471" s="124">
        <v>37445.516666666699</v>
      </c>
    </row>
    <row r="472" spans="1:12" ht="15" customHeight="1" x14ac:dyDescent="0.25">
      <c r="A472" s="78">
        <v>45778</v>
      </c>
      <c r="B472" t="s">
        <v>373</v>
      </c>
      <c r="C472" t="s">
        <v>374</v>
      </c>
      <c r="D472" t="s">
        <v>225</v>
      </c>
      <c r="E472" t="s">
        <v>231</v>
      </c>
      <c r="F472" s="126">
        <v>5</v>
      </c>
      <c r="G472" s="77">
        <v>29000</v>
      </c>
      <c r="H472" s="126">
        <v>19</v>
      </c>
      <c r="I472" s="124">
        <v>353.21</v>
      </c>
      <c r="J472" s="126">
        <v>2.1</v>
      </c>
      <c r="K472" s="124">
        <v>12083.333333333299</v>
      </c>
      <c r="L472" s="124">
        <v>12436.5433333333</v>
      </c>
    </row>
    <row r="473" spans="1:12" ht="15" customHeight="1" x14ac:dyDescent="0.25">
      <c r="A473" s="78">
        <v>45778</v>
      </c>
      <c r="B473" t="s">
        <v>354</v>
      </c>
      <c r="C473" t="s">
        <v>355</v>
      </c>
      <c r="D473" t="s">
        <v>227</v>
      </c>
      <c r="E473" t="s">
        <v>2369</v>
      </c>
      <c r="F473" s="126">
        <v>8.3000000000000007</v>
      </c>
      <c r="G473" s="77">
        <v>35000</v>
      </c>
      <c r="H473" s="126">
        <v>29.4</v>
      </c>
      <c r="I473" s="124">
        <v>659.62</v>
      </c>
      <c r="J473" s="126">
        <v>5.2</v>
      </c>
      <c r="K473" s="124">
        <v>24208.333333333299</v>
      </c>
      <c r="L473" s="124">
        <v>24867.953333333298</v>
      </c>
    </row>
    <row r="474" spans="1:12" ht="15" customHeight="1" x14ac:dyDescent="0.25">
      <c r="A474" s="78">
        <v>45778</v>
      </c>
      <c r="B474" t="s">
        <v>354</v>
      </c>
      <c r="C474" t="s">
        <v>355</v>
      </c>
      <c r="D474" t="s">
        <v>227</v>
      </c>
      <c r="E474" t="s">
        <v>105</v>
      </c>
      <c r="F474" s="126">
        <v>6.4</v>
      </c>
      <c r="G474" s="77">
        <v>28000</v>
      </c>
      <c r="H474" s="126">
        <v>22.4</v>
      </c>
      <c r="I474" s="124">
        <v>402.05</v>
      </c>
      <c r="J474" s="126">
        <v>1.9</v>
      </c>
      <c r="K474" s="124">
        <v>14933.333333333299</v>
      </c>
      <c r="L474" s="124">
        <v>15335.3833333333</v>
      </c>
    </row>
    <row r="475" spans="1:12" ht="15" customHeight="1" x14ac:dyDescent="0.25">
      <c r="A475" s="78">
        <v>45778</v>
      </c>
      <c r="B475" t="s">
        <v>354</v>
      </c>
      <c r="C475" t="s">
        <v>355</v>
      </c>
      <c r="D475" t="s">
        <v>227</v>
      </c>
      <c r="E475" t="s">
        <v>230</v>
      </c>
      <c r="F475" s="126">
        <v>3.3</v>
      </c>
      <c r="G475" s="77">
        <v>41000</v>
      </c>
      <c r="H475" s="126">
        <v>16.899999999999999</v>
      </c>
      <c r="I475" s="124">
        <v>444.17</v>
      </c>
      <c r="J475" s="126">
        <v>1.4</v>
      </c>
      <c r="K475" s="124">
        <v>11275</v>
      </c>
      <c r="L475" s="124">
        <v>11719.17</v>
      </c>
    </row>
    <row r="476" spans="1:12" ht="15" customHeight="1" x14ac:dyDescent="0.25">
      <c r="A476" s="78">
        <v>45778</v>
      </c>
      <c r="B476" t="s">
        <v>354</v>
      </c>
      <c r="C476" t="s">
        <v>355</v>
      </c>
      <c r="D476" t="s">
        <v>227</v>
      </c>
      <c r="E476" t="s">
        <v>2367</v>
      </c>
      <c r="F476" s="126">
        <v>10.4</v>
      </c>
      <c r="G476" s="77">
        <v>43000</v>
      </c>
      <c r="H476" s="126">
        <v>42.1</v>
      </c>
      <c r="I476" s="124">
        <v>1160.45</v>
      </c>
      <c r="J476" s="126">
        <v>6.8</v>
      </c>
      <c r="K476" s="124">
        <v>37266.666666666701</v>
      </c>
      <c r="L476" s="124">
        <v>38427.116666666698</v>
      </c>
    </row>
    <row r="477" spans="1:12" ht="15" customHeight="1" x14ac:dyDescent="0.25">
      <c r="A477" s="78">
        <v>45778</v>
      </c>
      <c r="B477" t="s">
        <v>354</v>
      </c>
      <c r="C477" t="s">
        <v>355</v>
      </c>
      <c r="D477" t="s">
        <v>227</v>
      </c>
      <c r="E477" t="s">
        <v>232</v>
      </c>
      <c r="F477" s="126">
        <v>13.9</v>
      </c>
      <c r="G477" s="77">
        <v>25000</v>
      </c>
      <c r="H477" s="126">
        <v>55.2</v>
      </c>
      <c r="I477" s="124">
        <v>884.62</v>
      </c>
      <c r="J477" s="126">
        <v>7.2</v>
      </c>
      <c r="K477" s="124">
        <v>28958.333333333299</v>
      </c>
      <c r="L477" s="124">
        <v>29842.953333333298</v>
      </c>
    </row>
    <row r="478" spans="1:12" ht="15" customHeight="1" x14ac:dyDescent="0.25">
      <c r="A478" s="78">
        <v>45778</v>
      </c>
      <c r="B478" t="s">
        <v>370</v>
      </c>
      <c r="C478" t="s">
        <v>371</v>
      </c>
      <c r="D478" t="s">
        <v>227</v>
      </c>
      <c r="E478" t="s">
        <v>2369</v>
      </c>
      <c r="F478" s="126">
        <v>9.6999999999999993</v>
      </c>
      <c r="G478" s="77">
        <v>35000</v>
      </c>
      <c r="H478" s="126">
        <v>21.6</v>
      </c>
      <c r="I478" s="124">
        <v>484.62</v>
      </c>
      <c r="J478" s="126">
        <v>4.5999999999999996</v>
      </c>
      <c r="K478" s="124">
        <v>28291.666666666701</v>
      </c>
      <c r="L478" s="124">
        <v>28776.2866666667</v>
      </c>
    </row>
    <row r="479" spans="1:12" ht="15" customHeight="1" x14ac:dyDescent="0.25">
      <c r="A479" s="78">
        <v>45778</v>
      </c>
      <c r="B479" t="s">
        <v>370</v>
      </c>
      <c r="C479" t="s">
        <v>371</v>
      </c>
      <c r="D479" t="s">
        <v>227</v>
      </c>
      <c r="E479" t="s">
        <v>2367</v>
      </c>
      <c r="F479" s="126">
        <v>5.4</v>
      </c>
      <c r="G479" s="77">
        <v>43000</v>
      </c>
      <c r="H479" s="126">
        <v>26.5</v>
      </c>
      <c r="I479" s="124">
        <v>730.45</v>
      </c>
      <c r="J479" s="126">
        <v>1.1000000000000001</v>
      </c>
      <c r="K479" s="124">
        <v>19350</v>
      </c>
      <c r="L479" s="124">
        <v>20080.45</v>
      </c>
    </row>
    <row r="480" spans="1:12" ht="15" customHeight="1" x14ac:dyDescent="0.25">
      <c r="A480" s="78">
        <v>45778</v>
      </c>
      <c r="B480" t="s">
        <v>370</v>
      </c>
      <c r="C480" t="s">
        <v>371</v>
      </c>
      <c r="D480" t="s">
        <v>227</v>
      </c>
      <c r="E480" t="s">
        <v>231</v>
      </c>
      <c r="F480" s="126">
        <v>18.3</v>
      </c>
      <c r="G480" s="77">
        <v>29000</v>
      </c>
      <c r="H480" s="126">
        <v>78.7</v>
      </c>
      <c r="I480" s="124">
        <v>1463.01</v>
      </c>
      <c r="J480" s="126">
        <v>9.3000000000000007</v>
      </c>
      <c r="K480" s="124">
        <v>44225</v>
      </c>
      <c r="L480" s="124">
        <v>45688.01</v>
      </c>
    </row>
    <row r="481" spans="1:12" ht="15" customHeight="1" x14ac:dyDescent="0.25">
      <c r="A481" s="78">
        <v>45778</v>
      </c>
      <c r="B481" t="s">
        <v>370</v>
      </c>
      <c r="C481" t="s">
        <v>371</v>
      </c>
      <c r="D481" t="s">
        <v>227</v>
      </c>
      <c r="E481" t="s">
        <v>230</v>
      </c>
      <c r="F481" s="126">
        <v>18.399999999999999</v>
      </c>
      <c r="G481" s="77">
        <v>41000</v>
      </c>
      <c r="H481" s="126">
        <v>74.7</v>
      </c>
      <c r="I481" s="124">
        <v>1963.27</v>
      </c>
      <c r="J481" s="126">
        <v>10.199999999999999</v>
      </c>
      <c r="K481" s="124">
        <v>62866.666666666701</v>
      </c>
      <c r="L481" s="124">
        <v>64829.936666666697</v>
      </c>
    </row>
    <row r="482" spans="1:12" ht="15" customHeight="1" x14ac:dyDescent="0.25">
      <c r="A482" s="78">
        <v>45778</v>
      </c>
      <c r="B482" t="s">
        <v>398</v>
      </c>
      <c r="C482" t="s">
        <v>399</v>
      </c>
      <c r="D482" t="s">
        <v>227</v>
      </c>
      <c r="E482" t="s">
        <v>2369</v>
      </c>
      <c r="F482" s="126">
        <v>18</v>
      </c>
      <c r="G482" s="77">
        <v>35000</v>
      </c>
      <c r="H482" s="126">
        <v>81</v>
      </c>
      <c r="I482" s="124">
        <v>1817.31</v>
      </c>
      <c r="J482" s="126">
        <v>10.5</v>
      </c>
      <c r="K482" s="124">
        <v>52500</v>
      </c>
      <c r="L482" s="124">
        <v>54317.31</v>
      </c>
    </row>
    <row r="483" spans="1:12" ht="15" customHeight="1" x14ac:dyDescent="0.25">
      <c r="A483" s="78">
        <v>45778</v>
      </c>
      <c r="B483" t="s">
        <v>398</v>
      </c>
      <c r="C483" t="s">
        <v>399</v>
      </c>
      <c r="D483" t="s">
        <v>227</v>
      </c>
      <c r="E483" t="s">
        <v>105</v>
      </c>
      <c r="F483" s="126">
        <v>10.9</v>
      </c>
      <c r="G483" s="77">
        <v>28000</v>
      </c>
      <c r="H483" s="126">
        <v>27.4</v>
      </c>
      <c r="I483" s="124">
        <v>491.79</v>
      </c>
      <c r="J483" s="126">
        <v>5.6</v>
      </c>
      <c r="K483" s="124">
        <v>25433.333333333299</v>
      </c>
      <c r="L483" s="124">
        <v>25925.1233333333</v>
      </c>
    </row>
    <row r="484" spans="1:12" ht="15" customHeight="1" x14ac:dyDescent="0.25">
      <c r="A484" s="78">
        <v>45778</v>
      </c>
      <c r="B484" t="s">
        <v>398</v>
      </c>
      <c r="C484" t="s">
        <v>399</v>
      </c>
      <c r="D484" t="s">
        <v>227</v>
      </c>
      <c r="E484" t="s">
        <v>2368</v>
      </c>
      <c r="F484" s="126">
        <v>10.1</v>
      </c>
      <c r="G484" s="77">
        <v>27000</v>
      </c>
      <c r="H484" s="126">
        <v>41.7</v>
      </c>
      <c r="I484" s="124">
        <v>721.73</v>
      </c>
      <c r="J484" s="126">
        <v>4</v>
      </c>
      <c r="K484" s="124">
        <v>22725</v>
      </c>
      <c r="L484" s="124">
        <v>23446.73</v>
      </c>
    </row>
    <row r="485" spans="1:12" ht="15" customHeight="1" x14ac:dyDescent="0.25">
      <c r="A485" s="78">
        <v>45778</v>
      </c>
      <c r="B485" t="s">
        <v>398</v>
      </c>
      <c r="C485" t="s">
        <v>399</v>
      </c>
      <c r="D485" t="s">
        <v>227</v>
      </c>
      <c r="E485" t="s">
        <v>2367</v>
      </c>
      <c r="F485" s="126">
        <v>3.9</v>
      </c>
      <c r="G485" s="77">
        <v>43000</v>
      </c>
      <c r="H485" s="126">
        <v>21.2</v>
      </c>
      <c r="I485" s="124">
        <v>584.36</v>
      </c>
      <c r="J485" s="126">
        <v>4.3</v>
      </c>
      <c r="K485" s="124">
        <v>13975</v>
      </c>
      <c r="L485" s="124">
        <v>14559.36</v>
      </c>
    </row>
    <row r="486" spans="1:12" ht="15" customHeight="1" x14ac:dyDescent="0.25">
      <c r="A486" s="78">
        <v>45778</v>
      </c>
      <c r="B486" t="s">
        <v>398</v>
      </c>
      <c r="C486" t="s">
        <v>399</v>
      </c>
      <c r="D486" t="s">
        <v>227</v>
      </c>
      <c r="E486" t="s">
        <v>231</v>
      </c>
      <c r="F486" s="126">
        <v>19.100000000000001</v>
      </c>
      <c r="G486" s="77">
        <v>29000</v>
      </c>
      <c r="H486" s="126">
        <v>75.900000000000006</v>
      </c>
      <c r="I486" s="124">
        <v>1410.96</v>
      </c>
      <c r="J486" s="126">
        <v>10.1</v>
      </c>
      <c r="K486" s="124">
        <v>46158.333333333299</v>
      </c>
      <c r="L486" s="124">
        <v>47569.293333333299</v>
      </c>
    </row>
    <row r="487" spans="1:12" ht="15" customHeight="1" x14ac:dyDescent="0.25">
      <c r="A487" s="78">
        <v>45778</v>
      </c>
      <c r="B487" t="s">
        <v>378</v>
      </c>
      <c r="C487" t="s">
        <v>379</v>
      </c>
      <c r="D487" t="s">
        <v>227</v>
      </c>
      <c r="E487" t="s">
        <v>232</v>
      </c>
      <c r="F487" s="126">
        <v>18.5</v>
      </c>
      <c r="G487" s="77">
        <v>25000</v>
      </c>
      <c r="H487" s="126">
        <v>76.3</v>
      </c>
      <c r="I487" s="124">
        <v>1222.76</v>
      </c>
      <c r="J487" s="126">
        <v>8.5</v>
      </c>
      <c r="K487" s="124">
        <v>38541.666666666701</v>
      </c>
      <c r="L487" s="124">
        <v>39764.426666666703</v>
      </c>
    </row>
    <row r="488" spans="1:12" ht="15" customHeight="1" x14ac:dyDescent="0.25">
      <c r="A488" s="78">
        <v>45778</v>
      </c>
      <c r="B488" t="s">
        <v>378</v>
      </c>
      <c r="C488" t="s">
        <v>379</v>
      </c>
      <c r="D488" t="s">
        <v>227</v>
      </c>
      <c r="E488" t="s">
        <v>230</v>
      </c>
      <c r="F488" s="126">
        <v>18.100000000000001</v>
      </c>
      <c r="G488" s="77">
        <v>41000</v>
      </c>
      <c r="H488" s="126">
        <v>23</v>
      </c>
      <c r="I488" s="124">
        <v>604.49</v>
      </c>
      <c r="J488" s="126">
        <v>8.3000000000000007</v>
      </c>
      <c r="K488" s="124">
        <v>61841.666666666701</v>
      </c>
      <c r="L488" s="124">
        <v>62446.156666666699</v>
      </c>
    </row>
    <row r="489" spans="1:12" ht="15" customHeight="1" x14ac:dyDescent="0.25">
      <c r="A489" s="78">
        <v>45778</v>
      </c>
      <c r="B489" t="s">
        <v>378</v>
      </c>
      <c r="C489" t="s">
        <v>379</v>
      </c>
      <c r="D489" t="s">
        <v>227</v>
      </c>
      <c r="E489" t="s">
        <v>2368</v>
      </c>
      <c r="F489" s="126">
        <v>17.8</v>
      </c>
      <c r="G489" s="77">
        <v>27000</v>
      </c>
      <c r="H489" s="126">
        <v>34</v>
      </c>
      <c r="I489" s="124">
        <v>588.46</v>
      </c>
      <c r="J489" s="126">
        <v>10.6</v>
      </c>
      <c r="K489" s="124">
        <v>40050</v>
      </c>
      <c r="L489" s="124">
        <v>40638.46</v>
      </c>
    </row>
    <row r="490" spans="1:12" ht="15" customHeight="1" x14ac:dyDescent="0.25">
      <c r="A490" s="78">
        <v>45778</v>
      </c>
      <c r="B490" t="s">
        <v>378</v>
      </c>
      <c r="C490" t="s">
        <v>379</v>
      </c>
      <c r="D490" t="s">
        <v>227</v>
      </c>
      <c r="E490" t="s">
        <v>105</v>
      </c>
      <c r="F490" s="126">
        <v>4.3</v>
      </c>
      <c r="G490" s="77">
        <v>28000</v>
      </c>
      <c r="H490" s="126">
        <v>16.5</v>
      </c>
      <c r="I490" s="124">
        <v>296.14999999999998</v>
      </c>
      <c r="J490" s="126">
        <v>1.8</v>
      </c>
      <c r="K490" s="124">
        <v>10033.333333333299</v>
      </c>
      <c r="L490" s="124">
        <v>10329.483333333301</v>
      </c>
    </row>
    <row r="491" spans="1:12" ht="15" customHeight="1" x14ac:dyDescent="0.25">
      <c r="A491" s="78">
        <v>45778</v>
      </c>
      <c r="B491" t="s">
        <v>378</v>
      </c>
      <c r="C491" t="s">
        <v>379</v>
      </c>
      <c r="D491" t="s">
        <v>227</v>
      </c>
      <c r="E491" t="s">
        <v>231</v>
      </c>
      <c r="F491" s="126">
        <v>8</v>
      </c>
      <c r="G491" s="77">
        <v>29000</v>
      </c>
      <c r="H491" s="126">
        <v>42.7</v>
      </c>
      <c r="I491" s="124">
        <v>793.78</v>
      </c>
      <c r="J491" s="126">
        <v>2.9</v>
      </c>
      <c r="K491" s="124">
        <v>19333.333333333299</v>
      </c>
      <c r="L491" s="124">
        <v>20127.113333333298</v>
      </c>
    </row>
    <row r="492" spans="1:12" ht="15" customHeight="1" x14ac:dyDescent="0.25">
      <c r="A492" s="78">
        <v>45778</v>
      </c>
      <c r="B492" t="s">
        <v>378</v>
      </c>
      <c r="C492" t="s">
        <v>379</v>
      </c>
      <c r="D492" t="s">
        <v>227</v>
      </c>
      <c r="E492" t="s">
        <v>2367</v>
      </c>
      <c r="F492" s="126">
        <v>17</v>
      </c>
      <c r="G492" s="77">
        <v>43000</v>
      </c>
      <c r="H492" s="126">
        <v>48.4</v>
      </c>
      <c r="I492" s="124">
        <v>1334.1</v>
      </c>
      <c r="J492" s="126">
        <v>8.6</v>
      </c>
      <c r="K492" s="124">
        <v>60916.666666666701</v>
      </c>
      <c r="L492" s="124">
        <v>62250.766666666699</v>
      </c>
    </row>
    <row r="493" spans="1:12" ht="15" customHeight="1" x14ac:dyDescent="0.25">
      <c r="A493" s="78">
        <v>45778</v>
      </c>
      <c r="B493" t="s">
        <v>393</v>
      </c>
      <c r="C493" t="s">
        <v>394</v>
      </c>
      <c r="D493" t="s">
        <v>227</v>
      </c>
      <c r="E493" t="s">
        <v>2369</v>
      </c>
      <c r="F493" s="126">
        <v>6.3</v>
      </c>
      <c r="G493" s="77">
        <v>35000</v>
      </c>
      <c r="H493" s="126">
        <v>34.9</v>
      </c>
      <c r="I493" s="124">
        <v>783.01</v>
      </c>
      <c r="J493" s="126">
        <v>3.7</v>
      </c>
      <c r="K493" s="124">
        <v>18375</v>
      </c>
      <c r="L493" s="124">
        <v>19158.009999999998</v>
      </c>
    </row>
    <row r="494" spans="1:12" ht="15" customHeight="1" x14ac:dyDescent="0.25">
      <c r="A494" s="78">
        <v>45778</v>
      </c>
      <c r="B494" t="s">
        <v>393</v>
      </c>
      <c r="C494" t="s">
        <v>394</v>
      </c>
      <c r="D494" t="s">
        <v>227</v>
      </c>
      <c r="E494" t="s">
        <v>232</v>
      </c>
      <c r="F494" s="126">
        <v>18.7</v>
      </c>
      <c r="G494" s="77">
        <v>25000</v>
      </c>
      <c r="H494" s="126">
        <v>81.8</v>
      </c>
      <c r="I494" s="124">
        <v>1310.9</v>
      </c>
      <c r="J494" s="126">
        <v>9.4</v>
      </c>
      <c r="K494" s="124">
        <v>38958.333333333299</v>
      </c>
      <c r="L494" s="124">
        <v>40269.233333333301</v>
      </c>
    </row>
    <row r="495" spans="1:12" ht="15" customHeight="1" x14ac:dyDescent="0.25">
      <c r="A495" s="78">
        <v>45778</v>
      </c>
      <c r="B495" t="s">
        <v>393</v>
      </c>
      <c r="C495" t="s">
        <v>394</v>
      </c>
      <c r="D495" t="s">
        <v>227</v>
      </c>
      <c r="E495" t="s">
        <v>105</v>
      </c>
      <c r="F495" s="126">
        <v>5.8</v>
      </c>
      <c r="G495" s="77">
        <v>28000</v>
      </c>
      <c r="H495" s="126">
        <v>26.7</v>
      </c>
      <c r="I495" s="124">
        <v>479.23</v>
      </c>
      <c r="J495" s="126">
        <v>3.1</v>
      </c>
      <c r="K495" s="124">
        <v>13533.333333333299</v>
      </c>
      <c r="L495" s="124">
        <v>14012.563333333301</v>
      </c>
    </row>
    <row r="496" spans="1:12" ht="15" customHeight="1" x14ac:dyDescent="0.25">
      <c r="A496" s="78">
        <v>45778</v>
      </c>
      <c r="B496" t="s">
        <v>393</v>
      </c>
      <c r="C496" t="s">
        <v>394</v>
      </c>
      <c r="D496" t="s">
        <v>227</v>
      </c>
      <c r="E496" t="s">
        <v>2368</v>
      </c>
      <c r="F496" s="126">
        <v>19.899999999999999</v>
      </c>
      <c r="G496" s="77">
        <v>27000</v>
      </c>
      <c r="H496" s="126">
        <v>48.9</v>
      </c>
      <c r="I496" s="124">
        <v>846.35</v>
      </c>
      <c r="J496" s="126">
        <v>10</v>
      </c>
      <c r="K496" s="124">
        <v>44775</v>
      </c>
      <c r="L496" s="124">
        <v>45621.35</v>
      </c>
    </row>
    <row r="497" spans="1:12" ht="15" customHeight="1" x14ac:dyDescent="0.25">
      <c r="A497" s="78">
        <v>45778</v>
      </c>
      <c r="B497" t="s">
        <v>393</v>
      </c>
      <c r="C497" t="s">
        <v>394</v>
      </c>
      <c r="D497" t="s">
        <v>227</v>
      </c>
      <c r="E497" t="s">
        <v>231</v>
      </c>
      <c r="F497" s="126">
        <v>5.5</v>
      </c>
      <c r="G497" s="77">
        <v>29000</v>
      </c>
      <c r="H497" s="126">
        <v>13.1</v>
      </c>
      <c r="I497" s="124">
        <v>243.53</v>
      </c>
      <c r="J497" s="126">
        <v>2.8</v>
      </c>
      <c r="K497" s="124">
        <v>13291.666666666701</v>
      </c>
      <c r="L497" s="124">
        <v>13535.196666666699</v>
      </c>
    </row>
    <row r="498" spans="1:12" ht="15" customHeight="1" x14ac:dyDescent="0.25">
      <c r="A498" s="78">
        <v>45778</v>
      </c>
      <c r="B498" t="s">
        <v>393</v>
      </c>
      <c r="C498" t="s">
        <v>394</v>
      </c>
      <c r="D498" t="s">
        <v>227</v>
      </c>
      <c r="E498" t="s">
        <v>230</v>
      </c>
      <c r="F498" s="126">
        <v>15.1</v>
      </c>
      <c r="G498" s="77">
        <v>41000</v>
      </c>
      <c r="H498" s="126">
        <v>49.5</v>
      </c>
      <c r="I498" s="124">
        <v>1300.96</v>
      </c>
      <c r="J498" s="126">
        <v>10.1</v>
      </c>
      <c r="K498" s="124">
        <v>51591.666666666701</v>
      </c>
      <c r="L498" s="124">
        <v>52892.6266666667</v>
      </c>
    </row>
    <row r="499" spans="1:12" ht="15" customHeight="1" x14ac:dyDescent="0.25">
      <c r="A499" s="78">
        <v>45809</v>
      </c>
      <c r="B499" t="s">
        <v>390</v>
      </c>
      <c r="C499" t="s">
        <v>391</v>
      </c>
      <c r="D499" t="s">
        <v>221</v>
      </c>
      <c r="E499" t="s">
        <v>232</v>
      </c>
      <c r="F499" s="126">
        <v>11.9</v>
      </c>
      <c r="G499" s="77">
        <v>25000</v>
      </c>
      <c r="H499" s="126">
        <v>46.9</v>
      </c>
      <c r="I499" s="124">
        <v>751.6</v>
      </c>
      <c r="J499" s="126">
        <v>4.5</v>
      </c>
      <c r="K499" s="124">
        <v>24791.666666666701</v>
      </c>
      <c r="L499" s="124">
        <v>25543.266666666699</v>
      </c>
    </row>
    <row r="500" spans="1:12" ht="15" customHeight="1" x14ac:dyDescent="0.25">
      <c r="A500" s="78">
        <v>45809</v>
      </c>
      <c r="B500" t="s">
        <v>390</v>
      </c>
      <c r="C500" t="s">
        <v>391</v>
      </c>
      <c r="D500" t="s">
        <v>221</v>
      </c>
      <c r="E500" t="s">
        <v>105</v>
      </c>
      <c r="F500" s="126">
        <v>3.4</v>
      </c>
      <c r="G500" s="77">
        <v>28000</v>
      </c>
      <c r="H500" s="126">
        <v>12.9</v>
      </c>
      <c r="I500" s="124">
        <v>231.54</v>
      </c>
      <c r="J500" s="126">
        <v>2.2000000000000002</v>
      </c>
      <c r="K500" s="124">
        <v>7933.3333333333303</v>
      </c>
      <c r="L500" s="124">
        <v>8164.8733333333303</v>
      </c>
    </row>
    <row r="501" spans="1:12" ht="15" customHeight="1" x14ac:dyDescent="0.25">
      <c r="A501" s="78">
        <v>45809</v>
      </c>
      <c r="B501" t="s">
        <v>390</v>
      </c>
      <c r="C501" t="s">
        <v>391</v>
      </c>
      <c r="D501" t="s">
        <v>221</v>
      </c>
      <c r="E501" t="s">
        <v>2367</v>
      </c>
      <c r="F501" s="126">
        <v>9.9</v>
      </c>
      <c r="G501" s="77">
        <v>43000</v>
      </c>
      <c r="H501" s="126">
        <v>64.400000000000006</v>
      </c>
      <c r="I501" s="124">
        <v>1775.13</v>
      </c>
      <c r="J501" s="126">
        <v>4.4000000000000004</v>
      </c>
      <c r="K501" s="124">
        <v>35475</v>
      </c>
      <c r="L501" s="124">
        <v>37250.129999999997</v>
      </c>
    </row>
    <row r="502" spans="1:12" ht="15" customHeight="1" x14ac:dyDescent="0.25">
      <c r="A502" s="78">
        <v>45809</v>
      </c>
      <c r="B502" t="s">
        <v>390</v>
      </c>
      <c r="C502" t="s">
        <v>391</v>
      </c>
      <c r="D502" t="s">
        <v>221</v>
      </c>
      <c r="E502" t="s">
        <v>231</v>
      </c>
      <c r="F502" s="126">
        <v>16.600000000000001</v>
      </c>
      <c r="G502" s="77">
        <v>29000</v>
      </c>
      <c r="H502" s="126">
        <v>27</v>
      </c>
      <c r="I502" s="124">
        <v>501.92</v>
      </c>
      <c r="J502" s="126">
        <v>9.1</v>
      </c>
      <c r="K502" s="124">
        <v>40116.666666666701</v>
      </c>
      <c r="L502" s="124">
        <v>40618.586666666699</v>
      </c>
    </row>
    <row r="503" spans="1:12" ht="15" customHeight="1" x14ac:dyDescent="0.25">
      <c r="A503" s="78">
        <v>45809</v>
      </c>
      <c r="B503" t="s">
        <v>390</v>
      </c>
      <c r="C503" t="s">
        <v>391</v>
      </c>
      <c r="D503" t="s">
        <v>221</v>
      </c>
      <c r="E503" t="s">
        <v>230</v>
      </c>
      <c r="F503" s="126">
        <v>10.8</v>
      </c>
      <c r="G503" s="77">
        <v>41000</v>
      </c>
      <c r="H503" s="126">
        <v>20.8</v>
      </c>
      <c r="I503" s="124">
        <v>546.66999999999996</v>
      </c>
      <c r="J503" s="126">
        <v>5</v>
      </c>
      <c r="K503" s="124">
        <v>36900</v>
      </c>
      <c r="L503" s="124">
        <v>37446.67</v>
      </c>
    </row>
    <row r="504" spans="1:12" ht="15" customHeight="1" x14ac:dyDescent="0.25">
      <c r="A504" s="78">
        <v>45809</v>
      </c>
      <c r="B504" t="s">
        <v>401</v>
      </c>
      <c r="C504" t="s">
        <v>402</v>
      </c>
      <c r="D504" t="s">
        <v>221</v>
      </c>
      <c r="E504" t="s">
        <v>230</v>
      </c>
      <c r="F504" s="126">
        <v>18</v>
      </c>
      <c r="G504" s="77">
        <v>41000</v>
      </c>
      <c r="H504" s="126">
        <v>65</v>
      </c>
      <c r="I504" s="124">
        <v>1708.33</v>
      </c>
      <c r="J504" s="126">
        <v>8.9</v>
      </c>
      <c r="K504" s="124">
        <v>61500</v>
      </c>
      <c r="L504" s="124">
        <v>63208.33</v>
      </c>
    </row>
    <row r="505" spans="1:12" ht="15" customHeight="1" x14ac:dyDescent="0.25">
      <c r="A505" s="78">
        <v>45809</v>
      </c>
      <c r="B505" t="s">
        <v>401</v>
      </c>
      <c r="C505" t="s">
        <v>402</v>
      </c>
      <c r="D505" t="s">
        <v>221</v>
      </c>
      <c r="E505" t="s">
        <v>105</v>
      </c>
      <c r="F505" s="126">
        <v>15.9</v>
      </c>
      <c r="G505" s="77">
        <v>28000</v>
      </c>
      <c r="H505" s="126">
        <v>80</v>
      </c>
      <c r="I505" s="124">
        <v>1435.9</v>
      </c>
      <c r="J505" s="126">
        <v>7.3</v>
      </c>
      <c r="K505" s="124">
        <v>37100</v>
      </c>
      <c r="L505" s="124">
        <v>38535.9</v>
      </c>
    </row>
    <row r="506" spans="1:12" ht="15" customHeight="1" x14ac:dyDescent="0.25">
      <c r="A506" s="78">
        <v>45809</v>
      </c>
      <c r="B506" t="s">
        <v>401</v>
      </c>
      <c r="C506" t="s">
        <v>402</v>
      </c>
      <c r="D506" t="s">
        <v>221</v>
      </c>
      <c r="E506" t="s">
        <v>2368</v>
      </c>
      <c r="F506" s="126">
        <v>10.4</v>
      </c>
      <c r="G506" s="77">
        <v>27000</v>
      </c>
      <c r="H506" s="126">
        <v>37.299999999999997</v>
      </c>
      <c r="I506" s="124">
        <v>645.58000000000004</v>
      </c>
      <c r="J506" s="126">
        <v>5.2</v>
      </c>
      <c r="K506" s="124">
        <v>23400</v>
      </c>
      <c r="L506" s="124">
        <v>24045.58</v>
      </c>
    </row>
    <row r="507" spans="1:12" ht="15" customHeight="1" x14ac:dyDescent="0.25">
      <c r="A507" s="78">
        <v>45809</v>
      </c>
      <c r="B507" t="s">
        <v>401</v>
      </c>
      <c r="C507" t="s">
        <v>402</v>
      </c>
      <c r="D507" t="s">
        <v>221</v>
      </c>
      <c r="E507" t="s">
        <v>232</v>
      </c>
      <c r="F507" s="126">
        <v>11.7</v>
      </c>
      <c r="G507" s="77">
        <v>25000</v>
      </c>
      <c r="H507" s="126">
        <v>49.4</v>
      </c>
      <c r="I507" s="124">
        <v>791.67</v>
      </c>
      <c r="J507" s="126">
        <v>5.9</v>
      </c>
      <c r="K507" s="124">
        <v>24375</v>
      </c>
      <c r="L507" s="124">
        <v>25166.67</v>
      </c>
    </row>
    <row r="508" spans="1:12" ht="15" customHeight="1" x14ac:dyDescent="0.25">
      <c r="A508" s="78">
        <v>45809</v>
      </c>
      <c r="B508" t="s">
        <v>401</v>
      </c>
      <c r="C508" t="s">
        <v>402</v>
      </c>
      <c r="D508" t="s">
        <v>221</v>
      </c>
      <c r="E508" t="s">
        <v>2367</v>
      </c>
      <c r="F508" s="126">
        <v>14.3</v>
      </c>
      <c r="G508" s="77">
        <v>43000</v>
      </c>
      <c r="H508" s="126">
        <v>66.599999999999994</v>
      </c>
      <c r="I508" s="124">
        <v>1835.77</v>
      </c>
      <c r="J508" s="126">
        <v>8</v>
      </c>
      <c r="K508" s="124">
        <v>51241.666666666701</v>
      </c>
      <c r="L508" s="124">
        <v>53077.436666666697</v>
      </c>
    </row>
    <row r="509" spans="1:12" ht="15" customHeight="1" x14ac:dyDescent="0.25">
      <c r="A509" s="78">
        <v>45809</v>
      </c>
      <c r="B509" t="s">
        <v>401</v>
      </c>
      <c r="C509" t="s">
        <v>402</v>
      </c>
      <c r="D509" t="s">
        <v>221</v>
      </c>
      <c r="E509" t="s">
        <v>2369</v>
      </c>
      <c r="F509" s="126">
        <v>12.3</v>
      </c>
      <c r="G509" s="77">
        <v>35000</v>
      </c>
      <c r="H509" s="126">
        <v>56.4</v>
      </c>
      <c r="I509" s="124">
        <v>1265.3800000000001</v>
      </c>
      <c r="J509" s="126">
        <v>6.6</v>
      </c>
      <c r="K509" s="124">
        <v>35875</v>
      </c>
      <c r="L509" s="124">
        <v>37140.379999999997</v>
      </c>
    </row>
    <row r="510" spans="1:12" ht="15" customHeight="1" x14ac:dyDescent="0.25">
      <c r="A510" s="78">
        <v>45809</v>
      </c>
      <c r="B510" t="s">
        <v>431</v>
      </c>
      <c r="C510" t="s">
        <v>432</v>
      </c>
      <c r="D510" t="s">
        <v>221</v>
      </c>
      <c r="E510" t="s">
        <v>2367</v>
      </c>
      <c r="F510" s="126">
        <v>14.2</v>
      </c>
      <c r="G510" s="77">
        <v>43000</v>
      </c>
      <c r="H510" s="126">
        <v>23.1</v>
      </c>
      <c r="I510" s="124">
        <v>636.73</v>
      </c>
      <c r="J510" s="126">
        <v>7.2</v>
      </c>
      <c r="K510" s="124">
        <v>50883.333333333299</v>
      </c>
      <c r="L510" s="124">
        <v>51520.063333333303</v>
      </c>
    </row>
    <row r="511" spans="1:12" ht="15" customHeight="1" x14ac:dyDescent="0.25">
      <c r="A511" s="78">
        <v>45809</v>
      </c>
      <c r="B511" t="s">
        <v>431</v>
      </c>
      <c r="C511" t="s">
        <v>432</v>
      </c>
      <c r="D511" t="s">
        <v>221</v>
      </c>
      <c r="E511" t="s">
        <v>105</v>
      </c>
      <c r="F511" s="126">
        <v>10.5</v>
      </c>
      <c r="G511" s="77">
        <v>28000</v>
      </c>
      <c r="H511" s="126">
        <v>49.6</v>
      </c>
      <c r="I511" s="124">
        <v>890.26</v>
      </c>
      <c r="J511" s="126">
        <v>6</v>
      </c>
      <c r="K511" s="124">
        <v>24500</v>
      </c>
      <c r="L511" s="124">
        <v>25390.26</v>
      </c>
    </row>
    <row r="512" spans="1:12" ht="15" customHeight="1" x14ac:dyDescent="0.25">
      <c r="A512" s="78">
        <v>45809</v>
      </c>
      <c r="B512" t="s">
        <v>431</v>
      </c>
      <c r="C512" t="s">
        <v>432</v>
      </c>
      <c r="D512" t="s">
        <v>221</v>
      </c>
      <c r="E512" t="s">
        <v>232</v>
      </c>
      <c r="F512" s="126">
        <v>15.3</v>
      </c>
      <c r="G512" s="77">
        <v>25000</v>
      </c>
      <c r="H512" s="126">
        <v>45.3</v>
      </c>
      <c r="I512" s="124">
        <v>725.96</v>
      </c>
      <c r="J512" s="126">
        <v>7</v>
      </c>
      <c r="K512" s="124">
        <v>31875</v>
      </c>
      <c r="L512" s="124">
        <v>32600.959999999999</v>
      </c>
    </row>
    <row r="513" spans="1:12" ht="15" customHeight="1" x14ac:dyDescent="0.25">
      <c r="A513" s="78">
        <v>45809</v>
      </c>
      <c r="B513" t="s">
        <v>431</v>
      </c>
      <c r="C513" t="s">
        <v>432</v>
      </c>
      <c r="D513" t="s">
        <v>221</v>
      </c>
      <c r="E513" t="s">
        <v>231</v>
      </c>
      <c r="F513" s="126">
        <v>7.5</v>
      </c>
      <c r="G513" s="77">
        <v>29000</v>
      </c>
      <c r="H513" s="126">
        <v>23.5</v>
      </c>
      <c r="I513" s="124">
        <v>436.86</v>
      </c>
      <c r="J513" s="126">
        <v>4.3</v>
      </c>
      <c r="K513" s="124">
        <v>18125</v>
      </c>
      <c r="L513" s="124">
        <v>18561.86</v>
      </c>
    </row>
    <row r="514" spans="1:12" ht="15" customHeight="1" x14ac:dyDescent="0.25">
      <c r="A514" s="78">
        <v>45809</v>
      </c>
      <c r="B514" t="s">
        <v>431</v>
      </c>
      <c r="C514" t="s">
        <v>432</v>
      </c>
      <c r="D514" t="s">
        <v>221</v>
      </c>
      <c r="E514" t="s">
        <v>2369</v>
      </c>
      <c r="F514" s="126">
        <v>5.4</v>
      </c>
      <c r="G514" s="77">
        <v>35000</v>
      </c>
      <c r="H514" s="126">
        <v>30</v>
      </c>
      <c r="I514" s="124">
        <v>673.08</v>
      </c>
      <c r="J514" s="126">
        <v>2.2999999999999998</v>
      </c>
      <c r="K514" s="124">
        <v>15750</v>
      </c>
      <c r="L514" s="124">
        <v>16423.080000000002</v>
      </c>
    </row>
    <row r="515" spans="1:12" ht="15" customHeight="1" x14ac:dyDescent="0.25">
      <c r="A515" s="78">
        <v>45809</v>
      </c>
      <c r="B515" t="s">
        <v>431</v>
      </c>
      <c r="C515" t="s">
        <v>432</v>
      </c>
      <c r="D515" t="s">
        <v>221</v>
      </c>
      <c r="E515" t="s">
        <v>230</v>
      </c>
      <c r="F515" s="126">
        <v>18.600000000000001</v>
      </c>
      <c r="G515" s="77">
        <v>41000</v>
      </c>
      <c r="H515" s="126">
        <v>99.7</v>
      </c>
      <c r="I515" s="124">
        <v>2620.3200000000002</v>
      </c>
      <c r="J515" s="126">
        <v>9.4</v>
      </c>
      <c r="K515" s="124">
        <v>63550</v>
      </c>
      <c r="L515" s="124">
        <v>66170.320000000007</v>
      </c>
    </row>
    <row r="516" spans="1:12" ht="15" customHeight="1" x14ac:dyDescent="0.25">
      <c r="A516" s="78">
        <v>45809</v>
      </c>
      <c r="B516" t="s">
        <v>366</v>
      </c>
      <c r="C516" t="s">
        <v>367</v>
      </c>
      <c r="D516" t="s">
        <v>221</v>
      </c>
      <c r="E516" t="s">
        <v>2367</v>
      </c>
      <c r="F516" s="126">
        <v>6.7</v>
      </c>
      <c r="G516" s="77">
        <v>43000</v>
      </c>
      <c r="H516" s="126">
        <v>25.6</v>
      </c>
      <c r="I516" s="124">
        <v>705.64</v>
      </c>
      <c r="J516" s="126">
        <v>3.1</v>
      </c>
      <c r="K516" s="124">
        <v>24008.333333333299</v>
      </c>
      <c r="L516" s="124">
        <v>24713.973333333299</v>
      </c>
    </row>
    <row r="517" spans="1:12" ht="15" customHeight="1" x14ac:dyDescent="0.25">
      <c r="A517" s="78">
        <v>45809</v>
      </c>
      <c r="B517" t="s">
        <v>366</v>
      </c>
      <c r="C517" t="s">
        <v>367</v>
      </c>
      <c r="D517" t="s">
        <v>221</v>
      </c>
      <c r="E517" t="s">
        <v>2369</v>
      </c>
      <c r="F517" s="126">
        <v>3.7</v>
      </c>
      <c r="G517" s="77">
        <v>35000</v>
      </c>
      <c r="H517" s="126">
        <v>18.899999999999999</v>
      </c>
      <c r="I517" s="124">
        <v>424.04</v>
      </c>
      <c r="J517" s="126">
        <v>2.2000000000000002</v>
      </c>
      <c r="K517" s="124">
        <v>10791.666666666701</v>
      </c>
      <c r="L517" s="124">
        <v>11215.7066666667</v>
      </c>
    </row>
    <row r="518" spans="1:12" ht="15" customHeight="1" x14ac:dyDescent="0.25">
      <c r="A518" s="78">
        <v>45809</v>
      </c>
      <c r="B518" t="s">
        <v>366</v>
      </c>
      <c r="C518" t="s">
        <v>367</v>
      </c>
      <c r="D518" t="s">
        <v>221</v>
      </c>
      <c r="E518" t="s">
        <v>230</v>
      </c>
      <c r="F518" s="126">
        <v>3.2</v>
      </c>
      <c r="G518" s="77">
        <v>41000</v>
      </c>
      <c r="H518" s="126">
        <v>23.7</v>
      </c>
      <c r="I518" s="124">
        <v>622.88</v>
      </c>
      <c r="J518" s="126">
        <v>0.7</v>
      </c>
      <c r="K518" s="124">
        <v>10933.333333333299</v>
      </c>
      <c r="L518" s="124">
        <v>11556.2133333333</v>
      </c>
    </row>
    <row r="519" spans="1:12" ht="15" customHeight="1" x14ac:dyDescent="0.25">
      <c r="A519" s="78">
        <v>45809</v>
      </c>
      <c r="B519" t="s">
        <v>366</v>
      </c>
      <c r="C519" t="s">
        <v>367</v>
      </c>
      <c r="D519" t="s">
        <v>221</v>
      </c>
      <c r="E519" t="s">
        <v>2368</v>
      </c>
      <c r="F519" s="126">
        <v>5.3</v>
      </c>
      <c r="G519" s="77">
        <v>27000</v>
      </c>
      <c r="H519" s="126">
        <v>25.3</v>
      </c>
      <c r="I519" s="124">
        <v>437.88</v>
      </c>
      <c r="J519" s="126">
        <v>2.1</v>
      </c>
      <c r="K519" s="124">
        <v>11925</v>
      </c>
      <c r="L519" s="124">
        <v>12362.88</v>
      </c>
    </row>
    <row r="520" spans="1:12" ht="15" customHeight="1" x14ac:dyDescent="0.25">
      <c r="A520" s="78">
        <v>45809</v>
      </c>
      <c r="B520" t="s">
        <v>362</v>
      </c>
      <c r="C520" t="s">
        <v>363</v>
      </c>
      <c r="D520" t="s">
        <v>221</v>
      </c>
      <c r="E520" t="s">
        <v>2367</v>
      </c>
      <c r="F520" s="126">
        <v>12.3</v>
      </c>
      <c r="G520" s="77">
        <v>43000</v>
      </c>
      <c r="H520" s="126">
        <v>33.200000000000003</v>
      </c>
      <c r="I520" s="124">
        <v>915.13</v>
      </c>
      <c r="J520" s="126">
        <v>6.1</v>
      </c>
      <c r="K520" s="124">
        <v>44075</v>
      </c>
      <c r="L520" s="124">
        <v>44990.13</v>
      </c>
    </row>
    <row r="521" spans="1:12" ht="15" customHeight="1" x14ac:dyDescent="0.25">
      <c r="A521" s="78">
        <v>45809</v>
      </c>
      <c r="B521" t="s">
        <v>362</v>
      </c>
      <c r="C521" t="s">
        <v>363</v>
      </c>
      <c r="D521" t="s">
        <v>221</v>
      </c>
      <c r="E521" t="s">
        <v>231</v>
      </c>
      <c r="F521" s="126">
        <v>7.3</v>
      </c>
      <c r="G521" s="77">
        <v>29000</v>
      </c>
      <c r="H521" s="126">
        <v>30.7</v>
      </c>
      <c r="I521" s="124">
        <v>570.71</v>
      </c>
      <c r="J521" s="126">
        <v>6.6</v>
      </c>
      <c r="K521" s="124">
        <v>17641.666666666701</v>
      </c>
      <c r="L521" s="124">
        <v>18212.3766666667</v>
      </c>
    </row>
    <row r="522" spans="1:12" ht="15" customHeight="1" x14ac:dyDescent="0.25">
      <c r="A522" s="78">
        <v>45809</v>
      </c>
      <c r="B522" t="s">
        <v>362</v>
      </c>
      <c r="C522" t="s">
        <v>363</v>
      </c>
      <c r="D522" t="s">
        <v>221</v>
      </c>
      <c r="E522" t="s">
        <v>2369</v>
      </c>
      <c r="F522" s="126">
        <v>18.600000000000001</v>
      </c>
      <c r="G522" s="77">
        <v>35000</v>
      </c>
      <c r="H522" s="126">
        <v>69.3</v>
      </c>
      <c r="I522" s="124">
        <v>1554.81</v>
      </c>
      <c r="J522" s="126">
        <v>8.1999999999999993</v>
      </c>
      <c r="K522" s="124">
        <v>54250</v>
      </c>
      <c r="L522" s="124">
        <v>55804.81</v>
      </c>
    </row>
    <row r="523" spans="1:12" ht="15" customHeight="1" x14ac:dyDescent="0.25">
      <c r="A523" s="78">
        <v>45809</v>
      </c>
      <c r="B523" t="s">
        <v>362</v>
      </c>
      <c r="C523" t="s">
        <v>363</v>
      </c>
      <c r="D523" t="s">
        <v>221</v>
      </c>
      <c r="E523" t="s">
        <v>2368</v>
      </c>
      <c r="F523" s="126">
        <v>3</v>
      </c>
      <c r="G523" s="77">
        <v>27000</v>
      </c>
      <c r="H523" s="126">
        <v>13.2</v>
      </c>
      <c r="I523" s="124">
        <v>228.46</v>
      </c>
      <c r="J523" s="126">
        <v>0</v>
      </c>
      <c r="K523" s="124">
        <v>6750</v>
      </c>
      <c r="L523" s="124">
        <v>6978.46</v>
      </c>
    </row>
    <row r="524" spans="1:12" ht="15" customHeight="1" x14ac:dyDescent="0.25">
      <c r="A524" s="78">
        <v>45809</v>
      </c>
      <c r="B524" t="s">
        <v>362</v>
      </c>
      <c r="C524" t="s">
        <v>363</v>
      </c>
      <c r="D524" t="s">
        <v>221</v>
      </c>
      <c r="E524" t="s">
        <v>105</v>
      </c>
      <c r="F524" s="126">
        <v>4.0999999999999996</v>
      </c>
      <c r="G524" s="77">
        <v>28000</v>
      </c>
      <c r="H524" s="126">
        <v>15.8</v>
      </c>
      <c r="I524" s="124">
        <v>283.58999999999997</v>
      </c>
      <c r="J524" s="126">
        <v>2.1</v>
      </c>
      <c r="K524" s="124">
        <v>9566.6666666666697</v>
      </c>
      <c r="L524" s="124">
        <v>9850.2566666666698</v>
      </c>
    </row>
    <row r="525" spans="1:12" ht="15" customHeight="1" x14ac:dyDescent="0.25">
      <c r="A525" s="78">
        <v>45809</v>
      </c>
      <c r="B525" t="s">
        <v>335</v>
      </c>
      <c r="C525" t="s">
        <v>336</v>
      </c>
      <c r="D525" t="s">
        <v>223</v>
      </c>
      <c r="E525" t="s">
        <v>230</v>
      </c>
      <c r="F525" s="126">
        <v>6.7</v>
      </c>
      <c r="G525" s="77">
        <v>41000</v>
      </c>
      <c r="H525" s="126">
        <v>34.799999999999997</v>
      </c>
      <c r="I525" s="124">
        <v>914.62</v>
      </c>
      <c r="J525" s="126">
        <v>4.3</v>
      </c>
      <c r="K525" s="124">
        <v>22891.666666666701</v>
      </c>
      <c r="L525" s="124">
        <v>23806.2866666667</v>
      </c>
    </row>
    <row r="526" spans="1:12" ht="15" customHeight="1" x14ac:dyDescent="0.25">
      <c r="A526" s="78">
        <v>45809</v>
      </c>
      <c r="B526" t="s">
        <v>335</v>
      </c>
      <c r="C526" t="s">
        <v>336</v>
      </c>
      <c r="D526" t="s">
        <v>223</v>
      </c>
      <c r="E526" t="s">
        <v>2368</v>
      </c>
      <c r="F526" s="126">
        <v>18.600000000000001</v>
      </c>
      <c r="G526" s="77">
        <v>27000</v>
      </c>
      <c r="H526" s="126">
        <v>60.4</v>
      </c>
      <c r="I526" s="124">
        <v>1045.3800000000001</v>
      </c>
      <c r="J526" s="126">
        <v>9.1</v>
      </c>
      <c r="K526" s="124">
        <v>41850</v>
      </c>
      <c r="L526" s="124">
        <v>42895.38</v>
      </c>
    </row>
    <row r="527" spans="1:12" ht="15" customHeight="1" x14ac:dyDescent="0.25">
      <c r="A527" s="78">
        <v>45809</v>
      </c>
      <c r="B527" t="s">
        <v>335</v>
      </c>
      <c r="C527" t="s">
        <v>336</v>
      </c>
      <c r="D527" t="s">
        <v>223</v>
      </c>
      <c r="E527" t="s">
        <v>2369</v>
      </c>
      <c r="F527" s="126">
        <v>5.8</v>
      </c>
      <c r="G527" s="77">
        <v>35000</v>
      </c>
      <c r="H527" s="126">
        <v>16.5</v>
      </c>
      <c r="I527" s="124">
        <v>370.19</v>
      </c>
      <c r="J527" s="126">
        <v>1.8</v>
      </c>
      <c r="K527" s="124">
        <v>16916.666666666701</v>
      </c>
      <c r="L527" s="124">
        <v>17286.856666666699</v>
      </c>
    </row>
    <row r="528" spans="1:12" ht="15" customHeight="1" x14ac:dyDescent="0.25">
      <c r="A528" s="78">
        <v>45809</v>
      </c>
      <c r="B528" t="s">
        <v>335</v>
      </c>
      <c r="C528" t="s">
        <v>336</v>
      </c>
      <c r="D528" t="s">
        <v>223</v>
      </c>
      <c r="E528" t="s">
        <v>232</v>
      </c>
      <c r="F528" s="126">
        <v>14.4</v>
      </c>
      <c r="G528" s="77">
        <v>25000</v>
      </c>
      <c r="H528" s="126">
        <v>64.3</v>
      </c>
      <c r="I528" s="124">
        <v>1030.45</v>
      </c>
      <c r="J528" s="126">
        <v>5.9</v>
      </c>
      <c r="K528" s="124">
        <v>30000</v>
      </c>
      <c r="L528" s="124">
        <v>31030.45</v>
      </c>
    </row>
    <row r="529" spans="1:12" ht="15" customHeight="1" x14ac:dyDescent="0.25">
      <c r="A529" s="78">
        <v>45809</v>
      </c>
      <c r="B529" t="s">
        <v>386</v>
      </c>
      <c r="C529" t="s">
        <v>387</v>
      </c>
      <c r="D529" t="s">
        <v>223</v>
      </c>
      <c r="E529" t="s">
        <v>232</v>
      </c>
      <c r="F529" s="126">
        <v>13.5</v>
      </c>
      <c r="G529" s="77">
        <v>25000</v>
      </c>
      <c r="H529" s="126">
        <v>45.6</v>
      </c>
      <c r="I529" s="124">
        <v>730.77</v>
      </c>
      <c r="J529" s="126">
        <v>5.8</v>
      </c>
      <c r="K529" s="124">
        <v>28125</v>
      </c>
      <c r="L529" s="124">
        <v>28855.77</v>
      </c>
    </row>
    <row r="530" spans="1:12" ht="15" customHeight="1" x14ac:dyDescent="0.25">
      <c r="A530" s="78">
        <v>45809</v>
      </c>
      <c r="B530" t="s">
        <v>386</v>
      </c>
      <c r="C530" t="s">
        <v>387</v>
      </c>
      <c r="D530" t="s">
        <v>223</v>
      </c>
      <c r="E530" t="s">
        <v>2368</v>
      </c>
      <c r="F530" s="126">
        <v>19.7</v>
      </c>
      <c r="G530" s="77">
        <v>27000</v>
      </c>
      <c r="H530" s="126">
        <v>95</v>
      </c>
      <c r="I530" s="124">
        <v>1644.23</v>
      </c>
      <c r="J530" s="126">
        <v>11.7</v>
      </c>
      <c r="K530" s="124">
        <v>44325</v>
      </c>
      <c r="L530" s="124">
        <v>45969.23</v>
      </c>
    </row>
    <row r="531" spans="1:12" ht="15" customHeight="1" x14ac:dyDescent="0.25">
      <c r="A531" s="78">
        <v>45809</v>
      </c>
      <c r="B531" t="s">
        <v>386</v>
      </c>
      <c r="C531" t="s">
        <v>387</v>
      </c>
      <c r="D531" t="s">
        <v>223</v>
      </c>
      <c r="E531" t="s">
        <v>2369</v>
      </c>
      <c r="F531" s="126">
        <v>17.5</v>
      </c>
      <c r="G531" s="77">
        <v>35000</v>
      </c>
      <c r="H531" s="126">
        <v>35.799999999999997</v>
      </c>
      <c r="I531" s="124">
        <v>803.21</v>
      </c>
      <c r="J531" s="126">
        <v>6.9</v>
      </c>
      <c r="K531" s="124">
        <v>51041.666666666701</v>
      </c>
      <c r="L531" s="124">
        <v>51844.8766666667</v>
      </c>
    </row>
    <row r="532" spans="1:12" ht="15" customHeight="1" x14ac:dyDescent="0.25">
      <c r="A532" s="78">
        <v>45809</v>
      </c>
      <c r="B532" t="s">
        <v>386</v>
      </c>
      <c r="C532" t="s">
        <v>387</v>
      </c>
      <c r="D532" t="s">
        <v>223</v>
      </c>
      <c r="E532" t="s">
        <v>230</v>
      </c>
      <c r="F532" s="126">
        <v>19.2</v>
      </c>
      <c r="G532" s="77">
        <v>41000</v>
      </c>
      <c r="H532" s="126">
        <v>73.2</v>
      </c>
      <c r="I532" s="124">
        <v>1923.85</v>
      </c>
      <c r="J532" s="126">
        <v>9.6</v>
      </c>
      <c r="K532" s="124">
        <v>65600</v>
      </c>
      <c r="L532" s="124">
        <v>67523.850000000006</v>
      </c>
    </row>
    <row r="533" spans="1:12" ht="15" customHeight="1" x14ac:dyDescent="0.25">
      <c r="A533" s="78">
        <v>45809</v>
      </c>
      <c r="B533" t="s">
        <v>341</v>
      </c>
      <c r="C533" t="s">
        <v>342</v>
      </c>
      <c r="D533" t="s">
        <v>223</v>
      </c>
      <c r="E533" t="s">
        <v>2367</v>
      </c>
      <c r="F533" s="126">
        <v>14.3</v>
      </c>
      <c r="G533" s="77">
        <v>43000</v>
      </c>
      <c r="H533" s="126">
        <v>61.9</v>
      </c>
      <c r="I533" s="124">
        <v>1706.22</v>
      </c>
      <c r="J533" s="126">
        <v>6.7</v>
      </c>
      <c r="K533" s="124">
        <v>51241.666666666701</v>
      </c>
      <c r="L533" s="124">
        <v>52947.886666666702</v>
      </c>
    </row>
    <row r="534" spans="1:12" ht="15" customHeight="1" x14ac:dyDescent="0.25">
      <c r="A534" s="78">
        <v>45809</v>
      </c>
      <c r="B534" t="s">
        <v>341</v>
      </c>
      <c r="C534" t="s">
        <v>342</v>
      </c>
      <c r="D534" t="s">
        <v>223</v>
      </c>
      <c r="E534" t="s">
        <v>105</v>
      </c>
      <c r="F534" s="126">
        <v>12</v>
      </c>
      <c r="G534" s="77">
        <v>28000</v>
      </c>
      <c r="H534" s="126">
        <v>44.4</v>
      </c>
      <c r="I534" s="124">
        <v>796.92</v>
      </c>
      <c r="J534" s="126">
        <v>6.4</v>
      </c>
      <c r="K534" s="124">
        <v>28000</v>
      </c>
      <c r="L534" s="124">
        <v>28796.92</v>
      </c>
    </row>
    <row r="535" spans="1:12" ht="15" customHeight="1" x14ac:dyDescent="0.25">
      <c r="A535" s="78">
        <v>45809</v>
      </c>
      <c r="B535" t="s">
        <v>341</v>
      </c>
      <c r="C535" t="s">
        <v>342</v>
      </c>
      <c r="D535" t="s">
        <v>223</v>
      </c>
      <c r="E535" t="s">
        <v>2368</v>
      </c>
      <c r="F535" s="126">
        <v>14.4</v>
      </c>
      <c r="G535" s="77">
        <v>27000</v>
      </c>
      <c r="H535" s="126">
        <v>80.099999999999994</v>
      </c>
      <c r="I535" s="124">
        <v>1386.35</v>
      </c>
      <c r="J535" s="126">
        <v>5.2</v>
      </c>
      <c r="K535" s="124">
        <v>32400</v>
      </c>
      <c r="L535" s="124">
        <v>33786.35</v>
      </c>
    </row>
    <row r="536" spans="1:12" ht="15" customHeight="1" x14ac:dyDescent="0.25">
      <c r="A536" s="78">
        <v>45809</v>
      </c>
      <c r="B536" t="s">
        <v>341</v>
      </c>
      <c r="C536" t="s">
        <v>342</v>
      </c>
      <c r="D536" t="s">
        <v>223</v>
      </c>
      <c r="E536" t="s">
        <v>230</v>
      </c>
      <c r="F536" s="126">
        <v>17.2</v>
      </c>
      <c r="G536" s="77">
        <v>41000</v>
      </c>
      <c r="H536" s="126">
        <v>59.3</v>
      </c>
      <c r="I536" s="124">
        <v>1558.53</v>
      </c>
      <c r="J536" s="126">
        <v>8.8000000000000007</v>
      </c>
      <c r="K536" s="124">
        <v>58766.666666666701</v>
      </c>
      <c r="L536" s="124">
        <v>60325.196666666699</v>
      </c>
    </row>
    <row r="537" spans="1:12" ht="15" customHeight="1" x14ac:dyDescent="0.25">
      <c r="A537" s="78">
        <v>45809</v>
      </c>
      <c r="B537" t="s">
        <v>341</v>
      </c>
      <c r="C537" t="s">
        <v>342</v>
      </c>
      <c r="D537" t="s">
        <v>223</v>
      </c>
      <c r="E537" t="s">
        <v>2369</v>
      </c>
      <c r="F537" s="126">
        <v>13</v>
      </c>
      <c r="G537" s="77">
        <v>35000</v>
      </c>
      <c r="H537" s="126">
        <v>34.1</v>
      </c>
      <c r="I537" s="124">
        <v>765.06</v>
      </c>
      <c r="J537" s="126">
        <v>8.1999999999999993</v>
      </c>
      <c r="K537" s="124">
        <v>37916.666666666701</v>
      </c>
      <c r="L537" s="124">
        <v>38681.726666666698</v>
      </c>
    </row>
    <row r="538" spans="1:12" ht="15" customHeight="1" x14ac:dyDescent="0.25">
      <c r="A538" s="78">
        <v>45809</v>
      </c>
      <c r="B538" t="s">
        <v>347</v>
      </c>
      <c r="C538" t="s">
        <v>348</v>
      </c>
      <c r="D538" t="s">
        <v>223</v>
      </c>
      <c r="E538" t="s">
        <v>230</v>
      </c>
      <c r="F538" s="126">
        <v>11.2</v>
      </c>
      <c r="G538" s="77">
        <v>41000</v>
      </c>
      <c r="H538" s="126">
        <v>34.1</v>
      </c>
      <c r="I538" s="124">
        <v>896.22</v>
      </c>
      <c r="J538" s="126">
        <v>5.6</v>
      </c>
      <c r="K538" s="124">
        <v>38266.666666666701</v>
      </c>
      <c r="L538" s="124">
        <v>39162.886666666702</v>
      </c>
    </row>
    <row r="539" spans="1:12" ht="15" customHeight="1" x14ac:dyDescent="0.25">
      <c r="A539" s="78">
        <v>45809</v>
      </c>
      <c r="B539" t="s">
        <v>347</v>
      </c>
      <c r="C539" t="s">
        <v>348</v>
      </c>
      <c r="D539" t="s">
        <v>223</v>
      </c>
      <c r="E539" t="s">
        <v>2367</v>
      </c>
      <c r="F539" s="126">
        <v>8.6</v>
      </c>
      <c r="G539" s="77">
        <v>43000</v>
      </c>
      <c r="H539" s="126">
        <v>41.6</v>
      </c>
      <c r="I539" s="124">
        <v>1146.67</v>
      </c>
      <c r="J539" s="126">
        <v>3.7</v>
      </c>
      <c r="K539" s="124">
        <v>30816.666666666701</v>
      </c>
      <c r="L539" s="124">
        <v>31963.336666666699</v>
      </c>
    </row>
    <row r="540" spans="1:12" ht="15" customHeight="1" x14ac:dyDescent="0.25">
      <c r="A540" s="78">
        <v>45809</v>
      </c>
      <c r="B540" t="s">
        <v>347</v>
      </c>
      <c r="C540" t="s">
        <v>348</v>
      </c>
      <c r="D540" t="s">
        <v>223</v>
      </c>
      <c r="E540" t="s">
        <v>231</v>
      </c>
      <c r="F540" s="126">
        <v>11.7</v>
      </c>
      <c r="G540" s="77">
        <v>29000</v>
      </c>
      <c r="H540" s="126">
        <v>14.4</v>
      </c>
      <c r="I540" s="124">
        <v>267.69</v>
      </c>
      <c r="J540" s="126">
        <v>5.4</v>
      </c>
      <c r="K540" s="124">
        <v>28275</v>
      </c>
      <c r="L540" s="124">
        <v>28542.69</v>
      </c>
    </row>
    <row r="541" spans="1:12" ht="15" customHeight="1" x14ac:dyDescent="0.25">
      <c r="A541" s="78">
        <v>45809</v>
      </c>
      <c r="B541" t="s">
        <v>347</v>
      </c>
      <c r="C541" t="s">
        <v>348</v>
      </c>
      <c r="D541" t="s">
        <v>223</v>
      </c>
      <c r="E541" t="s">
        <v>2368</v>
      </c>
      <c r="F541" s="126">
        <v>11.5</v>
      </c>
      <c r="G541" s="77">
        <v>27000</v>
      </c>
      <c r="H541" s="126">
        <v>63.8</v>
      </c>
      <c r="I541" s="124">
        <v>1104.23</v>
      </c>
      <c r="J541" s="126">
        <v>5.4</v>
      </c>
      <c r="K541" s="124">
        <v>25875</v>
      </c>
      <c r="L541" s="124">
        <v>26979.23</v>
      </c>
    </row>
    <row r="542" spans="1:12" ht="15" customHeight="1" x14ac:dyDescent="0.25">
      <c r="A542" s="78">
        <v>45809</v>
      </c>
      <c r="B542" t="s">
        <v>347</v>
      </c>
      <c r="C542" t="s">
        <v>348</v>
      </c>
      <c r="D542" t="s">
        <v>223</v>
      </c>
      <c r="E542" t="s">
        <v>232</v>
      </c>
      <c r="F542" s="126">
        <v>15.3</v>
      </c>
      <c r="G542" s="77">
        <v>25000</v>
      </c>
      <c r="H542" s="126">
        <v>41.8</v>
      </c>
      <c r="I542" s="124">
        <v>669.87</v>
      </c>
      <c r="J542" s="126">
        <v>8.6</v>
      </c>
      <c r="K542" s="124">
        <v>31875</v>
      </c>
      <c r="L542" s="124">
        <v>32544.87</v>
      </c>
    </row>
    <row r="543" spans="1:12" ht="15" customHeight="1" x14ac:dyDescent="0.25">
      <c r="A543" s="78">
        <v>45809</v>
      </c>
      <c r="B543" t="s">
        <v>347</v>
      </c>
      <c r="C543" t="s">
        <v>348</v>
      </c>
      <c r="D543" t="s">
        <v>223</v>
      </c>
      <c r="E543" t="s">
        <v>2369</v>
      </c>
      <c r="F543" s="126">
        <v>9.9</v>
      </c>
      <c r="G543" s="77">
        <v>35000</v>
      </c>
      <c r="H543" s="126">
        <v>34.700000000000003</v>
      </c>
      <c r="I543" s="124">
        <v>778.53</v>
      </c>
      <c r="J543" s="126">
        <v>4.4000000000000004</v>
      </c>
      <c r="K543" s="124">
        <v>28875</v>
      </c>
      <c r="L543" s="124">
        <v>29653.53</v>
      </c>
    </row>
    <row r="544" spans="1:12" ht="15" customHeight="1" x14ac:dyDescent="0.25">
      <c r="A544" s="78">
        <v>45809</v>
      </c>
      <c r="B544" t="s">
        <v>409</v>
      </c>
      <c r="C544" t="s">
        <v>410</v>
      </c>
      <c r="D544" t="s">
        <v>223</v>
      </c>
      <c r="E544" t="s">
        <v>230</v>
      </c>
      <c r="F544" s="126">
        <v>17.399999999999999</v>
      </c>
      <c r="G544" s="77">
        <v>41000</v>
      </c>
      <c r="H544" s="126">
        <v>73.5</v>
      </c>
      <c r="I544" s="124">
        <v>1931.73</v>
      </c>
      <c r="J544" s="126">
        <v>9.5</v>
      </c>
      <c r="K544" s="124">
        <v>59450</v>
      </c>
      <c r="L544" s="124">
        <v>61381.73</v>
      </c>
    </row>
    <row r="545" spans="1:12" ht="15" customHeight="1" x14ac:dyDescent="0.25">
      <c r="A545" s="78">
        <v>45809</v>
      </c>
      <c r="B545" t="s">
        <v>409</v>
      </c>
      <c r="C545" t="s">
        <v>410</v>
      </c>
      <c r="D545" t="s">
        <v>223</v>
      </c>
      <c r="E545" t="s">
        <v>105</v>
      </c>
      <c r="F545" s="126">
        <v>6.7</v>
      </c>
      <c r="G545" s="77">
        <v>28000</v>
      </c>
      <c r="H545" s="126">
        <v>50.7</v>
      </c>
      <c r="I545" s="124">
        <v>910</v>
      </c>
      <c r="J545" s="126">
        <v>4.2</v>
      </c>
      <c r="K545" s="124">
        <v>15633.333333333299</v>
      </c>
      <c r="L545" s="124">
        <v>16543.333333333299</v>
      </c>
    </row>
    <row r="546" spans="1:12" ht="15" customHeight="1" x14ac:dyDescent="0.25">
      <c r="A546" s="78">
        <v>45809</v>
      </c>
      <c r="B546" t="s">
        <v>409</v>
      </c>
      <c r="C546" t="s">
        <v>410</v>
      </c>
      <c r="D546" t="s">
        <v>223</v>
      </c>
      <c r="E546" t="s">
        <v>232</v>
      </c>
      <c r="F546" s="126">
        <v>19.3</v>
      </c>
      <c r="G546" s="77">
        <v>25000</v>
      </c>
      <c r="H546" s="126">
        <v>110.8</v>
      </c>
      <c r="I546" s="124">
        <v>1775.64</v>
      </c>
      <c r="J546" s="126">
        <v>9.1</v>
      </c>
      <c r="K546" s="124">
        <v>40208.333333333299</v>
      </c>
      <c r="L546" s="124">
        <v>41983.973333333299</v>
      </c>
    </row>
    <row r="547" spans="1:12" ht="15" customHeight="1" x14ac:dyDescent="0.25">
      <c r="A547" s="78">
        <v>45809</v>
      </c>
      <c r="B547" t="s">
        <v>409</v>
      </c>
      <c r="C547" t="s">
        <v>410</v>
      </c>
      <c r="D547" t="s">
        <v>223</v>
      </c>
      <c r="E547" t="s">
        <v>231</v>
      </c>
      <c r="F547" s="126">
        <v>10.9</v>
      </c>
      <c r="G547" s="77">
        <v>29000</v>
      </c>
      <c r="H547" s="126">
        <v>26.8</v>
      </c>
      <c r="I547" s="124">
        <v>498.21</v>
      </c>
      <c r="J547" s="126">
        <v>5.5</v>
      </c>
      <c r="K547" s="124">
        <v>26341.666666666701</v>
      </c>
      <c r="L547" s="124">
        <v>26839.8766666667</v>
      </c>
    </row>
    <row r="548" spans="1:12" ht="15" customHeight="1" x14ac:dyDescent="0.25">
      <c r="A548" s="78">
        <v>45809</v>
      </c>
      <c r="B548" t="s">
        <v>409</v>
      </c>
      <c r="C548" t="s">
        <v>410</v>
      </c>
      <c r="D548" t="s">
        <v>223</v>
      </c>
      <c r="E548" t="s">
        <v>2368</v>
      </c>
      <c r="F548" s="126">
        <v>5.6</v>
      </c>
      <c r="G548" s="77">
        <v>27000</v>
      </c>
      <c r="H548" s="126">
        <v>23.3</v>
      </c>
      <c r="I548" s="124">
        <v>403.27</v>
      </c>
      <c r="J548" s="126">
        <v>1.7</v>
      </c>
      <c r="K548" s="124">
        <v>12600</v>
      </c>
      <c r="L548" s="124">
        <v>13003.27</v>
      </c>
    </row>
    <row r="549" spans="1:12" ht="15" customHeight="1" x14ac:dyDescent="0.25">
      <c r="A549" s="78">
        <v>45809</v>
      </c>
      <c r="B549" t="s">
        <v>409</v>
      </c>
      <c r="C549" t="s">
        <v>410</v>
      </c>
      <c r="D549" t="s">
        <v>223</v>
      </c>
      <c r="E549" t="s">
        <v>2367</v>
      </c>
      <c r="F549" s="126">
        <v>4.7</v>
      </c>
      <c r="G549" s="77">
        <v>43000</v>
      </c>
      <c r="H549" s="126">
        <v>17.600000000000001</v>
      </c>
      <c r="I549" s="124">
        <v>485.13</v>
      </c>
      <c r="J549" s="126">
        <v>2.7</v>
      </c>
      <c r="K549" s="124">
        <v>16841.666666666701</v>
      </c>
      <c r="L549" s="124">
        <v>17326.796666666702</v>
      </c>
    </row>
    <row r="550" spans="1:12" ht="15" customHeight="1" x14ac:dyDescent="0.25">
      <c r="A550" s="78">
        <v>45809</v>
      </c>
      <c r="B550" t="s">
        <v>488</v>
      </c>
      <c r="C550" t="s">
        <v>489</v>
      </c>
      <c r="D550" t="s">
        <v>225</v>
      </c>
      <c r="E550" t="s">
        <v>2367</v>
      </c>
      <c r="F550" s="126">
        <v>8.1</v>
      </c>
      <c r="G550" s="77">
        <v>43000</v>
      </c>
      <c r="H550" s="126">
        <v>36.799999999999997</v>
      </c>
      <c r="I550" s="124">
        <v>1014.36</v>
      </c>
      <c r="J550" s="126">
        <v>4.5999999999999996</v>
      </c>
      <c r="K550" s="124">
        <v>29025</v>
      </c>
      <c r="L550" s="124">
        <v>30039.360000000001</v>
      </c>
    </row>
    <row r="551" spans="1:12" ht="15" customHeight="1" x14ac:dyDescent="0.25">
      <c r="A551" s="78">
        <v>45809</v>
      </c>
      <c r="B551" t="s">
        <v>488</v>
      </c>
      <c r="C551" t="s">
        <v>489</v>
      </c>
      <c r="D551" t="s">
        <v>225</v>
      </c>
      <c r="E551" t="s">
        <v>230</v>
      </c>
      <c r="F551" s="126">
        <v>7.1</v>
      </c>
      <c r="G551" s="77">
        <v>41000</v>
      </c>
      <c r="H551" s="126">
        <v>31.5</v>
      </c>
      <c r="I551" s="124">
        <v>827.88</v>
      </c>
      <c r="J551" s="126">
        <v>3</v>
      </c>
      <c r="K551" s="124">
        <v>24258.333333333299</v>
      </c>
      <c r="L551" s="124">
        <v>25086.2133333333</v>
      </c>
    </row>
    <row r="552" spans="1:12" ht="15" customHeight="1" x14ac:dyDescent="0.25">
      <c r="A552" s="78">
        <v>45809</v>
      </c>
      <c r="B552" t="s">
        <v>488</v>
      </c>
      <c r="C552" t="s">
        <v>489</v>
      </c>
      <c r="D552" t="s">
        <v>225</v>
      </c>
      <c r="E552" t="s">
        <v>2369</v>
      </c>
      <c r="F552" s="126">
        <v>13.6</v>
      </c>
      <c r="G552" s="77">
        <v>35000</v>
      </c>
      <c r="H552" s="126">
        <v>43.9</v>
      </c>
      <c r="I552" s="124">
        <v>984.94</v>
      </c>
      <c r="J552" s="126">
        <v>5.6</v>
      </c>
      <c r="K552" s="124">
        <v>39666.666666666701</v>
      </c>
      <c r="L552" s="124">
        <v>40651.606666666703</v>
      </c>
    </row>
    <row r="553" spans="1:12" ht="15" customHeight="1" x14ac:dyDescent="0.25">
      <c r="A553" s="78">
        <v>45809</v>
      </c>
      <c r="B553" t="s">
        <v>488</v>
      </c>
      <c r="C553" t="s">
        <v>489</v>
      </c>
      <c r="D553" t="s">
        <v>225</v>
      </c>
      <c r="E553" t="s">
        <v>105</v>
      </c>
      <c r="F553" s="126">
        <v>19.100000000000001</v>
      </c>
      <c r="G553" s="77">
        <v>28000</v>
      </c>
      <c r="H553" s="126">
        <v>127.5</v>
      </c>
      <c r="I553" s="124">
        <v>2288.46</v>
      </c>
      <c r="J553" s="126">
        <v>9.6</v>
      </c>
      <c r="K553" s="124">
        <v>44566.666666666701</v>
      </c>
      <c r="L553" s="124">
        <v>46855.1266666667</v>
      </c>
    </row>
    <row r="554" spans="1:12" ht="15" customHeight="1" x14ac:dyDescent="0.25">
      <c r="A554" s="78">
        <v>45809</v>
      </c>
      <c r="B554" t="s">
        <v>488</v>
      </c>
      <c r="C554" t="s">
        <v>489</v>
      </c>
      <c r="D554" t="s">
        <v>225</v>
      </c>
      <c r="E554" t="s">
        <v>231</v>
      </c>
      <c r="F554" s="126">
        <v>14.3</v>
      </c>
      <c r="G554" s="77">
        <v>29000</v>
      </c>
      <c r="H554" s="126">
        <v>52.4</v>
      </c>
      <c r="I554" s="124">
        <v>974.1</v>
      </c>
      <c r="J554" s="126">
        <v>6.2</v>
      </c>
      <c r="K554" s="124">
        <v>34558.333333333299</v>
      </c>
      <c r="L554" s="124">
        <v>35532.433333333298</v>
      </c>
    </row>
    <row r="555" spans="1:12" ht="15" customHeight="1" x14ac:dyDescent="0.25">
      <c r="A555" s="78">
        <v>45809</v>
      </c>
      <c r="B555" t="s">
        <v>488</v>
      </c>
      <c r="C555" t="s">
        <v>489</v>
      </c>
      <c r="D555" t="s">
        <v>225</v>
      </c>
      <c r="E555" t="s">
        <v>2368</v>
      </c>
      <c r="F555" s="126">
        <v>16.2</v>
      </c>
      <c r="G555" s="77">
        <v>27000</v>
      </c>
      <c r="H555" s="126">
        <v>136.1</v>
      </c>
      <c r="I555" s="124">
        <v>2355.58</v>
      </c>
      <c r="J555" s="126">
        <v>7</v>
      </c>
      <c r="K555" s="124">
        <v>36450</v>
      </c>
      <c r="L555" s="124">
        <v>38805.58</v>
      </c>
    </row>
    <row r="556" spans="1:12" ht="15" customHeight="1" x14ac:dyDescent="0.25">
      <c r="A556" s="78">
        <v>45809</v>
      </c>
      <c r="B556" t="s">
        <v>406</v>
      </c>
      <c r="C556" t="s">
        <v>407</v>
      </c>
      <c r="D556" t="s">
        <v>225</v>
      </c>
      <c r="E556" t="s">
        <v>2369</v>
      </c>
      <c r="F556" s="126">
        <v>10</v>
      </c>
      <c r="G556" s="77">
        <v>35000</v>
      </c>
      <c r="H556" s="126">
        <v>33.6</v>
      </c>
      <c r="I556" s="124">
        <v>753.85</v>
      </c>
      <c r="J556" s="126">
        <v>5.4</v>
      </c>
      <c r="K556" s="124">
        <v>29166.666666666701</v>
      </c>
      <c r="L556" s="124">
        <v>29920.516666666699</v>
      </c>
    </row>
    <row r="557" spans="1:12" ht="15" customHeight="1" x14ac:dyDescent="0.25">
      <c r="A557" s="78">
        <v>45809</v>
      </c>
      <c r="B557" t="s">
        <v>406</v>
      </c>
      <c r="C557" t="s">
        <v>407</v>
      </c>
      <c r="D557" t="s">
        <v>225</v>
      </c>
      <c r="E557" t="s">
        <v>105</v>
      </c>
      <c r="F557" s="126">
        <v>19.600000000000001</v>
      </c>
      <c r="G557" s="77">
        <v>28000</v>
      </c>
      <c r="H557" s="126">
        <v>96</v>
      </c>
      <c r="I557" s="124">
        <v>1723.08</v>
      </c>
      <c r="J557" s="126">
        <v>10.8</v>
      </c>
      <c r="K557" s="124">
        <v>45733.333333333299</v>
      </c>
      <c r="L557" s="124">
        <v>47456.413333333301</v>
      </c>
    </row>
    <row r="558" spans="1:12" ht="15" customHeight="1" x14ac:dyDescent="0.25">
      <c r="A558" s="78">
        <v>45809</v>
      </c>
      <c r="B558" t="s">
        <v>406</v>
      </c>
      <c r="C558" t="s">
        <v>407</v>
      </c>
      <c r="D558" t="s">
        <v>225</v>
      </c>
      <c r="E558" t="s">
        <v>2368</v>
      </c>
      <c r="F558" s="126">
        <v>8.6999999999999993</v>
      </c>
      <c r="G558" s="77">
        <v>27000</v>
      </c>
      <c r="H558" s="126">
        <v>58.4</v>
      </c>
      <c r="I558" s="124">
        <v>1010.77</v>
      </c>
      <c r="J558" s="126">
        <v>4.9000000000000004</v>
      </c>
      <c r="K558" s="124">
        <v>19575</v>
      </c>
      <c r="L558" s="124">
        <v>20585.77</v>
      </c>
    </row>
    <row r="559" spans="1:12" ht="15" customHeight="1" x14ac:dyDescent="0.25">
      <c r="A559" s="78">
        <v>45809</v>
      </c>
      <c r="B559" t="s">
        <v>406</v>
      </c>
      <c r="C559" t="s">
        <v>407</v>
      </c>
      <c r="D559" t="s">
        <v>225</v>
      </c>
      <c r="E559" t="s">
        <v>231</v>
      </c>
      <c r="F559" s="126">
        <v>9.3000000000000007</v>
      </c>
      <c r="G559" s="77">
        <v>29000</v>
      </c>
      <c r="H559" s="126">
        <v>22.5</v>
      </c>
      <c r="I559" s="124">
        <v>418.27</v>
      </c>
      <c r="J559" s="126">
        <v>4.4000000000000004</v>
      </c>
      <c r="K559" s="124">
        <v>22475</v>
      </c>
      <c r="L559" s="124">
        <v>22893.27</v>
      </c>
    </row>
    <row r="560" spans="1:12" ht="15" customHeight="1" x14ac:dyDescent="0.25">
      <c r="A560" s="78">
        <v>45809</v>
      </c>
      <c r="B560" t="s">
        <v>358</v>
      </c>
      <c r="C560" t="s">
        <v>359</v>
      </c>
      <c r="D560" t="s">
        <v>225</v>
      </c>
      <c r="E560" t="s">
        <v>231</v>
      </c>
      <c r="F560" s="126">
        <v>6.6</v>
      </c>
      <c r="G560" s="77">
        <v>29000</v>
      </c>
      <c r="H560" s="126">
        <v>29.4</v>
      </c>
      <c r="I560" s="124">
        <v>546.54</v>
      </c>
      <c r="J560" s="126">
        <v>5.4</v>
      </c>
      <c r="K560" s="124">
        <v>15950</v>
      </c>
      <c r="L560" s="124">
        <v>16496.54</v>
      </c>
    </row>
    <row r="561" spans="1:12" ht="15" customHeight="1" x14ac:dyDescent="0.25">
      <c r="A561" s="78">
        <v>45809</v>
      </c>
      <c r="B561" t="s">
        <v>358</v>
      </c>
      <c r="C561" t="s">
        <v>359</v>
      </c>
      <c r="D561" t="s">
        <v>225</v>
      </c>
      <c r="E561" t="s">
        <v>2369</v>
      </c>
      <c r="F561" s="126">
        <v>10.3</v>
      </c>
      <c r="G561" s="77">
        <v>35000</v>
      </c>
      <c r="H561" s="126">
        <v>19.600000000000001</v>
      </c>
      <c r="I561" s="124">
        <v>439.74</v>
      </c>
      <c r="J561" s="126">
        <v>6.4</v>
      </c>
      <c r="K561" s="124">
        <v>30041.666666666701</v>
      </c>
      <c r="L561" s="124">
        <v>30481.406666666699</v>
      </c>
    </row>
    <row r="562" spans="1:12" ht="15" customHeight="1" x14ac:dyDescent="0.25">
      <c r="A562" s="78">
        <v>45809</v>
      </c>
      <c r="B562" t="s">
        <v>358</v>
      </c>
      <c r="C562" t="s">
        <v>359</v>
      </c>
      <c r="D562" t="s">
        <v>225</v>
      </c>
      <c r="E562" t="s">
        <v>2368</v>
      </c>
      <c r="F562" s="126">
        <v>7</v>
      </c>
      <c r="G562" s="77">
        <v>27000</v>
      </c>
      <c r="H562" s="126">
        <v>29.9</v>
      </c>
      <c r="I562" s="124">
        <v>517.5</v>
      </c>
      <c r="J562" s="126">
        <v>4.3</v>
      </c>
      <c r="K562" s="124">
        <v>15750</v>
      </c>
      <c r="L562" s="124">
        <v>16267.5</v>
      </c>
    </row>
    <row r="563" spans="1:12" ht="15" customHeight="1" x14ac:dyDescent="0.25">
      <c r="A563" s="78">
        <v>45809</v>
      </c>
      <c r="B563" t="s">
        <v>358</v>
      </c>
      <c r="C563" t="s">
        <v>359</v>
      </c>
      <c r="D563" t="s">
        <v>225</v>
      </c>
      <c r="E563" t="s">
        <v>2367</v>
      </c>
      <c r="F563" s="126">
        <v>7.1</v>
      </c>
      <c r="G563" s="77">
        <v>43000</v>
      </c>
      <c r="H563" s="126">
        <v>27.3</v>
      </c>
      <c r="I563" s="124">
        <v>752.5</v>
      </c>
      <c r="J563" s="126">
        <v>2.7</v>
      </c>
      <c r="K563" s="124">
        <v>25441.666666666701</v>
      </c>
      <c r="L563" s="124">
        <v>26194.166666666701</v>
      </c>
    </row>
    <row r="564" spans="1:12" ht="15" customHeight="1" x14ac:dyDescent="0.25">
      <c r="A564" s="78">
        <v>45809</v>
      </c>
      <c r="B564" t="s">
        <v>358</v>
      </c>
      <c r="C564" t="s">
        <v>359</v>
      </c>
      <c r="D564" t="s">
        <v>225</v>
      </c>
      <c r="E564" t="s">
        <v>230</v>
      </c>
      <c r="F564" s="126">
        <v>16.7</v>
      </c>
      <c r="G564" s="77">
        <v>41000</v>
      </c>
      <c r="H564" s="126">
        <v>85.6</v>
      </c>
      <c r="I564" s="124">
        <v>2249.7399999999998</v>
      </c>
      <c r="J564" s="126">
        <v>9</v>
      </c>
      <c r="K564" s="124">
        <v>57058.333333333299</v>
      </c>
      <c r="L564" s="124">
        <v>59308.073333333297</v>
      </c>
    </row>
    <row r="565" spans="1:12" ht="15" customHeight="1" x14ac:dyDescent="0.25">
      <c r="A565" s="78">
        <v>45809</v>
      </c>
      <c r="B565" t="s">
        <v>383</v>
      </c>
      <c r="C565" t="s">
        <v>384</v>
      </c>
      <c r="D565" t="s">
        <v>225</v>
      </c>
      <c r="E565" t="s">
        <v>231</v>
      </c>
      <c r="F565" s="126">
        <v>4.7</v>
      </c>
      <c r="G565" s="77">
        <v>29000</v>
      </c>
      <c r="H565" s="126">
        <v>25.7</v>
      </c>
      <c r="I565" s="124">
        <v>477.76</v>
      </c>
      <c r="J565" s="126">
        <v>2.2999999999999998</v>
      </c>
      <c r="K565" s="124">
        <v>11358.333333333299</v>
      </c>
      <c r="L565" s="124">
        <v>11836.0933333333</v>
      </c>
    </row>
    <row r="566" spans="1:12" ht="15" customHeight="1" x14ac:dyDescent="0.25">
      <c r="A566" s="78">
        <v>45809</v>
      </c>
      <c r="B566" t="s">
        <v>383</v>
      </c>
      <c r="C566" t="s">
        <v>384</v>
      </c>
      <c r="D566" t="s">
        <v>225</v>
      </c>
      <c r="E566" t="s">
        <v>2367</v>
      </c>
      <c r="F566" s="126">
        <v>4.4000000000000004</v>
      </c>
      <c r="G566" s="77">
        <v>43000</v>
      </c>
      <c r="H566" s="126">
        <v>13.6</v>
      </c>
      <c r="I566" s="124">
        <v>374.87</v>
      </c>
      <c r="J566" s="126">
        <v>0.6</v>
      </c>
      <c r="K566" s="124">
        <v>15766.666666666701</v>
      </c>
      <c r="L566" s="124">
        <v>16141.5366666667</v>
      </c>
    </row>
    <row r="567" spans="1:12" ht="15" customHeight="1" x14ac:dyDescent="0.25">
      <c r="A567" s="78">
        <v>45809</v>
      </c>
      <c r="B567" t="s">
        <v>383</v>
      </c>
      <c r="C567" t="s">
        <v>384</v>
      </c>
      <c r="D567" t="s">
        <v>225</v>
      </c>
      <c r="E567" t="s">
        <v>230</v>
      </c>
      <c r="F567" s="126">
        <v>15.5</v>
      </c>
      <c r="G567" s="77">
        <v>41000</v>
      </c>
      <c r="H567" s="126">
        <v>81.099999999999994</v>
      </c>
      <c r="I567" s="124">
        <v>2131.4699999999998</v>
      </c>
      <c r="J567" s="126">
        <v>8.1999999999999993</v>
      </c>
      <c r="K567" s="124">
        <v>52958.333333333299</v>
      </c>
      <c r="L567" s="124">
        <v>55089.803333333301</v>
      </c>
    </row>
    <row r="568" spans="1:12" ht="15" customHeight="1" x14ac:dyDescent="0.25">
      <c r="A568" s="78">
        <v>45809</v>
      </c>
      <c r="B568" t="s">
        <v>383</v>
      </c>
      <c r="C568" t="s">
        <v>384</v>
      </c>
      <c r="D568" t="s">
        <v>225</v>
      </c>
      <c r="E568" t="s">
        <v>2369</v>
      </c>
      <c r="F568" s="126">
        <v>5.6</v>
      </c>
      <c r="G568" s="77">
        <v>35000</v>
      </c>
      <c r="H568" s="126">
        <v>14.3</v>
      </c>
      <c r="I568" s="124">
        <v>320.83</v>
      </c>
      <c r="J568" s="126">
        <v>2.2999999999999998</v>
      </c>
      <c r="K568" s="124">
        <v>16333.333333333299</v>
      </c>
      <c r="L568" s="124">
        <v>16654.163333333301</v>
      </c>
    </row>
    <row r="569" spans="1:12" ht="15" customHeight="1" x14ac:dyDescent="0.25">
      <c r="A569" s="78">
        <v>45809</v>
      </c>
      <c r="B569" t="s">
        <v>383</v>
      </c>
      <c r="C569" t="s">
        <v>384</v>
      </c>
      <c r="D569" t="s">
        <v>225</v>
      </c>
      <c r="E569" t="s">
        <v>232</v>
      </c>
      <c r="F569" s="126">
        <v>10.3</v>
      </c>
      <c r="G569" s="77">
        <v>25000</v>
      </c>
      <c r="H569" s="126">
        <v>34</v>
      </c>
      <c r="I569" s="124">
        <v>544.87</v>
      </c>
      <c r="J569" s="126">
        <v>3.7</v>
      </c>
      <c r="K569" s="124">
        <v>21458.333333333299</v>
      </c>
      <c r="L569" s="124">
        <v>22003.203333333298</v>
      </c>
    </row>
    <row r="570" spans="1:12" ht="15" customHeight="1" x14ac:dyDescent="0.25">
      <c r="A570" s="78">
        <v>45809</v>
      </c>
      <c r="B570" t="s">
        <v>373</v>
      </c>
      <c r="C570" t="s">
        <v>374</v>
      </c>
      <c r="D570" t="s">
        <v>225</v>
      </c>
      <c r="E570" t="s">
        <v>105</v>
      </c>
      <c r="F570" s="126">
        <v>3</v>
      </c>
      <c r="G570" s="77">
        <v>28000</v>
      </c>
      <c r="H570" s="126">
        <v>8.3000000000000007</v>
      </c>
      <c r="I570" s="124">
        <v>148.97</v>
      </c>
      <c r="J570" s="126">
        <v>0.4</v>
      </c>
      <c r="K570" s="124">
        <v>7000</v>
      </c>
      <c r="L570" s="124">
        <v>7148.97</v>
      </c>
    </row>
    <row r="571" spans="1:12" ht="15" customHeight="1" x14ac:dyDescent="0.25">
      <c r="A571" s="78">
        <v>45809</v>
      </c>
      <c r="B571" t="s">
        <v>373</v>
      </c>
      <c r="C571" t="s">
        <v>374</v>
      </c>
      <c r="D571" t="s">
        <v>225</v>
      </c>
      <c r="E571" t="s">
        <v>2368</v>
      </c>
      <c r="F571" s="126">
        <v>6</v>
      </c>
      <c r="G571" s="77">
        <v>27000</v>
      </c>
      <c r="H571" s="126">
        <v>20.3</v>
      </c>
      <c r="I571" s="124">
        <v>351.35</v>
      </c>
      <c r="J571" s="126">
        <v>2.2999999999999998</v>
      </c>
      <c r="K571" s="124">
        <v>13500</v>
      </c>
      <c r="L571" s="124">
        <v>13851.35</v>
      </c>
    </row>
    <row r="572" spans="1:12" ht="15" customHeight="1" x14ac:dyDescent="0.25">
      <c r="A572" s="78">
        <v>45809</v>
      </c>
      <c r="B572" t="s">
        <v>373</v>
      </c>
      <c r="C572" t="s">
        <v>374</v>
      </c>
      <c r="D572" t="s">
        <v>225</v>
      </c>
      <c r="E572" t="s">
        <v>231</v>
      </c>
      <c r="F572" s="126">
        <v>5.3</v>
      </c>
      <c r="G572" s="77">
        <v>29000</v>
      </c>
      <c r="H572" s="126">
        <v>8.3000000000000007</v>
      </c>
      <c r="I572" s="124">
        <v>154.29</v>
      </c>
      <c r="J572" s="126">
        <v>4.7</v>
      </c>
      <c r="K572" s="124">
        <v>12808.333333333299</v>
      </c>
      <c r="L572" s="124">
        <v>12962.6233333333</v>
      </c>
    </row>
    <row r="573" spans="1:12" ht="15" customHeight="1" x14ac:dyDescent="0.25">
      <c r="A573" s="78">
        <v>45809</v>
      </c>
      <c r="B573" t="s">
        <v>373</v>
      </c>
      <c r="C573" t="s">
        <v>374</v>
      </c>
      <c r="D573" t="s">
        <v>225</v>
      </c>
      <c r="E573" t="s">
        <v>232</v>
      </c>
      <c r="F573" s="126">
        <v>19.7</v>
      </c>
      <c r="G573" s="77">
        <v>25000</v>
      </c>
      <c r="H573" s="126">
        <v>115.8</v>
      </c>
      <c r="I573" s="124">
        <v>1855.77</v>
      </c>
      <c r="J573" s="126">
        <v>9.1</v>
      </c>
      <c r="K573" s="124">
        <v>41041.666666666701</v>
      </c>
      <c r="L573" s="124">
        <v>42897.436666666697</v>
      </c>
    </row>
    <row r="574" spans="1:12" ht="15" customHeight="1" x14ac:dyDescent="0.25">
      <c r="A574" s="78">
        <v>45809</v>
      </c>
      <c r="B574" t="s">
        <v>354</v>
      </c>
      <c r="C574" t="s">
        <v>355</v>
      </c>
      <c r="D574" t="s">
        <v>227</v>
      </c>
      <c r="E574" t="s">
        <v>2368</v>
      </c>
      <c r="F574" s="126">
        <v>5.8</v>
      </c>
      <c r="G574" s="77">
        <v>27000</v>
      </c>
      <c r="H574" s="126">
        <v>25.6</v>
      </c>
      <c r="I574" s="124">
        <v>443.08</v>
      </c>
      <c r="J574" s="126">
        <v>3.3</v>
      </c>
      <c r="K574" s="124">
        <v>13050</v>
      </c>
      <c r="L574" s="124">
        <v>13493.08</v>
      </c>
    </row>
    <row r="575" spans="1:12" ht="15" customHeight="1" x14ac:dyDescent="0.25">
      <c r="A575" s="78">
        <v>45809</v>
      </c>
      <c r="B575" t="s">
        <v>354</v>
      </c>
      <c r="C575" t="s">
        <v>355</v>
      </c>
      <c r="D575" t="s">
        <v>227</v>
      </c>
      <c r="E575" t="s">
        <v>105</v>
      </c>
      <c r="F575" s="126">
        <v>8.3000000000000007</v>
      </c>
      <c r="G575" s="77">
        <v>28000</v>
      </c>
      <c r="H575" s="126">
        <v>48</v>
      </c>
      <c r="I575" s="124">
        <v>861.54</v>
      </c>
      <c r="J575" s="126">
        <v>3.3</v>
      </c>
      <c r="K575" s="124">
        <v>19366.666666666701</v>
      </c>
      <c r="L575" s="124">
        <v>20228.206666666701</v>
      </c>
    </row>
    <row r="576" spans="1:12" ht="15" customHeight="1" x14ac:dyDescent="0.25">
      <c r="A576" s="78">
        <v>45809</v>
      </c>
      <c r="B576" t="s">
        <v>354</v>
      </c>
      <c r="C576" t="s">
        <v>355</v>
      </c>
      <c r="D576" t="s">
        <v>227</v>
      </c>
      <c r="E576" t="s">
        <v>230</v>
      </c>
      <c r="F576" s="126">
        <v>4.7</v>
      </c>
      <c r="G576" s="77">
        <v>41000</v>
      </c>
      <c r="H576" s="126">
        <v>26.5</v>
      </c>
      <c r="I576" s="124">
        <v>696.47</v>
      </c>
      <c r="J576" s="126">
        <v>1.8</v>
      </c>
      <c r="K576" s="124">
        <v>16058.333333333299</v>
      </c>
      <c r="L576" s="124">
        <v>16754.803333333301</v>
      </c>
    </row>
    <row r="577" spans="1:12" ht="15" customHeight="1" x14ac:dyDescent="0.25">
      <c r="A577" s="78">
        <v>45809</v>
      </c>
      <c r="B577" t="s">
        <v>354</v>
      </c>
      <c r="C577" t="s">
        <v>355</v>
      </c>
      <c r="D577" t="s">
        <v>227</v>
      </c>
      <c r="E577" t="s">
        <v>232</v>
      </c>
      <c r="F577" s="126">
        <v>19.899999999999999</v>
      </c>
      <c r="G577" s="77">
        <v>25000</v>
      </c>
      <c r="H577" s="126">
        <v>39.700000000000003</v>
      </c>
      <c r="I577" s="124">
        <v>636.22</v>
      </c>
      <c r="J577" s="126">
        <v>10.7</v>
      </c>
      <c r="K577" s="124">
        <v>41458.333333333299</v>
      </c>
      <c r="L577" s="124">
        <v>42094.553333333301</v>
      </c>
    </row>
    <row r="578" spans="1:12" ht="15" customHeight="1" x14ac:dyDescent="0.25">
      <c r="A578" s="78">
        <v>45809</v>
      </c>
      <c r="B578" t="s">
        <v>354</v>
      </c>
      <c r="C578" t="s">
        <v>355</v>
      </c>
      <c r="D578" t="s">
        <v>227</v>
      </c>
      <c r="E578" t="s">
        <v>2369</v>
      </c>
      <c r="F578" s="126">
        <v>4.4000000000000004</v>
      </c>
      <c r="G578" s="77">
        <v>35000</v>
      </c>
      <c r="H578" s="126">
        <v>26.1</v>
      </c>
      <c r="I578" s="124">
        <v>585.58000000000004</v>
      </c>
      <c r="J578" s="126">
        <v>4.8</v>
      </c>
      <c r="K578" s="124">
        <v>12833.333333333299</v>
      </c>
      <c r="L578" s="124">
        <v>13418.913333333299</v>
      </c>
    </row>
    <row r="579" spans="1:12" ht="15" customHeight="1" x14ac:dyDescent="0.25">
      <c r="A579" s="78">
        <v>45809</v>
      </c>
      <c r="B579" t="s">
        <v>370</v>
      </c>
      <c r="C579" t="s">
        <v>371</v>
      </c>
      <c r="D579" t="s">
        <v>227</v>
      </c>
      <c r="E579" t="s">
        <v>2367</v>
      </c>
      <c r="F579" s="126">
        <v>18.2</v>
      </c>
      <c r="G579" s="77">
        <v>43000</v>
      </c>
      <c r="H579" s="126">
        <v>40</v>
      </c>
      <c r="I579" s="124">
        <v>1102.56</v>
      </c>
      <c r="J579" s="126">
        <v>9.8000000000000007</v>
      </c>
      <c r="K579" s="124">
        <v>65216.666666666701</v>
      </c>
      <c r="L579" s="124">
        <v>66319.226666666698</v>
      </c>
    </row>
    <row r="580" spans="1:12" ht="15" customHeight="1" x14ac:dyDescent="0.25">
      <c r="A580" s="78">
        <v>45809</v>
      </c>
      <c r="B580" t="s">
        <v>370</v>
      </c>
      <c r="C580" t="s">
        <v>371</v>
      </c>
      <c r="D580" t="s">
        <v>227</v>
      </c>
      <c r="E580" t="s">
        <v>232</v>
      </c>
      <c r="F580" s="126">
        <v>17</v>
      </c>
      <c r="G580" s="77">
        <v>25000</v>
      </c>
      <c r="H580" s="126">
        <v>57.6</v>
      </c>
      <c r="I580" s="124">
        <v>923.08</v>
      </c>
      <c r="J580" s="126">
        <v>9.3000000000000007</v>
      </c>
      <c r="K580" s="124">
        <v>35416.666666666701</v>
      </c>
      <c r="L580" s="124">
        <v>36339.746666666702</v>
      </c>
    </row>
    <row r="581" spans="1:12" ht="15" customHeight="1" x14ac:dyDescent="0.25">
      <c r="A581" s="78">
        <v>45809</v>
      </c>
      <c r="B581" t="s">
        <v>370</v>
      </c>
      <c r="C581" t="s">
        <v>371</v>
      </c>
      <c r="D581" t="s">
        <v>227</v>
      </c>
      <c r="E581" t="s">
        <v>231</v>
      </c>
      <c r="F581" s="126">
        <v>11.3</v>
      </c>
      <c r="G581" s="77">
        <v>29000</v>
      </c>
      <c r="H581" s="126">
        <v>20.3</v>
      </c>
      <c r="I581" s="124">
        <v>377.37</v>
      </c>
      <c r="J581" s="126">
        <v>4.4000000000000004</v>
      </c>
      <c r="K581" s="124">
        <v>27308.333333333299</v>
      </c>
      <c r="L581" s="124">
        <v>27685.703333333298</v>
      </c>
    </row>
    <row r="582" spans="1:12" ht="15" customHeight="1" x14ac:dyDescent="0.25">
      <c r="A582" s="78">
        <v>45809</v>
      </c>
      <c r="B582" t="s">
        <v>370</v>
      </c>
      <c r="C582" t="s">
        <v>371</v>
      </c>
      <c r="D582" t="s">
        <v>227</v>
      </c>
      <c r="E582" t="s">
        <v>105</v>
      </c>
      <c r="F582" s="126">
        <v>7.5</v>
      </c>
      <c r="G582" s="77">
        <v>28000</v>
      </c>
      <c r="H582" s="126">
        <v>21.3</v>
      </c>
      <c r="I582" s="124">
        <v>382.31</v>
      </c>
      <c r="J582" s="126">
        <v>3.8</v>
      </c>
      <c r="K582" s="124">
        <v>17500</v>
      </c>
      <c r="L582" s="124">
        <v>17882.310000000001</v>
      </c>
    </row>
    <row r="583" spans="1:12" ht="15" customHeight="1" x14ac:dyDescent="0.25">
      <c r="A583" s="78">
        <v>45809</v>
      </c>
      <c r="B583" t="s">
        <v>398</v>
      </c>
      <c r="C583" t="s">
        <v>399</v>
      </c>
      <c r="D583" t="s">
        <v>227</v>
      </c>
      <c r="E583" t="s">
        <v>2367</v>
      </c>
      <c r="F583" s="126">
        <v>4.0999999999999996</v>
      </c>
      <c r="G583" s="77">
        <v>43000</v>
      </c>
      <c r="H583" s="126">
        <v>12.5</v>
      </c>
      <c r="I583" s="124">
        <v>344.55</v>
      </c>
      <c r="J583" s="126">
        <v>2.7</v>
      </c>
      <c r="K583" s="124">
        <v>14691.666666666701</v>
      </c>
      <c r="L583" s="124">
        <v>15036.2166666667</v>
      </c>
    </row>
    <row r="584" spans="1:12" ht="15" customHeight="1" x14ac:dyDescent="0.25">
      <c r="A584" s="78">
        <v>45809</v>
      </c>
      <c r="B584" t="s">
        <v>398</v>
      </c>
      <c r="C584" t="s">
        <v>399</v>
      </c>
      <c r="D584" t="s">
        <v>227</v>
      </c>
      <c r="E584" t="s">
        <v>105</v>
      </c>
      <c r="F584" s="126">
        <v>13.3</v>
      </c>
      <c r="G584" s="77">
        <v>28000</v>
      </c>
      <c r="H584" s="126">
        <v>73.7</v>
      </c>
      <c r="I584" s="124">
        <v>1322.82</v>
      </c>
      <c r="J584" s="126">
        <v>7.2</v>
      </c>
      <c r="K584" s="124">
        <v>31033.333333333299</v>
      </c>
      <c r="L584" s="124">
        <v>32356.153333333299</v>
      </c>
    </row>
    <row r="585" spans="1:12" ht="15" customHeight="1" x14ac:dyDescent="0.25">
      <c r="A585" s="78">
        <v>45809</v>
      </c>
      <c r="B585" t="s">
        <v>398</v>
      </c>
      <c r="C585" t="s">
        <v>399</v>
      </c>
      <c r="D585" t="s">
        <v>227</v>
      </c>
      <c r="E585" t="s">
        <v>232</v>
      </c>
      <c r="F585" s="126">
        <v>7.4</v>
      </c>
      <c r="G585" s="77">
        <v>25000</v>
      </c>
      <c r="H585" s="126">
        <v>47.6</v>
      </c>
      <c r="I585" s="124">
        <v>762.82</v>
      </c>
      <c r="J585" s="126">
        <v>4.0999999999999996</v>
      </c>
      <c r="K585" s="124">
        <v>15416.666666666701</v>
      </c>
      <c r="L585" s="124">
        <v>16179.4866666667</v>
      </c>
    </row>
    <row r="586" spans="1:12" ht="15" customHeight="1" x14ac:dyDescent="0.25">
      <c r="A586" s="78">
        <v>45809</v>
      </c>
      <c r="B586" t="s">
        <v>398</v>
      </c>
      <c r="C586" t="s">
        <v>399</v>
      </c>
      <c r="D586" t="s">
        <v>227</v>
      </c>
      <c r="E586" t="s">
        <v>230</v>
      </c>
      <c r="F586" s="126">
        <v>13.9</v>
      </c>
      <c r="G586" s="77">
        <v>41000</v>
      </c>
      <c r="H586" s="126">
        <v>30.2</v>
      </c>
      <c r="I586" s="124">
        <v>793.72</v>
      </c>
      <c r="J586" s="126">
        <v>8.3000000000000007</v>
      </c>
      <c r="K586" s="124">
        <v>47491.666666666701</v>
      </c>
      <c r="L586" s="124">
        <v>48285.386666666702</v>
      </c>
    </row>
    <row r="587" spans="1:12" ht="15" customHeight="1" x14ac:dyDescent="0.25">
      <c r="A587" s="78">
        <v>45809</v>
      </c>
      <c r="B587" t="s">
        <v>398</v>
      </c>
      <c r="C587" t="s">
        <v>399</v>
      </c>
      <c r="D587" t="s">
        <v>227</v>
      </c>
      <c r="E587" t="s">
        <v>2368</v>
      </c>
      <c r="F587" s="126">
        <v>14.9</v>
      </c>
      <c r="G587" s="77">
        <v>27000</v>
      </c>
      <c r="H587" s="126">
        <v>46.1</v>
      </c>
      <c r="I587" s="124">
        <v>797.88</v>
      </c>
      <c r="J587" s="126">
        <v>8.4</v>
      </c>
      <c r="K587" s="124">
        <v>33525</v>
      </c>
      <c r="L587" s="124">
        <v>34322.879999999997</v>
      </c>
    </row>
    <row r="588" spans="1:12" ht="15" customHeight="1" x14ac:dyDescent="0.25">
      <c r="A588" s="78">
        <v>45809</v>
      </c>
      <c r="B588" t="s">
        <v>378</v>
      </c>
      <c r="C588" t="s">
        <v>379</v>
      </c>
      <c r="D588" t="s">
        <v>227</v>
      </c>
      <c r="E588" t="s">
        <v>2369</v>
      </c>
      <c r="F588" s="126">
        <v>3.5</v>
      </c>
      <c r="G588" s="77">
        <v>35000</v>
      </c>
      <c r="H588" s="126">
        <v>22.3</v>
      </c>
      <c r="I588" s="124">
        <v>500.32</v>
      </c>
      <c r="J588" s="126">
        <v>2.2000000000000002</v>
      </c>
      <c r="K588" s="124">
        <v>10208.333333333299</v>
      </c>
      <c r="L588" s="124">
        <v>10708.653333333301</v>
      </c>
    </row>
    <row r="589" spans="1:12" ht="15" customHeight="1" x14ac:dyDescent="0.25">
      <c r="A589" s="78">
        <v>45809</v>
      </c>
      <c r="B589" t="s">
        <v>378</v>
      </c>
      <c r="C589" t="s">
        <v>379</v>
      </c>
      <c r="D589" t="s">
        <v>227</v>
      </c>
      <c r="E589" t="s">
        <v>2367</v>
      </c>
      <c r="F589" s="126">
        <v>17.5</v>
      </c>
      <c r="G589" s="77">
        <v>43000</v>
      </c>
      <c r="H589" s="126">
        <v>30.7</v>
      </c>
      <c r="I589" s="124">
        <v>846.22</v>
      </c>
      <c r="J589" s="126">
        <v>7.8</v>
      </c>
      <c r="K589" s="124">
        <v>62708.333333333299</v>
      </c>
      <c r="L589" s="124">
        <v>63554.553333333301</v>
      </c>
    </row>
    <row r="590" spans="1:12" ht="15" customHeight="1" x14ac:dyDescent="0.25">
      <c r="A590" s="78">
        <v>45809</v>
      </c>
      <c r="B590" t="s">
        <v>378</v>
      </c>
      <c r="C590" t="s">
        <v>379</v>
      </c>
      <c r="D590" t="s">
        <v>227</v>
      </c>
      <c r="E590" t="s">
        <v>231</v>
      </c>
      <c r="F590" s="126">
        <v>14.3</v>
      </c>
      <c r="G590" s="77">
        <v>29000</v>
      </c>
      <c r="H590" s="126">
        <v>85.6</v>
      </c>
      <c r="I590" s="124">
        <v>1591.28</v>
      </c>
      <c r="J590" s="126">
        <v>7</v>
      </c>
      <c r="K590" s="124">
        <v>34558.333333333299</v>
      </c>
      <c r="L590" s="124">
        <v>36149.613333333298</v>
      </c>
    </row>
    <row r="591" spans="1:12" ht="15" customHeight="1" x14ac:dyDescent="0.25">
      <c r="A591" s="78">
        <v>45809</v>
      </c>
      <c r="B591" t="s">
        <v>378</v>
      </c>
      <c r="C591" t="s">
        <v>379</v>
      </c>
      <c r="D591" t="s">
        <v>227</v>
      </c>
      <c r="E591" t="s">
        <v>230</v>
      </c>
      <c r="F591" s="126">
        <v>14.8</v>
      </c>
      <c r="G591" s="77">
        <v>41000</v>
      </c>
      <c r="H591" s="126">
        <v>61</v>
      </c>
      <c r="I591" s="124">
        <v>1603.21</v>
      </c>
      <c r="J591" s="126">
        <v>8.1999999999999993</v>
      </c>
      <c r="K591" s="124">
        <v>50566.666666666701</v>
      </c>
      <c r="L591" s="124">
        <v>52169.8766666667</v>
      </c>
    </row>
    <row r="592" spans="1:12" ht="15" customHeight="1" x14ac:dyDescent="0.25">
      <c r="A592" s="78">
        <v>45809</v>
      </c>
      <c r="B592" t="s">
        <v>393</v>
      </c>
      <c r="C592" t="s">
        <v>394</v>
      </c>
      <c r="D592" t="s">
        <v>227</v>
      </c>
      <c r="E592" t="s">
        <v>230</v>
      </c>
      <c r="F592" s="126">
        <v>15</v>
      </c>
      <c r="G592" s="77">
        <v>41000</v>
      </c>
      <c r="H592" s="126">
        <v>75.7</v>
      </c>
      <c r="I592" s="124">
        <v>1989.55</v>
      </c>
      <c r="J592" s="126">
        <v>7.8</v>
      </c>
      <c r="K592" s="124">
        <v>51250</v>
      </c>
      <c r="L592" s="124">
        <v>53239.55</v>
      </c>
    </row>
    <row r="593" spans="1:12" ht="15" customHeight="1" x14ac:dyDescent="0.25">
      <c r="A593" s="78">
        <v>45809</v>
      </c>
      <c r="B593" t="s">
        <v>393</v>
      </c>
      <c r="C593" t="s">
        <v>394</v>
      </c>
      <c r="D593" t="s">
        <v>227</v>
      </c>
      <c r="E593" t="s">
        <v>2367</v>
      </c>
      <c r="F593" s="126">
        <v>9.8000000000000007</v>
      </c>
      <c r="G593" s="77">
        <v>43000</v>
      </c>
      <c r="H593" s="126">
        <v>36.1</v>
      </c>
      <c r="I593" s="124">
        <v>995.06</v>
      </c>
      <c r="J593" s="126">
        <v>4.5999999999999996</v>
      </c>
      <c r="K593" s="124">
        <v>35116.666666666701</v>
      </c>
      <c r="L593" s="124">
        <v>36111.726666666698</v>
      </c>
    </row>
    <row r="594" spans="1:12" ht="15" customHeight="1" x14ac:dyDescent="0.25">
      <c r="A594" s="78">
        <v>45809</v>
      </c>
      <c r="B594" t="s">
        <v>393</v>
      </c>
      <c r="C594" t="s">
        <v>394</v>
      </c>
      <c r="D594" t="s">
        <v>227</v>
      </c>
      <c r="E594" t="s">
        <v>105</v>
      </c>
      <c r="F594" s="126">
        <v>16.7</v>
      </c>
      <c r="G594" s="77">
        <v>28000</v>
      </c>
      <c r="H594" s="126">
        <v>88.3</v>
      </c>
      <c r="I594" s="124">
        <v>1584.87</v>
      </c>
      <c r="J594" s="126">
        <v>8.9</v>
      </c>
      <c r="K594" s="124">
        <v>38966.666666666701</v>
      </c>
      <c r="L594" s="124">
        <v>40551.536666666703</v>
      </c>
    </row>
    <row r="595" spans="1:12" ht="15" customHeight="1" x14ac:dyDescent="0.25">
      <c r="A595" s="78">
        <v>45809</v>
      </c>
      <c r="B595" t="s">
        <v>393</v>
      </c>
      <c r="C595" t="s">
        <v>394</v>
      </c>
      <c r="D595" t="s">
        <v>227</v>
      </c>
      <c r="E595" t="s">
        <v>2368</v>
      </c>
      <c r="F595" s="126">
        <v>7</v>
      </c>
      <c r="G595" s="77">
        <v>27000</v>
      </c>
      <c r="H595" s="126">
        <v>25.3</v>
      </c>
      <c r="I595" s="124">
        <v>437.88</v>
      </c>
      <c r="J595" s="126">
        <v>4.5999999999999996</v>
      </c>
      <c r="K595" s="124">
        <v>15750</v>
      </c>
      <c r="L595" s="124">
        <v>16187.88</v>
      </c>
    </row>
    <row r="596" spans="1:12" ht="15" customHeight="1" x14ac:dyDescent="0.25">
      <c r="A596" s="78">
        <v>45809</v>
      </c>
      <c r="B596" t="s">
        <v>393</v>
      </c>
      <c r="C596" t="s">
        <v>394</v>
      </c>
      <c r="D596" t="s">
        <v>227</v>
      </c>
      <c r="E596" t="s">
        <v>2369</v>
      </c>
      <c r="F596" s="126">
        <v>19.7</v>
      </c>
      <c r="G596" s="77">
        <v>35000</v>
      </c>
      <c r="H596" s="126">
        <v>75</v>
      </c>
      <c r="I596" s="124">
        <v>1682.69</v>
      </c>
      <c r="J596" s="126">
        <v>9</v>
      </c>
      <c r="K596" s="124">
        <v>57458.333333333299</v>
      </c>
      <c r="L596" s="124">
        <v>59141.023333333302</v>
      </c>
    </row>
    <row r="597" spans="1:12" ht="15" customHeight="1" x14ac:dyDescent="0.25">
      <c r="A597" s="78">
        <v>45839</v>
      </c>
      <c r="B597" t="s">
        <v>390</v>
      </c>
      <c r="C597" t="s">
        <v>391</v>
      </c>
      <c r="D597" t="s">
        <v>221</v>
      </c>
      <c r="E597" t="s">
        <v>2368</v>
      </c>
      <c r="F597" s="126">
        <v>5.5</v>
      </c>
      <c r="G597" s="77">
        <v>27000</v>
      </c>
      <c r="H597" s="126">
        <v>15.7</v>
      </c>
      <c r="I597" s="124">
        <v>271.73</v>
      </c>
      <c r="J597" s="126">
        <v>1.8</v>
      </c>
      <c r="K597" s="124">
        <v>12375</v>
      </c>
      <c r="L597" s="124">
        <v>12646.73</v>
      </c>
    </row>
    <row r="598" spans="1:12" ht="15" customHeight="1" x14ac:dyDescent="0.25">
      <c r="A598" s="78">
        <v>45839</v>
      </c>
      <c r="B598" t="s">
        <v>390</v>
      </c>
      <c r="C598" t="s">
        <v>391</v>
      </c>
      <c r="D598" t="s">
        <v>221</v>
      </c>
      <c r="E598" t="s">
        <v>230</v>
      </c>
      <c r="F598" s="126">
        <v>5.6</v>
      </c>
      <c r="G598" s="77">
        <v>41000</v>
      </c>
      <c r="H598" s="126">
        <v>20.100000000000001</v>
      </c>
      <c r="I598" s="124">
        <v>528.27</v>
      </c>
      <c r="J598" s="126">
        <v>4</v>
      </c>
      <c r="K598" s="124">
        <v>19133.333333333299</v>
      </c>
      <c r="L598" s="124">
        <v>19661.6033333333</v>
      </c>
    </row>
    <row r="599" spans="1:12" ht="15" customHeight="1" x14ac:dyDescent="0.25">
      <c r="A599" s="78">
        <v>45839</v>
      </c>
      <c r="B599" t="s">
        <v>390</v>
      </c>
      <c r="C599" t="s">
        <v>391</v>
      </c>
      <c r="D599" t="s">
        <v>221</v>
      </c>
      <c r="E599" t="s">
        <v>231</v>
      </c>
      <c r="F599" s="126">
        <v>4.4000000000000004</v>
      </c>
      <c r="G599" s="77">
        <v>29000</v>
      </c>
      <c r="H599" s="126">
        <v>12.3</v>
      </c>
      <c r="I599" s="124">
        <v>228.65</v>
      </c>
      <c r="J599" s="126">
        <v>2.4</v>
      </c>
      <c r="K599" s="124">
        <v>10633.333333333299</v>
      </c>
      <c r="L599" s="124">
        <v>10861.983333333301</v>
      </c>
    </row>
    <row r="600" spans="1:12" ht="15" customHeight="1" x14ac:dyDescent="0.25">
      <c r="A600" s="78">
        <v>45839</v>
      </c>
      <c r="B600" t="s">
        <v>390</v>
      </c>
      <c r="C600" t="s">
        <v>391</v>
      </c>
      <c r="D600" t="s">
        <v>221</v>
      </c>
      <c r="E600" t="s">
        <v>2367</v>
      </c>
      <c r="F600" s="126">
        <v>13</v>
      </c>
      <c r="G600" s="77">
        <v>43000</v>
      </c>
      <c r="H600" s="126">
        <v>39.200000000000003</v>
      </c>
      <c r="I600" s="124">
        <v>1080.51</v>
      </c>
      <c r="J600" s="126">
        <v>6.2</v>
      </c>
      <c r="K600" s="124">
        <v>46583.333333333299</v>
      </c>
      <c r="L600" s="124">
        <v>47663.843333333301</v>
      </c>
    </row>
    <row r="601" spans="1:12" ht="15" customHeight="1" x14ac:dyDescent="0.25">
      <c r="A601" s="78">
        <v>45839</v>
      </c>
      <c r="B601" t="s">
        <v>390</v>
      </c>
      <c r="C601" t="s">
        <v>391</v>
      </c>
      <c r="D601" t="s">
        <v>221</v>
      </c>
      <c r="E601" t="s">
        <v>2369</v>
      </c>
      <c r="F601" s="126">
        <v>5</v>
      </c>
      <c r="G601" s="77">
        <v>35000</v>
      </c>
      <c r="H601" s="126">
        <v>8.6999999999999993</v>
      </c>
      <c r="I601" s="124">
        <v>195.19</v>
      </c>
      <c r="J601" s="126">
        <v>2.2999999999999998</v>
      </c>
      <c r="K601" s="124">
        <v>14583.333333333299</v>
      </c>
      <c r="L601" s="124">
        <v>14778.5233333333</v>
      </c>
    </row>
    <row r="602" spans="1:12" ht="15" customHeight="1" x14ac:dyDescent="0.25">
      <c r="A602" s="78">
        <v>45839</v>
      </c>
      <c r="B602" t="s">
        <v>401</v>
      </c>
      <c r="C602" t="s">
        <v>402</v>
      </c>
      <c r="D602" t="s">
        <v>221</v>
      </c>
      <c r="E602" t="s">
        <v>2369</v>
      </c>
      <c r="F602" s="126">
        <v>7.8</v>
      </c>
      <c r="G602" s="77">
        <v>35000</v>
      </c>
      <c r="H602" s="126">
        <v>28.9</v>
      </c>
      <c r="I602" s="124">
        <v>648.4</v>
      </c>
      <c r="J602" s="126">
        <v>4.4000000000000004</v>
      </c>
      <c r="K602" s="124">
        <v>22750</v>
      </c>
      <c r="L602" s="124">
        <v>23398.400000000001</v>
      </c>
    </row>
    <row r="603" spans="1:12" ht="15" customHeight="1" x14ac:dyDescent="0.25">
      <c r="A603" s="78">
        <v>45839</v>
      </c>
      <c r="B603" t="s">
        <v>401</v>
      </c>
      <c r="C603" t="s">
        <v>402</v>
      </c>
      <c r="D603" t="s">
        <v>221</v>
      </c>
      <c r="E603" t="s">
        <v>231</v>
      </c>
      <c r="F603" s="126">
        <v>8.6999999999999993</v>
      </c>
      <c r="G603" s="77">
        <v>29000</v>
      </c>
      <c r="H603" s="126">
        <v>37.700000000000003</v>
      </c>
      <c r="I603" s="124">
        <v>700.83</v>
      </c>
      <c r="J603" s="126">
        <v>3.2</v>
      </c>
      <c r="K603" s="124">
        <v>21025</v>
      </c>
      <c r="L603" s="124">
        <v>21725.83</v>
      </c>
    </row>
    <row r="604" spans="1:12" ht="15" customHeight="1" x14ac:dyDescent="0.25">
      <c r="A604" s="78">
        <v>45839</v>
      </c>
      <c r="B604" t="s">
        <v>401</v>
      </c>
      <c r="C604" t="s">
        <v>402</v>
      </c>
      <c r="D604" t="s">
        <v>221</v>
      </c>
      <c r="E604" t="s">
        <v>2368</v>
      </c>
      <c r="F604" s="126">
        <v>8.4</v>
      </c>
      <c r="G604" s="77">
        <v>27000</v>
      </c>
      <c r="H604" s="126">
        <v>47.3</v>
      </c>
      <c r="I604" s="124">
        <v>818.65</v>
      </c>
      <c r="J604" s="126">
        <v>4.4000000000000004</v>
      </c>
      <c r="K604" s="124">
        <v>18900</v>
      </c>
      <c r="L604" s="124">
        <v>19718.650000000001</v>
      </c>
    </row>
    <row r="605" spans="1:12" ht="15" customHeight="1" x14ac:dyDescent="0.25">
      <c r="A605" s="78">
        <v>45839</v>
      </c>
      <c r="B605" t="s">
        <v>401</v>
      </c>
      <c r="C605" t="s">
        <v>402</v>
      </c>
      <c r="D605" t="s">
        <v>221</v>
      </c>
      <c r="E605" t="s">
        <v>232</v>
      </c>
      <c r="F605" s="126">
        <v>7.1</v>
      </c>
      <c r="G605" s="77">
        <v>25000</v>
      </c>
      <c r="H605" s="126">
        <v>30.5</v>
      </c>
      <c r="I605" s="124">
        <v>488.78</v>
      </c>
      <c r="J605" s="126">
        <v>3.5</v>
      </c>
      <c r="K605" s="124">
        <v>14791.666666666701</v>
      </c>
      <c r="L605" s="124">
        <v>15280.446666666699</v>
      </c>
    </row>
    <row r="606" spans="1:12" ht="15" customHeight="1" x14ac:dyDescent="0.25">
      <c r="A606" s="78">
        <v>45839</v>
      </c>
      <c r="B606" t="s">
        <v>431</v>
      </c>
      <c r="C606" t="s">
        <v>432</v>
      </c>
      <c r="D606" t="s">
        <v>221</v>
      </c>
      <c r="E606" t="s">
        <v>2369</v>
      </c>
      <c r="F606" s="126">
        <v>6.6</v>
      </c>
      <c r="G606" s="77">
        <v>35000</v>
      </c>
      <c r="H606" s="126">
        <v>21.3</v>
      </c>
      <c r="I606" s="124">
        <v>477.88</v>
      </c>
      <c r="J606" s="126">
        <v>3.5</v>
      </c>
      <c r="K606" s="124">
        <v>19250</v>
      </c>
      <c r="L606" s="124">
        <v>19727.88</v>
      </c>
    </row>
    <row r="607" spans="1:12" ht="15" customHeight="1" x14ac:dyDescent="0.25">
      <c r="A607" s="78">
        <v>45839</v>
      </c>
      <c r="B607" t="s">
        <v>431</v>
      </c>
      <c r="C607" t="s">
        <v>432</v>
      </c>
      <c r="D607" t="s">
        <v>221</v>
      </c>
      <c r="E607" t="s">
        <v>105</v>
      </c>
      <c r="F607" s="126">
        <v>11</v>
      </c>
      <c r="G607" s="77">
        <v>28000</v>
      </c>
      <c r="H607" s="126">
        <v>51.8</v>
      </c>
      <c r="I607" s="124">
        <v>929.74</v>
      </c>
      <c r="J607" s="126">
        <v>3.8</v>
      </c>
      <c r="K607" s="124">
        <v>25666.666666666701</v>
      </c>
      <c r="L607" s="124">
        <v>26596.406666666699</v>
      </c>
    </row>
    <row r="608" spans="1:12" ht="15" customHeight="1" x14ac:dyDescent="0.25">
      <c r="A608" s="78">
        <v>45839</v>
      </c>
      <c r="B608" t="s">
        <v>431</v>
      </c>
      <c r="C608" t="s">
        <v>432</v>
      </c>
      <c r="D608" t="s">
        <v>221</v>
      </c>
      <c r="E608" t="s">
        <v>232</v>
      </c>
      <c r="F608" s="126">
        <v>3.6</v>
      </c>
      <c r="G608" s="77">
        <v>25000</v>
      </c>
      <c r="H608" s="126">
        <v>11.5</v>
      </c>
      <c r="I608" s="124">
        <v>184.29</v>
      </c>
      <c r="J608" s="126">
        <v>1.5</v>
      </c>
      <c r="K608" s="124">
        <v>7500</v>
      </c>
      <c r="L608" s="124">
        <v>7684.29</v>
      </c>
    </row>
    <row r="609" spans="1:12" ht="15" customHeight="1" x14ac:dyDescent="0.25">
      <c r="A609" s="78">
        <v>45839</v>
      </c>
      <c r="B609" t="s">
        <v>431</v>
      </c>
      <c r="C609" t="s">
        <v>432</v>
      </c>
      <c r="D609" t="s">
        <v>221</v>
      </c>
      <c r="E609" t="s">
        <v>230</v>
      </c>
      <c r="F609" s="126">
        <v>5.7</v>
      </c>
      <c r="G609" s="77">
        <v>41000</v>
      </c>
      <c r="H609" s="126">
        <v>25</v>
      </c>
      <c r="I609" s="124">
        <v>657.05</v>
      </c>
      <c r="J609" s="126">
        <v>4</v>
      </c>
      <c r="K609" s="124">
        <v>19475</v>
      </c>
      <c r="L609" s="124">
        <v>20132.05</v>
      </c>
    </row>
    <row r="610" spans="1:12" ht="15" customHeight="1" x14ac:dyDescent="0.25">
      <c r="A610" s="78">
        <v>45839</v>
      </c>
      <c r="B610" t="s">
        <v>431</v>
      </c>
      <c r="C610" t="s">
        <v>432</v>
      </c>
      <c r="D610" t="s">
        <v>221</v>
      </c>
      <c r="E610" t="s">
        <v>2368</v>
      </c>
      <c r="F610" s="126">
        <v>6.3</v>
      </c>
      <c r="G610" s="77">
        <v>27000</v>
      </c>
      <c r="H610" s="126">
        <v>17.899999999999999</v>
      </c>
      <c r="I610" s="124">
        <v>309.81</v>
      </c>
      <c r="J610" s="126">
        <v>2.7</v>
      </c>
      <c r="K610" s="124">
        <v>14175</v>
      </c>
      <c r="L610" s="124">
        <v>14484.81</v>
      </c>
    </row>
    <row r="611" spans="1:12" ht="15" customHeight="1" x14ac:dyDescent="0.25">
      <c r="A611" s="78">
        <v>45839</v>
      </c>
      <c r="B611" t="s">
        <v>366</v>
      </c>
      <c r="C611" t="s">
        <v>367</v>
      </c>
      <c r="D611" t="s">
        <v>221</v>
      </c>
      <c r="E611" t="s">
        <v>232</v>
      </c>
      <c r="F611" s="126">
        <v>6.2</v>
      </c>
      <c r="G611" s="77">
        <v>25000</v>
      </c>
      <c r="H611" s="126">
        <v>20</v>
      </c>
      <c r="I611" s="124">
        <v>320.51</v>
      </c>
      <c r="J611" s="126">
        <v>2.2999999999999998</v>
      </c>
      <c r="K611" s="124">
        <v>12916.666666666701</v>
      </c>
      <c r="L611" s="124">
        <v>13237.176666666701</v>
      </c>
    </row>
    <row r="612" spans="1:12" ht="15" customHeight="1" x14ac:dyDescent="0.25">
      <c r="A612" s="78">
        <v>45839</v>
      </c>
      <c r="B612" t="s">
        <v>366</v>
      </c>
      <c r="C612" t="s">
        <v>367</v>
      </c>
      <c r="D612" t="s">
        <v>221</v>
      </c>
      <c r="E612" t="s">
        <v>105</v>
      </c>
      <c r="F612" s="126">
        <v>11.5</v>
      </c>
      <c r="G612" s="77">
        <v>28000</v>
      </c>
      <c r="H612" s="126">
        <v>40</v>
      </c>
      <c r="I612" s="124">
        <v>717.95</v>
      </c>
      <c r="J612" s="126">
        <v>6.5</v>
      </c>
      <c r="K612" s="124">
        <v>26833.333333333299</v>
      </c>
      <c r="L612" s="124">
        <v>27551.2833333333</v>
      </c>
    </row>
    <row r="613" spans="1:12" ht="15" customHeight="1" x14ac:dyDescent="0.25">
      <c r="A613" s="78">
        <v>45839</v>
      </c>
      <c r="B613" t="s">
        <v>366</v>
      </c>
      <c r="C613" t="s">
        <v>367</v>
      </c>
      <c r="D613" t="s">
        <v>221</v>
      </c>
      <c r="E613" t="s">
        <v>230</v>
      </c>
      <c r="F613" s="126">
        <v>14.2</v>
      </c>
      <c r="G613" s="77">
        <v>41000</v>
      </c>
      <c r="H613" s="126">
        <v>34.4</v>
      </c>
      <c r="I613" s="124">
        <v>904.1</v>
      </c>
      <c r="J613" s="126">
        <v>7.5</v>
      </c>
      <c r="K613" s="124">
        <v>48516.666666666701</v>
      </c>
      <c r="L613" s="124">
        <v>49420.766666666699</v>
      </c>
    </row>
    <row r="614" spans="1:12" ht="15" customHeight="1" x14ac:dyDescent="0.25">
      <c r="A614" s="78">
        <v>45839</v>
      </c>
      <c r="B614" t="s">
        <v>366</v>
      </c>
      <c r="C614" t="s">
        <v>367</v>
      </c>
      <c r="D614" t="s">
        <v>221</v>
      </c>
      <c r="E614" t="s">
        <v>2369</v>
      </c>
      <c r="F614" s="126">
        <v>9.8000000000000007</v>
      </c>
      <c r="G614" s="77">
        <v>35000</v>
      </c>
      <c r="H614" s="126">
        <v>14.2</v>
      </c>
      <c r="I614" s="124">
        <v>318.58999999999997</v>
      </c>
      <c r="J614" s="126">
        <v>4.3</v>
      </c>
      <c r="K614" s="124">
        <v>28583.333333333299</v>
      </c>
      <c r="L614" s="124">
        <v>28901.9233333333</v>
      </c>
    </row>
    <row r="615" spans="1:12" ht="15" customHeight="1" x14ac:dyDescent="0.25">
      <c r="A615" s="78">
        <v>45839</v>
      </c>
      <c r="B615" t="s">
        <v>362</v>
      </c>
      <c r="C615" t="s">
        <v>363</v>
      </c>
      <c r="D615" t="s">
        <v>221</v>
      </c>
      <c r="E615" t="s">
        <v>105</v>
      </c>
      <c r="F615" s="126">
        <v>14.2</v>
      </c>
      <c r="G615" s="77">
        <v>28000</v>
      </c>
      <c r="H615" s="126">
        <v>49.8</v>
      </c>
      <c r="I615" s="124">
        <v>893.85</v>
      </c>
      <c r="J615" s="126">
        <v>8.8000000000000007</v>
      </c>
      <c r="K615" s="124">
        <v>33133.333333333299</v>
      </c>
      <c r="L615" s="124">
        <v>34027.183333333298</v>
      </c>
    </row>
    <row r="616" spans="1:12" ht="15" customHeight="1" x14ac:dyDescent="0.25">
      <c r="A616" s="78">
        <v>45839</v>
      </c>
      <c r="B616" t="s">
        <v>362</v>
      </c>
      <c r="C616" t="s">
        <v>363</v>
      </c>
      <c r="D616" t="s">
        <v>221</v>
      </c>
      <c r="E616" t="s">
        <v>230</v>
      </c>
      <c r="F616" s="126">
        <v>19.3</v>
      </c>
      <c r="G616" s="77">
        <v>41000</v>
      </c>
      <c r="H616" s="126">
        <v>69.2</v>
      </c>
      <c r="I616" s="124">
        <v>1818.72</v>
      </c>
      <c r="J616" s="126">
        <v>7.4</v>
      </c>
      <c r="K616" s="124">
        <v>65941.666666666701</v>
      </c>
      <c r="L616" s="124">
        <v>67760.386666666702</v>
      </c>
    </row>
    <row r="617" spans="1:12" ht="15" customHeight="1" x14ac:dyDescent="0.25">
      <c r="A617" s="78">
        <v>45839</v>
      </c>
      <c r="B617" t="s">
        <v>362</v>
      </c>
      <c r="C617" t="s">
        <v>363</v>
      </c>
      <c r="D617" t="s">
        <v>221</v>
      </c>
      <c r="E617" t="s">
        <v>2369</v>
      </c>
      <c r="F617" s="126">
        <v>15.8</v>
      </c>
      <c r="G617" s="77">
        <v>35000</v>
      </c>
      <c r="H617" s="126">
        <v>15.8</v>
      </c>
      <c r="I617" s="124">
        <v>354.49</v>
      </c>
      <c r="J617" s="126">
        <v>7.9</v>
      </c>
      <c r="K617" s="124">
        <v>46083.333333333299</v>
      </c>
      <c r="L617" s="124">
        <v>46437.823333333297</v>
      </c>
    </row>
    <row r="618" spans="1:12" ht="15" customHeight="1" x14ac:dyDescent="0.25">
      <c r="A618" s="78">
        <v>45839</v>
      </c>
      <c r="B618" t="s">
        <v>362</v>
      </c>
      <c r="C618" t="s">
        <v>363</v>
      </c>
      <c r="D618" t="s">
        <v>221</v>
      </c>
      <c r="E618" t="s">
        <v>231</v>
      </c>
      <c r="F618" s="126">
        <v>17.8</v>
      </c>
      <c r="G618" s="77">
        <v>29000</v>
      </c>
      <c r="H618" s="126">
        <v>87.6</v>
      </c>
      <c r="I618" s="124">
        <v>1628.46</v>
      </c>
      <c r="J618" s="126">
        <v>9.3000000000000007</v>
      </c>
      <c r="K618" s="124">
        <v>43016.666666666701</v>
      </c>
      <c r="L618" s="124">
        <v>44645.1266666667</v>
      </c>
    </row>
    <row r="619" spans="1:12" ht="15" customHeight="1" x14ac:dyDescent="0.25">
      <c r="A619" s="78">
        <v>45839</v>
      </c>
      <c r="B619" t="s">
        <v>362</v>
      </c>
      <c r="C619" t="s">
        <v>363</v>
      </c>
      <c r="D619" t="s">
        <v>221</v>
      </c>
      <c r="E619" t="s">
        <v>2367</v>
      </c>
      <c r="F619" s="126">
        <v>6.1</v>
      </c>
      <c r="G619" s="77">
        <v>43000</v>
      </c>
      <c r="H619" s="126">
        <v>25.9</v>
      </c>
      <c r="I619" s="124">
        <v>713.91</v>
      </c>
      <c r="J619" s="126">
        <v>4.2</v>
      </c>
      <c r="K619" s="124">
        <v>21858.333333333299</v>
      </c>
      <c r="L619" s="124">
        <v>22572.243333333299</v>
      </c>
    </row>
    <row r="620" spans="1:12" ht="15" customHeight="1" x14ac:dyDescent="0.25">
      <c r="A620" s="78">
        <v>45839</v>
      </c>
      <c r="B620" t="s">
        <v>362</v>
      </c>
      <c r="C620" t="s">
        <v>363</v>
      </c>
      <c r="D620" t="s">
        <v>221</v>
      </c>
      <c r="E620" t="s">
        <v>2368</v>
      </c>
      <c r="F620" s="126">
        <v>17.8</v>
      </c>
      <c r="G620" s="77">
        <v>27000</v>
      </c>
      <c r="H620" s="126">
        <v>56.8</v>
      </c>
      <c r="I620" s="124">
        <v>983.08</v>
      </c>
      <c r="J620" s="126">
        <v>9.8000000000000007</v>
      </c>
      <c r="K620" s="124">
        <v>40050</v>
      </c>
      <c r="L620" s="124">
        <v>41033.08</v>
      </c>
    </row>
    <row r="621" spans="1:12" ht="15" customHeight="1" x14ac:dyDescent="0.25">
      <c r="A621" s="78">
        <v>45839</v>
      </c>
      <c r="B621" t="s">
        <v>335</v>
      </c>
      <c r="C621" t="s">
        <v>336</v>
      </c>
      <c r="D621" t="s">
        <v>223</v>
      </c>
      <c r="E621" t="s">
        <v>230</v>
      </c>
      <c r="F621" s="126">
        <v>17.899999999999999</v>
      </c>
      <c r="G621" s="77">
        <v>41000</v>
      </c>
      <c r="H621" s="126">
        <v>27.8</v>
      </c>
      <c r="I621" s="124">
        <v>730.64</v>
      </c>
      <c r="J621" s="126">
        <v>8</v>
      </c>
      <c r="K621" s="124">
        <v>61158.333333333299</v>
      </c>
      <c r="L621" s="124">
        <v>61888.973333333299</v>
      </c>
    </row>
    <row r="622" spans="1:12" ht="15" customHeight="1" x14ac:dyDescent="0.25">
      <c r="A622" s="78">
        <v>45839</v>
      </c>
      <c r="B622" t="s">
        <v>335</v>
      </c>
      <c r="C622" t="s">
        <v>336</v>
      </c>
      <c r="D622" t="s">
        <v>223</v>
      </c>
      <c r="E622" t="s">
        <v>2369</v>
      </c>
      <c r="F622" s="126">
        <v>8.6999999999999993</v>
      </c>
      <c r="G622" s="77">
        <v>35000</v>
      </c>
      <c r="H622" s="126">
        <v>11.2</v>
      </c>
      <c r="I622" s="124">
        <v>251.28</v>
      </c>
      <c r="J622" s="126">
        <v>4.0999999999999996</v>
      </c>
      <c r="K622" s="124">
        <v>25375</v>
      </c>
      <c r="L622" s="124">
        <v>25626.28</v>
      </c>
    </row>
    <row r="623" spans="1:12" ht="15" customHeight="1" x14ac:dyDescent="0.25">
      <c r="A623" s="78">
        <v>45839</v>
      </c>
      <c r="B623" t="s">
        <v>335</v>
      </c>
      <c r="C623" t="s">
        <v>336</v>
      </c>
      <c r="D623" t="s">
        <v>223</v>
      </c>
      <c r="E623" t="s">
        <v>232</v>
      </c>
      <c r="F623" s="126">
        <v>3.7</v>
      </c>
      <c r="G623" s="77">
        <v>25000</v>
      </c>
      <c r="H623" s="126">
        <v>14.5</v>
      </c>
      <c r="I623" s="124">
        <v>232.37</v>
      </c>
      <c r="J623" s="126">
        <v>2</v>
      </c>
      <c r="K623" s="124">
        <v>7708.3333333333303</v>
      </c>
      <c r="L623" s="124">
        <v>7940.7033333333302</v>
      </c>
    </row>
    <row r="624" spans="1:12" ht="15" customHeight="1" x14ac:dyDescent="0.25">
      <c r="A624" s="78">
        <v>45839</v>
      </c>
      <c r="B624" t="s">
        <v>335</v>
      </c>
      <c r="C624" t="s">
        <v>336</v>
      </c>
      <c r="D624" t="s">
        <v>223</v>
      </c>
      <c r="E624" t="s">
        <v>2368</v>
      </c>
      <c r="F624" s="126">
        <v>5.4</v>
      </c>
      <c r="G624" s="77">
        <v>27000</v>
      </c>
      <c r="H624" s="126">
        <v>22.1</v>
      </c>
      <c r="I624" s="124">
        <v>382.5</v>
      </c>
      <c r="J624" s="126">
        <v>1.8</v>
      </c>
      <c r="K624" s="124">
        <v>12150</v>
      </c>
      <c r="L624" s="124">
        <v>12532.5</v>
      </c>
    </row>
    <row r="625" spans="1:12" ht="15" customHeight="1" x14ac:dyDescent="0.25">
      <c r="A625" s="78">
        <v>45839</v>
      </c>
      <c r="B625" t="s">
        <v>386</v>
      </c>
      <c r="C625" t="s">
        <v>387</v>
      </c>
      <c r="D625" t="s">
        <v>223</v>
      </c>
      <c r="E625" t="s">
        <v>2367</v>
      </c>
      <c r="F625" s="126">
        <v>10.1</v>
      </c>
      <c r="G625" s="77">
        <v>43000</v>
      </c>
      <c r="H625" s="126">
        <v>37.5</v>
      </c>
      <c r="I625" s="124">
        <v>1033.6500000000001</v>
      </c>
      <c r="J625" s="126">
        <v>3.6</v>
      </c>
      <c r="K625" s="124">
        <v>36191.666666666701</v>
      </c>
      <c r="L625" s="124">
        <v>37225.316666666702</v>
      </c>
    </row>
    <row r="626" spans="1:12" ht="15" customHeight="1" x14ac:dyDescent="0.25">
      <c r="A626" s="78">
        <v>45839</v>
      </c>
      <c r="B626" t="s">
        <v>386</v>
      </c>
      <c r="C626" t="s">
        <v>387</v>
      </c>
      <c r="D626" t="s">
        <v>223</v>
      </c>
      <c r="E626" t="s">
        <v>2369</v>
      </c>
      <c r="F626" s="126">
        <v>16.100000000000001</v>
      </c>
      <c r="G626" s="77">
        <v>35000</v>
      </c>
      <c r="H626" s="126">
        <v>97.3</v>
      </c>
      <c r="I626" s="124">
        <v>2183.0100000000002</v>
      </c>
      <c r="J626" s="126">
        <v>7.7</v>
      </c>
      <c r="K626" s="124">
        <v>46958.333333333299</v>
      </c>
      <c r="L626" s="124">
        <v>49141.343333333301</v>
      </c>
    </row>
    <row r="627" spans="1:12" ht="15" customHeight="1" x14ac:dyDescent="0.25">
      <c r="A627" s="78">
        <v>45839</v>
      </c>
      <c r="B627" t="s">
        <v>386</v>
      </c>
      <c r="C627" t="s">
        <v>387</v>
      </c>
      <c r="D627" t="s">
        <v>223</v>
      </c>
      <c r="E627" t="s">
        <v>230</v>
      </c>
      <c r="F627" s="126">
        <v>13.7</v>
      </c>
      <c r="G627" s="77">
        <v>41000</v>
      </c>
      <c r="H627" s="126">
        <v>44.8</v>
      </c>
      <c r="I627" s="124">
        <v>1177.44</v>
      </c>
      <c r="J627" s="126">
        <v>8.4</v>
      </c>
      <c r="K627" s="124">
        <v>46808.333333333299</v>
      </c>
      <c r="L627" s="124">
        <v>47985.773333333302</v>
      </c>
    </row>
    <row r="628" spans="1:12" ht="15" customHeight="1" x14ac:dyDescent="0.25">
      <c r="A628" s="78">
        <v>45839</v>
      </c>
      <c r="B628" t="s">
        <v>386</v>
      </c>
      <c r="C628" t="s">
        <v>387</v>
      </c>
      <c r="D628" t="s">
        <v>223</v>
      </c>
      <c r="E628" t="s">
        <v>231</v>
      </c>
      <c r="F628" s="126">
        <v>15.1</v>
      </c>
      <c r="G628" s="77">
        <v>29000</v>
      </c>
      <c r="H628" s="126">
        <v>32.299999999999997</v>
      </c>
      <c r="I628" s="124">
        <v>600.45000000000005</v>
      </c>
      <c r="J628" s="126">
        <v>6.4</v>
      </c>
      <c r="K628" s="124">
        <v>36491.666666666701</v>
      </c>
      <c r="L628" s="124">
        <v>37092.116666666698</v>
      </c>
    </row>
    <row r="629" spans="1:12" ht="15" customHeight="1" x14ac:dyDescent="0.25">
      <c r="A629" s="78">
        <v>45839</v>
      </c>
      <c r="B629" t="s">
        <v>386</v>
      </c>
      <c r="C629" t="s">
        <v>387</v>
      </c>
      <c r="D629" t="s">
        <v>223</v>
      </c>
      <c r="E629" t="s">
        <v>105</v>
      </c>
      <c r="F629" s="126">
        <v>16.600000000000001</v>
      </c>
      <c r="G629" s="77">
        <v>28000</v>
      </c>
      <c r="H629" s="126">
        <v>39.1</v>
      </c>
      <c r="I629" s="124">
        <v>701.79</v>
      </c>
      <c r="J629" s="126">
        <v>8.1999999999999993</v>
      </c>
      <c r="K629" s="124">
        <v>38733.333333333299</v>
      </c>
      <c r="L629" s="124">
        <v>39435.1233333333</v>
      </c>
    </row>
    <row r="630" spans="1:12" ht="15" customHeight="1" x14ac:dyDescent="0.25">
      <c r="A630" s="78">
        <v>45839</v>
      </c>
      <c r="B630" t="s">
        <v>386</v>
      </c>
      <c r="C630" t="s">
        <v>387</v>
      </c>
      <c r="D630" t="s">
        <v>223</v>
      </c>
      <c r="E630" t="s">
        <v>232</v>
      </c>
      <c r="F630" s="126">
        <v>9.3000000000000007</v>
      </c>
      <c r="G630" s="77">
        <v>25000</v>
      </c>
      <c r="H630" s="126">
        <v>43.2</v>
      </c>
      <c r="I630" s="124">
        <v>692.31</v>
      </c>
      <c r="J630" s="126">
        <v>5.4</v>
      </c>
      <c r="K630" s="124">
        <v>19375</v>
      </c>
      <c r="L630" s="124">
        <v>20067.310000000001</v>
      </c>
    </row>
    <row r="631" spans="1:12" ht="15" customHeight="1" x14ac:dyDescent="0.25">
      <c r="A631" s="78">
        <v>45839</v>
      </c>
      <c r="B631" t="s">
        <v>341</v>
      </c>
      <c r="C631" t="s">
        <v>342</v>
      </c>
      <c r="D631" t="s">
        <v>223</v>
      </c>
      <c r="E631" t="s">
        <v>232</v>
      </c>
      <c r="F631" s="126">
        <v>6.6</v>
      </c>
      <c r="G631" s="77">
        <v>25000</v>
      </c>
      <c r="H631" s="126">
        <v>51.9</v>
      </c>
      <c r="I631" s="124">
        <v>831.73</v>
      </c>
      <c r="J631" s="126">
        <v>1.1000000000000001</v>
      </c>
      <c r="K631" s="124">
        <v>13750</v>
      </c>
      <c r="L631" s="124">
        <v>14581.73</v>
      </c>
    </row>
    <row r="632" spans="1:12" ht="15" customHeight="1" x14ac:dyDescent="0.25">
      <c r="A632" s="78">
        <v>45839</v>
      </c>
      <c r="B632" t="s">
        <v>341</v>
      </c>
      <c r="C632" t="s">
        <v>342</v>
      </c>
      <c r="D632" t="s">
        <v>223</v>
      </c>
      <c r="E632" t="s">
        <v>2369</v>
      </c>
      <c r="F632" s="126">
        <v>8.6999999999999993</v>
      </c>
      <c r="G632" s="77">
        <v>35000</v>
      </c>
      <c r="H632" s="126">
        <v>42.7</v>
      </c>
      <c r="I632" s="124">
        <v>958.01</v>
      </c>
      <c r="J632" s="126">
        <v>3.8</v>
      </c>
      <c r="K632" s="124">
        <v>25375</v>
      </c>
      <c r="L632" s="124">
        <v>26333.01</v>
      </c>
    </row>
    <row r="633" spans="1:12" ht="15" customHeight="1" x14ac:dyDescent="0.25">
      <c r="A633" s="78">
        <v>45839</v>
      </c>
      <c r="B633" t="s">
        <v>341</v>
      </c>
      <c r="C633" t="s">
        <v>342</v>
      </c>
      <c r="D633" t="s">
        <v>223</v>
      </c>
      <c r="E633" t="s">
        <v>2367</v>
      </c>
      <c r="F633" s="126">
        <v>14.2</v>
      </c>
      <c r="G633" s="77">
        <v>43000</v>
      </c>
      <c r="H633" s="126">
        <v>44.3</v>
      </c>
      <c r="I633" s="124">
        <v>1221.0899999999999</v>
      </c>
      <c r="J633" s="126">
        <v>6.5</v>
      </c>
      <c r="K633" s="124">
        <v>50883.333333333299</v>
      </c>
      <c r="L633" s="124">
        <v>52104.423333333303</v>
      </c>
    </row>
    <row r="634" spans="1:12" ht="15" customHeight="1" x14ac:dyDescent="0.25">
      <c r="A634" s="78">
        <v>45839</v>
      </c>
      <c r="B634" t="s">
        <v>341</v>
      </c>
      <c r="C634" t="s">
        <v>342</v>
      </c>
      <c r="D634" t="s">
        <v>223</v>
      </c>
      <c r="E634" t="s">
        <v>231</v>
      </c>
      <c r="F634" s="126">
        <v>15.5</v>
      </c>
      <c r="G634" s="77">
        <v>29000</v>
      </c>
      <c r="H634" s="126">
        <v>40.9</v>
      </c>
      <c r="I634" s="124">
        <v>760.32</v>
      </c>
      <c r="J634" s="126">
        <v>9.4</v>
      </c>
      <c r="K634" s="124">
        <v>37458.333333333299</v>
      </c>
      <c r="L634" s="124">
        <v>38218.653333333299</v>
      </c>
    </row>
    <row r="635" spans="1:12" ht="15" customHeight="1" x14ac:dyDescent="0.25">
      <c r="A635" s="78">
        <v>45839</v>
      </c>
      <c r="B635" t="s">
        <v>347</v>
      </c>
      <c r="C635" t="s">
        <v>348</v>
      </c>
      <c r="D635" t="s">
        <v>223</v>
      </c>
      <c r="E635" t="s">
        <v>230</v>
      </c>
      <c r="F635" s="126">
        <v>10.7</v>
      </c>
      <c r="G635" s="77">
        <v>41000</v>
      </c>
      <c r="H635" s="126">
        <v>56.3</v>
      </c>
      <c r="I635" s="124">
        <v>1479.68</v>
      </c>
      <c r="J635" s="126">
        <v>5.4</v>
      </c>
      <c r="K635" s="124">
        <v>36558.333333333299</v>
      </c>
      <c r="L635" s="124">
        <v>38038.0133333333</v>
      </c>
    </row>
    <row r="636" spans="1:12" ht="15" customHeight="1" x14ac:dyDescent="0.25">
      <c r="A636" s="78">
        <v>45839</v>
      </c>
      <c r="B636" t="s">
        <v>347</v>
      </c>
      <c r="C636" t="s">
        <v>348</v>
      </c>
      <c r="D636" t="s">
        <v>223</v>
      </c>
      <c r="E636" t="s">
        <v>2367</v>
      </c>
      <c r="F636" s="126">
        <v>15.2</v>
      </c>
      <c r="G636" s="77">
        <v>43000</v>
      </c>
      <c r="H636" s="126">
        <v>91.6</v>
      </c>
      <c r="I636" s="124">
        <v>2524.87</v>
      </c>
      <c r="J636" s="126">
        <v>6.1</v>
      </c>
      <c r="K636" s="124">
        <v>54466.666666666701</v>
      </c>
      <c r="L636" s="124">
        <v>56991.536666666703</v>
      </c>
    </row>
    <row r="637" spans="1:12" ht="15" customHeight="1" x14ac:dyDescent="0.25">
      <c r="A637" s="78">
        <v>45839</v>
      </c>
      <c r="B637" t="s">
        <v>347</v>
      </c>
      <c r="C637" t="s">
        <v>348</v>
      </c>
      <c r="D637" t="s">
        <v>223</v>
      </c>
      <c r="E637" t="s">
        <v>2369</v>
      </c>
      <c r="F637" s="126">
        <v>12.3</v>
      </c>
      <c r="G637" s="77">
        <v>35000</v>
      </c>
      <c r="H637" s="126">
        <v>24.6</v>
      </c>
      <c r="I637" s="124">
        <v>551.91999999999996</v>
      </c>
      <c r="J637" s="126">
        <v>4</v>
      </c>
      <c r="K637" s="124">
        <v>35875</v>
      </c>
      <c r="L637" s="124">
        <v>36426.92</v>
      </c>
    </row>
    <row r="638" spans="1:12" ht="15" customHeight="1" x14ac:dyDescent="0.25">
      <c r="A638" s="78">
        <v>45839</v>
      </c>
      <c r="B638" t="s">
        <v>347</v>
      </c>
      <c r="C638" t="s">
        <v>348</v>
      </c>
      <c r="D638" t="s">
        <v>223</v>
      </c>
      <c r="E638" t="s">
        <v>231</v>
      </c>
      <c r="F638" s="126">
        <v>12.2</v>
      </c>
      <c r="G638" s="77">
        <v>29000</v>
      </c>
      <c r="H638" s="126">
        <v>36</v>
      </c>
      <c r="I638" s="124">
        <v>669.23</v>
      </c>
      <c r="J638" s="126">
        <v>6.3</v>
      </c>
      <c r="K638" s="124">
        <v>29483.333333333299</v>
      </c>
      <c r="L638" s="124">
        <v>30152.563333333299</v>
      </c>
    </row>
    <row r="639" spans="1:12" ht="15" customHeight="1" x14ac:dyDescent="0.25">
      <c r="A639" s="78">
        <v>45839</v>
      </c>
      <c r="B639" t="s">
        <v>347</v>
      </c>
      <c r="C639" t="s">
        <v>348</v>
      </c>
      <c r="D639" t="s">
        <v>223</v>
      </c>
      <c r="E639" t="s">
        <v>2368</v>
      </c>
      <c r="F639" s="126">
        <v>15.8</v>
      </c>
      <c r="G639" s="77">
        <v>27000</v>
      </c>
      <c r="H639" s="126">
        <v>65.599999999999994</v>
      </c>
      <c r="I639" s="124">
        <v>1135.3800000000001</v>
      </c>
      <c r="J639" s="126">
        <v>8</v>
      </c>
      <c r="K639" s="124">
        <v>35550</v>
      </c>
      <c r="L639" s="124">
        <v>36685.379999999997</v>
      </c>
    </row>
    <row r="640" spans="1:12" ht="15" customHeight="1" x14ac:dyDescent="0.25">
      <c r="A640" s="78">
        <v>45839</v>
      </c>
      <c r="B640" t="s">
        <v>347</v>
      </c>
      <c r="C640" t="s">
        <v>348</v>
      </c>
      <c r="D640" t="s">
        <v>223</v>
      </c>
      <c r="E640" t="s">
        <v>232</v>
      </c>
      <c r="F640" s="126">
        <v>3.8</v>
      </c>
      <c r="G640" s="77">
        <v>25000</v>
      </c>
      <c r="H640" s="126">
        <v>7.2</v>
      </c>
      <c r="I640" s="124">
        <v>115.38</v>
      </c>
      <c r="J640" s="126">
        <v>2.7</v>
      </c>
      <c r="K640" s="124">
        <v>7916.6666666666697</v>
      </c>
      <c r="L640" s="124">
        <v>8032.0466666666698</v>
      </c>
    </row>
    <row r="641" spans="1:12" ht="15" customHeight="1" x14ac:dyDescent="0.25">
      <c r="A641" s="78">
        <v>45839</v>
      </c>
      <c r="B641" t="s">
        <v>409</v>
      </c>
      <c r="C641" t="s">
        <v>410</v>
      </c>
      <c r="D641" t="s">
        <v>223</v>
      </c>
      <c r="E641" t="s">
        <v>232</v>
      </c>
      <c r="F641" s="126">
        <v>17.100000000000001</v>
      </c>
      <c r="G641" s="77">
        <v>25000</v>
      </c>
      <c r="H641" s="126">
        <v>74.5</v>
      </c>
      <c r="I641" s="124">
        <v>1193.9100000000001</v>
      </c>
      <c r="J641" s="126">
        <v>9.3000000000000007</v>
      </c>
      <c r="K641" s="124">
        <v>35625</v>
      </c>
      <c r="L641" s="124">
        <v>36818.910000000003</v>
      </c>
    </row>
    <row r="642" spans="1:12" ht="15" customHeight="1" x14ac:dyDescent="0.25">
      <c r="A642" s="78">
        <v>45839</v>
      </c>
      <c r="B642" t="s">
        <v>409</v>
      </c>
      <c r="C642" t="s">
        <v>410</v>
      </c>
      <c r="D642" t="s">
        <v>223</v>
      </c>
      <c r="E642" t="s">
        <v>2369</v>
      </c>
      <c r="F642" s="126">
        <v>10.1</v>
      </c>
      <c r="G642" s="77">
        <v>35000</v>
      </c>
      <c r="H642" s="126">
        <v>11.7</v>
      </c>
      <c r="I642" s="124">
        <v>262.5</v>
      </c>
      <c r="J642" s="126">
        <v>5.4</v>
      </c>
      <c r="K642" s="124">
        <v>29458.333333333299</v>
      </c>
      <c r="L642" s="124">
        <v>29720.833333333299</v>
      </c>
    </row>
    <row r="643" spans="1:12" ht="15" customHeight="1" x14ac:dyDescent="0.25">
      <c r="A643" s="78">
        <v>45839</v>
      </c>
      <c r="B643" t="s">
        <v>409</v>
      </c>
      <c r="C643" t="s">
        <v>410</v>
      </c>
      <c r="D643" t="s">
        <v>223</v>
      </c>
      <c r="E643" t="s">
        <v>2367</v>
      </c>
      <c r="F643" s="126">
        <v>10.9</v>
      </c>
      <c r="G643" s="77">
        <v>43000</v>
      </c>
      <c r="H643" s="126">
        <v>24.2</v>
      </c>
      <c r="I643" s="124">
        <v>667.05</v>
      </c>
      <c r="J643" s="126">
        <v>5.0999999999999996</v>
      </c>
      <c r="K643" s="124">
        <v>39058.333333333299</v>
      </c>
      <c r="L643" s="124">
        <v>39725.383333333302</v>
      </c>
    </row>
    <row r="644" spans="1:12" ht="15" customHeight="1" x14ac:dyDescent="0.25">
      <c r="A644" s="78">
        <v>45839</v>
      </c>
      <c r="B644" t="s">
        <v>409</v>
      </c>
      <c r="C644" t="s">
        <v>410</v>
      </c>
      <c r="D644" t="s">
        <v>223</v>
      </c>
      <c r="E644" t="s">
        <v>105</v>
      </c>
      <c r="F644" s="126">
        <v>18</v>
      </c>
      <c r="G644" s="77">
        <v>28000</v>
      </c>
      <c r="H644" s="126">
        <v>86.4</v>
      </c>
      <c r="I644" s="124">
        <v>1550.77</v>
      </c>
      <c r="J644" s="126">
        <v>9.1</v>
      </c>
      <c r="K644" s="124">
        <v>42000</v>
      </c>
      <c r="L644" s="124">
        <v>43550.77</v>
      </c>
    </row>
    <row r="645" spans="1:12" ht="15" customHeight="1" x14ac:dyDescent="0.25">
      <c r="A645" s="78">
        <v>45839</v>
      </c>
      <c r="B645" t="s">
        <v>409</v>
      </c>
      <c r="C645" t="s">
        <v>410</v>
      </c>
      <c r="D645" t="s">
        <v>223</v>
      </c>
      <c r="E645" t="s">
        <v>231</v>
      </c>
      <c r="F645" s="126">
        <v>12.7</v>
      </c>
      <c r="G645" s="77">
        <v>29000</v>
      </c>
      <c r="H645" s="126">
        <v>34.6</v>
      </c>
      <c r="I645" s="124">
        <v>643.21</v>
      </c>
      <c r="J645" s="126">
        <v>6.4</v>
      </c>
      <c r="K645" s="124">
        <v>30691.666666666701</v>
      </c>
      <c r="L645" s="124">
        <v>31334.8766666667</v>
      </c>
    </row>
    <row r="646" spans="1:12" ht="15" customHeight="1" x14ac:dyDescent="0.25">
      <c r="A646" s="78">
        <v>45839</v>
      </c>
      <c r="B646" t="s">
        <v>488</v>
      </c>
      <c r="C646" t="s">
        <v>489</v>
      </c>
      <c r="D646" t="s">
        <v>225</v>
      </c>
      <c r="E646" t="s">
        <v>105</v>
      </c>
      <c r="F646" s="126">
        <v>8.1</v>
      </c>
      <c r="G646" s="77">
        <v>28000</v>
      </c>
      <c r="H646" s="126">
        <v>13.8</v>
      </c>
      <c r="I646" s="124">
        <v>247.69</v>
      </c>
      <c r="J646" s="126">
        <v>5.2</v>
      </c>
      <c r="K646" s="124">
        <v>18900</v>
      </c>
      <c r="L646" s="124">
        <v>19147.689999999999</v>
      </c>
    </row>
    <row r="647" spans="1:12" ht="15" customHeight="1" x14ac:dyDescent="0.25">
      <c r="A647" s="78">
        <v>45839</v>
      </c>
      <c r="B647" t="s">
        <v>488</v>
      </c>
      <c r="C647" t="s">
        <v>489</v>
      </c>
      <c r="D647" t="s">
        <v>225</v>
      </c>
      <c r="E647" t="s">
        <v>2367</v>
      </c>
      <c r="F647" s="126">
        <v>14.1</v>
      </c>
      <c r="G647" s="77">
        <v>43000</v>
      </c>
      <c r="H647" s="126">
        <v>52.1</v>
      </c>
      <c r="I647" s="124">
        <v>1436.09</v>
      </c>
      <c r="J647" s="126">
        <v>8.1999999999999993</v>
      </c>
      <c r="K647" s="124">
        <v>50525</v>
      </c>
      <c r="L647" s="124">
        <v>51961.09</v>
      </c>
    </row>
    <row r="648" spans="1:12" ht="15" customHeight="1" x14ac:dyDescent="0.25">
      <c r="A648" s="78">
        <v>45839</v>
      </c>
      <c r="B648" t="s">
        <v>488</v>
      </c>
      <c r="C648" t="s">
        <v>489</v>
      </c>
      <c r="D648" t="s">
        <v>225</v>
      </c>
      <c r="E648" t="s">
        <v>231</v>
      </c>
      <c r="F648" s="126">
        <v>3.7</v>
      </c>
      <c r="G648" s="77">
        <v>29000</v>
      </c>
      <c r="H648" s="126">
        <v>11.9</v>
      </c>
      <c r="I648" s="124">
        <v>221.22</v>
      </c>
      <c r="J648" s="126">
        <v>1.3</v>
      </c>
      <c r="K648" s="124">
        <v>8941.6666666666697</v>
      </c>
      <c r="L648" s="124">
        <v>9162.8866666666709</v>
      </c>
    </row>
    <row r="649" spans="1:12" ht="15" customHeight="1" x14ac:dyDescent="0.25">
      <c r="A649" s="78">
        <v>45839</v>
      </c>
      <c r="B649" t="s">
        <v>488</v>
      </c>
      <c r="C649" t="s">
        <v>489</v>
      </c>
      <c r="D649" t="s">
        <v>225</v>
      </c>
      <c r="E649" t="s">
        <v>2369</v>
      </c>
      <c r="F649" s="126">
        <v>6.9</v>
      </c>
      <c r="G649" s="77">
        <v>35000</v>
      </c>
      <c r="H649" s="126">
        <v>19.7</v>
      </c>
      <c r="I649" s="124">
        <v>441.99</v>
      </c>
      <c r="J649" s="126">
        <v>4.3</v>
      </c>
      <c r="K649" s="124">
        <v>20125</v>
      </c>
      <c r="L649" s="124">
        <v>20566.990000000002</v>
      </c>
    </row>
    <row r="650" spans="1:12" ht="15" customHeight="1" x14ac:dyDescent="0.25">
      <c r="A650" s="78">
        <v>45839</v>
      </c>
      <c r="B650" t="s">
        <v>488</v>
      </c>
      <c r="C650" t="s">
        <v>489</v>
      </c>
      <c r="D650" t="s">
        <v>225</v>
      </c>
      <c r="E650" t="s">
        <v>2368</v>
      </c>
      <c r="F650" s="126">
        <v>18.399999999999999</v>
      </c>
      <c r="G650" s="77">
        <v>27000</v>
      </c>
      <c r="H650" s="126">
        <v>54</v>
      </c>
      <c r="I650" s="124">
        <v>934.62</v>
      </c>
      <c r="J650" s="126">
        <v>9.8000000000000007</v>
      </c>
      <c r="K650" s="124">
        <v>41400</v>
      </c>
      <c r="L650" s="124">
        <v>42334.62</v>
      </c>
    </row>
    <row r="651" spans="1:12" ht="15" customHeight="1" x14ac:dyDescent="0.25">
      <c r="A651" s="78">
        <v>45839</v>
      </c>
      <c r="B651" t="s">
        <v>406</v>
      </c>
      <c r="C651" t="s">
        <v>407</v>
      </c>
      <c r="D651" t="s">
        <v>225</v>
      </c>
      <c r="E651" t="s">
        <v>2369</v>
      </c>
      <c r="F651" s="126">
        <v>6.8</v>
      </c>
      <c r="G651" s="77">
        <v>35000</v>
      </c>
      <c r="H651" s="126">
        <v>23.3</v>
      </c>
      <c r="I651" s="124">
        <v>522.76</v>
      </c>
      <c r="J651" s="126">
        <v>1.4</v>
      </c>
      <c r="K651" s="124">
        <v>19833.333333333299</v>
      </c>
      <c r="L651" s="124">
        <v>20356.093333333301</v>
      </c>
    </row>
    <row r="652" spans="1:12" ht="15" customHeight="1" x14ac:dyDescent="0.25">
      <c r="A652" s="78">
        <v>45839</v>
      </c>
      <c r="B652" t="s">
        <v>406</v>
      </c>
      <c r="C652" t="s">
        <v>407</v>
      </c>
      <c r="D652" t="s">
        <v>225</v>
      </c>
      <c r="E652" t="s">
        <v>230</v>
      </c>
      <c r="F652" s="126">
        <v>17</v>
      </c>
      <c r="G652" s="77">
        <v>41000</v>
      </c>
      <c r="H652" s="126">
        <v>53.5</v>
      </c>
      <c r="I652" s="124">
        <v>1406.09</v>
      </c>
      <c r="J652" s="126">
        <v>7.3</v>
      </c>
      <c r="K652" s="124">
        <v>58083.333333333299</v>
      </c>
      <c r="L652" s="124">
        <v>59489.423333333303</v>
      </c>
    </row>
    <row r="653" spans="1:12" ht="15" customHeight="1" x14ac:dyDescent="0.25">
      <c r="A653" s="78">
        <v>45839</v>
      </c>
      <c r="B653" t="s">
        <v>406</v>
      </c>
      <c r="C653" t="s">
        <v>407</v>
      </c>
      <c r="D653" t="s">
        <v>225</v>
      </c>
      <c r="E653" t="s">
        <v>232</v>
      </c>
      <c r="F653" s="126">
        <v>7.1</v>
      </c>
      <c r="G653" s="77">
        <v>25000</v>
      </c>
      <c r="H653" s="126">
        <v>28.8</v>
      </c>
      <c r="I653" s="124">
        <v>461.54</v>
      </c>
      <c r="J653" s="126">
        <v>2.4</v>
      </c>
      <c r="K653" s="124">
        <v>14791.666666666701</v>
      </c>
      <c r="L653" s="124">
        <v>15253.2066666667</v>
      </c>
    </row>
    <row r="654" spans="1:12" ht="15" customHeight="1" x14ac:dyDescent="0.25">
      <c r="A654" s="78">
        <v>45839</v>
      </c>
      <c r="B654" t="s">
        <v>406</v>
      </c>
      <c r="C654" t="s">
        <v>407</v>
      </c>
      <c r="D654" t="s">
        <v>225</v>
      </c>
      <c r="E654" t="s">
        <v>231</v>
      </c>
      <c r="F654" s="126">
        <v>3</v>
      </c>
      <c r="G654" s="77">
        <v>29000</v>
      </c>
      <c r="H654" s="126">
        <v>16.2</v>
      </c>
      <c r="I654" s="124">
        <v>301.14999999999998</v>
      </c>
      <c r="J654" s="126">
        <v>1.4</v>
      </c>
      <c r="K654" s="124">
        <v>7250</v>
      </c>
      <c r="L654" s="124">
        <v>7551.15</v>
      </c>
    </row>
    <row r="655" spans="1:12" ht="15" customHeight="1" x14ac:dyDescent="0.25">
      <c r="A655" s="78">
        <v>45839</v>
      </c>
      <c r="B655" t="s">
        <v>406</v>
      </c>
      <c r="C655" t="s">
        <v>407</v>
      </c>
      <c r="D655" t="s">
        <v>225</v>
      </c>
      <c r="E655" t="s">
        <v>2367</v>
      </c>
      <c r="F655" s="126">
        <v>3.8</v>
      </c>
      <c r="G655" s="77">
        <v>43000</v>
      </c>
      <c r="H655" s="126">
        <v>14.2</v>
      </c>
      <c r="I655" s="124">
        <v>391.41</v>
      </c>
      <c r="J655" s="126">
        <v>2.6</v>
      </c>
      <c r="K655" s="124">
        <v>13616.666666666701</v>
      </c>
      <c r="L655" s="124">
        <v>14008.0766666667</v>
      </c>
    </row>
    <row r="656" spans="1:12" ht="15" customHeight="1" x14ac:dyDescent="0.25">
      <c r="A656" s="78">
        <v>45839</v>
      </c>
      <c r="B656" t="s">
        <v>358</v>
      </c>
      <c r="C656" t="s">
        <v>359</v>
      </c>
      <c r="D656" t="s">
        <v>225</v>
      </c>
      <c r="E656" t="s">
        <v>105</v>
      </c>
      <c r="F656" s="126">
        <v>3.3</v>
      </c>
      <c r="G656" s="77">
        <v>28000</v>
      </c>
      <c r="H656" s="126">
        <v>18</v>
      </c>
      <c r="I656" s="124">
        <v>323.08</v>
      </c>
      <c r="J656" s="126">
        <v>1.6</v>
      </c>
      <c r="K656" s="124">
        <v>7700</v>
      </c>
      <c r="L656" s="124">
        <v>8023.08</v>
      </c>
    </row>
    <row r="657" spans="1:12" ht="15" customHeight="1" x14ac:dyDescent="0.25">
      <c r="A657" s="78">
        <v>45839</v>
      </c>
      <c r="B657" t="s">
        <v>358</v>
      </c>
      <c r="C657" t="s">
        <v>359</v>
      </c>
      <c r="D657" t="s">
        <v>225</v>
      </c>
      <c r="E657" t="s">
        <v>230</v>
      </c>
      <c r="F657" s="126">
        <v>17.8</v>
      </c>
      <c r="G657" s="77">
        <v>41000</v>
      </c>
      <c r="H657" s="126">
        <v>50.6</v>
      </c>
      <c r="I657" s="124">
        <v>1329.87</v>
      </c>
      <c r="J657" s="126">
        <v>7.1</v>
      </c>
      <c r="K657" s="124">
        <v>60816.666666666701</v>
      </c>
      <c r="L657" s="124">
        <v>62146.536666666703</v>
      </c>
    </row>
    <row r="658" spans="1:12" ht="15" customHeight="1" x14ac:dyDescent="0.25">
      <c r="A658" s="78">
        <v>45839</v>
      </c>
      <c r="B658" t="s">
        <v>358</v>
      </c>
      <c r="C658" t="s">
        <v>359</v>
      </c>
      <c r="D658" t="s">
        <v>225</v>
      </c>
      <c r="E658" t="s">
        <v>2367</v>
      </c>
      <c r="F658" s="126">
        <v>15.5</v>
      </c>
      <c r="G658" s="77">
        <v>43000</v>
      </c>
      <c r="H658" s="126">
        <v>46</v>
      </c>
      <c r="I658" s="124">
        <v>1267.95</v>
      </c>
      <c r="J658" s="126">
        <v>7.1</v>
      </c>
      <c r="K658" s="124">
        <v>55541.666666666701</v>
      </c>
      <c r="L658" s="124">
        <v>56809.616666666698</v>
      </c>
    </row>
    <row r="659" spans="1:12" ht="15" customHeight="1" x14ac:dyDescent="0.25">
      <c r="A659" s="78">
        <v>45839</v>
      </c>
      <c r="B659" t="s">
        <v>358</v>
      </c>
      <c r="C659" t="s">
        <v>359</v>
      </c>
      <c r="D659" t="s">
        <v>225</v>
      </c>
      <c r="E659" t="s">
        <v>2369</v>
      </c>
      <c r="F659" s="126">
        <v>16</v>
      </c>
      <c r="G659" s="77">
        <v>35000</v>
      </c>
      <c r="H659" s="126">
        <v>66.599999999999994</v>
      </c>
      <c r="I659" s="124">
        <v>1494.23</v>
      </c>
      <c r="J659" s="126">
        <v>7.7</v>
      </c>
      <c r="K659" s="124">
        <v>46666.666666666701</v>
      </c>
      <c r="L659" s="124">
        <v>48160.896666666697</v>
      </c>
    </row>
    <row r="660" spans="1:12" ht="15" customHeight="1" x14ac:dyDescent="0.25">
      <c r="A660" s="78">
        <v>45839</v>
      </c>
      <c r="B660" t="s">
        <v>383</v>
      </c>
      <c r="C660" t="s">
        <v>384</v>
      </c>
      <c r="D660" t="s">
        <v>225</v>
      </c>
      <c r="E660" t="s">
        <v>105</v>
      </c>
      <c r="F660" s="126">
        <v>6.6</v>
      </c>
      <c r="G660" s="77">
        <v>28000</v>
      </c>
      <c r="H660" s="126">
        <v>33.200000000000003</v>
      </c>
      <c r="I660" s="124">
        <v>595.9</v>
      </c>
      <c r="J660" s="126">
        <v>2.7</v>
      </c>
      <c r="K660" s="124">
        <v>15400</v>
      </c>
      <c r="L660" s="124">
        <v>15995.9</v>
      </c>
    </row>
    <row r="661" spans="1:12" ht="15" customHeight="1" x14ac:dyDescent="0.25">
      <c r="A661" s="78">
        <v>45839</v>
      </c>
      <c r="B661" t="s">
        <v>383</v>
      </c>
      <c r="C661" t="s">
        <v>384</v>
      </c>
      <c r="D661" t="s">
        <v>225</v>
      </c>
      <c r="E661" t="s">
        <v>2367</v>
      </c>
      <c r="F661" s="126">
        <v>14.2</v>
      </c>
      <c r="G661" s="77">
        <v>43000</v>
      </c>
      <c r="H661" s="126">
        <v>55.6</v>
      </c>
      <c r="I661" s="124">
        <v>1532.56</v>
      </c>
      <c r="J661" s="126">
        <v>8.3000000000000007</v>
      </c>
      <c r="K661" s="124">
        <v>50883.333333333299</v>
      </c>
      <c r="L661" s="124">
        <v>52415.893333333297</v>
      </c>
    </row>
    <row r="662" spans="1:12" ht="15" customHeight="1" x14ac:dyDescent="0.25">
      <c r="A662" s="78">
        <v>45839</v>
      </c>
      <c r="B662" t="s">
        <v>383</v>
      </c>
      <c r="C662" t="s">
        <v>384</v>
      </c>
      <c r="D662" t="s">
        <v>225</v>
      </c>
      <c r="E662" t="s">
        <v>232</v>
      </c>
      <c r="F662" s="126">
        <v>7.9</v>
      </c>
      <c r="G662" s="77">
        <v>25000</v>
      </c>
      <c r="H662" s="126">
        <v>35.700000000000003</v>
      </c>
      <c r="I662" s="124">
        <v>572.12</v>
      </c>
      <c r="J662" s="126">
        <v>3.9</v>
      </c>
      <c r="K662" s="124">
        <v>16458.333333333299</v>
      </c>
      <c r="L662" s="124">
        <v>17030.453333333298</v>
      </c>
    </row>
    <row r="663" spans="1:12" ht="15" customHeight="1" x14ac:dyDescent="0.25">
      <c r="A663" s="78">
        <v>45839</v>
      </c>
      <c r="B663" t="s">
        <v>383</v>
      </c>
      <c r="C663" t="s">
        <v>384</v>
      </c>
      <c r="D663" t="s">
        <v>225</v>
      </c>
      <c r="E663" t="s">
        <v>2369</v>
      </c>
      <c r="F663" s="126">
        <v>5</v>
      </c>
      <c r="G663" s="77">
        <v>35000</v>
      </c>
      <c r="H663" s="126">
        <v>15.5</v>
      </c>
      <c r="I663" s="124">
        <v>347.76</v>
      </c>
      <c r="J663" s="126">
        <v>1.9</v>
      </c>
      <c r="K663" s="124">
        <v>14583.333333333299</v>
      </c>
      <c r="L663" s="124">
        <v>14931.0933333333</v>
      </c>
    </row>
    <row r="664" spans="1:12" ht="15" customHeight="1" x14ac:dyDescent="0.25">
      <c r="A664" s="78">
        <v>45839</v>
      </c>
      <c r="B664" t="s">
        <v>383</v>
      </c>
      <c r="C664" t="s">
        <v>384</v>
      </c>
      <c r="D664" t="s">
        <v>225</v>
      </c>
      <c r="E664" t="s">
        <v>230</v>
      </c>
      <c r="F664" s="126">
        <v>7</v>
      </c>
      <c r="G664" s="77">
        <v>41000</v>
      </c>
      <c r="H664" s="126">
        <v>19.100000000000001</v>
      </c>
      <c r="I664" s="124">
        <v>501.99</v>
      </c>
      <c r="J664" s="126">
        <v>3</v>
      </c>
      <c r="K664" s="124">
        <v>23916.666666666701</v>
      </c>
      <c r="L664" s="124">
        <v>24418.656666666699</v>
      </c>
    </row>
    <row r="665" spans="1:12" ht="15" customHeight="1" x14ac:dyDescent="0.25">
      <c r="A665" s="78">
        <v>45839</v>
      </c>
      <c r="B665" t="s">
        <v>373</v>
      </c>
      <c r="C665" t="s">
        <v>374</v>
      </c>
      <c r="D665" t="s">
        <v>225</v>
      </c>
      <c r="E665" t="s">
        <v>2367</v>
      </c>
      <c r="F665" s="126">
        <v>14.2</v>
      </c>
      <c r="G665" s="77">
        <v>43000</v>
      </c>
      <c r="H665" s="126">
        <v>72.900000000000006</v>
      </c>
      <c r="I665" s="124">
        <v>2009.42</v>
      </c>
      <c r="J665" s="126">
        <v>6.9</v>
      </c>
      <c r="K665" s="124">
        <v>50883.333333333299</v>
      </c>
      <c r="L665" s="124">
        <v>52892.753333333298</v>
      </c>
    </row>
    <row r="666" spans="1:12" ht="15" customHeight="1" x14ac:dyDescent="0.25">
      <c r="A666" s="78">
        <v>45839</v>
      </c>
      <c r="B666" t="s">
        <v>373</v>
      </c>
      <c r="C666" t="s">
        <v>374</v>
      </c>
      <c r="D666" t="s">
        <v>225</v>
      </c>
      <c r="E666" t="s">
        <v>2368</v>
      </c>
      <c r="F666" s="126">
        <v>3.2</v>
      </c>
      <c r="G666" s="77">
        <v>27000</v>
      </c>
      <c r="H666" s="126">
        <v>6.3</v>
      </c>
      <c r="I666" s="124">
        <v>109.04</v>
      </c>
      <c r="J666" s="126">
        <v>3.4</v>
      </c>
      <c r="K666" s="124">
        <v>7200</v>
      </c>
      <c r="L666" s="124">
        <v>7309.04</v>
      </c>
    </row>
    <row r="667" spans="1:12" ht="15" customHeight="1" x14ac:dyDescent="0.25">
      <c r="A667" s="78">
        <v>45839</v>
      </c>
      <c r="B667" t="s">
        <v>373</v>
      </c>
      <c r="C667" t="s">
        <v>374</v>
      </c>
      <c r="D667" t="s">
        <v>225</v>
      </c>
      <c r="E667" t="s">
        <v>230</v>
      </c>
      <c r="F667" s="126">
        <v>10.3</v>
      </c>
      <c r="G667" s="77">
        <v>41000</v>
      </c>
      <c r="H667" s="126">
        <v>46.1</v>
      </c>
      <c r="I667" s="124">
        <v>1211.5999999999999</v>
      </c>
      <c r="J667" s="126">
        <v>3.7</v>
      </c>
      <c r="K667" s="124">
        <v>35191.666666666701</v>
      </c>
      <c r="L667" s="124">
        <v>36403.266666666699</v>
      </c>
    </row>
    <row r="668" spans="1:12" ht="15" customHeight="1" x14ac:dyDescent="0.25">
      <c r="A668" s="78">
        <v>45839</v>
      </c>
      <c r="B668" t="s">
        <v>373</v>
      </c>
      <c r="C668" t="s">
        <v>374</v>
      </c>
      <c r="D668" t="s">
        <v>225</v>
      </c>
      <c r="E668" t="s">
        <v>231</v>
      </c>
      <c r="F668" s="126">
        <v>8.6</v>
      </c>
      <c r="G668" s="77">
        <v>29000</v>
      </c>
      <c r="H668" s="126">
        <v>28.7</v>
      </c>
      <c r="I668" s="124">
        <v>533.53</v>
      </c>
      <c r="J668" s="126">
        <v>4.4000000000000004</v>
      </c>
      <c r="K668" s="124">
        <v>20783.333333333299</v>
      </c>
      <c r="L668" s="124">
        <v>21316.863333333298</v>
      </c>
    </row>
    <row r="669" spans="1:12" ht="15" customHeight="1" x14ac:dyDescent="0.25">
      <c r="A669" s="78">
        <v>45839</v>
      </c>
      <c r="B669" t="s">
        <v>373</v>
      </c>
      <c r="C669" t="s">
        <v>374</v>
      </c>
      <c r="D669" t="s">
        <v>225</v>
      </c>
      <c r="E669" t="s">
        <v>105</v>
      </c>
      <c r="F669" s="126">
        <v>7.2</v>
      </c>
      <c r="G669" s="77">
        <v>28000</v>
      </c>
      <c r="H669" s="126">
        <v>47.2</v>
      </c>
      <c r="I669" s="124">
        <v>847.18</v>
      </c>
      <c r="J669" s="126">
        <v>2.5</v>
      </c>
      <c r="K669" s="124">
        <v>16800</v>
      </c>
      <c r="L669" s="124">
        <v>17647.18</v>
      </c>
    </row>
    <row r="670" spans="1:12" ht="15" customHeight="1" x14ac:dyDescent="0.25">
      <c r="A670" s="78">
        <v>45839</v>
      </c>
      <c r="B670" t="s">
        <v>354</v>
      </c>
      <c r="C670" t="s">
        <v>355</v>
      </c>
      <c r="D670" t="s">
        <v>227</v>
      </c>
      <c r="E670" t="s">
        <v>232</v>
      </c>
      <c r="F670" s="126">
        <v>14.2</v>
      </c>
      <c r="G670" s="77">
        <v>25000</v>
      </c>
      <c r="H670" s="126">
        <v>77.599999999999994</v>
      </c>
      <c r="I670" s="124">
        <v>1243.5899999999999</v>
      </c>
      <c r="J670" s="126">
        <v>8.5</v>
      </c>
      <c r="K670" s="124">
        <v>29583.333333333299</v>
      </c>
      <c r="L670" s="124">
        <v>30826.9233333333</v>
      </c>
    </row>
    <row r="671" spans="1:12" ht="15" customHeight="1" x14ac:dyDescent="0.25">
      <c r="A671" s="78">
        <v>45839</v>
      </c>
      <c r="B671" t="s">
        <v>354</v>
      </c>
      <c r="C671" t="s">
        <v>355</v>
      </c>
      <c r="D671" t="s">
        <v>227</v>
      </c>
      <c r="E671" t="s">
        <v>105</v>
      </c>
      <c r="F671" s="126">
        <v>14.4</v>
      </c>
      <c r="G671" s="77">
        <v>28000</v>
      </c>
      <c r="H671" s="126">
        <v>44</v>
      </c>
      <c r="I671" s="124">
        <v>789.74</v>
      </c>
      <c r="J671" s="126">
        <v>6.9</v>
      </c>
      <c r="K671" s="124">
        <v>33600</v>
      </c>
      <c r="L671" s="124">
        <v>34389.74</v>
      </c>
    </row>
    <row r="672" spans="1:12" ht="15" customHeight="1" x14ac:dyDescent="0.25">
      <c r="A672" s="78">
        <v>45839</v>
      </c>
      <c r="B672" t="s">
        <v>354</v>
      </c>
      <c r="C672" t="s">
        <v>355</v>
      </c>
      <c r="D672" t="s">
        <v>227</v>
      </c>
      <c r="E672" t="s">
        <v>231</v>
      </c>
      <c r="F672" s="126">
        <v>10.1</v>
      </c>
      <c r="G672" s="77">
        <v>29000</v>
      </c>
      <c r="H672" s="126">
        <v>24.7</v>
      </c>
      <c r="I672" s="124">
        <v>459.17</v>
      </c>
      <c r="J672" s="126">
        <v>4.8</v>
      </c>
      <c r="K672" s="124">
        <v>24408.333333333299</v>
      </c>
      <c r="L672" s="124">
        <v>24867.503333333301</v>
      </c>
    </row>
    <row r="673" spans="1:12" ht="15" customHeight="1" x14ac:dyDescent="0.25">
      <c r="A673" s="78">
        <v>45839</v>
      </c>
      <c r="B673" t="s">
        <v>354</v>
      </c>
      <c r="C673" t="s">
        <v>355</v>
      </c>
      <c r="D673" t="s">
        <v>227</v>
      </c>
      <c r="E673" t="s">
        <v>230</v>
      </c>
      <c r="F673" s="126">
        <v>18.399999999999999</v>
      </c>
      <c r="G673" s="77">
        <v>41000</v>
      </c>
      <c r="H673" s="126">
        <v>72.599999999999994</v>
      </c>
      <c r="I673" s="124">
        <v>1908.08</v>
      </c>
      <c r="J673" s="126">
        <v>9.9</v>
      </c>
      <c r="K673" s="124">
        <v>62866.666666666701</v>
      </c>
      <c r="L673" s="124">
        <v>64774.746666666702</v>
      </c>
    </row>
    <row r="674" spans="1:12" ht="15" customHeight="1" x14ac:dyDescent="0.25">
      <c r="A674" s="78">
        <v>45839</v>
      </c>
      <c r="B674" t="s">
        <v>354</v>
      </c>
      <c r="C674" t="s">
        <v>355</v>
      </c>
      <c r="D674" t="s">
        <v>227</v>
      </c>
      <c r="E674" t="s">
        <v>2368</v>
      </c>
      <c r="F674" s="126">
        <v>6.5</v>
      </c>
      <c r="G674" s="77">
        <v>27000</v>
      </c>
      <c r="H674" s="126">
        <v>36.6</v>
      </c>
      <c r="I674" s="124">
        <v>633.46</v>
      </c>
      <c r="J674" s="126">
        <v>2.5</v>
      </c>
      <c r="K674" s="124">
        <v>14625</v>
      </c>
      <c r="L674" s="124">
        <v>15258.46</v>
      </c>
    </row>
    <row r="675" spans="1:12" ht="15" customHeight="1" x14ac:dyDescent="0.25">
      <c r="A675" s="78">
        <v>45839</v>
      </c>
      <c r="B675" t="s">
        <v>370</v>
      </c>
      <c r="C675" t="s">
        <v>371</v>
      </c>
      <c r="D675" t="s">
        <v>227</v>
      </c>
      <c r="E675" t="s">
        <v>230</v>
      </c>
      <c r="F675" s="126">
        <v>20</v>
      </c>
      <c r="G675" s="77">
        <v>41000</v>
      </c>
      <c r="H675" s="126">
        <v>21</v>
      </c>
      <c r="I675" s="124">
        <v>551.91999999999996</v>
      </c>
      <c r="J675" s="126">
        <v>10</v>
      </c>
      <c r="K675" s="124">
        <v>68333.333333333299</v>
      </c>
      <c r="L675" s="124">
        <v>68885.253333333298</v>
      </c>
    </row>
    <row r="676" spans="1:12" ht="15" customHeight="1" x14ac:dyDescent="0.25">
      <c r="A676" s="78">
        <v>45839</v>
      </c>
      <c r="B676" t="s">
        <v>370</v>
      </c>
      <c r="C676" t="s">
        <v>371</v>
      </c>
      <c r="D676" t="s">
        <v>227</v>
      </c>
      <c r="E676" t="s">
        <v>232</v>
      </c>
      <c r="F676" s="126">
        <v>14.8</v>
      </c>
      <c r="G676" s="77">
        <v>25000</v>
      </c>
      <c r="H676" s="126">
        <v>65.7</v>
      </c>
      <c r="I676" s="124">
        <v>1052.8800000000001</v>
      </c>
      <c r="J676" s="126">
        <v>7.6</v>
      </c>
      <c r="K676" s="124">
        <v>30833.333333333299</v>
      </c>
      <c r="L676" s="124">
        <v>31886.2133333333</v>
      </c>
    </row>
    <row r="677" spans="1:12" ht="15" customHeight="1" x14ac:dyDescent="0.25">
      <c r="A677" s="78">
        <v>45839</v>
      </c>
      <c r="B677" t="s">
        <v>370</v>
      </c>
      <c r="C677" t="s">
        <v>371</v>
      </c>
      <c r="D677" t="s">
        <v>227</v>
      </c>
      <c r="E677" t="s">
        <v>105</v>
      </c>
      <c r="F677" s="126">
        <v>13.9</v>
      </c>
      <c r="G677" s="77">
        <v>28000</v>
      </c>
      <c r="H677" s="126">
        <v>48.8</v>
      </c>
      <c r="I677" s="124">
        <v>875.9</v>
      </c>
      <c r="J677" s="126">
        <v>7.1</v>
      </c>
      <c r="K677" s="124">
        <v>32433.333333333299</v>
      </c>
      <c r="L677" s="124">
        <v>33309.233333333301</v>
      </c>
    </row>
    <row r="678" spans="1:12" ht="15" customHeight="1" x14ac:dyDescent="0.25">
      <c r="A678" s="78">
        <v>45839</v>
      </c>
      <c r="B678" t="s">
        <v>370</v>
      </c>
      <c r="C678" t="s">
        <v>371</v>
      </c>
      <c r="D678" t="s">
        <v>227</v>
      </c>
      <c r="E678" t="s">
        <v>2367</v>
      </c>
      <c r="F678" s="126">
        <v>4.3</v>
      </c>
      <c r="G678" s="77">
        <v>43000</v>
      </c>
      <c r="H678" s="126">
        <v>27</v>
      </c>
      <c r="I678" s="124">
        <v>744.23</v>
      </c>
      <c r="J678" s="126">
        <v>2.5</v>
      </c>
      <c r="K678" s="124">
        <v>15408.333333333299</v>
      </c>
      <c r="L678" s="124">
        <v>16152.563333333301</v>
      </c>
    </row>
    <row r="679" spans="1:12" ht="15" customHeight="1" x14ac:dyDescent="0.25">
      <c r="A679" s="78">
        <v>45839</v>
      </c>
      <c r="B679" t="s">
        <v>398</v>
      </c>
      <c r="C679" t="s">
        <v>399</v>
      </c>
      <c r="D679" t="s">
        <v>227</v>
      </c>
      <c r="E679" t="s">
        <v>105</v>
      </c>
      <c r="F679" s="126">
        <v>4.0999999999999996</v>
      </c>
      <c r="G679" s="77">
        <v>28000</v>
      </c>
      <c r="H679" s="126">
        <v>14.1</v>
      </c>
      <c r="I679" s="124">
        <v>253.08</v>
      </c>
      <c r="J679" s="126">
        <v>1.5</v>
      </c>
      <c r="K679" s="124">
        <v>9566.6666666666697</v>
      </c>
      <c r="L679" s="124">
        <v>9819.7466666666696</v>
      </c>
    </row>
    <row r="680" spans="1:12" ht="15" customHeight="1" x14ac:dyDescent="0.25">
      <c r="A680" s="78">
        <v>45839</v>
      </c>
      <c r="B680" t="s">
        <v>398</v>
      </c>
      <c r="C680" t="s">
        <v>399</v>
      </c>
      <c r="D680" t="s">
        <v>227</v>
      </c>
      <c r="E680" t="s">
        <v>232</v>
      </c>
      <c r="F680" s="126">
        <v>16.100000000000001</v>
      </c>
      <c r="G680" s="77">
        <v>25000</v>
      </c>
      <c r="H680" s="126">
        <v>60.3</v>
      </c>
      <c r="I680" s="124">
        <v>966.35</v>
      </c>
      <c r="J680" s="126">
        <v>9.6999999999999993</v>
      </c>
      <c r="K680" s="124">
        <v>33541.666666666701</v>
      </c>
      <c r="L680" s="124">
        <v>34508.016666666699</v>
      </c>
    </row>
    <row r="681" spans="1:12" ht="15" customHeight="1" x14ac:dyDescent="0.25">
      <c r="A681" s="78">
        <v>45839</v>
      </c>
      <c r="B681" t="s">
        <v>398</v>
      </c>
      <c r="C681" t="s">
        <v>399</v>
      </c>
      <c r="D681" t="s">
        <v>227</v>
      </c>
      <c r="E681" t="s">
        <v>2368</v>
      </c>
      <c r="F681" s="126">
        <v>15.9</v>
      </c>
      <c r="G681" s="77">
        <v>27000</v>
      </c>
      <c r="H681" s="126">
        <v>59.2</v>
      </c>
      <c r="I681" s="124">
        <v>1024.6199999999999</v>
      </c>
      <c r="J681" s="126">
        <v>7.9</v>
      </c>
      <c r="K681" s="124">
        <v>35775</v>
      </c>
      <c r="L681" s="124">
        <v>36799.620000000003</v>
      </c>
    </row>
    <row r="682" spans="1:12" ht="15" customHeight="1" x14ac:dyDescent="0.25">
      <c r="A682" s="78">
        <v>45839</v>
      </c>
      <c r="B682" t="s">
        <v>398</v>
      </c>
      <c r="C682" t="s">
        <v>399</v>
      </c>
      <c r="D682" t="s">
        <v>227</v>
      </c>
      <c r="E682" t="s">
        <v>231</v>
      </c>
      <c r="F682" s="126">
        <v>7.6</v>
      </c>
      <c r="G682" s="77">
        <v>29000</v>
      </c>
      <c r="H682" s="126">
        <v>24.9</v>
      </c>
      <c r="I682" s="124">
        <v>462.88</v>
      </c>
      <c r="J682" s="126">
        <v>4.9000000000000004</v>
      </c>
      <c r="K682" s="124">
        <v>18366.666666666701</v>
      </c>
      <c r="L682" s="124">
        <v>18829.546666666702</v>
      </c>
    </row>
    <row r="683" spans="1:12" ht="15" customHeight="1" x14ac:dyDescent="0.25">
      <c r="A683" s="78">
        <v>45839</v>
      </c>
      <c r="B683" t="s">
        <v>378</v>
      </c>
      <c r="C683" t="s">
        <v>379</v>
      </c>
      <c r="D683" t="s">
        <v>227</v>
      </c>
      <c r="E683" t="s">
        <v>232</v>
      </c>
      <c r="F683" s="126">
        <v>11.5</v>
      </c>
      <c r="G683" s="77">
        <v>25000</v>
      </c>
      <c r="H683" s="126">
        <v>79.8</v>
      </c>
      <c r="I683" s="124">
        <v>1278.8499999999999</v>
      </c>
      <c r="J683" s="126">
        <v>6.2</v>
      </c>
      <c r="K683" s="124">
        <v>23958.333333333299</v>
      </c>
      <c r="L683" s="124">
        <v>25237.183333333302</v>
      </c>
    </row>
    <row r="684" spans="1:12" ht="15" customHeight="1" x14ac:dyDescent="0.25">
      <c r="A684" s="78">
        <v>45839</v>
      </c>
      <c r="B684" t="s">
        <v>378</v>
      </c>
      <c r="C684" t="s">
        <v>379</v>
      </c>
      <c r="D684" t="s">
        <v>227</v>
      </c>
      <c r="E684" t="s">
        <v>2369</v>
      </c>
      <c r="F684" s="126">
        <v>17.2</v>
      </c>
      <c r="G684" s="77">
        <v>35000</v>
      </c>
      <c r="H684" s="126">
        <v>70.900000000000006</v>
      </c>
      <c r="I684" s="124">
        <v>1590.71</v>
      </c>
      <c r="J684" s="126">
        <v>8.6</v>
      </c>
      <c r="K684" s="124">
        <v>50166.666666666701</v>
      </c>
      <c r="L684" s="124">
        <v>51757.3766666667</v>
      </c>
    </row>
    <row r="685" spans="1:12" ht="15" customHeight="1" x14ac:dyDescent="0.25">
      <c r="A685" s="78">
        <v>45839</v>
      </c>
      <c r="B685" t="s">
        <v>378</v>
      </c>
      <c r="C685" t="s">
        <v>379</v>
      </c>
      <c r="D685" t="s">
        <v>227</v>
      </c>
      <c r="E685" t="s">
        <v>230</v>
      </c>
      <c r="F685" s="126">
        <v>12.1</v>
      </c>
      <c r="G685" s="77">
        <v>41000</v>
      </c>
      <c r="H685" s="126">
        <v>5.0999999999999996</v>
      </c>
      <c r="I685" s="124">
        <v>134.04</v>
      </c>
      <c r="J685" s="126">
        <v>6.8</v>
      </c>
      <c r="K685" s="124">
        <v>41341.666666666701</v>
      </c>
      <c r="L685" s="124">
        <v>41475.706666666701</v>
      </c>
    </row>
    <row r="686" spans="1:12" ht="15" customHeight="1" x14ac:dyDescent="0.25">
      <c r="A686" s="78">
        <v>45839</v>
      </c>
      <c r="B686" t="s">
        <v>378</v>
      </c>
      <c r="C686" t="s">
        <v>379</v>
      </c>
      <c r="D686" t="s">
        <v>227</v>
      </c>
      <c r="E686" t="s">
        <v>105</v>
      </c>
      <c r="F686" s="126">
        <v>11.7</v>
      </c>
      <c r="G686" s="77">
        <v>28000</v>
      </c>
      <c r="H686" s="126">
        <v>49.2</v>
      </c>
      <c r="I686" s="124">
        <v>883.08</v>
      </c>
      <c r="J686" s="126">
        <v>6.3</v>
      </c>
      <c r="K686" s="124">
        <v>27300</v>
      </c>
      <c r="L686" s="124">
        <v>28183.08</v>
      </c>
    </row>
    <row r="687" spans="1:12" ht="15" customHeight="1" x14ac:dyDescent="0.25">
      <c r="A687" s="78">
        <v>45839</v>
      </c>
      <c r="B687" t="s">
        <v>393</v>
      </c>
      <c r="C687" t="s">
        <v>394</v>
      </c>
      <c r="D687" t="s">
        <v>227</v>
      </c>
      <c r="E687" t="s">
        <v>2368</v>
      </c>
      <c r="F687" s="126">
        <v>16.399999999999999</v>
      </c>
      <c r="G687" s="77">
        <v>27000</v>
      </c>
      <c r="H687" s="126">
        <v>48.1</v>
      </c>
      <c r="I687" s="124">
        <v>832.5</v>
      </c>
      <c r="J687" s="126">
        <v>7.8</v>
      </c>
      <c r="K687" s="124">
        <v>36900</v>
      </c>
      <c r="L687" s="124">
        <v>37732.5</v>
      </c>
    </row>
    <row r="688" spans="1:12" ht="15" customHeight="1" x14ac:dyDescent="0.25">
      <c r="A688" s="78">
        <v>45839</v>
      </c>
      <c r="B688" t="s">
        <v>393</v>
      </c>
      <c r="C688" t="s">
        <v>394</v>
      </c>
      <c r="D688" t="s">
        <v>227</v>
      </c>
      <c r="E688" t="s">
        <v>2367</v>
      </c>
      <c r="F688" s="126">
        <v>9</v>
      </c>
      <c r="G688" s="77">
        <v>43000</v>
      </c>
      <c r="H688" s="126">
        <v>30.5</v>
      </c>
      <c r="I688" s="124">
        <v>840.71</v>
      </c>
      <c r="J688" s="126">
        <v>5.5</v>
      </c>
      <c r="K688" s="124">
        <v>32250</v>
      </c>
      <c r="L688" s="124">
        <v>33090.71</v>
      </c>
    </row>
    <row r="689" spans="1:12" ht="15" customHeight="1" x14ac:dyDescent="0.25">
      <c r="A689" s="78">
        <v>45839</v>
      </c>
      <c r="B689" t="s">
        <v>393</v>
      </c>
      <c r="C689" t="s">
        <v>394</v>
      </c>
      <c r="D689" t="s">
        <v>227</v>
      </c>
      <c r="E689" t="s">
        <v>230</v>
      </c>
      <c r="F689" s="126">
        <v>9.6</v>
      </c>
      <c r="G689" s="77">
        <v>41000</v>
      </c>
      <c r="H689" s="126">
        <v>32.9</v>
      </c>
      <c r="I689" s="124">
        <v>864.68</v>
      </c>
      <c r="J689" s="126">
        <v>6.9</v>
      </c>
      <c r="K689" s="124">
        <v>32800</v>
      </c>
      <c r="L689" s="124">
        <v>33664.68</v>
      </c>
    </row>
    <row r="690" spans="1:12" ht="15" customHeight="1" x14ac:dyDescent="0.25">
      <c r="A690" s="78">
        <v>45839</v>
      </c>
      <c r="B690" t="s">
        <v>393</v>
      </c>
      <c r="C690" t="s">
        <v>394</v>
      </c>
      <c r="D690" t="s">
        <v>227</v>
      </c>
      <c r="E690" t="s">
        <v>232</v>
      </c>
      <c r="F690" s="126">
        <v>6.2</v>
      </c>
      <c r="G690" s="77">
        <v>25000</v>
      </c>
      <c r="H690" s="126">
        <v>28.8</v>
      </c>
      <c r="I690" s="124">
        <v>461.54</v>
      </c>
      <c r="J690" s="126">
        <v>1.8</v>
      </c>
      <c r="K690" s="124">
        <v>12916.666666666701</v>
      </c>
      <c r="L690" s="124">
        <v>13378.2066666667</v>
      </c>
    </row>
    <row r="691" spans="1:12" ht="15" customHeight="1" x14ac:dyDescent="0.25">
      <c r="A691" s="78">
        <v>45839</v>
      </c>
      <c r="B691" t="s">
        <v>393</v>
      </c>
      <c r="C691" t="s">
        <v>394</v>
      </c>
      <c r="D691" t="s">
        <v>227</v>
      </c>
      <c r="E691" t="s">
        <v>231</v>
      </c>
      <c r="F691" s="126">
        <v>19.100000000000001</v>
      </c>
      <c r="G691" s="77">
        <v>29000</v>
      </c>
      <c r="H691" s="126">
        <v>72.7</v>
      </c>
      <c r="I691" s="124">
        <v>1351.47</v>
      </c>
      <c r="J691" s="126">
        <v>8.9</v>
      </c>
      <c r="K691" s="124">
        <v>46158.333333333299</v>
      </c>
      <c r="L691" s="124">
        <v>47509.803333333301</v>
      </c>
    </row>
    <row r="692" spans="1:12" ht="15" customHeight="1" x14ac:dyDescent="0.25">
      <c r="A692" s="78">
        <v>45870</v>
      </c>
      <c r="B692" t="s">
        <v>390</v>
      </c>
      <c r="C692" t="s">
        <v>391</v>
      </c>
      <c r="D692" t="s">
        <v>221</v>
      </c>
      <c r="E692" t="s">
        <v>232</v>
      </c>
      <c r="F692" s="126">
        <v>8.8000000000000007</v>
      </c>
      <c r="G692" s="77">
        <v>25000</v>
      </c>
      <c r="H692" s="126">
        <v>6.2</v>
      </c>
      <c r="I692" s="124">
        <v>99.36</v>
      </c>
      <c r="J692" s="126">
        <v>6</v>
      </c>
      <c r="K692" s="124">
        <v>18333.333333333299</v>
      </c>
      <c r="L692" s="124">
        <v>18432.6933333333</v>
      </c>
    </row>
    <row r="693" spans="1:12" ht="15" customHeight="1" x14ac:dyDescent="0.25">
      <c r="A693" s="78">
        <v>45870</v>
      </c>
      <c r="B693" t="s">
        <v>390</v>
      </c>
      <c r="C693" t="s">
        <v>391</v>
      </c>
      <c r="D693" t="s">
        <v>221</v>
      </c>
      <c r="E693" t="s">
        <v>2367</v>
      </c>
      <c r="F693" s="126">
        <v>11.9</v>
      </c>
      <c r="G693" s="77">
        <v>43000</v>
      </c>
      <c r="H693" s="126">
        <v>60.2</v>
      </c>
      <c r="I693" s="124">
        <v>1659.36</v>
      </c>
      <c r="J693" s="126">
        <v>6.5</v>
      </c>
      <c r="K693" s="124">
        <v>42641.666666666701</v>
      </c>
      <c r="L693" s="124">
        <v>44301.026666666701</v>
      </c>
    </row>
    <row r="694" spans="1:12" ht="15" customHeight="1" x14ac:dyDescent="0.25">
      <c r="A694" s="78">
        <v>45870</v>
      </c>
      <c r="B694" t="s">
        <v>390</v>
      </c>
      <c r="C694" t="s">
        <v>391</v>
      </c>
      <c r="D694" t="s">
        <v>221</v>
      </c>
      <c r="E694" t="s">
        <v>105</v>
      </c>
      <c r="F694" s="126">
        <v>14.7</v>
      </c>
      <c r="G694" s="77">
        <v>28000</v>
      </c>
      <c r="H694" s="126">
        <v>62.4</v>
      </c>
      <c r="I694" s="124">
        <v>1120</v>
      </c>
      <c r="J694" s="126">
        <v>6</v>
      </c>
      <c r="K694" s="124">
        <v>34300</v>
      </c>
      <c r="L694" s="124">
        <v>35420</v>
      </c>
    </row>
    <row r="695" spans="1:12" ht="15" customHeight="1" x14ac:dyDescent="0.25">
      <c r="A695" s="78">
        <v>45870</v>
      </c>
      <c r="B695" t="s">
        <v>390</v>
      </c>
      <c r="C695" t="s">
        <v>391</v>
      </c>
      <c r="D695" t="s">
        <v>221</v>
      </c>
      <c r="E695" t="s">
        <v>2368</v>
      </c>
      <c r="F695" s="126">
        <v>6.3</v>
      </c>
      <c r="G695" s="77">
        <v>27000</v>
      </c>
      <c r="H695" s="126">
        <v>20.6</v>
      </c>
      <c r="I695" s="124">
        <v>356.54</v>
      </c>
      <c r="J695" s="126">
        <v>4</v>
      </c>
      <c r="K695" s="124">
        <v>14175</v>
      </c>
      <c r="L695" s="124">
        <v>14531.54</v>
      </c>
    </row>
    <row r="696" spans="1:12" ht="15" customHeight="1" x14ac:dyDescent="0.25">
      <c r="A696" s="78">
        <v>45870</v>
      </c>
      <c r="B696" t="s">
        <v>390</v>
      </c>
      <c r="C696" t="s">
        <v>391</v>
      </c>
      <c r="D696" t="s">
        <v>221</v>
      </c>
      <c r="E696" t="s">
        <v>2369</v>
      </c>
      <c r="F696" s="126">
        <v>19.8</v>
      </c>
      <c r="G696" s="77">
        <v>35000</v>
      </c>
      <c r="H696" s="126">
        <v>48</v>
      </c>
      <c r="I696" s="124">
        <v>1076.92</v>
      </c>
      <c r="J696" s="126">
        <v>7.4</v>
      </c>
      <c r="K696" s="124">
        <v>57750</v>
      </c>
      <c r="L696" s="124">
        <v>58826.92</v>
      </c>
    </row>
    <row r="697" spans="1:12" ht="15" customHeight="1" x14ac:dyDescent="0.25">
      <c r="A697" s="78">
        <v>45870</v>
      </c>
      <c r="B697" t="s">
        <v>390</v>
      </c>
      <c r="C697" t="s">
        <v>391</v>
      </c>
      <c r="D697" t="s">
        <v>221</v>
      </c>
      <c r="E697" t="s">
        <v>230</v>
      </c>
      <c r="F697" s="126">
        <v>15.9</v>
      </c>
      <c r="G697" s="77">
        <v>41000</v>
      </c>
      <c r="H697" s="126">
        <v>58.2</v>
      </c>
      <c r="I697" s="124">
        <v>1529.62</v>
      </c>
      <c r="J697" s="126">
        <v>7.8</v>
      </c>
      <c r="K697" s="124">
        <v>54325</v>
      </c>
      <c r="L697" s="124">
        <v>55854.62</v>
      </c>
    </row>
    <row r="698" spans="1:12" ht="15" customHeight="1" x14ac:dyDescent="0.25">
      <c r="A698" s="78">
        <v>45870</v>
      </c>
      <c r="B698" t="s">
        <v>401</v>
      </c>
      <c r="C698" t="s">
        <v>402</v>
      </c>
      <c r="D698" t="s">
        <v>221</v>
      </c>
      <c r="E698" t="s">
        <v>232</v>
      </c>
      <c r="F698" s="126">
        <v>16.7</v>
      </c>
      <c r="G698" s="77">
        <v>25000</v>
      </c>
      <c r="H698" s="126">
        <v>70.2</v>
      </c>
      <c r="I698" s="124">
        <v>1125</v>
      </c>
      <c r="J698" s="126">
        <v>9.1</v>
      </c>
      <c r="K698" s="124">
        <v>34791.666666666701</v>
      </c>
      <c r="L698" s="124">
        <v>35916.666666666701</v>
      </c>
    </row>
    <row r="699" spans="1:12" ht="15" customHeight="1" x14ac:dyDescent="0.25">
      <c r="A699" s="78">
        <v>45870</v>
      </c>
      <c r="B699" t="s">
        <v>401</v>
      </c>
      <c r="C699" t="s">
        <v>402</v>
      </c>
      <c r="D699" t="s">
        <v>221</v>
      </c>
      <c r="E699" t="s">
        <v>230</v>
      </c>
      <c r="F699" s="126">
        <v>16.2</v>
      </c>
      <c r="G699" s="77">
        <v>41000</v>
      </c>
      <c r="H699" s="126">
        <v>80.3</v>
      </c>
      <c r="I699" s="124">
        <v>2110.4499999999998</v>
      </c>
      <c r="J699" s="126">
        <v>8.4</v>
      </c>
      <c r="K699" s="124">
        <v>55350</v>
      </c>
      <c r="L699" s="124">
        <v>57460.45</v>
      </c>
    </row>
    <row r="700" spans="1:12" ht="15" customHeight="1" x14ac:dyDescent="0.25">
      <c r="A700" s="78">
        <v>45870</v>
      </c>
      <c r="B700" t="s">
        <v>401</v>
      </c>
      <c r="C700" t="s">
        <v>402</v>
      </c>
      <c r="D700" t="s">
        <v>221</v>
      </c>
      <c r="E700" t="s">
        <v>2369</v>
      </c>
      <c r="F700" s="126">
        <v>9.8000000000000007</v>
      </c>
      <c r="G700" s="77">
        <v>35000</v>
      </c>
      <c r="H700" s="126">
        <v>56.8</v>
      </c>
      <c r="I700" s="124">
        <v>1274.3599999999999</v>
      </c>
      <c r="J700" s="126">
        <v>3.4</v>
      </c>
      <c r="K700" s="124">
        <v>28583.333333333299</v>
      </c>
      <c r="L700" s="124">
        <v>29857.6933333333</v>
      </c>
    </row>
    <row r="701" spans="1:12" ht="15" customHeight="1" x14ac:dyDescent="0.25">
      <c r="A701" s="78">
        <v>45870</v>
      </c>
      <c r="B701" t="s">
        <v>401</v>
      </c>
      <c r="C701" t="s">
        <v>402</v>
      </c>
      <c r="D701" t="s">
        <v>221</v>
      </c>
      <c r="E701" t="s">
        <v>2367</v>
      </c>
      <c r="F701" s="126">
        <v>5.8</v>
      </c>
      <c r="G701" s="77">
        <v>43000</v>
      </c>
      <c r="H701" s="126">
        <v>27.6</v>
      </c>
      <c r="I701" s="124">
        <v>760.77</v>
      </c>
      <c r="J701" s="126">
        <v>3.5</v>
      </c>
      <c r="K701" s="124">
        <v>20783.333333333299</v>
      </c>
      <c r="L701" s="124">
        <v>21544.1033333333</v>
      </c>
    </row>
    <row r="702" spans="1:12" ht="15" customHeight="1" x14ac:dyDescent="0.25">
      <c r="A702" s="78">
        <v>45870</v>
      </c>
      <c r="B702" t="s">
        <v>401</v>
      </c>
      <c r="C702" t="s">
        <v>402</v>
      </c>
      <c r="D702" t="s">
        <v>221</v>
      </c>
      <c r="E702" t="s">
        <v>105</v>
      </c>
      <c r="F702" s="126">
        <v>13.6</v>
      </c>
      <c r="G702" s="77">
        <v>28000</v>
      </c>
      <c r="H702" s="126">
        <v>29.1</v>
      </c>
      <c r="I702" s="124">
        <v>522.30999999999995</v>
      </c>
      <c r="J702" s="126">
        <v>5.3</v>
      </c>
      <c r="K702" s="124">
        <v>31733.333333333299</v>
      </c>
      <c r="L702" s="124">
        <v>32255.643333333301</v>
      </c>
    </row>
    <row r="703" spans="1:12" ht="15" customHeight="1" x14ac:dyDescent="0.25">
      <c r="A703" s="78">
        <v>45870</v>
      </c>
      <c r="B703" t="s">
        <v>431</v>
      </c>
      <c r="C703" t="s">
        <v>432</v>
      </c>
      <c r="D703" t="s">
        <v>221</v>
      </c>
      <c r="E703" t="s">
        <v>105</v>
      </c>
      <c r="F703" s="126">
        <v>18.899999999999999</v>
      </c>
      <c r="G703" s="77">
        <v>28000</v>
      </c>
      <c r="H703" s="126">
        <v>54.5</v>
      </c>
      <c r="I703" s="124">
        <v>978.21</v>
      </c>
      <c r="J703" s="126">
        <v>8.8000000000000007</v>
      </c>
      <c r="K703" s="124">
        <v>44100</v>
      </c>
      <c r="L703" s="124">
        <v>45078.21</v>
      </c>
    </row>
    <row r="704" spans="1:12" ht="15" customHeight="1" x14ac:dyDescent="0.25">
      <c r="A704" s="78">
        <v>45870</v>
      </c>
      <c r="B704" t="s">
        <v>431</v>
      </c>
      <c r="C704" t="s">
        <v>432</v>
      </c>
      <c r="D704" t="s">
        <v>221</v>
      </c>
      <c r="E704" t="s">
        <v>2367</v>
      </c>
      <c r="F704" s="126">
        <v>16.3</v>
      </c>
      <c r="G704" s="77">
        <v>43000</v>
      </c>
      <c r="H704" s="126">
        <v>83.6</v>
      </c>
      <c r="I704" s="124">
        <v>2304.36</v>
      </c>
      <c r="J704" s="126">
        <v>7.5</v>
      </c>
      <c r="K704" s="124">
        <v>58408.333333333299</v>
      </c>
      <c r="L704" s="124">
        <v>60712.6933333333</v>
      </c>
    </row>
    <row r="705" spans="1:12" ht="15" customHeight="1" x14ac:dyDescent="0.25">
      <c r="A705" s="78">
        <v>45870</v>
      </c>
      <c r="B705" t="s">
        <v>431</v>
      </c>
      <c r="C705" t="s">
        <v>432</v>
      </c>
      <c r="D705" t="s">
        <v>221</v>
      </c>
      <c r="E705" t="s">
        <v>232</v>
      </c>
      <c r="F705" s="126">
        <v>12.5</v>
      </c>
      <c r="G705" s="77">
        <v>25000</v>
      </c>
      <c r="H705" s="126">
        <v>33.9</v>
      </c>
      <c r="I705" s="124">
        <v>543.27</v>
      </c>
      <c r="J705" s="126">
        <v>5.6</v>
      </c>
      <c r="K705" s="124">
        <v>26041.666666666701</v>
      </c>
      <c r="L705" s="124">
        <v>26584.936666666701</v>
      </c>
    </row>
    <row r="706" spans="1:12" ht="15" customHeight="1" x14ac:dyDescent="0.25">
      <c r="A706" s="78">
        <v>45870</v>
      </c>
      <c r="B706" t="s">
        <v>431</v>
      </c>
      <c r="C706" t="s">
        <v>432</v>
      </c>
      <c r="D706" t="s">
        <v>221</v>
      </c>
      <c r="E706" t="s">
        <v>231</v>
      </c>
      <c r="F706" s="126">
        <v>10.8</v>
      </c>
      <c r="G706" s="77">
        <v>29000</v>
      </c>
      <c r="H706" s="126">
        <v>61.3</v>
      </c>
      <c r="I706" s="124">
        <v>1139.55</v>
      </c>
      <c r="J706" s="126">
        <v>5.4</v>
      </c>
      <c r="K706" s="124">
        <v>26100</v>
      </c>
      <c r="L706" s="124">
        <v>27239.55</v>
      </c>
    </row>
    <row r="707" spans="1:12" ht="15" customHeight="1" x14ac:dyDescent="0.25">
      <c r="A707" s="78">
        <v>45870</v>
      </c>
      <c r="B707" t="s">
        <v>431</v>
      </c>
      <c r="C707" t="s">
        <v>432</v>
      </c>
      <c r="D707" t="s">
        <v>221</v>
      </c>
      <c r="E707" t="s">
        <v>230</v>
      </c>
      <c r="F707" s="126">
        <v>8.5</v>
      </c>
      <c r="G707" s="77">
        <v>41000</v>
      </c>
      <c r="H707" s="126">
        <v>31.7</v>
      </c>
      <c r="I707" s="124">
        <v>833.14</v>
      </c>
      <c r="J707" s="126">
        <v>4.0999999999999996</v>
      </c>
      <c r="K707" s="124">
        <v>29041.666666666701</v>
      </c>
      <c r="L707" s="124">
        <v>29874.8066666667</v>
      </c>
    </row>
    <row r="708" spans="1:12" ht="15" customHeight="1" x14ac:dyDescent="0.25">
      <c r="A708" s="78">
        <v>45870</v>
      </c>
      <c r="B708" t="s">
        <v>366</v>
      </c>
      <c r="C708" t="s">
        <v>367</v>
      </c>
      <c r="D708" t="s">
        <v>221</v>
      </c>
      <c r="E708" t="s">
        <v>231</v>
      </c>
      <c r="F708" s="126">
        <v>3.1</v>
      </c>
      <c r="G708" s="77">
        <v>29000</v>
      </c>
      <c r="H708" s="126">
        <v>18.399999999999999</v>
      </c>
      <c r="I708" s="124">
        <v>342.05</v>
      </c>
      <c r="J708" s="126">
        <v>0.8</v>
      </c>
      <c r="K708" s="124">
        <v>7491.6666666666697</v>
      </c>
      <c r="L708" s="124">
        <v>7833.7166666666699</v>
      </c>
    </row>
    <row r="709" spans="1:12" ht="15" customHeight="1" x14ac:dyDescent="0.25">
      <c r="A709" s="78">
        <v>45870</v>
      </c>
      <c r="B709" t="s">
        <v>366</v>
      </c>
      <c r="C709" t="s">
        <v>367</v>
      </c>
      <c r="D709" t="s">
        <v>221</v>
      </c>
      <c r="E709" t="s">
        <v>232</v>
      </c>
      <c r="F709" s="126">
        <v>9</v>
      </c>
      <c r="G709" s="77">
        <v>25000</v>
      </c>
      <c r="H709" s="126">
        <v>53.8</v>
      </c>
      <c r="I709" s="124">
        <v>862.18</v>
      </c>
      <c r="J709" s="126">
        <v>4.7</v>
      </c>
      <c r="K709" s="124">
        <v>18750</v>
      </c>
      <c r="L709" s="124">
        <v>19612.18</v>
      </c>
    </row>
    <row r="710" spans="1:12" ht="15" customHeight="1" x14ac:dyDescent="0.25">
      <c r="A710" s="78">
        <v>45870</v>
      </c>
      <c r="B710" t="s">
        <v>366</v>
      </c>
      <c r="C710" t="s">
        <v>367</v>
      </c>
      <c r="D710" t="s">
        <v>221</v>
      </c>
      <c r="E710" t="s">
        <v>2368</v>
      </c>
      <c r="F710" s="126">
        <v>19.8</v>
      </c>
      <c r="G710" s="77">
        <v>27000</v>
      </c>
      <c r="H710" s="126">
        <v>74.400000000000006</v>
      </c>
      <c r="I710" s="124">
        <v>1287.69</v>
      </c>
      <c r="J710" s="126">
        <v>12.4</v>
      </c>
      <c r="K710" s="124">
        <v>44550</v>
      </c>
      <c r="L710" s="124">
        <v>45837.69</v>
      </c>
    </row>
    <row r="711" spans="1:12" ht="15" customHeight="1" x14ac:dyDescent="0.25">
      <c r="A711" s="78">
        <v>45870</v>
      </c>
      <c r="B711" t="s">
        <v>366</v>
      </c>
      <c r="C711" t="s">
        <v>367</v>
      </c>
      <c r="D711" t="s">
        <v>221</v>
      </c>
      <c r="E711" t="s">
        <v>2369</v>
      </c>
      <c r="F711" s="126">
        <v>18.899999999999999</v>
      </c>
      <c r="G711" s="77">
        <v>35000</v>
      </c>
      <c r="H711" s="126">
        <v>45.7</v>
      </c>
      <c r="I711" s="124">
        <v>1025.32</v>
      </c>
      <c r="J711" s="126">
        <v>9.1</v>
      </c>
      <c r="K711" s="124">
        <v>55125</v>
      </c>
      <c r="L711" s="124">
        <v>56150.32</v>
      </c>
    </row>
    <row r="712" spans="1:12" ht="15" customHeight="1" x14ac:dyDescent="0.25">
      <c r="A712" s="78">
        <v>45870</v>
      </c>
      <c r="B712" t="s">
        <v>366</v>
      </c>
      <c r="C712" t="s">
        <v>367</v>
      </c>
      <c r="D712" t="s">
        <v>221</v>
      </c>
      <c r="E712" t="s">
        <v>2367</v>
      </c>
      <c r="F712" s="126">
        <v>14</v>
      </c>
      <c r="G712" s="77">
        <v>43000</v>
      </c>
      <c r="H712" s="126">
        <v>30.1</v>
      </c>
      <c r="I712" s="124">
        <v>829.68</v>
      </c>
      <c r="J712" s="126">
        <v>8</v>
      </c>
      <c r="K712" s="124">
        <v>50166.666666666701</v>
      </c>
      <c r="L712" s="124">
        <v>50996.346666666701</v>
      </c>
    </row>
    <row r="713" spans="1:12" ht="15" customHeight="1" x14ac:dyDescent="0.25">
      <c r="A713" s="78">
        <v>45870</v>
      </c>
      <c r="B713" t="s">
        <v>362</v>
      </c>
      <c r="C713" t="s">
        <v>363</v>
      </c>
      <c r="D713" t="s">
        <v>221</v>
      </c>
      <c r="E713" t="s">
        <v>2368</v>
      </c>
      <c r="F713" s="126">
        <v>5.3</v>
      </c>
      <c r="G713" s="77">
        <v>27000</v>
      </c>
      <c r="H713" s="126">
        <v>34.6</v>
      </c>
      <c r="I713" s="124">
        <v>598.85</v>
      </c>
      <c r="J713" s="126">
        <v>4.3</v>
      </c>
      <c r="K713" s="124">
        <v>11925</v>
      </c>
      <c r="L713" s="124">
        <v>12523.85</v>
      </c>
    </row>
    <row r="714" spans="1:12" ht="15" customHeight="1" x14ac:dyDescent="0.25">
      <c r="A714" s="78">
        <v>45870</v>
      </c>
      <c r="B714" t="s">
        <v>362</v>
      </c>
      <c r="C714" t="s">
        <v>363</v>
      </c>
      <c r="D714" t="s">
        <v>221</v>
      </c>
      <c r="E714" t="s">
        <v>232</v>
      </c>
      <c r="F714" s="126">
        <v>4.5999999999999996</v>
      </c>
      <c r="G714" s="77">
        <v>25000</v>
      </c>
      <c r="H714" s="126">
        <v>26.8</v>
      </c>
      <c r="I714" s="124">
        <v>429.49</v>
      </c>
      <c r="J714" s="126">
        <v>2.1</v>
      </c>
      <c r="K714" s="124">
        <v>9583.3333333333303</v>
      </c>
      <c r="L714" s="124">
        <v>10012.823333333299</v>
      </c>
    </row>
    <row r="715" spans="1:12" ht="15" customHeight="1" x14ac:dyDescent="0.25">
      <c r="A715" s="78">
        <v>45870</v>
      </c>
      <c r="B715" t="s">
        <v>362</v>
      </c>
      <c r="C715" t="s">
        <v>363</v>
      </c>
      <c r="D715" t="s">
        <v>221</v>
      </c>
      <c r="E715" t="s">
        <v>230</v>
      </c>
      <c r="F715" s="126">
        <v>11.8</v>
      </c>
      <c r="G715" s="77">
        <v>41000</v>
      </c>
      <c r="H715" s="126">
        <v>40.700000000000003</v>
      </c>
      <c r="I715" s="124">
        <v>1069.68</v>
      </c>
      <c r="J715" s="126">
        <v>4.2</v>
      </c>
      <c r="K715" s="124">
        <v>40316.666666666701</v>
      </c>
      <c r="L715" s="124">
        <v>41386.346666666701</v>
      </c>
    </row>
    <row r="716" spans="1:12" ht="15" customHeight="1" x14ac:dyDescent="0.25">
      <c r="A716" s="78">
        <v>45870</v>
      </c>
      <c r="B716" t="s">
        <v>362</v>
      </c>
      <c r="C716" t="s">
        <v>363</v>
      </c>
      <c r="D716" t="s">
        <v>221</v>
      </c>
      <c r="E716" t="s">
        <v>2369</v>
      </c>
      <c r="F716" s="126">
        <v>16</v>
      </c>
      <c r="G716" s="77">
        <v>35000</v>
      </c>
      <c r="H716" s="126">
        <v>112.9</v>
      </c>
      <c r="I716" s="124">
        <v>2533.0100000000002</v>
      </c>
      <c r="J716" s="126">
        <v>8.5</v>
      </c>
      <c r="K716" s="124">
        <v>46666.666666666701</v>
      </c>
      <c r="L716" s="124">
        <v>49199.676666666703</v>
      </c>
    </row>
    <row r="717" spans="1:12" ht="15" customHeight="1" x14ac:dyDescent="0.25">
      <c r="A717" s="78">
        <v>45870</v>
      </c>
      <c r="B717" t="s">
        <v>362</v>
      </c>
      <c r="C717" t="s">
        <v>363</v>
      </c>
      <c r="D717" t="s">
        <v>221</v>
      </c>
      <c r="E717" t="s">
        <v>105</v>
      </c>
      <c r="F717" s="126">
        <v>13.1</v>
      </c>
      <c r="G717" s="77">
        <v>28000</v>
      </c>
      <c r="H717" s="126">
        <v>42.7</v>
      </c>
      <c r="I717" s="124">
        <v>766.41</v>
      </c>
      <c r="J717" s="126">
        <v>7.9</v>
      </c>
      <c r="K717" s="124">
        <v>30566.666666666701</v>
      </c>
      <c r="L717" s="124">
        <v>31333.0766666667</v>
      </c>
    </row>
    <row r="718" spans="1:12" ht="15" customHeight="1" x14ac:dyDescent="0.25">
      <c r="A718" s="78">
        <v>45870</v>
      </c>
      <c r="B718" t="s">
        <v>335</v>
      </c>
      <c r="C718" t="s">
        <v>336</v>
      </c>
      <c r="D718" t="s">
        <v>223</v>
      </c>
      <c r="E718" t="s">
        <v>2369</v>
      </c>
      <c r="F718" s="126">
        <v>13.6</v>
      </c>
      <c r="G718" s="77">
        <v>35000</v>
      </c>
      <c r="H718" s="126">
        <v>34.6</v>
      </c>
      <c r="I718" s="124">
        <v>776.28</v>
      </c>
      <c r="J718" s="126">
        <v>7.2</v>
      </c>
      <c r="K718" s="124">
        <v>39666.666666666701</v>
      </c>
      <c r="L718" s="124">
        <v>40442.946666666699</v>
      </c>
    </row>
    <row r="719" spans="1:12" ht="15" customHeight="1" x14ac:dyDescent="0.25">
      <c r="A719" s="78">
        <v>45870</v>
      </c>
      <c r="B719" t="s">
        <v>335</v>
      </c>
      <c r="C719" t="s">
        <v>336</v>
      </c>
      <c r="D719" t="s">
        <v>223</v>
      </c>
      <c r="E719" t="s">
        <v>2367</v>
      </c>
      <c r="F719" s="126">
        <v>3.6</v>
      </c>
      <c r="G719" s="77">
        <v>43000</v>
      </c>
      <c r="H719" s="126">
        <v>13.5</v>
      </c>
      <c r="I719" s="124">
        <v>372.12</v>
      </c>
      <c r="J719" s="126">
        <v>2.4</v>
      </c>
      <c r="K719" s="124">
        <v>12900</v>
      </c>
      <c r="L719" s="124">
        <v>13272.12</v>
      </c>
    </row>
    <row r="720" spans="1:12" ht="15" customHeight="1" x14ac:dyDescent="0.25">
      <c r="A720" s="78">
        <v>45870</v>
      </c>
      <c r="B720" t="s">
        <v>335</v>
      </c>
      <c r="C720" t="s">
        <v>336</v>
      </c>
      <c r="D720" t="s">
        <v>223</v>
      </c>
      <c r="E720" t="s">
        <v>2368</v>
      </c>
      <c r="F720" s="126">
        <v>17.2</v>
      </c>
      <c r="G720" s="77">
        <v>27000</v>
      </c>
      <c r="H720" s="126">
        <v>67.2</v>
      </c>
      <c r="I720" s="124">
        <v>1163.08</v>
      </c>
      <c r="J720" s="126">
        <v>7.1</v>
      </c>
      <c r="K720" s="124">
        <v>38700</v>
      </c>
      <c r="L720" s="124">
        <v>39863.08</v>
      </c>
    </row>
    <row r="721" spans="1:12" ht="15" customHeight="1" x14ac:dyDescent="0.25">
      <c r="A721" s="78">
        <v>45870</v>
      </c>
      <c r="B721" t="s">
        <v>335</v>
      </c>
      <c r="C721" t="s">
        <v>336</v>
      </c>
      <c r="D721" t="s">
        <v>223</v>
      </c>
      <c r="E721" t="s">
        <v>230</v>
      </c>
      <c r="F721" s="126">
        <v>8.4</v>
      </c>
      <c r="G721" s="77">
        <v>41000</v>
      </c>
      <c r="H721" s="126">
        <v>34.6</v>
      </c>
      <c r="I721" s="124">
        <v>909.36</v>
      </c>
      <c r="J721" s="126">
        <v>5.2</v>
      </c>
      <c r="K721" s="124">
        <v>28700</v>
      </c>
      <c r="L721" s="124">
        <v>29609.360000000001</v>
      </c>
    </row>
    <row r="722" spans="1:12" ht="15" customHeight="1" x14ac:dyDescent="0.25">
      <c r="A722" s="78">
        <v>45870</v>
      </c>
      <c r="B722" t="s">
        <v>335</v>
      </c>
      <c r="C722" t="s">
        <v>336</v>
      </c>
      <c r="D722" t="s">
        <v>223</v>
      </c>
      <c r="E722" t="s">
        <v>232</v>
      </c>
      <c r="F722" s="126">
        <v>8.3000000000000007</v>
      </c>
      <c r="G722" s="77">
        <v>25000</v>
      </c>
      <c r="H722" s="126">
        <v>32.799999999999997</v>
      </c>
      <c r="I722" s="124">
        <v>525.64</v>
      </c>
      <c r="J722" s="126">
        <v>4.9000000000000004</v>
      </c>
      <c r="K722" s="124">
        <v>17291.666666666701</v>
      </c>
      <c r="L722" s="124">
        <v>17817.3066666667</v>
      </c>
    </row>
    <row r="723" spans="1:12" ht="15" customHeight="1" x14ac:dyDescent="0.25">
      <c r="A723" s="78">
        <v>45870</v>
      </c>
      <c r="B723" t="s">
        <v>386</v>
      </c>
      <c r="C723" t="s">
        <v>387</v>
      </c>
      <c r="D723" t="s">
        <v>223</v>
      </c>
      <c r="E723" t="s">
        <v>230</v>
      </c>
      <c r="F723" s="126">
        <v>14.3</v>
      </c>
      <c r="G723" s="77">
        <v>41000</v>
      </c>
      <c r="H723" s="126">
        <v>34.799999999999997</v>
      </c>
      <c r="I723" s="124">
        <v>914.62</v>
      </c>
      <c r="J723" s="126">
        <v>7.1</v>
      </c>
      <c r="K723" s="124">
        <v>48858.333333333299</v>
      </c>
      <c r="L723" s="124">
        <v>49772.953333333302</v>
      </c>
    </row>
    <row r="724" spans="1:12" ht="15" customHeight="1" x14ac:dyDescent="0.25">
      <c r="A724" s="78">
        <v>45870</v>
      </c>
      <c r="B724" t="s">
        <v>386</v>
      </c>
      <c r="C724" t="s">
        <v>387</v>
      </c>
      <c r="D724" t="s">
        <v>223</v>
      </c>
      <c r="E724" t="s">
        <v>232</v>
      </c>
      <c r="F724" s="126">
        <v>20</v>
      </c>
      <c r="G724" s="77">
        <v>25000</v>
      </c>
      <c r="H724" s="126">
        <v>61.3</v>
      </c>
      <c r="I724" s="124">
        <v>982.37</v>
      </c>
      <c r="J724" s="126">
        <v>10.7</v>
      </c>
      <c r="K724" s="124">
        <v>41666.666666666701</v>
      </c>
      <c r="L724" s="124">
        <v>42649.036666666703</v>
      </c>
    </row>
    <row r="725" spans="1:12" ht="15" customHeight="1" x14ac:dyDescent="0.25">
      <c r="A725" s="78">
        <v>45870</v>
      </c>
      <c r="B725" t="s">
        <v>386</v>
      </c>
      <c r="C725" t="s">
        <v>387</v>
      </c>
      <c r="D725" t="s">
        <v>223</v>
      </c>
      <c r="E725" t="s">
        <v>2368</v>
      </c>
      <c r="F725" s="126">
        <v>14.8</v>
      </c>
      <c r="G725" s="77">
        <v>27000</v>
      </c>
      <c r="H725" s="126">
        <v>59.9</v>
      </c>
      <c r="I725" s="124">
        <v>1036.73</v>
      </c>
      <c r="J725" s="126">
        <v>8.1</v>
      </c>
      <c r="K725" s="124">
        <v>33300</v>
      </c>
      <c r="L725" s="124">
        <v>34336.730000000003</v>
      </c>
    </row>
    <row r="726" spans="1:12" ht="15" customHeight="1" x14ac:dyDescent="0.25">
      <c r="A726" s="78">
        <v>45870</v>
      </c>
      <c r="B726" t="s">
        <v>386</v>
      </c>
      <c r="C726" t="s">
        <v>387</v>
      </c>
      <c r="D726" t="s">
        <v>223</v>
      </c>
      <c r="E726" t="s">
        <v>2367</v>
      </c>
      <c r="F726" s="126">
        <v>16.899999999999999</v>
      </c>
      <c r="G726" s="77">
        <v>43000</v>
      </c>
      <c r="H726" s="126">
        <v>95.2</v>
      </c>
      <c r="I726" s="124">
        <v>2624.1</v>
      </c>
      <c r="J726" s="126">
        <v>9.1</v>
      </c>
      <c r="K726" s="124">
        <v>60558.333333333299</v>
      </c>
      <c r="L726" s="124">
        <v>63182.433333333298</v>
      </c>
    </row>
    <row r="727" spans="1:12" ht="15" customHeight="1" x14ac:dyDescent="0.25">
      <c r="A727" s="78">
        <v>45870</v>
      </c>
      <c r="B727" t="s">
        <v>386</v>
      </c>
      <c r="C727" t="s">
        <v>387</v>
      </c>
      <c r="D727" t="s">
        <v>223</v>
      </c>
      <c r="E727" t="s">
        <v>231</v>
      </c>
      <c r="F727" s="126">
        <v>20</v>
      </c>
      <c r="G727" s="77">
        <v>29000</v>
      </c>
      <c r="H727" s="126">
        <v>88.2</v>
      </c>
      <c r="I727" s="124">
        <v>1639.62</v>
      </c>
      <c r="J727" s="126">
        <v>9</v>
      </c>
      <c r="K727" s="124">
        <v>48333.333333333299</v>
      </c>
      <c r="L727" s="124">
        <v>49972.953333333302</v>
      </c>
    </row>
    <row r="728" spans="1:12" ht="15" customHeight="1" x14ac:dyDescent="0.25">
      <c r="A728" s="78">
        <v>45870</v>
      </c>
      <c r="B728" t="s">
        <v>341</v>
      </c>
      <c r="C728" t="s">
        <v>342</v>
      </c>
      <c r="D728" t="s">
        <v>223</v>
      </c>
      <c r="E728" t="s">
        <v>230</v>
      </c>
      <c r="F728" s="126">
        <v>11.5</v>
      </c>
      <c r="G728" s="77">
        <v>41000</v>
      </c>
      <c r="H728" s="126">
        <v>46</v>
      </c>
      <c r="I728" s="124">
        <v>1208.97</v>
      </c>
      <c r="J728" s="126">
        <v>5.2</v>
      </c>
      <c r="K728" s="124">
        <v>39291.666666666701</v>
      </c>
      <c r="L728" s="124">
        <v>40500.636666666702</v>
      </c>
    </row>
    <row r="729" spans="1:12" ht="15" customHeight="1" x14ac:dyDescent="0.25">
      <c r="A729" s="78">
        <v>45870</v>
      </c>
      <c r="B729" t="s">
        <v>341</v>
      </c>
      <c r="C729" t="s">
        <v>342</v>
      </c>
      <c r="D729" t="s">
        <v>223</v>
      </c>
      <c r="E729" t="s">
        <v>2369</v>
      </c>
      <c r="F729" s="126">
        <v>15.6</v>
      </c>
      <c r="G729" s="77">
        <v>35000</v>
      </c>
      <c r="H729" s="126">
        <v>54.3</v>
      </c>
      <c r="I729" s="124">
        <v>1218.27</v>
      </c>
      <c r="J729" s="126">
        <v>7.4</v>
      </c>
      <c r="K729" s="124">
        <v>45500</v>
      </c>
      <c r="L729" s="124">
        <v>46718.27</v>
      </c>
    </row>
    <row r="730" spans="1:12" ht="15" customHeight="1" x14ac:dyDescent="0.25">
      <c r="A730" s="78">
        <v>45870</v>
      </c>
      <c r="B730" t="s">
        <v>341</v>
      </c>
      <c r="C730" t="s">
        <v>342</v>
      </c>
      <c r="D730" t="s">
        <v>223</v>
      </c>
      <c r="E730" t="s">
        <v>232</v>
      </c>
      <c r="F730" s="126">
        <v>9.9</v>
      </c>
      <c r="G730" s="77">
        <v>25000</v>
      </c>
      <c r="H730" s="126">
        <v>25</v>
      </c>
      <c r="I730" s="124">
        <v>400.64</v>
      </c>
      <c r="J730" s="126">
        <v>3</v>
      </c>
      <c r="K730" s="124">
        <v>20625</v>
      </c>
      <c r="L730" s="124">
        <v>21025.64</v>
      </c>
    </row>
    <row r="731" spans="1:12" ht="15" customHeight="1" x14ac:dyDescent="0.25">
      <c r="A731" s="78">
        <v>45870</v>
      </c>
      <c r="B731" t="s">
        <v>341</v>
      </c>
      <c r="C731" t="s">
        <v>342</v>
      </c>
      <c r="D731" t="s">
        <v>223</v>
      </c>
      <c r="E731" t="s">
        <v>105</v>
      </c>
      <c r="F731" s="126">
        <v>3.4</v>
      </c>
      <c r="G731" s="77">
        <v>28000</v>
      </c>
      <c r="H731" s="126">
        <v>10.199999999999999</v>
      </c>
      <c r="I731" s="124">
        <v>183.08</v>
      </c>
      <c r="J731" s="126">
        <v>1.9</v>
      </c>
      <c r="K731" s="124">
        <v>7933.3333333333303</v>
      </c>
      <c r="L731" s="124">
        <v>8116.4133333333302</v>
      </c>
    </row>
    <row r="732" spans="1:12" ht="15" customHeight="1" x14ac:dyDescent="0.25">
      <c r="A732" s="78">
        <v>45870</v>
      </c>
      <c r="B732" t="s">
        <v>341</v>
      </c>
      <c r="C732" t="s">
        <v>342</v>
      </c>
      <c r="D732" t="s">
        <v>223</v>
      </c>
      <c r="E732" t="s">
        <v>2367</v>
      </c>
      <c r="F732" s="126">
        <v>7.8</v>
      </c>
      <c r="G732" s="77">
        <v>43000</v>
      </c>
      <c r="H732" s="126">
        <v>15.4</v>
      </c>
      <c r="I732" s="124">
        <v>424.49</v>
      </c>
      <c r="J732" s="126">
        <v>3.9</v>
      </c>
      <c r="K732" s="124">
        <v>27950</v>
      </c>
      <c r="L732" s="124">
        <v>28374.49</v>
      </c>
    </row>
    <row r="733" spans="1:12" ht="15" customHeight="1" x14ac:dyDescent="0.25">
      <c r="A733" s="78">
        <v>45870</v>
      </c>
      <c r="B733" t="s">
        <v>347</v>
      </c>
      <c r="C733" t="s">
        <v>348</v>
      </c>
      <c r="D733" t="s">
        <v>223</v>
      </c>
      <c r="E733" t="s">
        <v>2368</v>
      </c>
      <c r="F733" s="126">
        <v>9.1999999999999993</v>
      </c>
      <c r="G733" s="77">
        <v>27000</v>
      </c>
      <c r="H733" s="126">
        <v>63</v>
      </c>
      <c r="I733" s="124">
        <v>1090.3800000000001</v>
      </c>
      <c r="J733" s="126">
        <v>5.6</v>
      </c>
      <c r="K733" s="124">
        <v>20700</v>
      </c>
      <c r="L733" s="124">
        <v>21790.38</v>
      </c>
    </row>
    <row r="734" spans="1:12" ht="15" customHeight="1" x14ac:dyDescent="0.25">
      <c r="A734" s="78">
        <v>45870</v>
      </c>
      <c r="B734" t="s">
        <v>347</v>
      </c>
      <c r="C734" t="s">
        <v>348</v>
      </c>
      <c r="D734" t="s">
        <v>223</v>
      </c>
      <c r="E734" t="s">
        <v>232</v>
      </c>
      <c r="F734" s="126">
        <v>4.5999999999999996</v>
      </c>
      <c r="G734" s="77">
        <v>25000</v>
      </c>
      <c r="H734" s="126">
        <v>29.7</v>
      </c>
      <c r="I734" s="124">
        <v>475.96</v>
      </c>
      <c r="J734" s="126">
        <v>2.7</v>
      </c>
      <c r="K734" s="124">
        <v>9583.3333333333303</v>
      </c>
      <c r="L734" s="124">
        <v>10059.2933333333</v>
      </c>
    </row>
    <row r="735" spans="1:12" ht="15" customHeight="1" x14ac:dyDescent="0.25">
      <c r="A735" s="78">
        <v>45870</v>
      </c>
      <c r="B735" t="s">
        <v>347</v>
      </c>
      <c r="C735" t="s">
        <v>348</v>
      </c>
      <c r="D735" t="s">
        <v>223</v>
      </c>
      <c r="E735" t="s">
        <v>231</v>
      </c>
      <c r="F735" s="126">
        <v>7.5</v>
      </c>
      <c r="G735" s="77">
        <v>29000</v>
      </c>
      <c r="H735" s="126">
        <v>43.1</v>
      </c>
      <c r="I735" s="124">
        <v>801.22</v>
      </c>
      <c r="J735" s="126">
        <v>3</v>
      </c>
      <c r="K735" s="124">
        <v>18125</v>
      </c>
      <c r="L735" s="124">
        <v>18926.22</v>
      </c>
    </row>
    <row r="736" spans="1:12" ht="15" customHeight="1" x14ac:dyDescent="0.25">
      <c r="A736" s="78">
        <v>45870</v>
      </c>
      <c r="B736" t="s">
        <v>347</v>
      </c>
      <c r="C736" t="s">
        <v>348</v>
      </c>
      <c r="D736" t="s">
        <v>223</v>
      </c>
      <c r="E736" t="s">
        <v>105</v>
      </c>
      <c r="F736" s="126">
        <v>8.6999999999999993</v>
      </c>
      <c r="G736" s="77">
        <v>28000</v>
      </c>
      <c r="H736" s="126">
        <v>26.4</v>
      </c>
      <c r="I736" s="124">
        <v>473.85</v>
      </c>
      <c r="J736" s="126">
        <v>1.6</v>
      </c>
      <c r="K736" s="124">
        <v>20300</v>
      </c>
      <c r="L736" s="124">
        <v>20773.849999999999</v>
      </c>
    </row>
    <row r="737" spans="1:12" ht="15" customHeight="1" x14ac:dyDescent="0.25">
      <c r="A737" s="78">
        <v>45870</v>
      </c>
      <c r="B737" t="s">
        <v>409</v>
      </c>
      <c r="C737" t="s">
        <v>410</v>
      </c>
      <c r="D737" t="s">
        <v>223</v>
      </c>
      <c r="E737" t="s">
        <v>231</v>
      </c>
      <c r="F737" s="126">
        <v>6.9</v>
      </c>
      <c r="G737" s="77">
        <v>29000</v>
      </c>
      <c r="H737" s="126">
        <v>39.9</v>
      </c>
      <c r="I737" s="124">
        <v>741.73</v>
      </c>
      <c r="J737" s="126">
        <v>5</v>
      </c>
      <c r="K737" s="124">
        <v>16675</v>
      </c>
      <c r="L737" s="124">
        <v>17416.73</v>
      </c>
    </row>
    <row r="738" spans="1:12" ht="15" customHeight="1" x14ac:dyDescent="0.25">
      <c r="A738" s="78">
        <v>45870</v>
      </c>
      <c r="B738" t="s">
        <v>409</v>
      </c>
      <c r="C738" t="s">
        <v>410</v>
      </c>
      <c r="D738" t="s">
        <v>223</v>
      </c>
      <c r="E738" t="s">
        <v>2367</v>
      </c>
      <c r="F738" s="126">
        <v>7.7</v>
      </c>
      <c r="G738" s="77">
        <v>43000</v>
      </c>
      <c r="H738" s="126">
        <v>24.4</v>
      </c>
      <c r="I738" s="124">
        <v>672.56</v>
      </c>
      <c r="J738" s="126">
        <v>3.6</v>
      </c>
      <c r="K738" s="124">
        <v>27591.666666666701</v>
      </c>
      <c r="L738" s="124">
        <v>28264.226666666698</v>
      </c>
    </row>
    <row r="739" spans="1:12" ht="15" customHeight="1" x14ac:dyDescent="0.25">
      <c r="A739" s="78">
        <v>45870</v>
      </c>
      <c r="B739" t="s">
        <v>409</v>
      </c>
      <c r="C739" t="s">
        <v>410</v>
      </c>
      <c r="D739" t="s">
        <v>223</v>
      </c>
      <c r="E739" t="s">
        <v>105</v>
      </c>
      <c r="F739" s="126">
        <v>17.3</v>
      </c>
      <c r="G739" s="77">
        <v>28000</v>
      </c>
      <c r="H739" s="126">
        <v>49.6</v>
      </c>
      <c r="I739" s="124">
        <v>890.26</v>
      </c>
      <c r="J739" s="126">
        <v>9</v>
      </c>
      <c r="K739" s="124">
        <v>40366.666666666701</v>
      </c>
      <c r="L739" s="124">
        <v>41256.926666666703</v>
      </c>
    </row>
    <row r="740" spans="1:12" ht="15" customHeight="1" x14ac:dyDescent="0.25">
      <c r="A740" s="78">
        <v>45870</v>
      </c>
      <c r="B740" t="s">
        <v>409</v>
      </c>
      <c r="C740" t="s">
        <v>410</v>
      </c>
      <c r="D740" t="s">
        <v>223</v>
      </c>
      <c r="E740" t="s">
        <v>232</v>
      </c>
      <c r="F740" s="126">
        <v>12.4</v>
      </c>
      <c r="G740" s="77">
        <v>25000</v>
      </c>
      <c r="H740" s="126">
        <v>70.5</v>
      </c>
      <c r="I740" s="124">
        <v>1129.81</v>
      </c>
      <c r="J740" s="126">
        <v>4.5</v>
      </c>
      <c r="K740" s="124">
        <v>25833.333333333299</v>
      </c>
      <c r="L740" s="124">
        <v>26963.143333333301</v>
      </c>
    </row>
    <row r="741" spans="1:12" ht="15" customHeight="1" x14ac:dyDescent="0.25">
      <c r="A741" s="78">
        <v>45870</v>
      </c>
      <c r="B741" t="s">
        <v>488</v>
      </c>
      <c r="C741" t="s">
        <v>489</v>
      </c>
      <c r="D741" t="s">
        <v>225</v>
      </c>
      <c r="E741" t="s">
        <v>105</v>
      </c>
      <c r="F741" s="126">
        <v>4.7</v>
      </c>
      <c r="G741" s="77">
        <v>28000</v>
      </c>
      <c r="H741" s="126">
        <v>21.7</v>
      </c>
      <c r="I741" s="124">
        <v>389.49</v>
      </c>
      <c r="J741" s="126">
        <v>2.1</v>
      </c>
      <c r="K741" s="124">
        <v>10966.666666666701</v>
      </c>
      <c r="L741" s="124">
        <v>11356.1566666667</v>
      </c>
    </row>
    <row r="742" spans="1:12" ht="15" customHeight="1" x14ac:dyDescent="0.25">
      <c r="A742" s="78">
        <v>45870</v>
      </c>
      <c r="B742" t="s">
        <v>488</v>
      </c>
      <c r="C742" t="s">
        <v>489</v>
      </c>
      <c r="D742" t="s">
        <v>225</v>
      </c>
      <c r="E742" t="s">
        <v>232</v>
      </c>
      <c r="F742" s="126">
        <v>9.9</v>
      </c>
      <c r="G742" s="77">
        <v>25000</v>
      </c>
      <c r="H742" s="126">
        <v>41.3</v>
      </c>
      <c r="I742" s="124">
        <v>661.86</v>
      </c>
      <c r="J742" s="126">
        <v>5.4</v>
      </c>
      <c r="K742" s="124">
        <v>20625</v>
      </c>
      <c r="L742" s="124">
        <v>21286.86</v>
      </c>
    </row>
    <row r="743" spans="1:12" ht="15" customHeight="1" x14ac:dyDescent="0.25">
      <c r="A743" s="78">
        <v>45870</v>
      </c>
      <c r="B743" t="s">
        <v>488</v>
      </c>
      <c r="C743" t="s">
        <v>489</v>
      </c>
      <c r="D743" t="s">
        <v>225</v>
      </c>
      <c r="E743" t="s">
        <v>2367</v>
      </c>
      <c r="F743" s="126">
        <v>18.8</v>
      </c>
      <c r="G743" s="77">
        <v>43000</v>
      </c>
      <c r="H743" s="126">
        <v>69.900000000000006</v>
      </c>
      <c r="I743" s="124">
        <v>1926.73</v>
      </c>
      <c r="J743" s="126">
        <v>9.3000000000000007</v>
      </c>
      <c r="K743" s="124">
        <v>67366.666666666701</v>
      </c>
      <c r="L743" s="124">
        <v>69293.396666666697</v>
      </c>
    </row>
    <row r="744" spans="1:12" ht="15" customHeight="1" x14ac:dyDescent="0.25">
      <c r="A744" s="78">
        <v>45870</v>
      </c>
      <c r="B744" t="s">
        <v>488</v>
      </c>
      <c r="C744" t="s">
        <v>489</v>
      </c>
      <c r="D744" t="s">
        <v>225</v>
      </c>
      <c r="E744" t="s">
        <v>230</v>
      </c>
      <c r="F744" s="126">
        <v>8.3000000000000007</v>
      </c>
      <c r="G744" s="77">
        <v>41000</v>
      </c>
      <c r="H744" s="126">
        <v>30.5</v>
      </c>
      <c r="I744" s="124">
        <v>801.6</v>
      </c>
      <c r="J744" s="126">
        <v>5.0999999999999996</v>
      </c>
      <c r="K744" s="124">
        <v>28358.333333333299</v>
      </c>
      <c r="L744" s="124">
        <v>29159.933333333302</v>
      </c>
    </row>
    <row r="745" spans="1:12" ht="15" customHeight="1" x14ac:dyDescent="0.25">
      <c r="A745" s="78">
        <v>45870</v>
      </c>
      <c r="B745" t="s">
        <v>488</v>
      </c>
      <c r="C745" t="s">
        <v>489</v>
      </c>
      <c r="D745" t="s">
        <v>225</v>
      </c>
      <c r="E745" t="s">
        <v>2369</v>
      </c>
      <c r="F745" s="126">
        <v>17.899999999999999</v>
      </c>
      <c r="G745" s="77">
        <v>35000</v>
      </c>
      <c r="H745" s="126">
        <v>82.8</v>
      </c>
      <c r="I745" s="124">
        <v>1857.69</v>
      </c>
      <c r="J745" s="126">
        <v>9.1999999999999993</v>
      </c>
      <c r="K745" s="124">
        <v>52208.333333333299</v>
      </c>
      <c r="L745" s="124">
        <v>54066.023333333302</v>
      </c>
    </row>
    <row r="746" spans="1:12" ht="15" customHeight="1" x14ac:dyDescent="0.25">
      <c r="A746" s="78">
        <v>45870</v>
      </c>
      <c r="B746" t="s">
        <v>488</v>
      </c>
      <c r="C746" t="s">
        <v>489</v>
      </c>
      <c r="D746" t="s">
        <v>225</v>
      </c>
      <c r="E746" t="s">
        <v>231</v>
      </c>
      <c r="F746" s="126">
        <v>4.5999999999999996</v>
      </c>
      <c r="G746" s="77">
        <v>29000</v>
      </c>
      <c r="H746" s="126">
        <v>9.6</v>
      </c>
      <c r="I746" s="124">
        <v>178.46</v>
      </c>
      <c r="J746" s="126">
        <v>1.9</v>
      </c>
      <c r="K746" s="124">
        <v>11116.666666666701</v>
      </c>
      <c r="L746" s="124">
        <v>11295.1266666667</v>
      </c>
    </row>
    <row r="747" spans="1:12" ht="15" customHeight="1" x14ac:dyDescent="0.25">
      <c r="A747" s="78">
        <v>45870</v>
      </c>
      <c r="B747" t="s">
        <v>406</v>
      </c>
      <c r="C747" t="s">
        <v>407</v>
      </c>
      <c r="D747" t="s">
        <v>225</v>
      </c>
      <c r="E747" t="s">
        <v>230</v>
      </c>
      <c r="F747" s="126">
        <v>4.5999999999999996</v>
      </c>
      <c r="G747" s="77">
        <v>41000</v>
      </c>
      <c r="H747" s="126">
        <v>24.6</v>
      </c>
      <c r="I747" s="124">
        <v>646.54</v>
      </c>
      <c r="J747" s="126">
        <v>2.2999999999999998</v>
      </c>
      <c r="K747" s="124">
        <v>15716.666666666701</v>
      </c>
      <c r="L747" s="124">
        <v>16363.2066666667</v>
      </c>
    </row>
    <row r="748" spans="1:12" ht="15" customHeight="1" x14ac:dyDescent="0.25">
      <c r="A748" s="78">
        <v>45870</v>
      </c>
      <c r="B748" t="s">
        <v>406</v>
      </c>
      <c r="C748" t="s">
        <v>407</v>
      </c>
      <c r="D748" t="s">
        <v>225</v>
      </c>
      <c r="E748" t="s">
        <v>2368</v>
      </c>
      <c r="F748" s="126">
        <v>19.100000000000001</v>
      </c>
      <c r="G748" s="77">
        <v>27000</v>
      </c>
      <c r="H748" s="126">
        <v>95.3</v>
      </c>
      <c r="I748" s="124">
        <v>1649.42</v>
      </c>
      <c r="J748" s="126">
        <v>11.3</v>
      </c>
      <c r="K748" s="124">
        <v>42975</v>
      </c>
      <c r="L748" s="124">
        <v>44624.42</v>
      </c>
    </row>
    <row r="749" spans="1:12" ht="15" customHeight="1" x14ac:dyDescent="0.25">
      <c r="A749" s="78">
        <v>45870</v>
      </c>
      <c r="B749" t="s">
        <v>406</v>
      </c>
      <c r="C749" t="s">
        <v>407</v>
      </c>
      <c r="D749" t="s">
        <v>225</v>
      </c>
      <c r="E749" t="s">
        <v>232</v>
      </c>
      <c r="F749" s="126">
        <v>3.1</v>
      </c>
      <c r="G749" s="77">
        <v>25000</v>
      </c>
      <c r="H749" s="126">
        <v>17.2</v>
      </c>
      <c r="I749" s="124">
        <v>275.64</v>
      </c>
      <c r="J749" s="126">
        <v>1.6</v>
      </c>
      <c r="K749" s="124">
        <v>6458.3333333333303</v>
      </c>
      <c r="L749" s="124">
        <v>6733.9733333333297</v>
      </c>
    </row>
    <row r="750" spans="1:12" ht="15" customHeight="1" x14ac:dyDescent="0.25">
      <c r="A750" s="78">
        <v>45870</v>
      </c>
      <c r="B750" t="s">
        <v>406</v>
      </c>
      <c r="C750" t="s">
        <v>407</v>
      </c>
      <c r="D750" t="s">
        <v>225</v>
      </c>
      <c r="E750" t="s">
        <v>231</v>
      </c>
      <c r="F750" s="126">
        <v>18.2</v>
      </c>
      <c r="G750" s="77">
        <v>29000</v>
      </c>
      <c r="H750" s="126">
        <v>58.8</v>
      </c>
      <c r="I750" s="124">
        <v>1093.08</v>
      </c>
      <c r="J750" s="126">
        <v>6.5</v>
      </c>
      <c r="K750" s="124">
        <v>43983.333333333299</v>
      </c>
      <c r="L750" s="124">
        <v>45076.413333333301</v>
      </c>
    </row>
    <row r="751" spans="1:12" ht="15" customHeight="1" x14ac:dyDescent="0.25">
      <c r="A751" s="78">
        <v>45870</v>
      </c>
      <c r="B751" t="s">
        <v>406</v>
      </c>
      <c r="C751" t="s">
        <v>407</v>
      </c>
      <c r="D751" t="s">
        <v>225</v>
      </c>
      <c r="E751" t="s">
        <v>2367</v>
      </c>
      <c r="F751" s="126">
        <v>3.7</v>
      </c>
      <c r="G751" s="77">
        <v>43000</v>
      </c>
      <c r="H751" s="126">
        <v>13.9</v>
      </c>
      <c r="I751" s="124">
        <v>383.14</v>
      </c>
      <c r="J751" s="126">
        <v>1.5</v>
      </c>
      <c r="K751" s="124">
        <v>13258.333333333299</v>
      </c>
      <c r="L751" s="124">
        <v>13641.473333333301</v>
      </c>
    </row>
    <row r="752" spans="1:12" ht="15" customHeight="1" x14ac:dyDescent="0.25">
      <c r="A752" s="78">
        <v>45870</v>
      </c>
      <c r="B752" t="s">
        <v>358</v>
      </c>
      <c r="C752" t="s">
        <v>359</v>
      </c>
      <c r="D752" t="s">
        <v>225</v>
      </c>
      <c r="E752" t="s">
        <v>2369</v>
      </c>
      <c r="F752" s="126">
        <v>13</v>
      </c>
      <c r="G752" s="77">
        <v>35000</v>
      </c>
      <c r="H752" s="126">
        <v>59.6</v>
      </c>
      <c r="I752" s="124">
        <v>1337.18</v>
      </c>
      <c r="J752" s="126">
        <v>6.3</v>
      </c>
      <c r="K752" s="124">
        <v>37916.666666666701</v>
      </c>
      <c r="L752" s="124">
        <v>39253.846666666701</v>
      </c>
    </row>
    <row r="753" spans="1:12" ht="15" customHeight="1" x14ac:dyDescent="0.25">
      <c r="A753" s="78">
        <v>45870</v>
      </c>
      <c r="B753" t="s">
        <v>358</v>
      </c>
      <c r="C753" t="s">
        <v>359</v>
      </c>
      <c r="D753" t="s">
        <v>225</v>
      </c>
      <c r="E753" t="s">
        <v>2367</v>
      </c>
      <c r="F753" s="126">
        <v>12.5</v>
      </c>
      <c r="G753" s="77">
        <v>43000</v>
      </c>
      <c r="H753" s="126">
        <v>44</v>
      </c>
      <c r="I753" s="124">
        <v>1212.82</v>
      </c>
      <c r="J753" s="126">
        <v>4.5</v>
      </c>
      <c r="K753" s="124">
        <v>44791.666666666701</v>
      </c>
      <c r="L753" s="124">
        <v>46004.4866666667</v>
      </c>
    </row>
    <row r="754" spans="1:12" ht="15" customHeight="1" x14ac:dyDescent="0.25">
      <c r="A754" s="78">
        <v>45870</v>
      </c>
      <c r="B754" t="s">
        <v>358</v>
      </c>
      <c r="C754" t="s">
        <v>359</v>
      </c>
      <c r="D754" t="s">
        <v>225</v>
      </c>
      <c r="E754" t="s">
        <v>232</v>
      </c>
      <c r="F754" s="126">
        <v>16.5</v>
      </c>
      <c r="G754" s="77">
        <v>25000</v>
      </c>
      <c r="H754" s="126">
        <v>42.7</v>
      </c>
      <c r="I754" s="124">
        <v>684.29</v>
      </c>
      <c r="J754" s="126">
        <v>8.6999999999999993</v>
      </c>
      <c r="K754" s="124">
        <v>34375</v>
      </c>
      <c r="L754" s="124">
        <v>35059.29</v>
      </c>
    </row>
    <row r="755" spans="1:12" ht="15" customHeight="1" x14ac:dyDescent="0.25">
      <c r="A755" s="78">
        <v>45870</v>
      </c>
      <c r="B755" t="s">
        <v>358</v>
      </c>
      <c r="C755" t="s">
        <v>359</v>
      </c>
      <c r="D755" t="s">
        <v>225</v>
      </c>
      <c r="E755" t="s">
        <v>230</v>
      </c>
      <c r="F755" s="126">
        <v>4.4000000000000004</v>
      </c>
      <c r="G755" s="77">
        <v>41000</v>
      </c>
      <c r="H755" s="126">
        <v>28.9</v>
      </c>
      <c r="I755" s="124">
        <v>759.55</v>
      </c>
      <c r="J755" s="126">
        <v>2.1</v>
      </c>
      <c r="K755" s="124">
        <v>15033.333333333299</v>
      </c>
      <c r="L755" s="124">
        <v>15792.8833333333</v>
      </c>
    </row>
    <row r="756" spans="1:12" ht="15" customHeight="1" x14ac:dyDescent="0.25">
      <c r="A756" s="78">
        <v>45870</v>
      </c>
      <c r="B756" t="s">
        <v>358</v>
      </c>
      <c r="C756" t="s">
        <v>359</v>
      </c>
      <c r="D756" t="s">
        <v>225</v>
      </c>
      <c r="E756" t="s">
        <v>2368</v>
      </c>
      <c r="F756" s="126">
        <v>5.9</v>
      </c>
      <c r="G756" s="77">
        <v>27000</v>
      </c>
      <c r="H756" s="126">
        <v>26.5</v>
      </c>
      <c r="I756" s="124">
        <v>458.65</v>
      </c>
      <c r="J756" s="126">
        <v>3.9</v>
      </c>
      <c r="K756" s="124">
        <v>13275</v>
      </c>
      <c r="L756" s="124">
        <v>13733.65</v>
      </c>
    </row>
    <row r="757" spans="1:12" ht="15" customHeight="1" x14ac:dyDescent="0.25">
      <c r="A757" s="78">
        <v>45870</v>
      </c>
      <c r="B757" t="s">
        <v>383</v>
      </c>
      <c r="C757" t="s">
        <v>384</v>
      </c>
      <c r="D757" t="s">
        <v>225</v>
      </c>
      <c r="E757" t="s">
        <v>2367</v>
      </c>
      <c r="F757" s="126">
        <v>15.4</v>
      </c>
      <c r="G757" s="77">
        <v>43000</v>
      </c>
      <c r="H757" s="126">
        <v>42.9</v>
      </c>
      <c r="I757" s="124">
        <v>1182.5</v>
      </c>
      <c r="J757" s="126">
        <v>8.1</v>
      </c>
      <c r="K757" s="124">
        <v>55183.333333333299</v>
      </c>
      <c r="L757" s="124">
        <v>56365.833333333299</v>
      </c>
    </row>
    <row r="758" spans="1:12" ht="15" customHeight="1" x14ac:dyDescent="0.25">
      <c r="A758" s="78">
        <v>45870</v>
      </c>
      <c r="B758" t="s">
        <v>383</v>
      </c>
      <c r="C758" t="s">
        <v>384</v>
      </c>
      <c r="D758" t="s">
        <v>225</v>
      </c>
      <c r="E758" t="s">
        <v>2368</v>
      </c>
      <c r="F758" s="126">
        <v>5.2</v>
      </c>
      <c r="G758" s="77">
        <v>27000</v>
      </c>
      <c r="H758" s="126">
        <v>15</v>
      </c>
      <c r="I758" s="124">
        <v>259.62</v>
      </c>
      <c r="J758" s="126">
        <v>3.5</v>
      </c>
      <c r="K758" s="124">
        <v>11700</v>
      </c>
      <c r="L758" s="124">
        <v>11959.62</v>
      </c>
    </row>
    <row r="759" spans="1:12" ht="15" customHeight="1" x14ac:dyDescent="0.25">
      <c r="A759" s="78">
        <v>45870</v>
      </c>
      <c r="B759" t="s">
        <v>383</v>
      </c>
      <c r="C759" t="s">
        <v>384</v>
      </c>
      <c r="D759" t="s">
        <v>225</v>
      </c>
      <c r="E759" t="s">
        <v>232</v>
      </c>
      <c r="F759" s="126">
        <v>15.5</v>
      </c>
      <c r="G759" s="77">
        <v>25000</v>
      </c>
      <c r="H759" s="126">
        <v>65.5</v>
      </c>
      <c r="I759" s="124">
        <v>1049.68</v>
      </c>
      <c r="J759" s="126">
        <v>8</v>
      </c>
      <c r="K759" s="124">
        <v>32291.666666666701</v>
      </c>
      <c r="L759" s="124">
        <v>33341.346666666701</v>
      </c>
    </row>
    <row r="760" spans="1:12" ht="15" customHeight="1" x14ac:dyDescent="0.25">
      <c r="A760" s="78">
        <v>45870</v>
      </c>
      <c r="B760" t="s">
        <v>383</v>
      </c>
      <c r="C760" t="s">
        <v>384</v>
      </c>
      <c r="D760" t="s">
        <v>225</v>
      </c>
      <c r="E760" t="s">
        <v>105</v>
      </c>
      <c r="F760" s="126">
        <v>17</v>
      </c>
      <c r="G760" s="77">
        <v>28000</v>
      </c>
      <c r="H760" s="126">
        <v>48</v>
      </c>
      <c r="I760" s="124">
        <v>861.54</v>
      </c>
      <c r="J760" s="126">
        <v>9.1999999999999993</v>
      </c>
      <c r="K760" s="124">
        <v>39666.666666666701</v>
      </c>
      <c r="L760" s="124">
        <v>40528.206666666701</v>
      </c>
    </row>
    <row r="761" spans="1:12" ht="15" customHeight="1" x14ac:dyDescent="0.25">
      <c r="A761" s="78">
        <v>45870</v>
      </c>
      <c r="B761" t="s">
        <v>383</v>
      </c>
      <c r="C761" t="s">
        <v>384</v>
      </c>
      <c r="D761" t="s">
        <v>225</v>
      </c>
      <c r="E761" t="s">
        <v>231</v>
      </c>
      <c r="F761" s="126">
        <v>14.6</v>
      </c>
      <c r="G761" s="77">
        <v>29000</v>
      </c>
      <c r="H761" s="126">
        <v>104.1</v>
      </c>
      <c r="I761" s="124">
        <v>1935.19</v>
      </c>
      <c r="J761" s="126">
        <v>6.3</v>
      </c>
      <c r="K761" s="124">
        <v>35283.333333333299</v>
      </c>
      <c r="L761" s="124">
        <v>37218.523333333302</v>
      </c>
    </row>
    <row r="762" spans="1:12" ht="15" customHeight="1" x14ac:dyDescent="0.25">
      <c r="A762" s="78">
        <v>45870</v>
      </c>
      <c r="B762" t="s">
        <v>383</v>
      </c>
      <c r="C762" t="s">
        <v>384</v>
      </c>
      <c r="D762" t="s">
        <v>225</v>
      </c>
      <c r="E762" t="s">
        <v>2369</v>
      </c>
      <c r="F762" s="126">
        <v>7.1</v>
      </c>
      <c r="G762" s="77">
        <v>35000</v>
      </c>
      <c r="H762" s="126">
        <v>24.8</v>
      </c>
      <c r="I762" s="124">
        <v>556.41</v>
      </c>
      <c r="J762" s="126">
        <v>3.8</v>
      </c>
      <c r="K762" s="124">
        <v>20708.333333333299</v>
      </c>
      <c r="L762" s="124">
        <v>21264.743333333299</v>
      </c>
    </row>
    <row r="763" spans="1:12" ht="15" customHeight="1" x14ac:dyDescent="0.25">
      <c r="A763" s="78">
        <v>45870</v>
      </c>
      <c r="B763" t="s">
        <v>373</v>
      </c>
      <c r="C763" t="s">
        <v>374</v>
      </c>
      <c r="D763" t="s">
        <v>225</v>
      </c>
      <c r="E763" t="s">
        <v>232</v>
      </c>
      <c r="F763" s="126">
        <v>16.5</v>
      </c>
      <c r="G763" s="77">
        <v>25000</v>
      </c>
      <c r="H763" s="126">
        <v>85.5</v>
      </c>
      <c r="I763" s="124">
        <v>1370.19</v>
      </c>
      <c r="J763" s="126">
        <v>7.7</v>
      </c>
      <c r="K763" s="124">
        <v>34375</v>
      </c>
      <c r="L763" s="124">
        <v>35745.19</v>
      </c>
    </row>
    <row r="764" spans="1:12" ht="15" customHeight="1" x14ac:dyDescent="0.25">
      <c r="A764" s="78">
        <v>45870</v>
      </c>
      <c r="B764" t="s">
        <v>373</v>
      </c>
      <c r="C764" t="s">
        <v>374</v>
      </c>
      <c r="D764" t="s">
        <v>225</v>
      </c>
      <c r="E764" t="s">
        <v>2368</v>
      </c>
      <c r="F764" s="126">
        <v>16.2</v>
      </c>
      <c r="G764" s="77">
        <v>27000</v>
      </c>
      <c r="H764" s="126">
        <v>0</v>
      </c>
      <c r="I764" s="124">
        <v>0</v>
      </c>
      <c r="J764" s="126">
        <v>9.5</v>
      </c>
      <c r="K764" s="124">
        <v>36450</v>
      </c>
      <c r="L764" s="124">
        <v>36450</v>
      </c>
    </row>
    <row r="765" spans="1:12" ht="15" customHeight="1" x14ac:dyDescent="0.25">
      <c r="A765" s="78">
        <v>45870</v>
      </c>
      <c r="B765" t="s">
        <v>373</v>
      </c>
      <c r="C765" t="s">
        <v>374</v>
      </c>
      <c r="D765" t="s">
        <v>225</v>
      </c>
      <c r="E765" t="s">
        <v>2367</v>
      </c>
      <c r="F765" s="126">
        <v>6.2</v>
      </c>
      <c r="G765" s="77">
        <v>43000</v>
      </c>
      <c r="H765" s="126">
        <v>31.9</v>
      </c>
      <c r="I765" s="124">
        <v>879.29</v>
      </c>
      <c r="J765" s="126">
        <v>1.4</v>
      </c>
      <c r="K765" s="124">
        <v>22216.666666666701</v>
      </c>
      <c r="L765" s="124">
        <v>23095.956666666701</v>
      </c>
    </row>
    <row r="766" spans="1:12" ht="15" customHeight="1" x14ac:dyDescent="0.25">
      <c r="A766" s="78">
        <v>45870</v>
      </c>
      <c r="B766" t="s">
        <v>373</v>
      </c>
      <c r="C766" t="s">
        <v>374</v>
      </c>
      <c r="D766" t="s">
        <v>225</v>
      </c>
      <c r="E766" t="s">
        <v>230</v>
      </c>
      <c r="F766" s="126">
        <v>12.3</v>
      </c>
      <c r="G766" s="77">
        <v>41000</v>
      </c>
      <c r="H766" s="126">
        <v>38</v>
      </c>
      <c r="I766" s="124">
        <v>998.72</v>
      </c>
      <c r="J766" s="126">
        <v>7.7</v>
      </c>
      <c r="K766" s="124">
        <v>42025</v>
      </c>
      <c r="L766" s="124">
        <v>43023.72</v>
      </c>
    </row>
    <row r="767" spans="1:12" ht="15" customHeight="1" x14ac:dyDescent="0.25">
      <c r="A767" s="78">
        <v>45870</v>
      </c>
      <c r="B767" t="s">
        <v>373</v>
      </c>
      <c r="C767" t="s">
        <v>374</v>
      </c>
      <c r="D767" t="s">
        <v>225</v>
      </c>
      <c r="E767" t="s">
        <v>2369</v>
      </c>
      <c r="F767" s="126">
        <v>4</v>
      </c>
      <c r="G767" s="77">
        <v>35000</v>
      </c>
      <c r="H767" s="126">
        <v>24.7</v>
      </c>
      <c r="I767" s="124">
        <v>554.16999999999996</v>
      </c>
      <c r="J767" s="126">
        <v>2.9</v>
      </c>
      <c r="K767" s="124">
        <v>11666.666666666701</v>
      </c>
      <c r="L767" s="124">
        <v>12220.836666666701</v>
      </c>
    </row>
    <row r="768" spans="1:12" ht="15" customHeight="1" x14ac:dyDescent="0.25">
      <c r="A768" s="78">
        <v>45870</v>
      </c>
      <c r="B768" t="s">
        <v>354</v>
      </c>
      <c r="C768" t="s">
        <v>355</v>
      </c>
      <c r="D768" t="s">
        <v>227</v>
      </c>
      <c r="E768" t="s">
        <v>2367</v>
      </c>
      <c r="F768" s="126">
        <v>17</v>
      </c>
      <c r="G768" s="77">
        <v>43000</v>
      </c>
      <c r="H768" s="126">
        <v>63.5</v>
      </c>
      <c r="I768" s="124">
        <v>1750.32</v>
      </c>
      <c r="J768" s="126">
        <v>8.6</v>
      </c>
      <c r="K768" s="124">
        <v>60916.666666666701</v>
      </c>
      <c r="L768" s="124">
        <v>62666.9866666667</v>
      </c>
    </row>
    <row r="769" spans="1:12" ht="15" customHeight="1" x14ac:dyDescent="0.25">
      <c r="A769" s="78">
        <v>45870</v>
      </c>
      <c r="B769" t="s">
        <v>354</v>
      </c>
      <c r="C769" t="s">
        <v>355</v>
      </c>
      <c r="D769" t="s">
        <v>227</v>
      </c>
      <c r="E769" t="s">
        <v>2368</v>
      </c>
      <c r="F769" s="126">
        <v>8</v>
      </c>
      <c r="G769" s="77">
        <v>27000</v>
      </c>
      <c r="H769" s="126">
        <v>30.4</v>
      </c>
      <c r="I769" s="124">
        <v>526.15</v>
      </c>
      <c r="J769" s="126">
        <v>5.0999999999999996</v>
      </c>
      <c r="K769" s="124">
        <v>18000</v>
      </c>
      <c r="L769" s="124">
        <v>18526.150000000001</v>
      </c>
    </row>
    <row r="770" spans="1:12" ht="15" customHeight="1" x14ac:dyDescent="0.25">
      <c r="A770" s="78">
        <v>45870</v>
      </c>
      <c r="B770" t="s">
        <v>354</v>
      </c>
      <c r="C770" t="s">
        <v>355</v>
      </c>
      <c r="D770" t="s">
        <v>227</v>
      </c>
      <c r="E770" t="s">
        <v>2369</v>
      </c>
      <c r="F770" s="126">
        <v>5.3</v>
      </c>
      <c r="G770" s="77">
        <v>35000</v>
      </c>
      <c r="H770" s="126">
        <v>14.2</v>
      </c>
      <c r="I770" s="124">
        <v>318.58999999999997</v>
      </c>
      <c r="J770" s="126">
        <v>1.8</v>
      </c>
      <c r="K770" s="124">
        <v>15458.333333333299</v>
      </c>
      <c r="L770" s="124">
        <v>15776.9233333333</v>
      </c>
    </row>
    <row r="771" spans="1:12" ht="15" customHeight="1" x14ac:dyDescent="0.25">
      <c r="A771" s="78">
        <v>45870</v>
      </c>
      <c r="B771" t="s">
        <v>354</v>
      </c>
      <c r="C771" t="s">
        <v>355</v>
      </c>
      <c r="D771" t="s">
        <v>227</v>
      </c>
      <c r="E771" t="s">
        <v>231</v>
      </c>
      <c r="F771" s="126">
        <v>19.600000000000001</v>
      </c>
      <c r="G771" s="77">
        <v>29000</v>
      </c>
      <c r="H771" s="126">
        <v>108.1</v>
      </c>
      <c r="I771" s="124">
        <v>2009.55</v>
      </c>
      <c r="J771" s="126">
        <v>9.8000000000000007</v>
      </c>
      <c r="K771" s="124">
        <v>47366.666666666701</v>
      </c>
      <c r="L771" s="124">
        <v>49376.216666666704</v>
      </c>
    </row>
    <row r="772" spans="1:12" ht="15" customHeight="1" x14ac:dyDescent="0.25">
      <c r="A772" s="78">
        <v>45870</v>
      </c>
      <c r="B772" t="s">
        <v>370</v>
      </c>
      <c r="C772" t="s">
        <v>371</v>
      </c>
      <c r="D772" t="s">
        <v>227</v>
      </c>
      <c r="E772" t="s">
        <v>2367</v>
      </c>
      <c r="F772" s="126">
        <v>17.600000000000001</v>
      </c>
      <c r="G772" s="77">
        <v>43000</v>
      </c>
      <c r="H772" s="126">
        <v>106.8</v>
      </c>
      <c r="I772" s="124">
        <v>2943.85</v>
      </c>
      <c r="J772" s="126">
        <v>8.1</v>
      </c>
      <c r="K772" s="124">
        <v>63066.666666666701</v>
      </c>
      <c r="L772" s="124">
        <v>66010.516666666706</v>
      </c>
    </row>
    <row r="773" spans="1:12" ht="15" customHeight="1" x14ac:dyDescent="0.25">
      <c r="A773" s="78">
        <v>45870</v>
      </c>
      <c r="B773" t="s">
        <v>370</v>
      </c>
      <c r="C773" t="s">
        <v>371</v>
      </c>
      <c r="D773" t="s">
        <v>227</v>
      </c>
      <c r="E773" t="s">
        <v>230</v>
      </c>
      <c r="F773" s="126">
        <v>5.0999999999999996</v>
      </c>
      <c r="G773" s="77">
        <v>41000</v>
      </c>
      <c r="H773" s="126">
        <v>20</v>
      </c>
      <c r="I773" s="124">
        <v>525.64</v>
      </c>
      <c r="J773" s="126">
        <v>1.6</v>
      </c>
      <c r="K773" s="124">
        <v>17425</v>
      </c>
      <c r="L773" s="124">
        <v>17950.64</v>
      </c>
    </row>
    <row r="774" spans="1:12" ht="15" customHeight="1" x14ac:dyDescent="0.25">
      <c r="A774" s="78">
        <v>45870</v>
      </c>
      <c r="B774" t="s">
        <v>370</v>
      </c>
      <c r="C774" t="s">
        <v>371</v>
      </c>
      <c r="D774" t="s">
        <v>227</v>
      </c>
      <c r="E774" t="s">
        <v>2368</v>
      </c>
      <c r="F774" s="126">
        <v>10.1</v>
      </c>
      <c r="G774" s="77">
        <v>27000</v>
      </c>
      <c r="H774" s="126">
        <v>40.5</v>
      </c>
      <c r="I774" s="124">
        <v>700.96</v>
      </c>
      <c r="J774" s="126">
        <v>3.6</v>
      </c>
      <c r="K774" s="124">
        <v>22725</v>
      </c>
      <c r="L774" s="124">
        <v>23425.96</v>
      </c>
    </row>
    <row r="775" spans="1:12" ht="15" customHeight="1" x14ac:dyDescent="0.25">
      <c r="A775" s="78">
        <v>45870</v>
      </c>
      <c r="B775" t="s">
        <v>370</v>
      </c>
      <c r="C775" t="s">
        <v>371</v>
      </c>
      <c r="D775" t="s">
        <v>227</v>
      </c>
      <c r="E775" t="s">
        <v>231</v>
      </c>
      <c r="F775" s="126">
        <v>14</v>
      </c>
      <c r="G775" s="77">
        <v>29000</v>
      </c>
      <c r="H775" s="126">
        <v>45.8</v>
      </c>
      <c r="I775" s="124">
        <v>851.41</v>
      </c>
      <c r="J775" s="126">
        <v>5.6</v>
      </c>
      <c r="K775" s="124">
        <v>33833.333333333299</v>
      </c>
      <c r="L775" s="124">
        <v>34684.743333333303</v>
      </c>
    </row>
    <row r="776" spans="1:12" ht="15" customHeight="1" x14ac:dyDescent="0.25">
      <c r="A776" s="78">
        <v>45870</v>
      </c>
      <c r="B776" t="s">
        <v>370</v>
      </c>
      <c r="C776" t="s">
        <v>371</v>
      </c>
      <c r="D776" t="s">
        <v>227</v>
      </c>
      <c r="E776" t="s">
        <v>105</v>
      </c>
      <c r="F776" s="126">
        <v>11.5</v>
      </c>
      <c r="G776" s="77">
        <v>28000</v>
      </c>
      <c r="H776" s="126">
        <v>58</v>
      </c>
      <c r="I776" s="124">
        <v>1041.03</v>
      </c>
      <c r="J776" s="126">
        <v>6.5</v>
      </c>
      <c r="K776" s="124">
        <v>26833.333333333299</v>
      </c>
      <c r="L776" s="124">
        <v>27874.363333333298</v>
      </c>
    </row>
    <row r="777" spans="1:12" ht="15" customHeight="1" x14ac:dyDescent="0.25">
      <c r="A777" s="78">
        <v>45870</v>
      </c>
      <c r="B777" t="s">
        <v>398</v>
      </c>
      <c r="C777" t="s">
        <v>399</v>
      </c>
      <c r="D777" t="s">
        <v>227</v>
      </c>
      <c r="E777" t="s">
        <v>2369</v>
      </c>
      <c r="F777" s="126">
        <v>14.8</v>
      </c>
      <c r="G777" s="77">
        <v>35000</v>
      </c>
      <c r="H777" s="126">
        <v>20.8</v>
      </c>
      <c r="I777" s="124">
        <v>466.67</v>
      </c>
      <c r="J777" s="126">
        <v>8.6999999999999993</v>
      </c>
      <c r="K777" s="124">
        <v>43166.666666666701</v>
      </c>
      <c r="L777" s="124">
        <v>43633.336666666699</v>
      </c>
    </row>
    <row r="778" spans="1:12" ht="15" customHeight="1" x14ac:dyDescent="0.25">
      <c r="A778" s="78">
        <v>45870</v>
      </c>
      <c r="B778" t="s">
        <v>398</v>
      </c>
      <c r="C778" t="s">
        <v>399</v>
      </c>
      <c r="D778" t="s">
        <v>227</v>
      </c>
      <c r="E778" t="s">
        <v>2367</v>
      </c>
      <c r="F778" s="126">
        <v>12.8</v>
      </c>
      <c r="G778" s="77">
        <v>43000</v>
      </c>
      <c r="H778" s="126">
        <v>99.2</v>
      </c>
      <c r="I778" s="124">
        <v>2734.36</v>
      </c>
      <c r="J778" s="126">
        <v>6.4</v>
      </c>
      <c r="K778" s="124">
        <v>45866.666666666701</v>
      </c>
      <c r="L778" s="124">
        <v>48601.026666666701</v>
      </c>
    </row>
    <row r="779" spans="1:12" ht="15" customHeight="1" x14ac:dyDescent="0.25">
      <c r="A779" s="78">
        <v>45870</v>
      </c>
      <c r="B779" t="s">
        <v>398</v>
      </c>
      <c r="C779" t="s">
        <v>399</v>
      </c>
      <c r="D779" t="s">
        <v>227</v>
      </c>
      <c r="E779" t="s">
        <v>231</v>
      </c>
      <c r="F779" s="126">
        <v>16.8</v>
      </c>
      <c r="G779" s="77">
        <v>29000</v>
      </c>
      <c r="H779" s="126">
        <v>51</v>
      </c>
      <c r="I779" s="124">
        <v>948.08</v>
      </c>
      <c r="J779" s="126">
        <v>11.2</v>
      </c>
      <c r="K779" s="124">
        <v>40600</v>
      </c>
      <c r="L779" s="124">
        <v>41548.080000000002</v>
      </c>
    </row>
    <row r="780" spans="1:12" ht="15" customHeight="1" x14ac:dyDescent="0.25">
      <c r="A780" s="78">
        <v>45870</v>
      </c>
      <c r="B780" t="s">
        <v>398</v>
      </c>
      <c r="C780" t="s">
        <v>399</v>
      </c>
      <c r="D780" t="s">
        <v>227</v>
      </c>
      <c r="E780" t="s">
        <v>230</v>
      </c>
      <c r="F780" s="126">
        <v>12.9</v>
      </c>
      <c r="G780" s="77">
        <v>41000</v>
      </c>
      <c r="H780" s="126">
        <v>26.1</v>
      </c>
      <c r="I780" s="124">
        <v>685.96</v>
      </c>
      <c r="J780" s="126">
        <v>6.5</v>
      </c>
      <c r="K780" s="124">
        <v>44075</v>
      </c>
      <c r="L780" s="124">
        <v>44760.959999999999</v>
      </c>
    </row>
    <row r="781" spans="1:12" ht="15" customHeight="1" x14ac:dyDescent="0.25">
      <c r="A781" s="78">
        <v>45870</v>
      </c>
      <c r="B781" t="s">
        <v>378</v>
      </c>
      <c r="C781" t="s">
        <v>379</v>
      </c>
      <c r="D781" t="s">
        <v>227</v>
      </c>
      <c r="E781" t="s">
        <v>231</v>
      </c>
      <c r="F781" s="126">
        <v>15.4</v>
      </c>
      <c r="G781" s="77">
        <v>29000</v>
      </c>
      <c r="H781" s="126">
        <v>65.7</v>
      </c>
      <c r="I781" s="124">
        <v>1221.3499999999999</v>
      </c>
      <c r="J781" s="126">
        <v>9</v>
      </c>
      <c r="K781" s="124">
        <v>37216.666666666701</v>
      </c>
      <c r="L781" s="124">
        <v>38438.016666666699</v>
      </c>
    </row>
    <row r="782" spans="1:12" ht="15" customHeight="1" x14ac:dyDescent="0.25">
      <c r="A782" s="78">
        <v>45870</v>
      </c>
      <c r="B782" t="s">
        <v>378</v>
      </c>
      <c r="C782" t="s">
        <v>379</v>
      </c>
      <c r="D782" t="s">
        <v>227</v>
      </c>
      <c r="E782" t="s">
        <v>105</v>
      </c>
      <c r="F782" s="126">
        <v>14.6</v>
      </c>
      <c r="G782" s="77">
        <v>28000</v>
      </c>
      <c r="H782" s="126">
        <v>66.3</v>
      </c>
      <c r="I782" s="124">
        <v>1190</v>
      </c>
      <c r="J782" s="126">
        <v>6.8</v>
      </c>
      <c r="K782" s="124">
        <v>34066.666666666701</v>
      </c>
      <c r="L782" s="124">
        <v>35256.666666666701</v>
      </c>
    </row>
    <row r="783" spans="1:12" ht="15" customHeight="1" x14ac:dyDescent="0.25">
      <c r="A783" s="78">
        <v>45870</v>
      </c>
      <c r="B783" t="s">
        <v>378</v>
      </c>
      <c r="C783" t="s">
        <v>379</v>
      </c>
      <c r="D783" t="s">
        <v>227</v>
      </c>
      <c r="E783" t="s">
        <v>232</v>
      </c>
      <c r="F783" s="126">
        <v>5.3</v>
      </c>
      <c r="G783" s="77">
        <v>25000</v>
      </c>
      <c r="H783" s="126">
        <v>13.6</v>
      </c>
      <c r="I783" s="124">
        <v>217.95</v>
      </c>
      <c r="J783" s="126">
        <v>2.2999999999999998</v>
      </c>
      <c r="K783" s="124">
        <v>11041.666666666701</v>
      </c>
      <c r="L783" s="124">
        <v>11259.6166666667</v>
      </c>
    </row>
    <row r="784" spans="1:12" ht="15" customHeight="1" x14ac:dyDescent="0.25">
      <c r="A784" s="78">
        <v>45870</v>
      </c>
      <c r="B784" t="s">
        <v>378</v>
      </c>
      <c r="C784" t="s">
        <v>379</v>
      </c>
      <c r="D784" t="s">
        <v>227</v>
      </c>
      <c r="E784" t="s">
        <v>2368</v>
      </c>
      <c r="F784" s="126">
        <v>6.7</v>
      </c>
      <c r="G784" s="77">
        <v>27000</v>
      </c>
      <c r="H784" s="126">
        <v>16.7</v>
      </c>
      <c r="I784" s="124">
        <v>289.04000000000002</v>
      </c>
      <c r="J784" s="126">
        <v>3.4</v>
      </c>
      <c r="K784" s="124">
        <v>15075</v>
      </c>
      <c r="L784" s="124">
        <v>15364.04</v>
      </c>
    </row>
    <row r="785" spans="1:12" ht="15" customHeight="1" x14ac:dyDescent="0.25">
      <c r="A785" s="78">
        <v>45870</v>
      </c>
      <c r="B785" t="s">
        <v>378</v>
      </c>
      <c r="C785" t="s">
        <v>379</v>
      </c>
      <c r="D785" t="s">
        <v>227</v>
      </c>
      <c r="E785" t="s">
        <v>2367</v>
      </c>
      <c r="F785" s="126">
        <v>19.3</v>
      </c>
      <c r="G785" s="77">
        <v>43000</v>
      </c>
      <c r="H785" s="126">
        <v>60.9</v>
      </c>
      <c r="I785" s="124">
        <v>1678.65</v>
      </c>
      <c r="J785" s="126">
        <v>8.1999999999999993</v>
      </c>
      <c r="K785" s="124">
        <v>69158.333333333299</v>
      </c>
      <c r="L785" s="124">
        <v>70836.983333333294</v>
      </c>
    </row>
    <row r="786" spans="1:12" ht="15" customHeight="1" x14ac:dyDescent="0.25">
      <c r="A786" s="78">
        <v>45870</v>
      </c>
      <c r="B786" t="s">
        <v>378</v>
      </c>
      <c r="C786" t="s">
        <v>379</v>
      </c>
      <c r="D786" t="s">
        <v>227</v>
      </c>
      <c r="E786" t="s">
        <v>230</v>
      </c>
      <c r="F786" s="126">
        <v>12.8</v>
      </c>
      <c r="G786" s="77">
        <v>41000</v>
      </c>
      <c r="H786" s="126">
        <v>75.3</v>
      </c>
      <c r="I786" s="124">
        <v>1979.04</v>
      </c>
      <c r="J786" s="126">
        <v>5.9</v>
      </c>
      <c r="K786" s="124">
        <v>43733.333333333299</v>
      </c>
      <c r="L786" s="124">
        <v>45712.3733333333</v>
      </c>
    </row>
    <row r="787" spans="1:12" ht="15" customHeight="1" x14ac:dyDescent="0.25">
      <c r="A787" s="78">
        <v>45870</v>
      </c>
      <c r="B787" t="s">
        <v>393</v>
      </c>
      <c r="C787" t="s">
        <v>394</v>
      </c>
      <c r="D787" t="s">
        <v>227</v>
      </c>
      <c r="E787" t="s">
        <v>231</v>
      </c>
      <c r="F787" s="126">
        <v>8.8000000000000007</v>
      </c>
      <c r="G787" s="77">
        <v>29000</v>
      </c>
      <c r="H787" s="126">
        <v>18.5</v>
      </c>
      <c r="I787" s="124">
        <v>343.91</v>
      </c>
      <c r="J787" s="126">
        <v>4.2</v>
      </c>
      <c r="K787" s="124">
        <v>21266.666666666701</v>
      </c>
      <c r="L787" s="124">
        <v>21610.5766666667</v>
      </c>
    </row>
    <row r="788" spans="1:12" ht="15" customHeight="1" x14ac:dyDescent="0.25">
      <c r="A788" s="78">
        <v>45870</v>
      </c>
      <c r="B788" t="s">
        <v>393</v>
      </c>
      <c r="C788" t="s">
        <v>394</v>
      </c>
      <c r="D788" t="s">
        <v>227</v>
      </c>
      <c r="E788" t="s">
        <v>2368</v>
      </c>
      <c r="F788" s="126">
        <v>10.6</v>
      </c>
      <c r="G788" s="77">
        <v>27000</v>
      </c>
      <c r="H788" s="126">
        <v>43.5</v>
      </c>
      <c r="I788" s="124">
        <v>752.88</v>
      </c>
      <c r="J788" s="126">
        <v>3.6</v>
      </c>
      <c r="K788" s="124">
        <v>23850</v>
      </c>
      <c r="L788" s="124">
        <v>24602.880000000001</v>
      </c>
    </row>
    <row r="789" spans="1:12" ht="15" customHeight="1" x14ac:dyDescent="0.25">
      <c r="A789" s="78">
        <v>45870</v>
      </c>
      <c r="B789" t="s">
        <v>393</v>
      </c>
      <c r="C789" t="s">
        <v>394</v>
      </c>
      <c r="D789" t="s">
        <v>227</v>
      </c>
      <c r="E789" t="s">
        <v>232</v>
      </c>
      <c r="F789" s="126">
        <v>5.5</v>
      </c>
      <c r="G789" s="77">
        <v>25000</v>
      </c>
      <c r="H789" s="126">
        <v>24.7</v>
      </c>
      <c r="I789" s="124">
        <v>395.83</v>
      </c>
      <c r="J789" s="126">
        <v>1.7</v>
      </c>
      <c r="K789" s="124">
        <v>11458.333333333299</v>
      </c>
      <c r="L789" s="124">
        <v>11854.163333333299</v>
      </c>
    </row>
    <row r="790" spans="1:12" ht="15" customHeight="1" x14ac:dyDescent="0.25">
      <c r="A790" s="78">
        <v>45870</v>
      </c>
      <c r="B790" t="s">
        <v>393</v>
      </c>
      <c r="C790" t="s">
        <v>394</v>
      </c>
      <c r="D790" t="s">
        <v>227</v>
      </c>
      <c r="E790" t="s">
        <v>2367</v>
      </c>
      <c r="F790" s="126">
        <v>14</v>
      </c>
      <c r="G790" s="77">
        <v>43000</v>
      </c>
      <c r="H790" s="126">
        <v>91.9</v>
      </c>
      <c r="I790" s="124">
        <v>2533.14</v>
      </c>
      <c r="J790" s="126">
        <v>7.5</v>
      </c>
      <c r="K790" s="124">
        <v>50166.666666666701</v>
      </c>
      <c r="L790" s="124">
        <v>52699.8066666667</v>
      </c>
    </row>
    <row r="791" spans="1:12" ht="15" customHeight="1" x14ac:dyDescent="0.25">
      <c r="A791" s="78">
        <v>45870</v>
      </c>
      <c r="B791" t="s">
        <v>393</v>
      </c>
      <c r="C791" t="s">
        <v>394</v>
      </c>
      <c r="D791" t="s">
        <v>227</v>
      </c>
      <c r="E791" t="s">
        <v>105</v>
      </c>
      <c r="F791" s="126">
        <v>5.0999999999999996</v>
      </c>
      <c r="G791" s="77">
        <v>28000</v>
      </c>
      <c r="H791" s="126">
        <v>17.3</v>
      </c>
      <c r="I791" s="124">
        <v>310.51</v>
      </c>
      <c r="J791" s="126">
        <v>1.8</v>
      </c>
      <c r="K791" s="124">
        <v>11900</v>
      </c>
      <c r="L791" s="124">
        <v>12210.51</v>
      </c>
    </row>
    <row r="792" spans="1:12" ht="15" customHeight="1" x14ac:dyDescent="0.25">
      <c r="A792" s="78">
        <v>45870</v>
      </c>
      <c r="B792" t="s">
        <v>393</v>
      </c>
      <c r="C792" t="s">
        <v>394</v>
      </c>
      <c r="D792" t="s">
        <v>227</v>
      </c>
      <c r="E792" t="s">
        <v>2369</v>
      </c>
      <c r="F792" s="126">
        <v>9.3000000000000007</v>
      </c>
      <c r="G792" s="77">
        <v>35000</v>
      </c>
      <c r="H792" s="126">
        <v>35.700000000000003</v>
      </c>
      <c r="I792" s="124">
        <v>800.96</v>
      </c>
      <c r="J792" s="126">
        <v>5.3</v>
      </c>
      <c r="K792" s="124">
        <v>27125</v>
      </c>
      <c r="L792" s="124">
        <v>27925.96</v>
      </c>
    </row>
    <row r="793" spans="1:12" ht="15" customHeight="1" x14ac:dyDescent="0.25">
      <c r="A793" s="78">
        <v>45901</v>
      </c>
      <c r="B793" t="s">
        <v>390</v>
      </c>
      <c r="C793" t="s">
        <v>391</v>
      </c>
      <c r="D793" t="s">
        <v>221</v>
      </c>
      <c r="E793" t="s">
        <v>2369</v>
      </c>
      <c r="F793" s="126">
        <v>14.3</v>
      </c>
      <c r="G793" s="77">
        <v>35000</v>
      </c>
      <c r="H793" s="126">
        <v>56.7</v>
      </c>
      <c r="I793" s="124">
        <v>1272.1199999999999</v>
      </c>
      <c r="J793" s="126">
        <v>6.9</v>
      </c>
      <c r="K793" s="124">
        <v>41708.333333333299</v>
      </c>
      <c r="L793" s="124">
        <v>42980.453333333302</v>
      </c>
    </row>
    <row r="794" spans="1:12" ht="15" customHeight="1" x14ac:dyDescent="0.25">
      <c r="A794" s="78">
        <v>45901</v>
      </c>
      <c r="B794" t="s">
        <v>390</v>
      </c>
      <c r="C794" t="s">
        <v>391</v>
      </c>
      <c r="D794" t="s">
        <v>221</v>
      </c>
      <c r="E794" t="s">
        <v>2368</v>
      </c>
      <c r="F794" s="126">
        <v>17.600000000000001</v>
      </c>
      <c r="G794" s="77">
        <v>27000</v>
      </c>
      <c r="H794" s="126">
        <v>71.900000000000006</v>
      </c>
      <c r="I794" s="124">
        <v>1244.42</v>
      </c>
      <c r="J794" s="126">
        <v>8.1999999999999993</v>
      </c>
      <c r="K794" s="124">
        <v>39600</v>
      </c>
      <c r="L794" s="124">
        <v>40844.42</v>
      </c>
    </row>
    <row r="795" spans="1:12" ht="15" customHeight="1" x14ac:dyDescent="0.25">
      <c r="A795" s="78">
        <v>45901</v>
      </c>
      <c r="B795" t="s">
        <v>390</v>
      </c>
      <c r="C795" t="s">
        <v>391</v>
      </c>
      <c r="D795" t="s">
        <v>221</v>
      </c>
      <c r="E795" t="s">
        <v>2367</v>
      </c>
      <c r="F795" s="126">
        <v>5.5</v>
      </c>
      <c r="G795" s="77">
        <v>43000</v>
      </c>
      <c r="H795" s="126">
        <v>19.2</v>
      </c>
      <c r="I795" s="124">
        <v>529.23</v>
      </c>
      <c r="J795" s="126">
        <v>0.7</v>
      </c>
      <c r="K795" s="124">
        <v>19708.333333333299</v>
      </c>
      <c r="L795" s="124">
        <v>20237.563333333299</v>
      </c>
    </row>
    <row r="796" spans="1:12" ht="15" customHeight="1" x14ac:dyDescent="0.25">
      <c r="A796" s="78">
        <v>45901</v>
      </c>
      <c r="B796" t="s">
        <v>390</v>
      </c>
      <c r="C796" t="s">
        <v>391</v>
      </c>
      <c r="D796" t="s">
        <v>221</v>
      </c>
      <c r="E796" t="s">
        <v>230</v>
      </c>
      <c r="F796" s="126">
        <v>9.6</v>
      </c>
      <c r="G796" s="77">
        <v>41000</v>
      </c>
      <c r="H796" s="126">
        <v>52.4</v>
      </c>
      <c r="I796" s="124">
        <v>1377.18</v>
      </c>
      <c r="J796" s="126">
        <v>5.0999999999999996</v>
      </c>
      <c r="K796" s="124">
        <v>32800</v>
      </c>
      <c r="L796" s="124">
        <v>34177.18</v>
      </c>
    </row>
    <row r="797" spans="1:12" ht="15" customHeight="1" x14ac:dyDescent="0.25">
      <c r="A797" s="78">
        <v>45901</v>
      </c>
      <c r="B797" t="s">
        <v>390</v>
      </c>
      <c r="C797" t="s">
        <v>391</v>
      </c>
      <c r="D797" t="s">
        <v>221</v>
      </c>
      <c r="E797" t="s">
        <v>231</v>
      </c>
      <c r="F797" s="126">
        <v>6.2</v>
      </c>
      <c r="G797" s="77">
        <v>29000</v>
      </c>
      <c r="H797" s="126">
        <v>17.600000000000001</v>
      </c>
      <c r="I797" s="124">
        <v>327.18</v>
      </c>
      <c r="J797" s="126">
        <v>5</v>
      </c>
      <c r="K797" s="124">
        <v>14983.333333333299</v>
      </c>
      <c r="L797" s="124">
        <v>15310.5133333333</v>
      </c>
    </row>
    <row r="798" spans="1:12" ht="15" customHeight="1" x14ac:dyDescent="0.25">
      <c r="A798" s="78">
        <v>45901</v>
      </c>
      <c r="B798" t="s">
        <v>401</v>
      </c>
      <c r="C798" t="s">
        <v>402</v>
      </c>
      <c r="D798" t="s">
        <v>221</v>
      </c>
      <c r="E798" t="s">
        <v>105</v>
      </c>
      <c r="F798" s="126">
        <v>10.4</v>
      </c>
      <c r="G798" s="77">
        <v>28000</v>
      </c>
      <c r="H798" s="126">
        <v>43</v>
      </c>
      <c r="I798" s="124">
        <v>771.79</v>
      </c>
      <c r="J798" s="126">
        <v>4.2</v>
      </c>
      <c r="K798" s="124">
        <v>24266.666666666701</v>
      </c>
      <c r="L798" s="124">
        <v>25038.456666666701</v>
      </c>
    </row>
    <row r="799" spans="1:12" ht="15" customHeight="1" x14ac:dyDescent="0.25">
      <c r="A799" s="78">
        <v>45901</v>
      </c>
      <c r="B799" t="s">
        <v>401</v>
      </c>
      <c r="C799" t="s">
        <v>402</v>
      </c>
      <c r="D799" t="s">
        <v>221</v>
      </c>
      <c r="E799" t="s">
        <v>2368</v>
      </c>
      <c r="F799" s="126">
        <v>7.3</v>
      </c>
      <c r="G799" s="77">
        <v>27000</v>
      </c>
      <c r="H799" s="126">
        <v>38.6</v>
      </c>
      <c r="I799" s="124">
        <v>668.08</v>
      </c>
      <c r="J799" s="126">
        <v>4</v>
      </c>
      <c r="K799" s="124">
        <v>16425</v>
      </c>
      <c r="L799" s="124">
        <v>17093.080000000002</v>
      </c>
    </row>
    <row r="800" spans="1:12" ht="15" customHeight="1" x14ac:dyDescent="0.25">
      <c r="A800" s="78">
        <v>45901</v>
      </c>
      <c r="B800" t="s">
        <v>401</v>
      </c>
      <c r="C800" t="s">
        <v>402</v>
      </c>
      <c r="D800" t="s">
        <v>221</v>
      </c>
      <c r="E800" t="s">
        <v>231</v>
      </c>
      <c r="F800" s="126">
        <v>10.4</v>
      </c>
      <c r="G800" s="77">
        <v>29000</v>
      </c>
      <c r="H800" s="126">
        <v>47.8</v>
      </c>
      <c r="I800" s="124">
        <v>888.59</v>
      </c>
      <c r="J800" s="126">
        <v>4.8</v>
      </c>
      <c r="K800" s="124">
        <v>25133.333333333299</v>
      </c>
      <c r="L800" s="124">
        <v>26021.9233333333</v>
      </c>
    </row>
    <row r="801" spans="1:12" ht="15" customHeight="1" x14ac:dyDescent="0.25">
      <c r="A801" s="78">
        <v>45901</v>
      </c>
      <c r="B801" t="s">
        <v>401</v>
      </c>
      <c r="C801" t="s">
        <v>402</v>
      </c>
      <c r="D801" t="s">
        <v>221</v>
      </c>
      <c r="E801" t="s">
        <v>2369</v>
      </c>
      <c r="F801" s="126">
        <v>5.7</v>
      </c>
      <c r="G801" s="77">
        <v>35000</v>
      </c>
      <c r="H801" s="126">
        <v>26.7</v>
      </c>
      <c r="I801" s="124">
        <v>599.04</v>
      </c>
      <c r="J801" s="126">
        <v>2.6</v>
      </c>
      <c r="K801" s="124">
        <v>16625</v>
      </c>
      <c r="L801" s="124">
        <v>17224.04</v>
      </c>
    </row>
    <row r="802" spans="1:12" ht="15" customHeight="1" x14ac:dyDescent="0.25">
      <c r="A802" s="78">
        <v>45901</v>
      </c>
      <c r="B802" t="s">
        <v>401</v>
      </c>
      <c r="C802" t="s">
        <v>402</v>
      </c>
      <c r="D802" t="s">
        <v>221</v>
      </c>
      <c r="E802" t="s">
        <v>2367</v>
      </c>
      <c r="F802" s="126">
        <v>16.3</v>
      </c>
      <c r="G802" s="77">
        <v>43000</v>
      </c>
      <c r="H802" s="126">
        <v>78.8</v>
      </c>
      <c r="I802" s="124">
        <v>2172.0500000000002</v>
      </c>
      <c r="J802" s="126">
        <v>6.2</v>
      </c>
      <c r="K802" s="124">
        <v>58408.333333333299</v>
      </c>
      <c r="L802" s="124">
        <v>60580.383333333302</v>
      </c>
    </row>
    <row r="803" spans="1:12" ht="15" customHeight="1" x14ac:dyDescent="0.25">
      <c r="A803" s="78">
        <v>45901</v>
      </c>
      <c r="B803" t="s">
        <v>401</v>
      </c>
      <c r="C803" t="s">
        <v>402</v>
      </c>
      <c r="D803" t="s">
        <v>221</v>
      </c>
      <c r="E803" t="s">
        <v>230</v>
      </c>
      <c r="F803" s="126">
        <v>17.2</v>
      </c>
      <c r="G803" s="77">
        <v>41000</v>
      </c>
      <c r="H803" s="126">
        <v>57.6</v>
      </c>
      <c r="I803" s="124">
        <v>1513.85</v>
      </c>
      <c r="J803" s="126">
        <v>10.3</v>
      </c>
      <c r="K803" s="124">
        <v>58766.666666666701</v>
      </c>
      <c r="L803" s="124">
        <v>60280.516666666699</v>
      </c>
    </row>
    <row r="804" spans="1:12" ht="15" customHeight="1" x14ac:dyDescent="0.25">
      <c r="A804" s="78">
        <v>45901</v>
      </c>
      <c r="B804" t="s">
        <v>431</v>
      </c>
      <c r="C804" t="s">
        <v>432</v>
      </c>
      <c r="D804" t="s">
        <v>221</v>
      </c>
      <c r="E804" t="s">
        <v>2369</v>
      </c>
      <c r="F804" s="126">
        <v>18</v>
      </c>
      <c r="G804" s="77">
        <v>35000</v>
      </c>
      <c r="H804" s="126">
        <v>51.3</v>
      </c>
      <c r="I804" s="124">
        <v>1150.96</v>
      </c>
      <c r="J804" s="126">
        <v>8.4</v>
      </c>
      <c r="K804" s="124">
        <v>52500</v>
      </c>
      <c r="L804" s="124">
        <v>53650.96</v>
      </c>
    </row>
    <row r="805" spans="1:12" ht="15" customHeight="1" x14ac:dyDescent="0.25">
      <c r="A805" s="78">
        <v>45901</v>
      </c>
      <c r="B805" t="s">
        <v>431</v>
      </c>
      <c r="C805" t="s">
        <v>432</v>
      </c>
      <c r="D805" t="s">
        <v>221</v>
      </c>
      <c r="E805" t="s">
        <v>2367</v>
      </c>
      <c r="F805" s="126">
        <v>5.4</v>
      </c>
      <c r="G805" s="77">
        <v>43000</v>
      </c>
      <c r="H805" s="126">
        <v>18</v>
      </c>
      <c r="I805" s="124">
        <v>496.15</v>
      </c>
      <c r="J805" s="126">
        <v>1.5</v>
      </c>
      <c r="K805" s="124">
        <v>19350</v>
      </c>
      <c r="L805" s="124">
        <v>19846.150000000001</v>
      </c>
    </row>
    <row r="806" spans="1:12" ht="15" customHeight="1" x14ac:dyDescent="0.25">
      <c r="A806" s="78">
        <v>45901</v>
      </c>
      <c r="B806" t="s">
        <v>431</v>
      </c>
      <c r="C806" t="s">
        <v>432</v>
      </c>
      <c r="D806" t="s">
        <v>221</v>
      </c>
      <c r="E806" t="s">
        <v>230</v>
      </c>
      <c r="F806" s="126">
        <v>7.7</v>
      </c>
      <c r="G806" s="77">
        <v>41000</v>
      </c>
      <c r="H806" s="126">
        <v>5.3</v>
      </c>
      <c r="I806" s="124">
        <v>139.29</v>
      </c>
      <c r="J806" s="126">
        <v>3.6</v>
      </c>
      <c r="K806" s="124">
        <v>26308.333333333299</v>
      </c>
      <c r="L806" s="124">
        <v>26447.6233333333</v>
      </c>
    </row>
    <row r="807" spans="1:12" ht="15" customHeight="1" x14ac:dyDescent="0.25">
      <c r="A807" s="78">
        <v>45901</v>
      </c>
      <c r="B807" t="s">
        <v>431</v>
      </c>
      <c r="C807" t="s">
        <v>432</v>
      </c>
      <c r="D807" t="s">
        <v>221</v>
      </c>
      <c r="E807" t="s">
        <v>231</v>
      </c>
      <c r="F807" s="126">
        <v>10.199999999999999</v>
      </c>
      <c r="G807" s="77">
        <v>29000</v>
      </c>
      <c r="H807" s="126">
        <v>42.9</v>
      </c>
      <c r="I807" s="124">
        <v>797.5</v>
      </c>
      <c r="J807" s="126">
        <v>5</v>
      </c>
      <c r="K807" s="124">
        <v>24650</v>
      </c>
      <c r="L807" s="124">
        <v>25447.5</v>
      </c>
    </row>
    <row r="808" spans="1:12" ht="15" customHeight="1" x14ac:dyDescent="0.25">
      <c r="A808" s="78">
        <v>45901</v>
      </c>
      <c r="B808" t="s">
        <v>431</v>
      </c>
      <c r="C808" t="s">
        <v>432</v>
      </c>
      <c r="D808" t="s">
        <v>221</v>
      </c>
      <c r="E808" t="s">
        <v>105</v>
      </c>
      <c r="F808" s="126">
        <v>3.2</v>
      </c>
      <c r="G808" s="77">
        <v>28000</v>
      </c>
      <c r="H808" s="126">
        <v>12.1</v>
      </c>
      <c r="I808" s="124">
        <v>217.18</v>
      </c>
      <c r="J808" s="126">
        <v>1.6</v>
      </c>
      <c r="K808" s="124">
        <v>7466.6666666666697</v>
      </c>
      <c r="L808" s="124">
        <v>7683.84666666667</v>
      </c>
    </row>
    <row r="809" spans="1:12" ht="15" customHeight="1" x14ac:dyDescent="0.25">
      <c r="A809" s="78">
        <v>45901</v>
      </c>
      <c r="B809" t="s">
        <v>431</v>
      </c>
      <c r="C809" t="s">
        <v>432</v>
      </c>
      <c r="D809" t="s">
        <v>221</v>
      </c>
      <c r="E809" t="s">
        <v>232</v>
      </c>
      <c r="F809" s="126">
        <v>16.399999999999999</v>
      </c>
      <c r="G809" s="77">
        <v>25000</v>
      </c>
      <c r="H809" s="126">
        <v>90.8</v>
      </c>
      <c r="I809" s="124">
        <v>1455.13</v>
      </c>
      <c r="J809" s="126">
        <v>8</v>
      </c>
      <c r="K809" s="124">
        <v>34166.666666666701</v>
      </c>
      <c r="L809" s="124">
        <v>35621.796666666698</v>
      </c>
    </row>
    <row r="810" spans="1:12" ht="15" customHeight="1" x14ac:dyDescent="0.25">
      <c r="A810" s="78">
        <v>45901</v>
      </c>
      <c r="B810" t="s">
        <v>366</v>
      </c>
      <c r="C810" t="s">
        <v>367</v>
      </c>
      <c r="D810" t="s">
        <v>221</v>
      </c>
      <c r="E810" t="s">
        <v>232</v>
      </c>
      <c r="F810" s="126">
        <v>10.6</v>
      </c>
      <c r="G810" s="77">
        <v>25000</v>
      </c>
      <c r="H810" s="126">
        <v>33.299999999999997</v>
      </c>
      <c r="I810" s="124">
        <v>533.65</v>
      </c>
      <c r="J810" s="126">
        <v>5</v>
      </c>
      <c r="K810" s="124">
        <v>22083.333333333299</v>
      </c>
      <c r="L810" s="124">
        <v>22616.983333333301</v>
      </c>
    </row>
    <row r="811" spans="1:12" ht="15" customHeight="1" x14ac:dyDescent="0.25">
      <c r="A811" s="78">
        <v>45901</v>
      </c>
      <c r="B811" t="s">
        <v>366</v>
      </c>
      <c r="C811" t="s">
        <v>367</v>
      </c>
      <c r="D811" t="s">
        <v>221</v>
      </c>
      <c r="E811" t="s">
        <v>2367</v>
      </c>
      <c r="F811" s="126">
        <v>14.7</v>
      </c>
      <c r="G811" s="77">
        <v>43000</v>
      </c>
      <c r="H811" s="126">
        <v>71.599999999999994</v>
      </c>
      <c r="I811" s="124">
        <v>1973.59</v>
      </c>
      <c r="J811" s="126">
        <v>8.8000000000000007</v>
      </c>
      <c r="K811" s="124">
        <v>52675</v>
      </c>
      <c r="L811" s="124">
        <v>54648.59</v>
      </c>
    </row>
    <row r="812" spans="1:12" ht="15" customHeight="1" x14ac:dyDescent="0.25">
      <c r="A812" s="78">
        <v>45901</v>
      </c>
      <c r="B812" t="s">
        <v>366</v>
      </c>
      <c r="C812" t="s">
        <v>367</v>
      </c>
      <c r="D812" t="s">
        <v>221</v>
      </c>
      <c r="E812" t="s">
        <v>2369</v>
      </c>
      <c r="F812" s="126">
        <v>7.7</v>
      </c>
      <c r="G812" s="77">
        <v>35000</v>
      </c>
      <c r="H812" s="126">
        <v>23.5</v>
      </c>
      <c r="I812" s="124">
        <v>527.24</v>
      </c>
      <c r="J812" s="126">
        <v>3.9</v>
      </c>
      <c r="K812" s="124">
        <v>22458.333333333299</v>
      </c>
      <c r="L812" s="124">
        <v>22985.573333333301</v>
      </c>
    </row>
    <row r="813" spans="1:12" ht="15" customHeight="1" x14ac:dyDescent="0.25">
      <c r="A813" s="78">
        <v>45901</v>
      </c>
      <c r="B813" t="s">
        <v>366</v>
      </c>
      <c r="C813" t="s">
        <v>367</v>
      </c>
      <c r="D813" t="s">
        <v>221</v>
      </c>
      <c r="E813" t="s">
        <v>230</v>
      </c>
      <c r="F813" s="126">
        <v>11.1</v>
      </c>
      <c r="G813" s="77">
        <v>41000</v>
      </c>
      <c r="H813" s="126">
        <v>50</v>
      </c>
      <c r="I813" s="124">
        <v>1314.1</v>
      </c>
      <c r="J813" s="126">
        <v>4.5999999999999996</v>
      </c>
      <c r="K813" s="124">
        <v>37925</v>
      </c>
      <c r="L813" s="124">
        <v>39239.1</v>
      </c>
    </row>
    <row r="814" spans="1:12" ht="15" customHeight="1" x14ac:dyDescent="0.25">
      <c r="A814" s="78">
        <v>45901</v>
      </c>
      <c r="B814" t="s">
        <v>366</v>
      </c>
      <c r="C814" t="s">
        <v>367</v>
      </c>
      <c r="D814" t="s">
        <v>221</v>
      </c>
      <c r="E814" t="s">
        <v>231</v>
      </c>
      <c r="F814" s="126">
        <v>9.6</v>
      </c>
      <c r="G814" s="77">
        <v>29000</v>
      </c>
      <c r="H814" s="126">
        <v>38.700000000000003</v>
      </c>
      <c r="I814" s="124">
        <v>719.42</v>
      </c>
      <c r="J814" s="126">
        <v>3.3</v>
      </c>
      <c r="K814" s="124">
        <v>23200</v>
      </c>
      <c r="L814" s="124">
        <v>23919.42</v>
      </c>
    </row>
    <row r="815" spans="1:12" ht="15" customHeight="1" x14ac:dyDescent="0.25">
      <c r="A815" s="78">
        <v>45901</v>
      </c>
      <c r="B815" t="s">
        <v>366</v>
      </c>
      <c r="C815" t="s">
        <v>367</v>
      </c>
      <c r="D815" t="s">
        <v>221</v>
      </c>
      <c r="E815" t="s">
        <v>105</v>
      </c>
      <c r="F815" s="126">
        <v>5.7</v>
      </c>
      <c r="G815" s="77">
        <v>28000</v>
      </c>
      <c r="H815" s="126">
        <v>7.7</v>
      </c>
      <c r="I815" s="124">
        <v>138.21</v>
      </c>
      <c r="J815" s="126">
        <v>3.2</v>
      </c>
      <c r="K815" s="124">
        <v>13300</v>
      </c>
      <c r="L815" s="124">
        <v>13438.21</v>
      </c>
    </row>
    <row r="816" spans="1:12" ht="15" customHeight="1" x14ac:dyDescent="0.25">
      <c r="A816" s="78">
        <v>45901</v>
      </c>
      <c r="B816" t="s">
        <v>362</v>
      </c>
      <c r="C816" t="s">
        <v>363</v>
      </c>
      <c r="D816" t="s">
        <v>221</v>
      </c>
      <c r="E816" t="s">
        <v>2369</v>
      </c>
      <c r="F816" s="126">
        <v>14</v>
      </c>
      <c r="G816" s="77">
        <v>35000</v>
      </c>
      <c r="H816" s="126">
        <v>47.9</v>
      </c>
      <c r="I816" s="124">
        <v>1074.68</v>
      </c>
      <c r="J816" s="126">
        <v>7.2</v>
      </c>
      <c r="K816" s="124">
        <v>40833.333333333299</v>
      </c>
      <c r="L816" s="124">
        <v>41908.0133333333</v>
      </c>
    </row>
    <row r="817" spans="1:12" ht="15" customHeight="1" x14ac:dyDescent="0.25">
      <c r="A817" s="78">
        <v>45901</v>
      </c>
      <c r="B817" t="s">
        <v>362</v>
      </c>
      <c r="C817" t="s">
        <v>363</v>
      </c>
      <c r="D817" t="s">
        <v>221</v>
      </c>
      <c r="E817" t="s">
        <v>231</v>
      </c>
      <c r="F817" s="126">
        <v>9.5</v>
      </c>
      <c r="G817" s="77">
        <v>29000</v>
      </c>
      <c r="H817" s="126">
        <v>37.700000000000003</v>
      </c>
      <c r="I817" s="124">
        <v>700.83</v>
      </c>
      <c r="J817" s="126">
        <v>3.8</v>
      </c>
      <c r="K817" s="124">
        <v>22958.333333333299</v>
      </c>
      <c r="L817" s="124">
        <v>23659.163333333301</v>
      </c>
    </row>
    <row r="818" spans="1:12" ht="15" customHeight="1" x14ac:dyDescent="0.25">
      <c r="A818" s="78">
        <v>45901</v>
      </c>
      <c r="B818" t="s">
        <v>362</v>
      </c>
      <c r="C818" t="s">
        <v>363</v>
      </c>
      <c r="D818" t="s">
        <v>221</v>
      </c>
      <c r="E818" t="s">
        <v>232</v>
      </c>
      <c r="F818" s="126">
        <v>19.8</v>
      </c>
      <c r="G818" s="77">
        <v>25000</v>
      </c>
      <c r="H818" s="126">
        <v>77.900000000000006</v>
      </c>
      <c r="I818" s="124">
        <v>1248.4000000000001</v>
      </c>
      <c r="J818" s="126">
        <v>8.6999999999999993</v>
      </c>
      <c r="K818" s="124">
        <v>41250</v>
      </c>
      <c r="L818" s="124">
        <v>42498.400000000001</v>
      </c>
    </row>
    <row r="819" spans="1:12" ht="15" customHeight="1" x14ac:dyDescent="0.25">
      <c r="A819" s="78">
        <v>45901</v>
      </c>
      <c r="B819" t="s">
        <v>362</v>
      </c>
      <c r="C819" t="s">
        <v>363</v>
      </c>
      <c r="D819" t="s">
        <v>221</v>
      </c>
      <c r="E819" t="s">
        <v>2368</v>
      </c>
      <c r="F819" s="126">
        <v>12.4</v>
      </c>
      <c r="G819" s="77">
        <v>27000</v>
      </c>
      <c r="H819" s="126">
        <v>75.5</v>
      </c>
      <c r="I819" s="124">
        <v>1306.73</v>
      </c>
      <c r="J819" s="126">
        <v>4.8</v>
      </c>
      <c r="K819" s="124">
        <v>27900</v>
      </c>
      <c r="L819" s="124">
        <v>29206.73</v>
      </c>
    </row>
    <row r="820" spans="1:12" ht="15" customHeight="1" x14ac:dyDescent="0.25">
      <c r="A820" s="78">
        <v>45901</v>
      </c>
      <c r="B820" t="s">
        <v>335</v>
      </c>
      <c r="C820" t="s">
        <v>336</v>
      </c>
      <c r="D820" t="s">
        <v>223</v>
      </c>
      <c r="E820" t="s">
        <v>231</v>
      </c>
      <c r="F820" s="126">
        <v>14.7</v>
      </c>
      <c r="G820" s="77">
        <v>29000</v>
      </c>
      <c r="H820" s="126">
        <v>54.5</v>
      </c>
      <c r="I820" s="124">
        <v>1013.14</v>
      </c>
      <c r="J820" s="126">
        <v>6.3</v>
      </c>
      <c r="K820" s="124">
        <v>35525</v>
      </c>
      <c r="L820" s="124">
        <v>36538.14</v>
      </c>
    </row>
    <row r="821" spans="1:12" ht="15" customHeight="1" x14ac:dyDescent="0.25">
      <c r="A821" s="78">
        <v>45901</v>
      </c>
      <c r="B821" t="s">
        <v>335</v>
      </c>
      <c r="C821" t="s">
        <v>336</v>
      </c>
      <c r="D821" t="s">
        <v>223</v>
      </c>
      <c r="E821" t="s">
        <v>232</v>
      </c>
      <c r="F821" s="126">
        <v>7.6</v>
      </c>
      <c r="G821" s="77">
        <v>25000</v>
      </c>
      <c r="H821" s="126">
        <v>36.9</v>
      </c>
      <c r="I821" s="124">
        <v>591.35</v>
      </c>
      <c r="J821" s="126">
        <v>3.5</v>
      </c>
      <c r="K821" s="124">
        <v>15833.333333333299</v>
      </c>
      <c r="L821" s="124">
        <v>16424.683333333302</v>
      </c>
    </row>
    <row r="822" spans="1:12" ht="15" customHeight="1" x14ac:dyDescent="0.25">
      <c r="A822" s="78">
        <v>45901</v>
      </c>
      <c r="B822" t="s">
        <v>335</v>
      </c>
      <c r="C822" t="s">
        <v>336</v>
      </c>
      <c r="D822" t="s">
        <v>223</v>
      </c>
      <c r="E822" t="s">
        <v>230</v>
      </c>
      <c r="F822" s="126">
        <v>14.2</v>
      </c>
      <c r="G822" s="77">
        <v>41000</v>
      </c>
      <c r="H822" s="126">
        <v>45.8</v>
      </c>
      <c r="I822" s="124">
        <v>1203.72</v>
      </c>
      <c r="J822" s="126">
        <v>8</v>
      </c>
      <c r="K822" s="124">
        <v>48516.666666666701</v>
      </c>
      <c r="L822" s="124">
        <v>49720.386666666702</v>
      </c>
    </row>
    <row r="823" spans="1:12" ht="15" customHeight="1" x14ac:dyDescent="0.25">
      <c r="A823" s="78">
        <v>45901</v>
      </c>
      <c r="B823" t="s">
        <v>335</v>
      </c>
      <c r="C823" t="s">
        <v>336</v>
      </c>
      <c r="D823" t="s">
        <v>223</v>
      </c>
      <c r="E823" t="s">
        <v>2367</v>
      </c>
      <c r="F823" s="126">
        <v>16.600000000000001</v>
      </c>
      <c r="G823" s="77">
        <v>43000</v>
      </c>
      <c r="H823" s="126">
        <v>67.099999999999994</v>
      </c>
      <c r="I823" s="124">
        <v>1849.55</v>
      </c>
      <c r="J823" s="126">
        <v>8.8000000000000007</v>
      </c>
      <c r="K823" s="124">
        <v>59483.333333333299</v>
      </c>
      <c r="L823" s="124">
        <v>61332.883333333397</v>
      </c>
    </row>
    <row r="824" spans="1:12" ht="15" customHeight="1" x14ac:dyDescent="0.25">
      <c r="A824" s="78">
        <v>45901</v>
      </c>
      <c r="B824" t="s">
        <v>335</v>
      </c>
      <c r="C824" t="s">
        <v>336</v>
      </c>
      <c r="D824" t="s">
        <v>223</v>
      </c>
      <c r="E824" t="s">
        <v>2369</v>
      </c>
      <c r="F824" s="126">
        <v>15.7</v>
      </c>
      <c r="G824" s="77">
        <v>35000</v>
      </c>
      <c r="H824" s="126">
        <v>39.700000000000003</v>
      </c>
      <c r="I824" s="124">
        <v>890.71</v>
      </c>
      <c r="J824" s="126">
        <v>6.4</v>
      </c>
      <c r="K824" s="124">
        <v>45791.666666666701</v>
      </c>
      <c r="L824" s="124">
        <v>46682.3766666667</v>
      </c>
    </row>
    <row r="825" spans="1:12" ht="15" customHeight="1" x14ac:dyDescent="0.25">
      <c r="A825" s="78">
        <v>45901</v>
      </c>
      <c r="B825" t="s">
        <v>335</v>
      </c>
      <c r="C825" t="s">
        <v>336</v>
      </c>
      <c r="D825" t="s">
        <v>223</v>
      </c>
      <c r="E825" t="s">
        <v>105</v>
      </c>
      <c r="F825" s="126">
        <v>3.3</v>
      </c>
      <c r="G825" s="77">
        <v>28000</v>
      </c>
      <c r="H825" s="126">
        <v>13.7</v>
      </c>
      <c r="I825" s="124">
        <v>245.9</v>
      </c>
      <c r="J825" s="126">
        <v>1.3</v>
      </c>
      <c r="K825" s="124">
        <v>7700</v>
      </c>
      <c r="L825" s="124">
        <v>7945.9</v>
      </c>
    </row>
    <row r="826" spans="1:12" ht="15" customHeight="1" x14ac:dyDescent="0.25">
      <c r="A826" s="78">
        <v>45901</v>
      </c>
      <c r="B826" t="s">
        <v>386</v>
      </c>
      <c r="C826" t="s">
        <v>387</v>
      </c>
      <c r="D826" t="s">
        <v>223</v>
      </c>
      <c r="E826" t="s">
        <v>232</v>
      </c>
      <c r="F826" s="126">
        <v>13.7</v>
      </c>
      <c r="G826" s="77">
        <v>25000</v>
      </c>
      <c r="H826" s="126">
        <v>67.7</v>
      </c>
      <c r="I826" s="124">
        <v>1084.94</v>
      </c>
      <c r="J826" s="126">
        <v>6.8</v>
      </c>
      <c r="K826" s="124">
        <v>28541.666666666701</v>
      </c>
      <c r="L826" s="124">
        <v>29626.606666666699</v>
      </c>
    </row>
    <row r="827" spans="1:12" ht="15" customHeight="1" x14ac:dyDescent="0.25">
      <c r="A827" s="78">
        <v>45901</v>
      </c>
      <c r="B827" t="s">
        <v>386</v>
      </c>
      <c r="C827" t="s">
        <v>387</v>
      </c>
      <c r="D827" t="s">
        <v>223</v>
      </c>
      <c r="E827" t="s">
        <v>231</v>
      </c>
      <c r="F827" s="126">
        <v>19.600000000000001</v>
      </c>
      <c r="G827" s="77">
        <v>29000</v>
      </c>
      <c r="H827" s="126">
        <v>84.4</v>
      </c>
      <c r="I827" s="124">
        <v>1568.97</v>
      </c>
      <c r="J827" s="126">
        <v>8.1999999999999993</v>
      </c>
      <c r="K827" s="124">
        <v>47366.666666666701</v>
      </c>
      <c r="L827" s="124">
        <v>48935.636666666702</v>
      </c>
    </row>
    <row r="828" spans="1:12" ht="15" customHeight="1" x14ac:dyDescent="0.25">
      <c r="A828" s="78">
        <v>45901</v>
      </c>
      <c r="B828" t="s">
        <v>386</v>
      </c>
      <c r="C828" t="s">
        <v>387</v>
      </c>
      <c r="D828" t="s">
        <v>223</v>
      </c>
      <c r="E828" t="s">
        <v>230</v>
      </c>
      <c r="F828" s="126">
        <v>3.1</v>
      </c>
      <c r="G828" s="77">
        <v>41000</v>
      </c>
      <c r="H828" s="126">
        <v>21.2</v>
      </c>
      <c r="I828" s="124">
        <v>557.17999999999995</v>
      </c>
      <c r="J828" s="126">
        <v>1.4</v>
      </c>
      <c r="K828" s="124">
        <v>10591.666666666701</v>
      </c>
      <c r="L828" s="124">
        <v>11148.846666666699</v>
      </c>
    </row>
    <row r="829" spans="1:12" ht="15" customHeight="1" x14ac:dyDescent="0.25">
      <c r="A829" s="78">
        <v>45901</v>
      </c>
      <c r="B829" t="s">
        <v>386</v>
      </c>
      <c r="C829" t="s">
        <v>387</v>
      </c>
      <c r="D829" t="s">
        <v>223</v>
      </c>
      <c r="E829" t="s">
        <v>2367</v>
      </c>
      <c r="F829" s="126">
        <v>19.3</v>
      </c>
      <c r="G829" s="77">
        <v>43000</v>
      </c>
      <c r="H829" s="126">
        <v>97.4</v>
      </c>
      <c r="I829" s="124">
        <v>2684.74</v>
      </c>
      <c r="J829" s="126">
        <v>8.8000000000000007</v>
      </c>
      <c r="K829" s="124">
        <v>69158.333333333299</v>
      </c>
      <c r="L829" s="124">
        <v>71843.073333333305</v>
      </c>
    </row>
    <row r="830" spans="1:12" ht="15" customHeight="1" x14ac:dyDescent="0.25">
      <c r="A830" s="78">
        <v>45901</v>
      </c>
      <c r="B830" t="s">
        <v>386</v>
      </c>
      <c r="C830" t="s">
        <v>387</v>
      </c>
      <c r="D830" t="s">
        <v>223</v>
      </c>
      <c r="E830" t="s">
        <v>105</v>
      </c>
      <c r="F830" s="126">
        <v>8.6</v>
      </c>
      <c r="G830" s="77">
        <v>28000</v>
      </c>
      <c r="H830" s="126">
        <v>38.4</v>
      </c>
      <c r="I830" s="124">
        <v>689.23</v>
      </c>
      <c r="J830" s="126">
        <v>3</v>
      </c>
      <c r="K830" s="124">
        <v>20066.666666666701</v>
      </c>
      <c r="L830" s="124">
        <v>20755.8966666667</v>
      </c>
    </row>
    <row r="831" spans="1:12" ht="15" customHeight="1" x14ac:dyDescent="0.25">
      <c r="A831" s="78">
        <v>45901</v>
      </c>
      <c r="B831" t="s">
        <v>386</v>
      </c>
      <c r="C831" t="s">
        <v>387</v>
      </c>
      <c r="D831" t="s">
        <v>223</v>
      </c>
      <c r="E831" t="s">
        <v>2369</v>
      </c>
      <c r="F831" s="126">
        <v>14.7</v>
      </c>
      <c r="G831" s="77">
        <v>35000</v>
      </c>
      <c r="H831" s="126">
        <v>68.8</v>
      </c>
      <c r="I831" s="124">
        <v>1543.59</v>
      </c>
      <c r="J831" s="126">
        <v>7</v>
      </c>
      <c r="K831" s="124">
        <v>42875</v>
      </c>
      <c r="L831" s="124">
        <v>44418.59</v>
      </c>
    </row>
    <row r="832" spans="1:12" ht="15" customHeight="1" x14ac:dyDescent="0.25">
      <c r="A832" s="78">
        <v>45901</v>
      </c>
      <c r="B832" t="s">
        <v>341</v>
      </c>
      <c r="C832" t="s">
        <v>342</v>
      </c>
      <c r="D832" t="s">
        <v>223</v>
      </c>
      <c r="E832" t="s">
        <v>2369</v>
      </c>
      <c r="F832" s="126">
        <v>6.2</v>
      </c>
      <c r="G832" s="77">
        <v>35000</v>
      </c>
      <c r="H832" s="126">
        <v>25.1</v>
      </c>
      <c r="I832" s="124">
        <v>563.14</v>
      </c>
      <c r="J832" s="126">
        <v>3.8</v>
      </c>
      <c r="K832" s="124">
        <v>18083.333333333299</v>
      </c>
      <c r="L832" s="124">
        <v>18646.473333333299</v>
      </c>
    </row>
    <row r="833" spans="1:12" ht="15" customHeight="1" x14ac:dyDescent="0.25">
      <c r="A833" s="78">
        <v>45901</v>
      </c>
      <c r="B833" t="s">
        <v>341</v>
      </c>
      <c r="C833" t="s">
        <v>342</v>
      </c>
      <c r="D833" t="s">
        <v>223</v>
      </c>
      <c r="E833" t="s">
        <v>2367</v>
      </c>
      <c r="F833" s="126">
        <v>15.5</v>
      </c>
      <c r="G833" s="77">
        <v>43000</v>
      </c>
      <c r="H833" s="126">
        <v>33.299999999999997</v>
      </c>
      <c r="I833" s="124">
        <v>917.88</v>
      </c>
      <c r="J833" s="126">
        <v>7.1</v>
      </c>
      <c r="K833" s="124">
        <v>55541.666666666701</v>
      </c>
      <c r="L833" s="124">
        <v>56459.546666666698</v>
      </c>
    </row>
    <row r="834" spans="1:12" ht="15" customHeight="1" x14ac:dyDescent="0.25">
      <c r="A834" s="78">
        <v>45901</v>
      </c>
      <c r="B834" t="s">
        <v>341</v>
      </c>
      <c r="C834" t="s">
        <v>342</v>
      </c>
      <c r="D834" t="s">
        <v>223</v>
      </c>
      <c r="E834" t="s">
        <v>230</v>
      </c>
      <c r="F834" s="126">
        <v>15.3</v>
      </c>
      <c r="G834" s="77">
        <v>41000</v>
      </c>
      <c r="H834" s="126">
        <v>71.7</v>
      </c>
      <c r="I834" s="124">
        <v>1884.42</v>
      </c>
      <c r="J834" s="126">
        <v>9.6999999999999993</v>
      </c>
      <c r="K834" s="124">
        <v>52275</v>
      </c>
      <c r="L834" s="124">
        <v>54159.42</v>
      </c>
    </row>
    <row r="835" spans="1:12" ht="15" customHeight="1" x14ac:dyDescent="0.25">
      <c r="A835" s="78">
        <v>45901</v>
      </c>
      <c r="B835" t="s">
        <v>341</v>
      </c>
      <c r="C835" t="s">
        <v>342</v>
      </c>
      <c r="D835" t="s">
        <v>223</v>
      </c>
      <c r="E835" t="s">
        <v>232</v>
      </c>
      <c r="F835" s="126">
        <v>10.199999999999999</v>
      </c>
      <c r="G835" s="77">
        <v>25000</v>
      </c>
      <c r="H835" s="126">
        <v>38.700000000000003</v>
      </c>
      <c r="I835" s="124">
        <v>620.19000000000005</v>
      </c>
      <c r="J835" s="126">
        <v>5.7</v>
      </c>
      <c r="K835" s="124">
        <v>21250</v>
      </c>
      <c r="L835" s="124">
        <v>21870.19</v>
      </c>
    </row>
    <row r="836" spans="1:12" ht="15" customHeight="1" x14ac:dyDescent="0.25">
      <c r="A836" s="78">
        <v>45901</v>
      </c>
      <c r="B836" t="s">
        <v>341</v>
      </c>
      <c r="C836" t="s">
        <v>342</v>
      </c>
      <c r="D836" t="s">
        <v>223</v>
      </c>
      <c r="E836" t="s">
        <v>231</v>
      </c>
      <c r="F836" s="126">
        <v>14.8</v>
      </c>
      <c r="G836" s="77">
        <v>29000</v>
      </c>
      <c r="H836" s="126">
        <v>56.8</v>
      </c>
      <c r="I836" s="124">
        <v>1055.9000000000001</v>
      </c>
      <c r="J836" s="126">
        <v>9.3000000000000007</v>
      </c>
      <c r="K836" s="124">
        <v>35766.666666666701</v>
      </c>
      <c r="L836" s="124">
        <v>36822.566666666702</v>
      </c>
    </row>
    <row r="837" spans="1:12" ht="15" customHeight="1" x14ac:dyDescent="0.25">
      <c r="A837" s="78">
        <v>45901</v>
      </c>
      <c r="B837" t="s">
        <v>341</v>
      </c>
      <c r="C837" t="s">
        <v>342</v>
      </c>
      <c r="D837" t="s">
        <v>223</v>
      </c>
      <c r="E837" t="s">
        <v>105</v>
      </c>
      <c r="F837" s="126">
        <v>7.6</v>
      </c>
      <c r="G837" s="77">
        <v>28000</v>
      </c>
      <c r="H837" s="126">
        <v>10.5</v>
      </c>
      <c r="I837" s="124">
        <v>188.46</v>
      </c>
      <c r="J837" s="126">
        <v>3.9</v>
      </c>
      <c r="K837" s="124">
        <v>17733.333333333299</v>
      </c>
      <c r="L837" s="124">
        <v>17921.793333333299</v>
      </c>
    </row>
    <row r="838" spans="1:12" ht="15" customHeight="1" x14ac:dyDescent="0.25">
      <c r="A838" s="78">
        <v>45901</v>
      </c>
      <c r="B838" t="s">
        <v>347</v>
      </c>
      <c r="C838" t="s">
        <v>348</v>
      </c>
      <c r="D838" t="s">
        <v>223</v>
      </c>
      <c r="E838" t="s">
        <v>2368</v>
      </c>
      <c r="F838" s="126">
        <v>4.5999999999999996</v>
      </c>
      <c r="G838" s="77">
        <v>27000</v>
      </c>
      <c r="H838" s="126">
        <v>7.2</v>
      </c>
      <c r="I838" s="124">
        <v>124.62</v>
      </c>
      <c r="J838" s="126">
        <v>0</v>
      </c>
      <c r="K838" s="124">
        <v>10350</v>
      </c>
      <c r="L838" s="124">
        <v>10474.620000000001</v>
      </c>
    </row>
    <row r="839" spans="1:12" ht="15" customHeight="1" x14ac:dyDescent="0.25">
      <c r="A839" s="78">
        <v>45901</v>
      </c>
      <c r="B839" t="s">
        <v>347</v>
      </c>
      <c r="C839" t="s">
        <v>348</v>
      </c>
      <c r="D839" t="s">
        <v>223</v>
      </c>
      <c r="E839" t="s">
        <v>2369</v>
      </c>
      <c r="F839" s="126">
        <v>11</v>
      </c>
      <c r="G839" s="77">
        <v>35000</v>
      </c>
      <c r="H839" s="126">
        <v>48.9</v>
      </c>
      <c r="I839" s="124">
        <v>1097.1199999999999</v>
      </c>
      <c r="J839" s="126">
        <v>5.6</v>
      </c>
      <c r="K839" s="124">
        <v>32083.333333333299</v>
      </c>
      <c r="L839" s="124">
        <v>33180.453333333302</v>
      </c>
    </row>
    <row r="840" spans="1:12" ht="15" customHeight="1" x14ac:dyDescent="0.25">
      <c r="A840" s="78">
        <v>45901</v>
      </c>
      <c r="B840" t="s">
        <v>347</v>
      </c>
      <c r="C840" t="s">
        <v>348</v>
      </c>
      <c r="D840" t="s">
        <v>223</v>
      </c>
      <c r="E840" t="s">
        <v>2367</v>
      </c>
      <c r="F840" s="126">
        <v>6.3</v>
      </c>
      <c r="G840" s="77">
        <v>43000</v>
      </c>
      <c r="H840" s="126">
        <v>22.5</v>
      </c>
      <c r="I840" s="124">
        <v>620.19000000000005</v>
      </c>
      <c r="J840" s="126">
        <v>3</v>
      </c>
      <c r="K840" s="124">
        <v>22575</v>
      </c>
      <c r="L840" s="124">
        <v>23195.19</v>
      </c>
    </row>
    <row r="841" spans="1:12" ht="15" customHeight="1" x14ac:dyDescent="0.25">
      <c r="A841" s="78">
        <v>45901</v>
      </c>
      <c r="B841" t="s">
        <v>347</v>
      </c>
      <c r="C841" t="s">
        <v>348</v>
      </c>
      <c r="D841" t="s">
        <v>223</v>
      </c>
      <c r="E841" t="s">
        <v>230</v>
      </c>
      <c r="F841" s="126">
        <v>7.2</v>
      </c>
      <c r="G841" s="77">
        <v>41000</v>
      </c>
      <c r="H841" s="126">
        <v>62.3</v>
      </c>
      <c r="I841" s="124">
        <v>1637.37</v>
      </c>
      <c r="J841" s="126">
        <v>3.3</v>
      </c>
      <c r="K841" s="124">
        <v>24600</v>
      </c>
      <c r="L841" s="124">
        <v>26237.37</v>
      </c>
    </row>
    <row r="842" spans="1:12" ht="15" customHeight="1" x14ac:dyDescent="0.25">
      <c r="A842" s="78">
        <v>45901</v>
      </c>
      <c r="B842" t="s">
        <v>409</v>
      </c>
      <c r="C842" t="s">
        <v>410</v>
      </c>
      <c r="D842" t="s">
        <v>223</v>
      </c>
      <c r="E842" t="s">
        <v>105</v>
      </c>
      <c r="F842" s="126">
        <v>15.9</v>
      </c>
      <c r="G842" s="77">
        <v>28000</v>
      </c>
      <c r="H842" s="126">
        <v>75.8</v>
      </c>
      <c r="I842" s="124">
        <v>1360.51</v>
      </c>
      <c r="J842" s="126">
        <v>7.3</v>
      </c>
      <c r="K842" s="124">
        <v>37100</v>
      </c>
      <c r="L842" s="124">
        <v>38460.51</v>
      </c>
    </row>
    <row r="843" spans="1:12" ht="15" customHeight="1" x14ac:dyDescent="0.25">
      <c r="A843" s="78">
        <v>45901</v>
      </c>
      <c r="B843" t="s">
        <v>409</v>
      </c>
      <c r="C843" t="s">
        <v>410</v>
      </c>
      <c r="D843" t="s">
        <v>223</v>
      </c>
      <c r="E843" t="s">
        <v>230</v>
      </c>
      <c r="F843" s="126">
        <v>12.1</v>
      </c>
      <c r="G843" s="77">
        <v>41000</v>
      </c>
      <c r="H843" s="126">
        <v>53.8</v>
      </c>
      <c r="I843" s="124">
        <v>1413.97</v>
      </c>
      <c r="J843" s="126">
        <v>5.8</v>
      </c>
      <c r="K843" s="124">
        <v>41341.666666666701</v>
      </c>
      <c r="L843" s="124">
        <v>42755.636666666702</v>
      </c>
    </row>
    <row r="844" spans="1:12" ht="15" customHeight="1" x14ac:dyDescent="0.25">
      <c r="A844" s="78">
        <v>45901</v>
      </c>
      <c r="B844" t="s">
        <v>409</v>
      </c>
      <c r="C844" t="s">
        <v>410</v>
      </c>
      <c r="D844" t="s">
        <v>223</v>
      </c>
      <c r="E844" t="s">
        <v>2368</v>
      </c>
      <c r="F844" s="126">
        <v>11.4</v>
      </c>
      <c r="G844" s="77">
        <v>27000</v>
      </c>
      <c r="H844" s="126">
        <v>38.6</v>
      </c>
      <c r="I844" s="124">
        <v>668.08</v>
      </c>
      <c r="J844" s="126">
        <v>7.5</v>
      </c>
      <c r="K844" s="124">
        <v>25650</v>
      </c>
      <c r="L844" s="124">
        <v>26318.080000000002</v>
      </c>
    </row>
    <row r="845" spans="1:12" ht="15" customHeight="1" x14ac:dyDescent="0.25">
      <c r="A845" s="78">
        <v>45901</v>
      </c>
      <c r="B845" t="s">
        <v>409</v>
      </c>
      <c r="C845" t="s">
        <v>410</v>
      </c>
      <c r="D845" t="s">
        <v>223</v>
      </c>
      <c r="E845" t="s">
        <v>2369</v>
      </c>
      <c r="F845" s="126">
        <v>10.3</v>
      </c>
      <c r="G845" s="77">
        <v>35000</v>
      </c>
      <c r="H845" s="126">
        <v>59.4</v>
      </c>
      <c r="I845" s="124">
        <v>1332.69</v>
      </c>
      <c r="J845" s="126">
        <v>5.3</v>
      </c>
      <c r="K845" s="124">
        <v>30041.666666666701</v>
      </c>
      <c r="L845" s="124">
        <v>31374.356666666699</v>
      </c>
    </row>
    <row r="846" spans="1:12" ht="15" customHeight="1" x14ac:dyDescent="0.25">
      <c r="A846" s="78">
        <v>45901</v>
      </c>
      <c r="B846" t="s">
        <v>488</v>
      </c>
      <c r="C846" t="s">
        <v>489</v>
      </c>
      <c r="D846" t="s">
        <v>225</v>
      </c>
      <c r="E846" t="s">
        <v>232</v>
      </c>
      <c r="F846" s="126">
        <v>6.9</v>
      </c>
      <c r="G846" s="77">
        <v>25000</v>
      </c>
      <c r="H846" s="126">
        <v>3.8</v>
      </c>
      <c r="I846" s="124">
        <v>60.9</v>
      </c>
      <c r="J846" s="126">
        <v>3.1</v>
      </c>
      <c r="K846" s="124">
        <v>14375</v>
      </c>
      <c r="L846" s="124">
        <v>14435.9</v>
      </c>
    </row>
    <row r="847" spans="1:12" ht="15" customHeight="1" x14ac:dyDescent="0.25">
      <c r="A847" s="78">
        <v>45901</v>
      </c>
      <c r="B847" t="s">
        <v>488</v>
      </c>
      <c r="C847" t="s">
        <v>489</v>
      </c>
      <c r="D847" t="s">
        <v>225</v>
      </c>
      <c r="E847" t="s">
        <v>2368</v>
      </c>
      <c r="F847" s="126">
        <v>17.7</v>
      </c>
      <c r="G847" s="77">
        <v>27000</v>
      </c>
      <c r="H847" s="126">
        <v>142.6</v>
      </c>
      <c r="I847" s="124">
        <v>2468.08</v>
      </c>
      <c r="J847" s="126">
        <v>8.6</v>
      </c>
      <c r="K847" s="124">
        <v>39825</v>
      </c>
      <c r="L847" s="124">
        <v>42293.08</v>
      </c>
    </row>
    <row r="848" spans="1:12" ht="15" customHeight="1" x14ac:dyDescent="0.25">
      <c r="A848" s="78">
        <v>45901</v>
      </c>
      <c r="B848" t="s">
        <v>488</v>
      </c>
      <c r="C848" t="s">
        <v>489</v>
      </c>
      <c r="D848" t="s">
        <v>225</v>
      </c>
      <c r="E848" t="s">
        <v>105</v>
      </c>
      <c r="F848" s="126">
        <v>6.5</v>
      </c>
      <c r="G848" s="77">
        <v>28000</v>
      </c>
      <c r="H848" s="126">
        <v>36.799999999999997</v>
      </c>
      <c r="I848" s="124">
        <v>660.51</v>
      </c>
      <c r="J848" s="126">
        <v>4.7</v>
      </c>
      <c r="K848" s="124">
        <v>15166.666666666701</v>
      </c>
      <c r="L848" s="124">
        <v>15827.176666666701</v>
      </c>
    </row>
    <row r="849" spans="1:12" ht="15" customHeight="1" x14ac:dyDescent="0.25">
      <c r="A849" s="78">
        <v>45901</v>
      </c>
      <c r="B849" t="s">
        <v>488</v>
      </c>
      <c r="C849" t="s">
        <v>489</v>
      </c>
      <c r="D849" t="s">
        <v>225</v>
      </c>
      <c r="E849" t="s">
        <v>2367</v>
      </c>
      <c r="F849" s="126">
        <v>10</v>
      </c>
      <c r="G849" s="77">
        <v>43000</v>
      </c>
      <c r="H849" s="126">
        <v>43.3</v>
      </c>
      <c r="I849" s="124">
        <v>1193.53</v>
      </c>
      <c r="J849" s="126">
        <v>4.2</v>
      </c>
      <c r="K849" s="124">
        <v>35833.333333333299</v>
      </c>
      <c r="L849" s="124">
        <v>37026.863333333298</v>
      </c>
    </row>
    <row r="850" spans="1:12" ht="15" customHeight="1" x14ac:dyDescent="0.25">
      <c r="A850" s="78">
        <v>45901</v>
      </c>
      <c r="B850" t="s">
        <v>488</v>
      </c>
      <c r="C850" t="s">
        <v>489</v>
      </c>
      <c r="D850" t="s">
        <v>225</v>
      </c>
      <c r="E850" t="s">
        <v>230</v>
      </c>
      <c r="F850" s="126">
        <v>19.899999999999999</v>
      </c>
      <c r="G850" s="77">
        <v>41000</v>
      </c>
      <c r="H850" s="126">
        <v>6.9</v>
      </c>
      <c r="I850" s="124">
        <v>181.35</v>
      </c>
      <c r="J850" s="126">
        <v>10.6</v>
      </c>
      <c r="K850" s="124">
        <v>67991.666666666701</v>
      </c>
      <c r="L850" s="124">
        <v>68173.016666666706</v>
      </c>
    </row>
    <row r="851" spans="1:12" ht="15" customHeight="1" x14ac:dyDescent="0.25">
      <c r="A851" s="78">
        <v>45901</v>
      </c>
      <c r="B851" t="s">
        <v>488</v>
      </c>
      <c r="C851" t="s">
        <v>489</v>
      </c>
      <c r="D851" t="s">
        <v>225</v>
      </c>
      <c r="E851" t="s">
        <v>2369</v>
      </c>
      <c r="F851" s="126">
        <v>4.2</v>
      </c>
      <c r="G851" s="77">
        <v>35000</v>
      </c>
      <c r="H851" s="126">
        <v>11.7</v>
      </c>
      <c r="I851" s="124">
        <v>262.5</v>
      </c>
      <c r="J851" s="126">
        <v>2.2999999999999998</v>
      </c>
      <c r="K851" s="124">
        <v>12250</v>
      </c>
      <c r="L851" s="124">
        <v>12512.5</v>
      </c>
    </row>
    <row r="852" spans="1:12" ht="15" customHeight="1" x14ac:dyDescent="0.25">
      <c r="A852" s="78">
        <v>45901</v>
      </c>
      <c r="B852" t="s">
        <v>406</v>
      </c>
      <c r="C852" t="s">
        <v>407</v>
      </c>
      <c r="D852" t="s">
        <v>225</v>
      </c>
      <c r="E852" t="s">
        <v>2367</v>
      </c>
      <c r="F852" s="126">
        <v>6.7</v>
      </c>
      <c r="G852" s="77">
        <v>43000</v>
      </c>
      <c r="H852" s="126">
        <v>14.2</v>
      </c>
      <c r="I852" s="124">
        <v>391.41</v>
      </c>
      <c r="J852" s="126">
        <v>3.1</v>
      </c>
      <c r="K852" s="124">
        <v>24008.333333333299</v>
      </c>
      <c r="L852" s="124">
        <v>24399.743333333299</v>
      </c>
    </row>
    <row r="853" spans="1:12" ht="15" customHeight="1" x14ac:dyDescent="0.25">
      <c r="A853" s="78">
        <v>45901</v>
      </c>
      <c r="B853" t="s">
        <v>406</v>
      </c>
      <c r="C853" t="s">
        <v>407</v>
      </c>
      <c r="D853" t="s">
        <v>225</v>
      </c>
      <c r="E853" t="s">
        <v>2369</v>
      </c>
      <c r="F853" s="126">
        <v>4.5999999999999996</v>
      </c>
      <c r="G853" s="77">
        <v>35000</v>
      </c>
      <c r="H853" s="126">
        <v>18.600000000000001</v>
      </c>
      <c r="I853" s="124">
        <v>417.31</v>
      </c>
      <c r="J853" s="126">
        <v>2.6</v>
      </c>
      <c r="K853" s="124">
        <v>13416.666666666701</v>
      </c>
      <c r="L853" s="124">
        <v>13833.9766666667</v>
      </c>
    </row>
    <row r="854" spans="1:12" ht="15" customHeight="1" x14ac:dyDescent="0.25">
      <c r="A854" s="78">
        <v>45901</v>
      </c>
      <c r="B854" t="s">
        <v>406</v>
      </c>
      <c r="C854" t="s">
        <v>407</v>
      </c>
      <c r="D854" t="s">
        <v>225</v>
      </c>
      <c r="E854" t="s">
        <v>231</v>
      </c>
      <c r="F854" s="126">
        <v>7.4</v>
      </c>
      <c r="G854" s="77">
        <v>29000</v>
      </c>
      <c r="H854" s="126">
        <v>17.2</v>
      </c>
      <c r="I854" s="124">
        <v>319.74</v>
      </c>
      <c r="J854" s="126">
        <v>4.9000000000000004</v>
      </c>
      <c r="K854" s="124">
        <v>17883.333333333299</v>
      </c>
      <c r="L854" s="124">
        <v>18203.073333333301</v>
      </c>
    </row>
    <row r="855" spans="1:12" ht="15" customHeight="1" x14ac:dyDescent="0.25">
      <c r="A855" s="78">
        <v>45901</v>
      </c>
      <c r="B855" t="s">
        <v>406</v>
      </c>
      <c r="C855" t="s">
        <v>407</v>
      </c>
      <c r="D855" t="s">
        <v>225</v>
      </c>
      <c r="E855" t="s">
        <v>105</v>
      </c>
      <c r="F855" s="126">
        <v>18.600000000000001</v>
      </c>
      <c r="G855" s="77">
        <v>28000</v>
      </c>
      <c r="H855" s="126">
        <v>57.7</v>
      </c>
      <c r="I855" s="124">
        <v>1035.6400000000001</v>
      </c>
      <c r="J855" s="126">
        <v>7.6</v>
      </c>
      <c r="K855" s="124">
        <v>43400</v>
      </c>
      <c r="L855" s="124">
        <v>44435.64</v>
      </c>
    </row>
    <row r="856" spans="1:12" ht="15" customHeight="1" x14ac:dyDescent="0.25">
      <c r="A856" s="78">
        <v>45901</v>
      </c>
      <c r="B856" t="s">
        <v>406</v>
      </c>
      <c r="C856" t="s">
        <v>407</v>
      </c>
      <c r="D856" t="s">
        <v>225</v>
      </c>
      <c r="E856" t="s">
        <v>230</v>
      </c>
      <c r="F856" s="126">
        <v>10</v>
      </c>
      <c r="G856" s="77">
        <v>41000</v>
      </c>
      <c r="H856" s="126">
        <v>38.4</v>
      </c>
      <c r="I856" s="124">
        <v>1009.23</v>
      </c>
      <c r="J856" s="126">
        <v>5</v>
      </c>
      <c r="K856" s="124">
        <v>34166.666666666701</v>
      </c>
      <c r="L856" s="124">
        <v>35175.896666666697</v>
      </c>
    </row>
    <row r="857" spans="1:12" ht="15" customHeight="1" x14ac:dyDescent="0.25">
      <c r="A857" s="78">
        <v>45901</v>
      </c>
      <c r="B857" t="s">
        <v>406</v>
      </c>
      <c r="C857" t="s">
        <v>407</v>
      </c>
      <c r="D857" t="s">
        <v>225</v>
      </c>
      <c r="E857" t="s">
        <v>232</v>
      </c>
      <c r="F857" s="126">
        <v>19.899999999999999</v>
      </c>
      <c r="G857" s="77">
        <v>25000</v>
      </c>
      <c r="H857" s="126">
        <v>84.4</v>
      </c>
      <c r="I857" s="124">
        <v>1352.56</v>
      </c>
      <c r="J857" s="126">
        <v>11.3</v>
      </c>
      <c r="K857" s="124">
        <v>41458.333333333299</v>
      </c>
      <c r="L857" s="124">
        <v>42810.893333333297</v>
      </c>
    </row>
    <row r="858" spans="1:12" ht="15" customHeight="1" x14ac:dyDescent="0.25">
      <c r="A858" s="78">
        <v>45901</v>
      </c>
      <c r="B858" t="s">
        <v>358</v>
      </c>
      <c r="C858" t="s">
        <v>359</v>
      </c>
      <c r="D858" t="s">
        <v>225</v>
      </c>
      <c r="E858" t="s">
        <v>2367</v>
      </c>
      <c r="F858" s="126">
        <v>13.4</v>
      </c>
      <c r="G858" s="77">
        <v>43000</v>
      </c>
      <c r="H858" s="126">
        <v>48.8</v>
      </c>
      <c r="I858" s="124">
        <v>1345.13</v>
      </c>
      <c r="J858" s="126">
        <v>6.6</v>
      </c>
      <c r="K858" s="124">
        <v>48016.666666666701</v>
      </c>
      <c r="L858" s="124">
        <v>49361.796666666698</v>
      </c>
    </row>
    <row r="859" spans="1:12" ht="15" customHeight="1" x14ac:dyDescent="0.25">
      <c r="A859" s="78">
        <v>45901</v>
      </c>
      <c r="B859" t="s">
        <v>358</v>
      </c>
      <c r="C859" t="s">
        <v>359</v>
      </c>
      <c r="D859" t="s">
        <v>225</v>
      </c>
      <c r="E859" t="s">
        <v>2369</v>
      </c>
      <c r="F859" s="126">
        <v>4.5999999999999996</v>
      </c>
      <c r="G859" s="77">
        <v>35000</v>
      </c>
      <c r="H859" s="126">
        <v>10.8</v>
      </c>
      <c r="I859" s="124">
        <v>242.31</v>
      </c>
      <c r="J859" s="126">
        <v>3.1</v>
      </c>
      <c r="K859" s="124">
        <v>13416.666666666701</v>
      </c>
      <c r="L859" s="124">
        <v>13658.9766666667</v>
      </c>
    </row>
    <row r="860" spans="1:12" ht="15" customHeight="1" x14ac:dyDescent="0.25">
      <c r="A860" s="78">
        <v>45901</v>
      </c>
      <c r="B860" t="s">
        <v>358</v>
      </c>
      <c r="C860" t="s">
        <v>359</v>
      </c>
      <c r="D860" t="s">
        <v>225</v>
      </c>
      <c r="E860" t="s">
        <v>231</v>
      </c>
      <c r="F860" s="126">
        <v>7.3</v>
      </c>
      <c r="G860" s="77">
        <v>29000</v>
      </c>
      <c r="H860" s="126">
        <v>31.2</v>
      </c>
      <c r="I860" s="124">
        <v>580</v>
      </c>
      <c r="J860" s="126">
        <v>3.2</v>
      </c>
      <c r="K860" s="124">
        <v>17641.666666666701</v>
      </c>
      <c r="L860" s="124">
        <v>18221.666666666701</v>
      </c>
    </row>
    <row r="861" spans="1:12" ht="15" customHeight="1" x14ac:dyDescent="0.25">
      <c r="A861" s="78">
        <v>45901</v>
      </c>
      <c r="B861" t="s">
        <v>358</v>
      </c>
      <c r="C861" t="s">
        <v>359</v>
      </c>
      <c r="D861" t="s">
        <v>225</v>
      </c>
      <c r="E861" t="s">
        <v>232</v>
      </c>
      <c r="F861" s="126">
        <v>13.2</v>
      </c>
      <c r="G861" s="77">
        <v>25000</v>
      </c>
      <c r="H861" s="126">
        <v>15.1</v>
      </c>
      <c r="I861" s="124">
        <v>241.99</v>
      </c>
      <c r="J861" s="126">
        <v>8</v>
      </c>
      <c r="K861" s="124">
        <v>27500</v>
      </c>
      <c r="L861" s="124">
        <v>27741.99</v>
      </c>
    </row>
    <row r="862" spans="1:12" ht="15" customHeight="1" x14ac:dyDescent="0.25">
      <c r="A862" s="78">
        <v>45901</v>
      </c>
      <c r="B862" t="s">
        <v>358</v>
      </c>
      <c r="C862" t="s">
        <v>359</v>
      </c>
      <c r="D862" t="s">
        <v>225</v>
      </c>
      <c r="E862" t="s">
        <v>105</v>
      </c>
      <c r="F862" s="126">
        <v>15.7</v>
      </c>
      <c r="G862" s="77">
        <v>28000</v>
      </c>
      <c r="H862" s="126">
        <v>33.9</v>
      </c>
      <c r="I862" s="124">
        <v>608.46</v>
      </c>
      <c r="J862" s="126">
        <v>7.3</v>
      </c>
      <c r="K862" s="124">
        <v>36633.333333333299</v>
      </c>
      <c r="L862" s="124">
        <v>37241.793333333299</v>
      </c>
    </row>
    <row r="863" spans="1:12" ht="15" customHeight="1" x14ac:dyDescent="0.25">
      <c r="A863" s="78">
        <v>45901</v>
      </c>
      <c r="B863" t="s">
        <v>358</v>
      </c>
      <c r="C863" t="s">
        <v>359</v>
      </c>
      <c r="D863" t="s">
        <v>225</v>
      </c>
      <c r="E863" t="s">
        <v>2368</v>
      </c>
      <c r="F863" s="126">
        <v>19</v>
      </c>
      <c r="G863" s="77">
        <v>27000</v>
      </c>
      <c r="H863" s="126">
        <v>86.2</v>
      </c>
      <c r="I863" s="124">
        <v>1491.92</v>
      </c>
      <c r="J863" s="126">
        <v>8.3000000000000007</v>
      </c>
      <c r="K863" s="124">
        <v>42750</v>
      </c>
      <c r="L863" s="124">
        <v>44241.919999999998</v>
      </c>
    </row>
    <row r="864" spans="1:12" ht="15" customHeight="1" x14ac:dyDescent="0.25">
      <c r="A864" s="78">
        <v>45901</v>
      </c>
      <c r="B864" t="s">
        <v>383</v>
      </c>
      <c r="C864" t="s">
        <v>384</v>
      </c>
      <c r="D864" t="s">
        <v>225</v>
      </c>
      <c r="E864" t="s">
        <v>232</v>
      </c>
      <c r="F864" s="126">
        <v>14.2</v>
      </c>
      <c r="G864" s="77">
        <v>25000</v>
      </c>
      <c r="H864" s="126">
        <v>25</v>
      </c>
      <c r="I864" s="124">
        <v>400.64</v>
      </c>
      <c r="J864" s="126">
        <v>5</v>
      </c>
      <c r="K864" s="124">
        <v>29583.333333333299</v>
      </c>
      <c r="L864" s="124">
        <v>29983.973333333299</v>
      </c>
    </row>
    <row r="865" spans="1:12" ht="15" customHeight="1" x14ac:dyDescent="0.25">
      <c r="A865" s="78">
        <v>45901</v>
      </c>
      <c r="B865" t="s">
        <v>383</v>
      </c>
      <c r="C865" t="s">
        <v>384</v>
      </c>
      <c r="D865" t="s">
        <v>225</v>
      </c>
      <c r="E865" t="s">
        <v>2369</v>
      </c>
      <c r="F865" s="126">
        <v>14.8</v>
      </c>
      <c r="G865" s="77">
        <v>35000</v>
      </c>
      <c r="H865" s="126">
        <v>75.2</v>
      </c>
      <c r="I865" s="124">
        <v>1687.18</v>
      </c>
      <c r="J865" s="126">
        <v>6.9</v>
      </c>
      <c r="K865" s="124">
        <v>43166.666666666701</v>
      </c>
      <c r="L865" s="124">
        <v>44853.846666666701</v>
      </c>
    </row>
    <row r="866" spans="1:12" ht="15" customHeight="1" x14ac:dyDescent="0.25">
      <c r="A866" s="78">
        <v>45901</v>
      </c>
      <c r="B866" t="s">
        <v>383</v>
      </c>
      <c r="C866" t="s">
        <v>384</v>
      </c>
      <c r="D866" t="s">
        <v>225</v>
      </c>
      <c r="E866" t="s">
        <v>230</v>
      </c>
      <c r="F866" s="126">
        <v>3.1</v>
      </c>
      <c r="G866" s="77">
        <v>41000</v>
      </c>
      <c r="H866" s="126">
        <v>26</v>
      </c>
      <c r="I866" s="124">
        <v>683.33</v>
      </c>
      <c r="J866" s="126">
        <v>0.6</v>
      </c>
      <c r="K866" s="124">
        <v>10591.666666666701</v>
      </c>
      <c r="L866" s="124">
        <v>11274.996666666701</v>
      </c>
    </row>
    <row r="867" spans="1:12" ht="15" customHeight="1" x14ac:dyDescent="0.25">
      <c r="A867" s="78">
        <v>45901</v>
      </c>
      <c r="B867" t="s">
        <v>383</v>
      </c>
      <c r="C867" t="s">
        <v>384</v>
      </c>
      <c r="D867" t="s">
        <v>225</v>
      </c>
      <c r="E867" t="s">
        <v>231</v>
      </c>
      <c r="F867" s="126">
        <v>17.3</v>
      </c>
      <c r="G867" s="77">
        <v>29000</v>
      </c>
      <c r="H867" s="126">
        <v>45.3</v>
      </c>
      <c r="I867" s="124">
        <v>842.12</v>
      </c>
      <c r="J867" s="126">
        <v>8.1</v>
      </c>
      <c r="K867" s="124">
        <v>41808.333333333299</v>
      </c>
      <c r="L867" s="124">
        <v>42650.453333333302</v>
      </c>
    </row>
    <row r="868" spans="1:12" ht="15" customHeight="1" x14ac:dyDescent="0.25">
      <c r="A868" s="78">
        <v>45901</v>
      </c>
      <c r="B868" t="s">
        <v>373</v>
      </c>
      <c r="C868" t="s">
        <v>374</v>
      </c>
      <c r="D868" t="s">
        <v>225</v>
      </c>
      <c r="E868" t="s">
        <v>105</v>
      </c>
      <c r="F868" s="126">
        <v>4.5</v>
      </c>
      <c r="G868" s="77">
        <v>28000</v>
      </c>
      <c r="H868" s="126">
        <v>19.600000000000001</v>
      </c>
      <c r="I868" s="124">
        <v>351.79</v>
      </c>
      <c r="J868" s="126">
        <v>1.8</v>
      </c>
      <c r="K868" s="124">
        <v>10500</v>
      </c>
      <c r="L868" s="124">
        <v>10851.79</v>
      </c>
    </row>
    <row r="869" spans="1:12" ht="15" customHeight="1" x14ac:dyDescent="0.25">
      <c r="A869" s="78">
        <v>45901</v>
      </c>
      <c r="B869" t="s">
        <v>373</v>
      </c>
      <c r="C869" t="s">
        <v>374</v>
      </c>
      <c r="D869" t="s">
        <v>225</v>
      </c>
      <c r="E869" t="s">
        <v>2369</v>
      </c>
      <c r="F869" s="126">
        <v>12.9</v>
      </c>
      <c r="G869" s="77">
        <v>35000</v>
      </c>
      <c r="H869" s="126">
        <v>63.4</v>
      </c>
      <c r="I869" s="124">
        <v>1422.44</v>
      </c>
      <c r="J869" s="126">
        <v>5.5</v>
      </c>
      <c r="K869" s="124">
        <v>37625</v>
      </c>
      <c r="L869" s="124">
        <v>39047.440000000002</v>
      </c>
    </row>
    <row r="870" spans="1:12" ht="15" customHeight="1" x14ac:dyDescent="0.25">
      <c r="A870" s="78">
        <v>45901</v>
      </c>
      <c r="B870" t="s">
        <v>373</v>
      </c>
      <c r="C870" t="s">
        <v>374</v>
      </c>
      <c r="D870" t="s">
        <v>225</v>
      </c>
      <c r="E870" t="s">
        <v>230</v>
      </c>
      <c r="F870" s="126">
        <v>18.7</v>
      </c>
      <c r="G870" s="77">
        <v>41000</v>
      </c>
      <c r="H870" s="126">
        <v>36</v>
      </c>
      <c r="I870" s="124">
        <v>946.15</v>
      </c>
      <c r="J870" s="126">
        <v>7.6</v>
      </c>
      <c r="K870" s="124">
        <v>63891.666666666701</v>
      </c>
      <c r="L870" s="124">
        <v>64837.816666666702</v>
      </c>
    </row>
    <row r="871" spans="1:12" ht="15" customHeight="1" x14ac:dyDescent="0.25">
      <c r="A871" s="78">
        <v>45901</v>
      </c>
      <c r="B871" t="s">
        <v>373</v>
      </c>
      <c r="C871" t="s">
        <v>374</v>
      </c>
      <c r="D871" t="s">
        <v>225</v>
      </c>
      <c r="E871" t="s">
        <v>232</v>
      </c>
      <c r="F871" s="126">
        <v>7.7</v>
      </c>
      <c r="G871" s="77">
        <v>25000</v>
      </c>
      <c r="H871" s="126">
        <v>5.0999999999999996</v>
      </c>
      <c r="I871" s="124">
        <v>81.73</v>
      </c>
      <c r="J871" s="126">
        <v>3.3</v>
      </c>
      <c r="K871" s="124">
        <v>16041.666666666701</v>
      </c>
      <c r="L871" s="124">
        <v>16123.3966666667</v>
      </c>
    </row>
    <row r="872" spans="1:12" ht="15" customHeight="1" x14ac:dyDescent="0.25">
      <c r="A872" s="78">
        <v>45901</v>
      </c>
      <c r="B872" t="s">
        <v>354</v>
      </c>
      <c r="C872" t="s">
        <v>355</v>
      </c>
      <c r="D872" t="s">
        <v>227</v>
      </c>
      <c r="E872" t="s">
        <v>2368</v>
      </c>
      <c r="F872" s="126">
        <v>14.8</v>
      </c>
      <c r="G872" s="77">
        <v>27000</v>
      </c>
      <c r="H872" s="126">
        <v>52.5</v>
      </c>
      <c r="I872" s="124">
        <v>908.65</v>
      </c>
      <c r="J872" s="126">
        <v>6.8</v>
      </c>
      <c r="K872" s="124">
        <v>33300</v>
      </c>
      <c r="L872" s="124">
        <v>34208.65</v>
      </c>
    </row>
    <row r="873" spans="1:12" ht="15" customHeight="1" x14ac:dyDescent="0.25">
      <c r="A873" s="78">
        <v>45901</v>
      </c>
      <c r="B873" t="s">
        <v>354</v>
      </c>
      <c r="C873" t="s">
        <v>355</v>
      </c>
      <c r="D873" t="s">
        <v>227</v>
      </c>
      <c r="E873" t="s">
        <v>230</v>
      </c>
      <c r="F873" s="126">
        <v>3.5</v>
      </c>
      <c r="G873" s="77">
        <v>41000</v>
      </c>
      <c r="H873" s="126">
        <v>20.5</v>
      </c>
      <c r="I873" s="124">
        <v>538.78</v>
      </c>
      <c r="J873" s="126">
        <v>3</v>
      </c>
      <c r="K873" s="124">
        <v>11958.333333333299</v>
      </c>
      <c r="L873" s="124">
        <v>12497.1133333333</v>
      </c>
    </row>
    <row r="874" spans="1:12" ht="15" customHeight="1" x14ac:dyDescent="0.25">
      <c r="A874" s="78">
        <v>45901</v>
      </c>
      <c r="B874" t="s">
        <v>354</v>
      </c>
      <c r="C874" t="s">
        <v>355</v>
      </c>
      <c r="D874" t="s">
        <v>227</v>
      </c>
      <c r="E874" t="s">
        <v>105</v>
      </c>
      <c r="F874" s="126">
        <v>4.7</v>
      </c>
      <c r="G874" s="77">
        <v>28000</v>
      </c>
      <c r="H874" s="126">
        <v>16.399999999999999</v>
      </c>
      <c r="I874" s="124">
        <v>294.36</v>
      </c>
      <c r="J874" s="126">
        <v>0.6</v>
      </c>
      <c r="K874" s="124">
        <v>10966.666666666701</v>
      </c>
      <c r="L874" s="124">
        <v>11261.026666666699</v>
      </c>
    </row>
    <row r="875" spans="1:12" ht="15" customHeight="1" x14ac:dyDescent="0.25">
      <c r="A875" s="78">
        <v>45901</v>
      </c>
      <c r="B875" t="s">
        <v>354</v>
      </c>
      <c r="C875" t="s">
        <v>355</v>
      </c>
      <c r="D875" t="s">
        <v>227</v>
      </c>
      <c r="E875" t="s">
        <v>2369</v>
      </c>
      <c r="F875" s="126">
        <v>13.7</v>
      </c>
      <c r="G875" s="77">
        <v>35000</v>
      </c>
      <c r="H875" s="126">
        <v>43.2</v>
      </c>
      <c r="I875" s="124">
        <v>969.23</v>
      </c>
      <c r="J875" s="126">
        <v>6.3</v>
      </c>
      <c r="K875" s="124">
        <v>39958.333333333299</v>
      </c>
      <c r="L875" s="124">
        <v>40927.563333333303</v>
      </c>
    </row>
    <row r="876" spans="1:12" ht="15" customHeight="1" x14ac:dyDescent="0.25">
      <c r="A876" s="78">
        <v>45901</v>
      </c>
      <c r="B876" t="s">
        <v>354</v>
      </c>
      <c r="C876" t="s">
        <v>355</v>
      </c>
      <c r="D876" t="s">
        <v>227</v>
      </c>
      <c r="E876" t="s">
        <v>2367</v>
      </c>
      <c r="F876" s="126">
        <v>3.4</v>
      </c>
      <c r="G876" s="77">
        <v>43000</v>
      </c>
      <c r="H876" s="126">
        <v>10.199999999999999</v>
      </c>
      <c r="I876" s="124">
        <v>281.14999999999998</v>
      </c>
      <c r="J876" s="126">
        <v>1</v>
      </c>
      <c r="K876" s="124">
        <v>12183.333333333299</v>
      </c>
      <c r="L876" s="124">
        <v>12464.483333333301</v>
      </c>
    </row>
    <row r="877" spans="1:12" ht="15" customHeight="1" x14ac:dyDescent="0.25">
      <c r="A877" s="78">
        <v>45901</v>
      </c>
      <c r="B877" t="s">
        <v>370</v>
      </c>
      <c r="C877" t="s">
        <v>371</v>
      </c>
      <c r="D877" t="s">
        <v>227</v>
      </c>
      <c r="E877" t="s">
        <v>231</v>
      </c>
      <c r="F877" s="126">
        <v>3.8</v>
      </c>
      <c r="G877" s="77">
        <v>29000</v>
      </c>
      <c r="H877" s="126">
        <v>11.5</v>
      </c>
      <c r="I877" s="124">
        <v>213.78</v>
      </c>
      <c r="J877" s="126">
        <v>1.5</v>
      </c>
      <c r="K877" s="124">
        <v>9183.3333333333303</v>
      </c>
      <c r="L877" s="124">
        <v>9397.1133333333401</v>
      </c>
    </row>
    <row r="878" spans="1:12" ht="15" customHeight="1" x14ac:dyDescent="0.25">
      <c r="A878" s="78">
        <v>45901</v>
      </c>
      <c r="B878" t="s">
        <v>370</v>
      </c>
      <c r="C878" t="s">
        <v>371</v>
      </c>
      <c r="D878" t="s">
        <v>227</v>
      </c>
      <c r="E878" t="s">
        <v>105</v>
      </c>
      <c r="F878" s="126">
        <v>6</v>
      </c>
      <c r="G878" s="77">
        <v>28000</v>
      </c>
      <c r="H878" s="126">
        <v>18.3</v>
      </c>
      <c r="I878" s="124">
        <v>328.46</v>
      </c>
      <c r="J878" s="126">
        <v>3.2</v>
      </c>
      <c r="K878" s="124">
        <v>14000</v>
      </c>
      <c r="L878" s="124">
        <v>14328.46</v>
      </c>
    </row>
    <row r="879" spans="1:12" ht="15" customHeight="1" x14ac:dyDescent="0.25">
      <c r="A879" s="78">
        <v>45901</v>
      </c>
      <c r="B879" t="s">
        <v>370</v>
      </c>
      <c r="C879" t="s">
        <v>371</v>
      </c>
      <c r="D879" t="s">
        <v>227</v>
      </c>
      <c r="E879" t="s">
        <v>2368</v>
      </c>
      <c r="F879" s="126">
        <v>17.100000000000001</v>
      </c>
      <c r="G879" s="77">
        <v>27000</v>
      </c>
      <c r="H879" s="126">
        <v>77.599999999999994</v>
      </c>
      <c r="I879" s="124">
        <v>1343.08</v>
      </c>
      <c r="J879" s="126">
        <v>7.6</v>
      </c>
      <c r="K879" s="124">
        <v>38475</v>
      </c>
      <c r="L879" s="124">
        <v>39818.080000000002</v>
      </c>
    </row>
    <row r="880" spans="1:12" ht="15" customHeight="1" x14ac:dyDescent="0.25">
      <c r="A880" s="78">
        <v>45901</v>
      </c>
      <c r="B880" t="s">
        <v>370</v>
      </c>
      <c r="C880" t="s">
        <v>371</v>
      </c>
      <c r="D880" t="s">
        <v>227</v>
      </c>
      <c r="E880" t="s">
        <v>2367</v>
      </c>
      <c r="F880" s="126">
        <v>6.4</v>
      </c>
      <c r="G880" s="77">
        <v>43000</v>
      </c>
      <c r="H880" s="126">
        <v>37.799999999999997</v>
      </c>
      <c r="I880" s="124">
        <v>1041.92</v>
      </c>
      <c r="J880" s="126">
        <v>2.2000000000000002</v>
      </c>
      <c r="K880" s="124">
        <v>22933.333333333299</v>
      </c>
      <c r="L880" s="124">
        <v>23975.253333333301</v>
      </c>
    </row>
    <row r="881" spans="1:12" ht="15" customHeight="1" x14ac:dyDescent="0.25">
      <c r="A881" s="78">
        <v>45901</v>
      </c>
      <c r="B881" t="s">
        <v>370</v>
      </c>
      <c r="C881" t="s">
        <v>371</v>
      </c>
      <c r="D881" t="s">
        <v>227</v>
      </c>
      <c r="E881" t="s">
        <v>230</v>
      </c>
      <c r="F881" s="126">
        <v>8</v>
      </c>
      <c r="G881" s="77">
        <v>41000</v>
      </c>
      <c r="H881" s="126">
        <v>12.6</v>
      </c>
      <c r="I881" s="124">
        <v>331.15</v>
      </c>
      <c r="J881" s="126">
        <v>4.4000000000000004</v>
      </c>
      <c r="K881" s="124">
        <v>27333.333333333299</v>
      </c>
      <c r="L881" s="124">
        <v>27664.483333333301</v>
      </c>
    </row>
    <row r="882" spans="1:12" ht="15" customHeight="1" x14ac:dyDescent="0.25">
      <c r="A882" s="78">
        <v>45901</v>
      </c>
      <c r="B882" t="s">
        <v>398</v>
      </c>
      <c r="C882" t="s">
        <v>399</v>
      </c>
      <c r="D882" t="s">
        <v>227</v>
      </c>
      <c r="E882" t="s">
        <v>2368</v>
      </c>
      <c r="F882" s="126">
        <v>3.5</v>
      </c>
      <c r="G882" s="77">
        <v>27000</v>
      </c>
      <c r="H882" s="126">
        <v>9.6999999999999993</v>
      </c>
      <c r="I882" s="124">
        <v>167.88</v>
      </c>
      <c r="J882" s="126">
        <v>2.1</v>
      </c>
      <c r="K882" s="124">
        <v>7875</v>
      </c>
      <c r="L882" s="124">
        <v>8042.88</v>
      </c>
    </row>
    <row r="883" spans="1:12" ht="15" customHeight="1" x14ac:dyDescent="0.25">
      <c r="A883" s="78">
        <v>45901</v>
      </c>
      <c r="B883" t="s">
        <v>398</v>
      </c>
      <c r="C883" t="s">
        <v>399</v>
      </c>
      <c r="D883" t="s">
        <v>227</v>
      </c>
      <c r="E883" t="s">
        <v>2369</v>
      </c>
      <c r="F883" s="126">
        <v>15.3</v>
      </c>
      <c r="G883" s="77">
        <v>35000</v>
      </c>
      <c r="H883" s="126">
        <v>6</v>
      </c>
      <c r="I883" s="124">
        <v>134.62</v>
      </c>
      <c r="J883" s="126">
        <v>9</v>
      </c>
      <c r="K883" s="124">
        <v>44625</v>
      </c>
      <c r="L883" s="124">
        <v>44759.62</v>
      </c>
    </row>
    <row r="884" spans="1:12" ht="15" customHeight="1" x14ac:dyDescent="0.25">
      <c r="A884" s="78">
        <v>45901</v>
      </c>
      <c r="B884" t="s">
        <v>398</v>
      </c>
      <c r="C884" t="s">
        <v>399</v>
      </c>
      <c r="D884" t="s">
        <v>227</v>
      </c>
      <c r="E884" t="s">
        <v>231</v>
      </c>
      <c r="F884" s="126">
        <v>15.3</v>
      </c>
      <c r="G884" s="77">
        <v>29000</v>
      </c>
      <c r="H884" s="126">
        <v>76.599999999999994</v>
      </c>
      <c r="I884" s="124">
        <v>1423.97</v>
      </c>
      <c r="J884" s="126">
        <v>6.1</v>
      </c>
      <c r="K884" s="124">
        <v>36975</v>
      </c>
      <c r="L884" s="124">
        <v>38398.97</v>
      </c>
    </row>
    <row r="885" spans="1:12" ht="15" customHeight="1" x14ac:dyDescent="0.25">
      <c r="A885" s="78">
        <v>45901</v>
      </c>
      <c r="B885" t="s">
        <v>398</v>
      </c>
      <c r="C885" t="s">
        <v>399</v>
      </c>
      <c r="D885" t="s">
        <v>227</v>
      </c>
      <c r="E885" t="s">
        <v>2367</v>
      </c>
      <c r="F885" s="126">
        <v>9.1999999999999993</v>
      </c>
      <c r="G885" s="77">
        <v>43000</v>
      </c>
      <c r="H885" s="126">
        <v>16.399999999999999</v>
      </c>
      <c r="I885" s="124">
        <v>452.05</v>
      </c>
      <c r="J885" s="126">
        <v>6.3</v>
      </c>
      <c r="K885" s="124">
        <v>32966.666666666701</v>
      </c>
      <c r="L885" s="124">
        <v>33418.716666666704</v>
      </c>
    </row>
    <row r="886" spans="1:12" ht="15" customHeight="1" x14ac:dyDescent="0.25">
      <c r="A886" s="78">
        <v>45901</v>
      </c>
      <c r="B886" t="s">
        <v>378</v>
      </c>
      <c r="C886" t="s">
        <v>379</v>
      </c>
      <c r="D886" t="s">
        <v>227</v>
      </c>
      <c r="E886" t="s">
        <v>105</v>
      </c>
      <c r="F886" s="126">
        <v>4.0999999999999996</v>
      </c>
      <c r="G886" s="77">
        <v>28000</v>
      </c>
      <c r="H886" s="126">
        <v>11.9</v>
      </c>
      <c r="I886" s="124">
        <v>213.59</v>
      </c>
      <c r="J886" s="126">
        <v>1.2</v>
      </c>
      <c r="K886" s="124">
        <v>9566.6666666666697</v>
      </c>
      <c r="L886" s="124">
        <v>9780.2566666666698</v>
      </c>
    </row>
    <row r="887" spans="1:12" ht="15" customHeight="1" x14ac:dyDescent="0.25">
      <c r="A887" s="78">
        <v>45901</v>
      </c>
      <c r="B887" t="s">
        <v>378</v>
      </c>
      <c r="C887" t="s">
        <v>379</v>
      </c>
      <c r="D887" t="s">
        <v>227</v>
      </c>
      <c r="E887" t="s">
        <v>2368</v>
      </c>
      <c r="F887" s="126">
        <v>18.3</v>
      </c>
      <c r="G887" s="77">
        <v>27000</v>
      </c>
      <c r="H887" s="126">
        <v>11</v>
      </c>
      <c r="I887" s="124">
        <v>190.38</v>
      </c>
      <c r="J887" s="126">
        <v>8.8000000000000007</v>
      </c>
      <c r="K887" s="124">
        <v>41175</v>
      </c>
      <c r="L887" s="124">
        <v>41365.379999999997</v>
      </c>
    </row>
    <row r="888" spans="1:12" ht="15" customHeight="1" x14ac:dyDescent="0.25">
      <c r="A888" s="78">
        <v>45901</v>
      </c>
      <c r="B888" t="s">
        <v>378</v>
      </c>
      <c r="C888" t="s">
        <v>379</v>
      </c>
      <c r="D888" t="s">
        <v>227</v>
      </c>
      <c r="E888" t="s">
        <v>2369</v>
      </c>
      <c r="F888" s="126">
        <v>11.1</v>
      </c>
      <c r="G888" s="77">
        <v>35000</v>
      </c>
      <c r="H888" s="126">
        <v>40.6</v>
      </c>
      <c r="I888" s="124">
        <v>910.9</v>
      </c>
      <c r="J888" s="126">
        <v>6.3</v>
      </c>
      <c r="K888" s="124">
        <v>32375</v>
      </c>
      <c r="L888" s="124">
        <v>33285.9</v>
      </c>
    </row>
    <row r="889" spans="1:12" ht="15" customHeight="1" x14ac:dyDescent="0.25">
      <c r="A889" s="78">
        <v>45901</v>
      </c>
      <c r="B889" t="s">
        <v>378</v>
      </c>
      <c r="C889" t="s">
        <v>379</v>
      </c>
      <c r="D889" t="s">
        <v>227</v>
      </c>
      <c r="E889" t="s">
        <v>231</v>
      </c>
      <c r="F889" s="126">
        <v>3.1</v>
      </c>
      <c r="G889" s="77">
        <v>29000</v>
      </c>
      <c r="H889" s="126">
        <v>5.9</v>
      </c>
      <c r="I889" s="124">
        <v>109.68</v>
      </c>
      <c r="J889" s="126">
        <v>0</v>
      </c>
      <c r="K889" s="124">
        <v>7491.6666666666697</v>
      </c>
      <c r="L889" s="124">
        <v>7601.34666666667</v>
      </c>
    </row>
    <row r="890" spans="1:12" ht="15" customHeight="1" x14ac:dyDescent="0.25">
      <c r="A890" s="78">
        <v>45901</v>
      </c>
      <c r="B890" t="s">
        <v>378</v>
      </c>
      <c r="C890" t="s">
        <v>379</v>
      </c>
      <c r="D890" t="s">
        <v>227</v>
      </c>
      <c r="E890" t="s">
        <v>230</v>
      </c>
      <c r="F890" s="126">
        <v>9.4</v>
      </c>
      <c r="G890" s="77">
        <v>41000</v>
      </c>
      <c r="H890" s="126">
        <v>44</v>
      </c>
      <c r="I890" s="124">
        <v>1156.4100000000001</v>
      </c>
      <c r="J890" s="126">
        <v>5.7</v>
      </c>
      <c r="K890" s="124">
        <v>32116.666666666701</v>
      </c>
      <c r="L890" s="124">
        <v>33273.076666666697</v>
      </c>
    </row>
    <row r="891" spans="1:12" ht="15" customHeight="1" x14ac:dyDescent="0.25">
      <c r="A891" s="78">
        <v>45901</v>
      </c>
      <c r="B891" t="s">
        <v>393</v>
      </c>
      <c r="C891" t="s">
        <v>394</v>
      </c>
      <c r="D891" t="s">
        <v>227</v>
      </c>
      <c r="E891" t="s">
        <v>231</v>
      </c>
      <c r="F891" s="126">
        <v>6.6</v>
      </c>
      <c r="G891" s="77">
        <v>29000</v>
      </c>
      <c r="H891" s="126">
        <v>10.8</v>
      </c>
      <c r="I891" s="124">
        <v>200.77</v>
      </c>
      <c r="J891" s="126">
        <v>4.4000000000000004</v>
      </c>
      <c r="K891" s="124">
        <v>15950</v>
      </c>
      <c r="L891" s="124">
        <v>16150.77</v>
      </c>
    </row>
    <row r="892" spans="1:12" ht="15" customHeight="1" x14ac:dyDescent="0.25">
      <c r="A892" s="78">
        <v>45901</v>
      </c>
      <c r="B892" t="s">
        <v>393</v>
      </c>
      <c r="C892" t="s">
        <v>394</v>
      </c>
      <c r="D892" t="s">
        <v>227</v>
      </c>
      <c r="E892" t="s">
        <v>2368</v>
      </c>
      <c r="F892" s="126">
        <v>5.6</v>
      </c>
      <c r="G892" s="77">
        <v>27000</v>
      </c>
      <c r="H892" s="126">
        <v>22.7</v>
      </c>
      <c r="I892" s="124">
        <v>392.88</v>
      </c>
      <c r="J892" s="126">
        <v>3.9</v>
      </c>
      <c r="K892" s="124">
        <v>12600</v>
      </c>
      <c r="L892" s="124">
        <v>12992.88</v>
      </c>
    </row>
    <row r="893" spans="1:12" ht="15" customHeight="1" x14ac:dyDescent="0.25">
      <c r="A893" s="78">
        <v>45901</v>
      </c>
      <c r="B893" t="s">
        <v>393</v>
      </c>
      <c r="C893" t="s">
        <v>394</v>
      </c>
      <c r="D893" t="s">
        <v>227</v>
      </c>
      <c r="E893" t="s">
        <v>2369</v>
      </c>
      <c r="F893" s="126">
        <v>4.8</v>
      </c>
      <c r="G893" s="77">
        <v>35000</v>
      </c>
      <c r="H893" s="126">
        <v>18.7</v>
      </c>
      <c r="I893" s="124">
        <v>419.55</v>
      </c>
      <c r="J893" s="126">
        <v>0</v>
      </c>
      <c r="K893" s="124">
        <v>14000</v>
      </c>
      <c r="L893" s="124">
        <v>14419.55</v>
      </c>
    </row>
    <row r="894" spans="1:12" ht="15" customHeight="1" x14ac:dyDescent="0.25">
      <c r="A894" s="78">
        <v>45901</v>
      </c>
      <c r="B894" t="s">
        <v>393</v>
      </c>
      <c r="C894" t="s">
        <v>394</v>
      </c>
      <c r="D894" t="s">
        <v>227</v>
      </c>
      <c r="E894" t="s">
        <v>232</v>
      </c>
      <c r="F894" s="126">
        <v>6.9</v>
      </c>
      <c r="G894" s="77">
        <v>25000</v>
      </c>
      <c r="H894" s="126">
        <v>26</v>
      </c>
      <c r="I894" s="124">
        <v>416.67</v>
      </c>
      <c r="J894" s="126">
        <v>4.5</v>
      </c>
      <c r="K894" s="124">
        <v>14375</v>
      </c>
      <c r="L894" s="124">
        <v>14791.67</v>
      </c>
    </row>
    <row r="895" spans="1:12" ht="15" customHeight="1" x14ac:dyDescent="0.25">
      <c r="A895" s="78">
        <v>45901</v>
      </c>
      <c r="B895" t="s">
        <v>393</v>
      </c>
      <c r="C895" t="s">
        <v>394</v>
      </c>
      <c r="D895" t="s">
        <v>227</v>
      </c>
      <c r="E895" t="s">
        <v>2367</v>
      </c>
      <c r="F895" s="126">
        <v>16.8</v>
      </c>
      <c r="G895" s="77">
        <v>43000</v>
      </c>
      <c r="H895" s="126">
        <v>44.7</v>
      </c>
      <c r="I895" s="124">
        <v>1232.1199999999999</v>
      </c>
      <c r="J895" s="126">
        <v>8</v>
      </c>
      <c r="K895" s="124">
        <v>60200</v>
      </c>
      <c r="L895" s="124">
        <v>61432.12</v>
      </c>
    </row>
    <row r="896" spans="1:12" ht="15" customHeight="1" x14ac:dyDescent="0.25">
      <c r="A896" s="78">
        <v>45901</v>
      </c>
      <c r="B896" t="s">
        <v>393</v>
      </c>
      <c r="C896" t="s">
        <v>394</v>
      </c>
      <c r="D896" t="s">
        <v>227</v>
      </c>
      <c r="E896" t="s">
        <v>230</v>
      </c>
      <c r="F896" s="126">
        <v>7.5</v>
      </c>
      <c r="G896" s="77">
        <v>41000</v>
      </c>
      <c r="H896" s="126">
        <v>28</v>
      </c>
      <c r="I896" s="124">
        <v>735.9</v>
      </c>
      <c r="J896" s="126">
        <v>0.9</v>
      </c>
      <c r="K896" s="124">
        <v>25625</v>
      </c>
      <c r="L896" s="124">
        <v>26360.9</v>
      </c>
    </row>
    <row r="897" spans="1:12" ht="15" customHeight="1" x14ac:dyDescent="0.25">
      <c r="A897" s="78">
        <v>45931</v>
      </c>
      <c r="B897" t="s">
        <v>390</v>
      </c>
      <c r="C897" t="s">
        <v>391</v>
      </c>
      <c r="D897" t="s">
        <v>221</v>
      </c>
      <c r="E897" t="s">
        <v>2368</v>
      </c>
      <c r="F897" s="126">
        <v>17.100000000000001</v>
      </c>
      <c r="G897" s="77">
        <v>27000</v>
      </c>
      <c r="H897" s="126">
        <v>111.3</v>
      </c>
      <c r="I897" s="124">
        <v>1926.35</v>
      </c>
      <c r="J897" s="126">
        <v>7.6</v>
      </c>
      <c r="K897" s="124">
        <v>38475</v>
      </c>
      <c r="L897" s="124">
        <v>40401.35</v>
      </c>
    </row>
    <row r="898" spans="1:12" ht="15" customHeight="1" x14ac:dyDescent="0.25">
      <c r="A898" s="78">
        <v>45931</v>
      </c>
      <c r="B898" t="s">
        <v>390</v>
      </c>
      <c r="C898" t="s">
        <v>391</v>
      </c>
      <c r="D898" t="s">
        <v>221</v>
      </c>
      <c r="E898" t="s">
        <v>2367</v>
      </c>
      <c r="F898" s="126">
        <v>13.1</v>
      </c>
      <c r="G898" s="77">
        <v>43000</v>
      </c>
      <c r="H898" s="126">
        <v>62.3</v>
      </c>
      <c r="I898" s="124">
        <v>1717.24</v>
      </c>
      <c r="J898" s="126">
        <v>6.5</v>
      </c>
      <c r="K898" s="124">
        <v>46941.666666666701</v>
      </c>
      <c r="L898" s="124">
        <v>48658.906666666699</v>
      </c>
    </row>
    <row r="899" spans="1:12" ht="15" customHeight="1" x14ac:dyDescent="0.25">
      <c r="A899" s="78">
        <v>45931</v>
      </c>
      <c r="B899" t="s">
        <v>390</v>
      </c>
      <c r="C899" t="s">
        <v>391</v>
      </c>
      <c r="D899" t="s">
        <v>221</v>
      </c>
      <c r="E899" t="s">
        <v>105</v>
      </c>
      <c r="F899" s="126">
        <v>14.2</v>
      </c>
      <c r="G899" s="77">
        <v>28000</v>
      </c>
      <c r="H899" s="126">
        <v>83.6</v>
      </c>
      <c r="I899" s="124">
        <v>1500.51</v>
      </c>
      <c r="J899" s="126">
        <v>7.5</v>
      </c>
      <c r="K899" s="124">
        <v>33133.333333333299</v>
      </c>
      <c r="L899" s="124">
        <v>34633.843333333301</v>
      </c>
    </row>
    <row r="900" spans="1:12" ht="15" customHeight="1" x14ac:dyDescent="0.25">
      <c r="A900" s="78">
        <v>45931</v>
      </c>
      <c r="B900" t="s">
        <v>390</v>
      </c>
      <c r="C900" t="s">
        <v>391</v>
      </c>
      <c r="D900" t="s">
        <v>221</v>
      </c>
      <c r="E900" t="s">
        <v>230</v>
      </c>
      <c r="F900" s="126">
        <v>6.7</v>
      </c>
      <c r="G900" s="77">
        <v>41000</v>
      </c>
      <c r="H900" s="126">
        <v>24.4</v>
      </c>
      <c r="I900" s="124">
        <v>641.28</v>
      </c>
      <c r="J900" s="126">
        <v>2.5</v>
      </c>
      <c r="K900" s="124">
        <v>22891.666666666701</v>
      </c>
      <c r="L900" s="124">
        <v>23532.946666666699</v>
      </c>
    </row>
    <row r="901" spans="1:12" ht="15" customHeight="1" x14ac:dyDescent="0.25">
      <c r="A901" s="78">
        <v>45931</v>
      </c>
      <c r="B901" t="s">
        <v>390</v>
      </c>
      <c r="C901" t="s">
        <v>391</v>
      </c>
      <c r="D901" t="s">
        <v>221</v>
      </c>
      <c r="E901" t="s">
        <v>231</v>
      </c>
      <c r="F901" s="126">
        <v>10.6</v>
      </c>
      <c r="G901" s="77">
        <v>29000</v>
      </c>
      <c r="H901" s="126">
        <v>55.1</v>
      </c>
      <c r="I901" s="124">
        <v>1024.29</v>
      </c>
      <c r="J901" s="126">
        <v>3.4</v>
      </c>
      <c r="K901" s="124">
        <v>25616.666666666701</v>
      </c>
      <c r="L901" s="124">
        <v>26640.956666666701</v>
      </c>
    </row>
    <row r="902" spans="1:12" ht="15" customHeight="1" x14ac:dyDescent="0.25">
      <c r="A902" s="78">
        <v>45931</v>
      </c>
      <c r="B902" t="s">
        <v>390</v>
      </c>
      <c r="C902" t="s">
        <v>391</v>
      </c>
      <c r="D902" t="s">
        <v>221</v>
      </c>
      <c r="E902" t="s">
        <v>232</v>
      </c>
      <c r="F902" s="126">
        <v>5.9</v>
      </c>
      <c r="G902" s="77">
        <v>25000</v>
      </c>
      <c r="H902" s="126">
        <v>29.3</v>
      </c>
      <c r="I902" s="124">
        <v>469.55</v>
      </c>
      <c r="J902" s="126">
        <v>1.9</v>
      </c>
      <c r="K902" s="124">
        <v>12291.666666666701</v>
      </c>
      <c r="L902" s="124">
        <v>12761.2166666667</v>
      </c>
    </row>
    <row r="903" spans="1:12" ht="15" customHeight="1" x14ac:dyDescent="0.25">
      <c r="A903" s="78">
        <v>45931</v>
      </c>
      <c r="B903" t="s">
        <v>401</v>
      </c>
      <c r="C903" t="s">
        <v>402</v>
      </c>
      <c r="D903" t="s">
        <v>221</v>
      </c>
      <c r="E903" t="s">
        <v>230</v>
      </c>
      <c r="F903" s="126">
        <v>16.600000000000001</v>
      </c>
      <c r="G903" s="77">
        <v>41000</v>
      </c>
      <c r="H903" s="126">
        <v>97.6</v>
      </c>
      <c r="I903" s="124">
        <v>2565.13</v>
      </c>
      <c r="J903" s="126">
        <v>8.5</v>
      </c>
      <c r="K903" s="124">
        <v>56716.666666666701</v>
      </c>
      <c r="L903" s="124">
        <v>59281.796666666698</v>
      </c>
    </row>
    <row r="904" spans="1:12" ht="15" customHeight="1" x14ac:dyDescent="0.25">
      <c r="A904" s="78">
        <v>45931</v>
      </c>
      <c r="B904" t="s">
        <v>401</v>
      </c>
      <c r="C904" t="s">
        <v>402</v>
      </c>
      <c r="D904" t="s">
        <v>221</v>
      </c>
      <c r="E904" t="s">
        <v>105</v>
      </c>
      <c r="F904" s="126">
        <v>17.2</v>
      </c>
      <c r="G904" s="77">
        <v>28000</v>
      </c>
      <c r="H904" s="126">
        <v>85.4</v>
      </c>
      <c r="I904" s="124">
        <v>1532.82</v>
      </c>
      <c r="J904" s="126">
        <v>8.6999999999999993</v>
      </c>
      <c r="K904" s="124">
        <v>40133.333333333299</v>
      </c>
      <c r="L904" s="124">
        <v>41666.153333333299</v>
      </c>
    </row>
    <row r="905" spans="1:12" ht="15" customHeight="1" x14ac:dyDescent="0.25">
      <c r="A905" s="78">
        <v>45931</v>
      </c>
      <c r="B905" t="s">
        <v>401</v>
      </c>
      <c r="C905" t="s">
        <v>402</v>
      </c>
      <c r="D905" t="s">
        <v>221</v>
      </c>
      <c r="E905" t="s">
        <v>2368</v>
      </c>
      <c r="F905" s="126">
        <v>6.3</v>
      </c>
      <c r="G905" s="77">
        <v>27000</v>
      </c>
      <c r="H905" s="126">
        <v>8.6</v>
      </c>
      <c r="I905" s="124">
        <v>148.85</v>
      </c>
      <c r="J905" s="126">
        <v>2.2999999999999998</v>
      </c>
      <c r="K905" s="124">
        <v>14175</v>
      </c>
      <c r="L905" s="124">
        <v>14323.85</v>
      </c>
    </row>
    <row r="906" spans="1:12" ht="15" customHeight="1" x14ac:dyDescent="0.25">
      <c r="A906" s="78">
        <v>45931</v>
      </c>
      <c r="B906" t="s">
        <v>401</v>
      </c>
      <c r="C906" t="s">
        <v>402</v>
      </c>
      <c r="D906" t="s">
        <v>221</v>
      </c>
      <c r="E906" t="s">
        <v>231</v>
      </c>
      <c r="F906" s="126">
        <v>8</v>
      </c>
      <c r="G906" s="77">
        <v>29000</v>
      </c>
      <c r="H906" s="126">
        <v>40.1</v>
      </c>
      <c r="I906" s="124">
        <v>745.45</v>
      </c>
      <c r="J906" s="126">
        <v>4.2</v>
      </c>
      <c r="K906" s="124">
        <v>19333.333333333299</v>
      </c>
      <c r="L906" s="124">
        <v>20078.7833333333</v>
      </c>
    </row>
    <row r="907" spans="1:12" ht="15" customHeight="1" x14ac:dyDescent="0.25">
      <c r="A907" s="78">
        <v>45931</v>
      </c>
      <c r="B907" t="s">
        <v>401</v>
      </c>
      <c r="C907" t="s">
        <v>402</v>
      </c>
      <c r="D907" t="s">
        <v>221</v>
      </c>
      <c r="E907" t="s">
        <v>2367</v>
      </c>
      <c r="F907" s="126">
        <v>16.100000000000001</v>
      </c>
      <c r="G907" s="77">
        <v>43000</v>
      </c>
      <c r="H907" s="126">
        <v>92.9</v>
      </c>
      <c r="I907" s="124">
        <v>2560.71</v>
      </c>
      <c r="J907" s="126">
        <v>8.5</v>
      </c>
      <c r="K907" s="124">
        <v>57691.666666666701</v>
      </c>
      <c r="L907" s="124">
        <v>60252.3766666667</v>
      </c>
    </row>
    <row r="908" spans="1:12" ht="15" customHeight="1" x14ac:dyDescent="0.25">
      <c r="A908" s="78">
        <v>45931</v>
      </c>
      <c r="B908" t="s">
        <v>431</v>
      </c>
      <c r="C908" t="s">
        <v>432</v>
      </c>
      <c r="D908" t="s">
        <v>221</v>
      </c>
      <c r="E908" t="s">
        <v>232</v>
      </c>
      <c r="F908" s="126">
        <v>6.9</v>
      </c>
      <c r="G908" s="77">
        <v>25000</v>
      </c>
      <c r="H908" s="126">
        <v>17.600000000000001</v>
      </c>
      <c r="I908" s="124">
        <v>282.05</v>
      </c>
      <c r="J908" s="126">
        <v>2.7</v>
      </c>
      <c r="K908" s="124">
        <v>14375</v>
      </c>
      <c r="L908" s="124">
        <v>14657.05</v>
      </c>
    </row>
    <row r="909" spans="1:12" ht="15" customHeight="1" x14ac:dyDescent="0.25">
      <c r="A909" s="78">
        <v>45931</v>
      </c>
      <c r="B909" t="s">
        <v>431</v>
      </c>
      <c r="C909" t="s">
        <v>432</v>
      </c>
      <c r="D909" t="s">
        <v>221</v>
      </c>
      <c r="E909" t="s">
        <v>2367</v>
      </c>
      <c r="F909" s="126">
        <v>14.9</v>
      </c>
      <c r="G909" s="77">
        <v>43000</v>
      </c>
      <c r="H909" s="126">
        <v>61.9</v>
      </c>
      <c r="I909" s="124">
        <v>1706.22</v>
      </c>
      <c r="J909" s="126">
        <v>5.0999999999999996</v>
      </c>
      <c r="K909" s="124">
        <v>53391.666666666701</v>
      </c>
      <c r="L909" s="124">
        <v>55097.886666666702</v>
      </c>
    </row>
    <row r="910" spans="1:12" ht="15" customHeight="1" x14ac:dyDescent="0.25">
      <c r="A910" s="78">
        <v>45931</v>
      </c>
      <c r="B910" t="s">
        <v>431</v>
      </c>
      <c r="C910" t="s">
        <v>432</v>
      </c>
      <c r="D910" t="s">
        <v>221</v>
      </c>
      <c r="E910" t="s">
        <v>105</v>
      </c>
      <c r="F910" s="126">
        <v>19.100000000000001</v>
      </c>
      <c r="G910" s="77">
        <v>28000</v>
      </c>
      <c r="H910" s="126">
        <v>124.3</v>
      </c>
      <c r="I910" s="124">
        <v>2231.0300000000002</v>
      </c>
      <c r="J910" s="126">
        <v>10</v>
      </c>
      <c r="K910" s="124">
        <v>44566.666666666701</v>
      </c>
      <c r="L910" s="124">
        <v>46797.696666666699</v>
      </c>
    </row>
    <row r="911" spans="1:12" ht="15" customHeight="1" x14ac:dyDescent="0.25">
      <c r="A911" s="78">
        <v>45931</v>
      </c>
      <c r="B911" t="s">
        <v>431</v>
      </c>
      <c r="C911" t="s">
        <v>432</v>
      </c>
      <c r="D911" t="s">
        <v>221</v>
      </c>
      <c r="E911" t="s">
        <v>231</v>
      </c>
      <c r="F911" s="126">
        <v>4.9000000000000004</v>
      </c>
      <c r="G911" s="77">
        <v>29000</v>
      </c>
      <c r="H911" s="126">
        <v>28.6</v>
      </c>
      <c r="I911" s="124">
        <v>531.66999999999996</v>
      </c>
      <c r="J911" s="126">
        <v>0.9</v>
      </c>
      <c r="K911" s="124">
        <v>11841.666666666701</v>
      </c>
      <c r="L911" s="124">
        <v>12373.336666666701</v>
      </c>
    </row>
    <row r="912" spans="1:12" ht="15" customHeight="1" x14ac:dyDescent="0.25">
      <c r="A912" s="78">
        <v>45931</v>
      </c>
      <c r="B912" t="s">
        <v>431</v>
      </c>
      <c r="C912" t="s">
        <v>432</v>
      </c>
      <c r="D912" t="s">
        <v>221</v>
      </c>
      <c r="E912" t="s">
        <v>2368</v>
      </c>
      <c r="F912" s="126">
        <v>11.1</v>
      </c>
      <c r="G912" s="77">
        <v>27000</v>
      </c>
      <c r="H912" s="126">
        <v>65.099999999999994</v>
      </c>
      <c r="I912" s="124">
        <v>1126.73</v>
      </c>
      <c r="J912" s="126">
        <v>7.8</v>
      </c>
      <c r="K912" s="124">
        <v>24975</v>
      </c>
      <c r="L912" s="124">
        <v>26101.73</v>
      </c>
    </row>
    <row r="913" spans="1:12" ht="15" customHeight="1" x14ac:dyDescent="0.25">
      <c r="A913" s="78">
        <v>45931</v>
      </c>
      <c r="B913" t="s">
        <v>366</v>
      </c>
      <c r="C913" t="s">
        <v>367</v>
      </c>
      <c r="D913" t="s">
        <v>221</v>
      </c>
      <c r="E913" t="s">
        <v>2367</v>
      </c>
      <c r="F913" s="126">
        <v>12.2</v>
      </c>
      <c r="G913" s="77">
        <v>43000</v>
      </c>
      <c r="H913" s="126">
        <v>24.6</v>
      </c>
      <c r="I913" s="124">
        <v>678.08</v>
      </c>
      <c r="J913" s="126">
        <v>6.9</v>
      </c>
      <c r="K913" s="124">
        <v>43716.666666666701</v>
      </c>
      <c r="L913" s="124">
        <v>44394.746666666702</v>
      </c>
    </row>
    <row r="914" spans="1:12" ht="15" customHeight="1" x14ac:dyDescent="0.25">
      <c r="A914" s="78">
        <v>45931</v>
      </c>
      <c r="B914" t="s">
        <v>366</v>
      </c>
      <c r="C914" t="s">
        <v>367</v>
      </c>
      <c r="D914" t="s">
        <v>221</v>
      </c>
      <c r="E914" t="s">
        <v>2368</v>
      </c>
      <c r="F914" s="126">
        <v>6.9</v>
      </c>
      <c r="G914" s="77">
        <v>27000</v>
      </c>
      <c r="H914" s="126">
        <v>27.6</v>
      </c>
      <c r="I914" s="124">
        <v>477.69</v>
      </c>
      <c r="J914" s="126">
        <v>1.9</v>
      </c>
      <c r="K914" s="124">
        <v>15525</v>
      </c>
      <c r="L914" s="124">
        <v>16002.69</v>
      </c>
    </row>
    <row r="915" spans="1:12" ht="15" customHeight="1" x14ac:dyDescent="0.25">
      <c r="A915" s="78">
        <v>45931</v>
      </c>
      <c r="B915" t="s">
        <v>366</v>
      </c>
      <c r="C915" t="s">
        <v>367</v>
      </c>
      <c r="D915" t="s">
        <v>221</v>
      </c>
      <c r="E915" t="s">
        <v>231</v>
      </c>
      <c r="F915" s="126">
        <v>5.0999999999999996</v>
      </c>
      <c r="G915" s="77">
        <v>29000</v>
      </c>
      <c r="H915" s="126">
        <v>24.2</v>
      </c>
      <c r="I915" s="124">
        <v>449.87</v>
      </c>
      <c r="J915" s="126">
        <v>3.4</v>
      </c>
      <c r="K915" s="124">
        <v>12325</v>
      </c>
      <c r="L915" s="124">
        <v>12774.87</v>
      </c>
    </row>
    <row r="916" spans="1:12" ht="15" customHeight="1" x14ac:dyDescent="0.25">
      <c r="A916" s="78">
        <v>45931</v>
      </c>
      <c r="B916" t="s">
        <v>366</v>
      </c>
      <c r="C916" t="s">
        <v>367</v>
      </c>
      <c r="D916" t="s">
        <v>221</v>
      </c>
      <c r="E916" t="s">
        <v>232</v>
      </c>
      <c r="F916" s="126">
        <v>18.399999999999999</v>
      </c>
      <c r="G916" s="77">
        <v>25000</v>
      </c>
      <c r="H916" s="126">
        <v>57</v>
      </c>
      <c r="I916" s="124">
        <v>913.46</v>
      </c>
      <c r="J916" s="126">
        <v>10.4</v>
      </c>
      <c r="K916" s="124">
        <v>38333.333333333299</v>
      </c>
      <c r="L916" s="124">
        <v>39246.793333333299</v>
      </c>
    </row>
    <row r="917" spans="1:12" ht="15" customHeight="1" x14ac:dyDescent="0.25">
      <c r="A917" s="78">
        <v>45931</v>
      </c>
      <c r="B917" t="s">
        <v>366</v>
      </c>
      <c r="C917" t="s">
        <v>367</v>
      </c>
      <c r="D917" t="s">
        <v>221</v>
      </c>
      <c r="E917" t="s">
        <v>230</v>
      </c>
      <c r="F917" s="126">
        <v>11.6</v>
      </c>
      <c r="G917" s="77">
        <v>41000</v>
      </c>
      <c r="H917" s="126">
        <v>17.399999999999999</v>
      </c>
      <c r="I917" s="124">
        <v>457.31</v>
      </c>
      <c r="J917" s="126">
        <v>4.3</v>
      </c>
      <c r="K917" s="124">
        <v>39633.333333333299</v>
      </c>
      <c r="L917" s="124">
        <v>40090.643333333297</v>
      </c>
    </row>
    <row r="918" spans="1:12" ht="15" customHeight="1" x14ac:dyDescent="0.25">
      <c r="A918" s="78">
        <v>45931</v>
      </c>
      <c r="B918" t="s">
        <v>366</v>
      </c>
      <c r="C918" t="s">
        <v>367</v>
      </c>
      <c r="D918" t="s">
        <v>221</v>
      </c>
      <c r="E918" t="s">
        <v>2369</v>
      </c>
      <c r="F918" s="126">
        <v>13.3</v>
      </c>
      <c r="G918" s="77">
        <v>35000</v>
      </c>
      <c r="H918" s="126">
        <v>55.9</v>
      </c>
      <c r="I918" s="124">
        <v>1254.17</v>
      </c>
      <c r="J918" s="126">
        <v>6.7</v>
      </c>
      <c r="K918" s="124">
        <v>38791.666666666701</v>
      </c>
      <c r="L918" s="124">
        <v>40045.836666666699</v>
      </c>
    </row>
    <row r="919" spans="1:12" ht="15" customHeight="1" x14ac:dyDescent="0.25">
      <c r="A919" s="78">
        <v>45931</v>
      </c>
      <c r="B919" t="s">
        <v>362</v>
      </c>
      <c r="C919" t="s">
        <v>363</v>
      </c>
      <c r="D919" t="s">
        <v>221</v>
      </c>
      <c r="E919" t="s">
        <v>231</v>
      </c>
      <c r="F919" s="126">
        <v>8.8000000000000007</v>
      </c>
      <c r="G919" s="77">
        <v>29000</v>
      </c>
      <c r="H919" s="126">
        <v>25.7</v>
      </c>
      <c r="I919" s="124">
        <v>477.76</v>
      </c>
      <c r="J919" s="126">
        <v>5.2</v>
      </c>
      <c r="K919" s="124">
        <v>21266.666666666701</v>
      </c>
      <c r="L919" s="124">
        <v>21744.426666666699</v>
      </c>
    </row>
    <row r="920" spans="1:12" ht="15" customHeight="1" x14ac:dyDescent="0.25">
      <c r="A920" s="78">
        <v>45931</v>
      </c>
      <c r="B920" t="s">
        <v>362</v>
      </c>
      <c r="C920" t="s">
        <v>363</v>
      </c>
      <c r="D920" t="s">
        <v>221</v>
      </c>
      <c r="E920" t="s">
        <v>2367</v>
      </c>
      <c r="F920" s="126">
        <v>12.1</v>
      </c>
      <c r="G920" s="77">
        <v>43000</v>
      </c>
      <c r="H920" s="126">
        <v>58</v>
      </c>
      <c r="I920" s="124">
        <v>1598.72</v>
      </c>
      <c r="J920" s="126">
        <v>6.9</v>
      </c>
      <c r="K920" s="124">
        <v>43358.333333333299</v>
      </c>
      <c r="L920" s="124">
        <v>44957.053333333301</v>
      </c>
    </row>
    <row r="921" spans="1:12" ht="15" customHeight="1" x14ac:dyDescent="0.25">
      <c r="A921" s="78">
        <v>45931</v>
      </c>
      <c r="B921" t="s">
        <v>362</v>
      </c>
      <c r="C921" t="s">
        <v>363</v>
      </c>
      <c r="D921" t="s">
        <v>221</v>
      </c>
      <c r="E921" t="s">
        <v>2368</v>
      </c>
      <c r="F921" s="126">
        <v>7.4</v>
      </c>
      <c r="G921" s="77">
        <v>27000</v>
      </c>
      <c r="H921" s="126">
        <v>28.2</v>
      </c>
      <c r="I921" s="124">
        <v>488.08</v>
      </c>
      <c r="J921" s="126">
        <v>4.3</v>
      </c>
      <c r="K921" s="124">
        <v>16650</v>
      </c>
      <c r="L921" s="124">
        <v>17138.080000000002</v>
      </c>
    </row>
    <row r="922" spans="1:12" ht="15" customHeight="1" x14ac:dyDescent="0.25">
      <c r="A922" s="78">
        <v>45931</v>
      </c>
      <c r="B922" t="s">
        <v>362</v>
      </c>
      <c r="C922" t="s">
        <v>363</v>
      </c>
      <c r="D922" t="s">
        <v>221</v>
      </c>
      <c r="E922" t="s">
        <v>232</v>
      </c>
      <c r="F922" s="126">
        <v>8.6</v>
      </c>
      <c r="G922" s="77">
        <v>25000</v>
      </c>
      <c r="H922" s="126">
        <v>28.7</v>
      </c>
      <c r="I922" s="124">
        <v>459.94</v>
      </c>
      <c r="J922" s="126">
        <v>6.4</v>
      </c>
      <c r="K922" s="124">
        <v>17916.666666666701</v>
      </c>
      <c r="L922" s="124">
        <v>18376.606666666699</v>
      </c>
    </row>
    <row r="923" spans="1:12" ht="15" customHeight="1" x14ac:dyDescent="0.25">
      <c r="A923" s="78">
        <v>45931</v>
      </c>
      <c r="B923" t="s">
        <v>335</v>
      </c>
      <c r="C923" t="s">
        <v>336</v>
      </c>
      <c r="D923" t="s">
        <v>223</v>
      </c>
      <c r="E923" t="s">
        <v>105</v>
      </c>
      <c r="F923" s="126">
        <v>11.3</v>
      </c>
      <c r="G923" s="77">
        <v>28000</v>
      </c>
      <c r="H923" s="126">
        <v>31.4</v>
      </c>
      <c r="I923" s="124">
        <v>563.59</v>
      </c>
      <c r="J923" s="126">
        <v>7.8</v>
      </c>
      <c r="K923" s="124">
        <v>26366.666666666701</v>
      </c>
      <c r="L923" s="124">
        <v>26930.256666666701</v>
      </c>
    </row>
    <row r="924" spans="1:12" ht="15" customHeight="1" x14ac:dyDescent="0.25">
      <c r="A924" s="78">
        <v>45931</v>
      </c>
      <c r="B924" t="s">
        <v>335</v>
      </c>
      <c r="C924" t="s">
        <v>336</v>
      </c>
      <c r="D924" t="s">
        <v>223</v>
      </c>
      <c r="E924" t="s">
        <v>231</v>
      </c>
      <c r="F924" s="126">
        <v>17.2</v>
      </c>
      <c r="G924" s="77">
        <v>29000</v>
      </c>
      <c r="H924" s="126">
        <v>69.7</v>
      </c>
      <c r="I924" s="124">
        <v>1295.71</v>
      </c>
      <c r="J924" s="126">
        <v>7.2</v>
      </c>
      <c r="K924" s="124">
        <v>41566.666666666701</v>
      </c>
      <c r="L924" s="124">
        <v>42862.3766666667</v>
      </c>
    </row>
    <row r="925" spans="1:12" ht="15" customHeight="1" x14ac:dyDescent="0.25">
      <c r="A925" s="78">
        <v>45931</v>
      </c>
      <c r="B925" t="s">
        <v>335</v>
      </c>
      <c r="C925" t="s">
        <v>336</v>
      </c>
      <c r="D925" t="s">
        <v>223</v>
      </c>
      <c r="E925" t="s">
        <v>232</v>
      </c>
      <c r="F925" s="126">
        <v>5.4</v>
      </c>
      <c r="G925" s="77">
        <v>25000</v>
      </c>
      <c r="H925" s="126">
        <v>32.700000000000003</v>
      </c>
      <c r="I925" s="124">
        <v>524.04</v>
      </c>
      <c r="J925" s="126">
        <v>2.8</v>
      </c>
      <c r="K925" s="124">
        <v>11250</v>
      </c>
      <c r="L925" s="124">
        <v>11774.04</v>
      </c>
    </row>
    <row r="926" spans="1:12" ht="15" customHeight="1" x14ac:dyDescent="0.25">
      <c r="A926" s="78">
        <v>45931</v>
      </c>
      <c r="B926" t="s">
        <v>335</v>
      </c>
      <c r="C926" t="s">
        <v>336</v>
      </c>
      <c r="D926" t="s">
        <v>223</v>
      </c>
      <c r="E926" t="s">
        <v>2369</v>
      </c>
      <c r="F926" s="126">
        <v>16.399999999999999</v>
      </c>
      <c r="G926" s="77">
        <v>35000</v>
      </c>
      <c r="H926" s="126">
        <v>86.5</v>
      </c>
      <c r="I926" s="124">
        <v>1940.71</v>
      </c>
      <c r="J926" s="126">
        <v>9.4</v>
      </c>
      <c r="K926" s="124">
        <v>47833.333333333299</v>
      </c>
      <c r="L926" s="124">
        <v>49774.043333333299</v>
      </c>
    </row>
    <row r="927" spans="1:12" ht="15" customHeight="1" x14ac:dyDescent="0.25">
      <c r="A927" s="78">
        <v>45931</v>
      </c>
      <c r="B927" t="s">
        <v>386</v>
      </c>
      <c r="C927" t="s">
        <v>387</v>
      </c>
      <c r="D927" t="s">
        <v>223</v>
      </c>
      <c r="E927" t="s">
        <v>2368</v>
      </c>
      <c r="F927" s="126">
        <v>4.2</v>
      </c>
      <c r="G927" s="77">
        <v>27000</v>
      </c>
      <c r="H927" s="126">
        <v>18.899999999999999</v>
      </c>
      <c r="I927" s="124">
        <v>327.12</v>
      </c>
      <c r="J927" s="126">
        <v>1.5</v>
      </c>
      <c r="K927" s="124">
        <v>9450</v>
      </c>
      <c r="L927" s="124">
        <v>9777.1200000000008</v>
      </c>
    </row>
    <row r="928" spans="1:12" ht="15" customHeight="1" x14ac:dyDescent="0.25">
      <c r="A928" s="78">
        <v>45931</v>
      </c>
      <c r="B928" t="s">
        <v>386</v>
      </c>
      <c r="C928" t="s">
        <v>387</v>
      </c>
      <c r="D928" t="s">
        <v>223</v>
      </c>
      <c r="E928" t="s">
        <v>232</v>
      </c>
      <c r="F928" s="126">
        <v>15.3</v>
      </c>
      <c r="G928" s="77">
        <v>25000</v>
      </c>
      <c r="H928" s="126">
        <v>83.6</v>
      </c>
      <c r="I928" s="124">
        <v>1339.74</v>
      </c>
      <c r="J928" s="126">
        <v>7.7</v>
      </c>
      <c r="K928" s="124">
        <v>31875</v>
      </c>
      <c r="L928" s="124">
        <v>33214.74</v>
      </c>
    </row>
    <row r="929" spans="1:12" ht="15" customHeight="1" x14ac:dyDescent="0.25">
      <c r="A929" s="78">
        <v>45931</v>
      </c>
      <c r="B929" t="s">
        <v>386</v>
      </c>
      <c r="C929" t="s">
        <v>387</v>
      </c>
      <c r="D929" t="s">
        <v>223</v>
      </c>
      <c r="E929" t="s">
        <v>2367</v>
      </c>
      <c r="F929" s="126">
        <v>12.3</v>
      </c>
      <c r="G929" s="77">
        <v>43000</v>
      </c>
      <c r="H929" s="126">
        <v>61.9</v>
      </c>
      <c r="I929" s="124">
        <v>1706.22</v>
      </c>
      <c r="J929" s="126">
        <v>4</v>
      </c>
      <c r="K929" s="124">
        <v>44075</v>
      </c>
      <c r="L929" s="124">
        <v>45781.22</v>
      </c>
    </row>
    <row r="930" spans="1:12" ht="15" customHeight="1" x14ac:dyDescent="0.25">
      <c r="A930" s="78">
        <v>45931</v>
      </c>
      <c r="B930" t="s">
        <v>386</v>
      </c>
      <c r="C930" t="s">
        <v>387</v>
      </c>
      <c r="D930" t="s">
        <v>223</v>
      </c>
      <c r="E930" t="s">
        <v>231</v>
      </c>
      <c r="F930" s="126">
        <v>15.5</v>
      </c>
      <c r="G930" s="77">
        <v>29000</v>
      </c>
      <c r="H930" s="126">
        <v>72.400000000000006</v>
      </c>
      <c r="I930" s="124">
        <v>1345.9</v>
      </c>
      <c r="J930" s="126">
        <v>7.1</v>
      </c>
      <c r="K930" s="124">
        <v>37458.333333333299</v>
      </c>
      <c r="L930" s="124">
        <v>38804.233333333301</v>
      </c>
    </row>
    <row r="931" spans="1:12" ht="15" customHeight="1" x14ac:dyDescent="0.25">
      <c r="A931" s="78">
        <v>45931</v>
      </c>
      <c r="B931" t="s">
        <v>386</v>
      </c>
      <c r="C931" t="s">
        <v>387</v>
      </c>
      <c r="D931" t="s">
        <v>223</v>
      </c>
      <c r="E931" t="s">
        <v>230</v>
      </c>
      <c r="F931" s="126">
        <v>8.5</v>
      </c>
      <c r="G931" s="77">
        <v>41000</v>
      </c>
      <c r="H931" s="126">
        <v>55.1</v>
      </c>
      <c r="I931" s="124">
        <v>1448.14</v>
      </c>
      <c r="J931" s="126">
        <v>4.9000000000000004</v>
      </c>
      <c r="K931" s="124">
        <v>29041.666666666701</v>
      </c>
      <c r="L931" s="124">
        <v>30489.8066666667</v>
      </c>
    </row>
    <row r="932" spans="1:12" ht="15" customHeight="1" x14ac:dyDescent="0.25">
      <c r="A932" s="78">
        <v>45931</v>
      </c>
      <c r="B932" t="s">
        <v>386</v>
      </c>
      <c r="C932" t="s">
        <v>387</v>
      </c>
      <c r="D932" t="s">
        <v>223</v>
      </c>
      <c r="E932" t="s">
        <v>2369</v>
      </c>
      <c r="F932" s="126">
        <v>5.8</v>
      </c>
      <c r="G932" s="77">
        <v>35000</v>
      </c>
      <c r="H932" s="126">
        <v>25.3</v>
      </c>
      <c r="I932" s="124">
        <v>567.63</v>
      </c>
      <c r="J932" s="126">
        <v>3.4</v>
      </c>
      <c r="K932" s="124">
        <v>16916.666666666701</v>
      </c>
      <c r="L932" s="124">
        <v>17484.296666666702</v>
      </c>
    </row>
    <row r="933" spans="1:12" ht="15" customHeight="1" x14ac:dyDescent="0.25">
      <c r="A933" s="78">
        <v>45931</v>
      </c>
      <c r="B933" t="s">
        <v>341</v>
      </c>
      <c r="C933" t="s">
        <v>342</v>
      </c>
      <c r="D933" t="s">
        <v>223</v>
      </c>
      <c r="E933" t="s">
        <v>105</v>
      </c>
      <c r="F933" s="126">
        <v>16.3</v>
      </c>
      <c r="G933" s="77">
        <v>28000</v>
      </c>
      <c r="H933" s="126">
        <v>40.799999999999997</v>
      </c>
      <c r="I933" s="124">
        <v>732.31</v>
      </c>
      <c r="J933" s="126">
        <v>9.8000000000000007</v>
      </c>
      <c r="K933" s="124">
        <v>38033.333333333299</v>
      </c>
      <c r="L933" s="124">
        <v>38765.643333333297</v>
      </c>
    </row>
    <row r="934" spans="1:12" ht="15" customHeight="1" x14ac:dyDescent="0.25">
      <c r="A934" s="78">
        <v>45931</v>
      </c>
      <c r="B934" t="s">
        <v>341</v>
      </c>
      <c r="C934" t="s">
        <v>342</v>
      </c>
      <c r="D934" t="s">
        <v>223</v>
      </c>
      <c r="E934" t="s">
        <v>230</v>
      </c>
      <c r="F934" s="126">
        <v>16.2</v>
      </c>
      <c r="G934" s="77">
        <v>41000</v>
      </c>
      <c r="H934" s="126">
        <v>113.2</v>
      </c>
      <c r="I934" s="124">
        <v>2975.13</v>
      </c>
      <c r="J934" s="126">
        <v>8.5</v>
      </c>
      <c r="K934" s="124">
        <v>55350</v>
      </c>
      <c r="L934" s="124">
        <v>58325.13</v>
      </c>
    </row>
    <row r="935" spans="1:12" ht="15" customHeight="1" x14ac:dyDescent="0.25">
      <c r="A935" s="78">
        <v>45931</v>
      </c>
      <c r="B935" t="s">
        <v>341</v>
      </c>
      <c r="C935" t="s">
        <v>342</v>
      </c>
      <c r="D935" t="s">
        <v>223</v>
      </c>
      <c r="E935" t="s">
        <v>232</v>
      </c>
      <c r="F935" s="126">
        <v>14.7</v>
      </c>
      <c r="G935" s="77">
        <v>25000</v>
      </c>
      <c r="H935" s="126">
        <v>93.9</v>
      </c>
      <c r="I935" s="124">
        <v>1504.81</v>
      </c>
      <c r="J935" s="126">
        <v>6.8</v>
      </c>
      <c r="K935" s="124">
        <v>30625</v>
      </c>
      <c r="L935" s="124">
        <v>32129.81</v>
      </c>
    </row>
    <row r="936" spans="1:12" ht="15" customHeight="1" x14ac:dyDescent="0.25">
      <c r="A936" s="78">
        <v>45931</v>
      </c>
      <c r="B936" t="s">
        <v>341</v>
      </c>
      <c r="C936" t="s">
        <v>342</v>
      </c>
      <c r="D936" t="s">
        <v>223</v>
      </c>
      <c r="E936" t="s">
        <v>2367</v>
      </c>
      <c r="F936" s="126">
        <v>17.7</v>
      </c>
      <c r="G936" s="77">
        <v>43000</v>
      </c>
      <c r="H936" s="126">
        <v>49.6</v>
      </c>
      <c r="I936" s="124">
        <v>1367.18</v>
      </c>
      <c r="J936" s="126">
        <v>8.9</v>
      </c>
      <c r="K936" s="124">
        <v>63425</v>
      </c>
      <c r="L936" s="124">
        <v>64792.18</v>
      </c>
    </row>
    <row r="937" spans="1:12" ht="15" customHeight="1" x14ac:dyDescent="0.25">
      <c r="A937" s="78">
        <v>45931</v>
      </c>
      <c r="B937" t="s">
        <v>341</v>
      </c>
      <c r="C937" t="s">
        <v>342</v>
      </c>
      <c r="D937" t="s">
        <v>223</v>
      </c>
      <c r="E937" t="s">
        <v>2369</v>
      </c>
      <c r="F937" s="126">
        <v>15.3</v>
      </c>
      <c r="G937" s="77">
        <v>35000</v>
      </c>
      <c r="H937" s="126">
        <v>71.2</v>
      </c>
      <c r="I937" s="124">
        <v>1597.44</v>
      </c>
      <c r="J937" s="126">
        <v>7.3</v>
      </c>
      <c r="K937" s="124">
        <v>44625</v>
      </c>
      <c r="L937" s="124">
        <v>46222.44</v>
      </c>
    </row>
    <row r="938" spans="1:12" ht="15" customHeight="1" x14ac:dyDescent="0.25">
      <c r="A938" s="78">
        <v>45931</v>
      </c>
      <c r="B938" t="s">
        <v>347</v>
      </c>
      <c r="C938" t="s">
        <v>348</v>
      </c>
      <c r="D938" t="s">
        <v>223</v>
      </c>
      <c r="E938" t="s">
        <v>230</v>
      </c>
      <c r="F938" s="126">
        <v>4.4000000000000004</v>
      </c>
      <c r="G938" s="77">
        <v>41000</v>
      </c>
      <c r="H938" s="126">
        <v>21.1</v>
      </c>
      <c r="I938" s="124">
        <v>554.54999999999995</v>
      </c>
      <c r="J938" s="126">
        <v>2.5</v>
      </c>
      <c r="K938" s="124">
        <v>15033.333333333299</v>
      </c>
      <c r="L938" s="124">
        <v>15587.8833333333</v>
      </c>
    </row>
    <row r="939" spans="1:12" ht="15" customHeight="1" x14ac:dyDescent="0.25">
      <c r="A939" s="78">
        <v>45931</v>
      </c>
      <c r="B939" t="s">
        <v>347</v>
      </c>
      <c r="C939" t="s">
        <v>348</v>
      </c>
      <c r="D939" t="s">
        <v>223</v>
      </c>
      <c r="E939" t="s">
        <v>231</v>
      </c>
      <c r="F939" s="126">
        <v>6.2</v>
      </c>
      <c r="G939" s="77">
        <v>29000</v>
      </c>
      <c r="H939" s="126">
        <v>15.5</v>
      </c>
      <c r="I939" s="124">
        <v>288.14</v>
      </c>
      <c r="J939" s="126">
        <v>3.6</v>
      </c>
      <c r="K939" s="124">
        <v>14983.333333333299</v>
      </c>
      <c r="L939" s="124">
        <v>15271.473333333301</v>
      </c>
    </row>
    <row r="940" spans="1:12" ht="15" customHeight="1" x14ac:dyDescent="0.25">
      <c r="A940" s="78">
        <v>45931</v>
      </c>
      <c r="B940" t="s">
        <v>347</v>
      </c>
      <c r="C940" t="s">
        <v>348</v>
      </c>
      <c r="D940" t="s">
        <v>223</v>
      </c>
      <c r="E940" t="s">
        <v>2367</v>
      </c>
      <c r="F940" s="126">
        <v>19.2</v>
      </c>
      <c r="G940" s="77">
        <v>43000</v>
      </c>
      <c r="H940" s="126">
        <v>101.7</v>
      </c>
      <c r="I940" s="124">
        <v>2803.27</v>
      </c>
      <c r="J940" s="126">
        <v>9.8000000000000007</v>
      </c>
      <c r="K940" s="124">
        <v>68800</v>
      </c>
      <c r="L940" s="124">
        <v>71603.27</v>
      </c>
    </row>
    <row r="941" spans="1:12" ht="15" customHeight="1" x14ac:dyDescent="0.25">
      <c r="A941" s="78">
        <v>45931</v>
      </c>
      <c r="B941" t="s">
        <v>347</v>
      </c>
      <c r="C941" t="s">
        <v>348</v>
      </c>
      <c r="D941" t="s">
        <v>223</v>
      </c>
      <c r="E941" t="s">
        <v>232</v>
      </c>
      <c r="F941" s="126">
        <v>4.7</v>
      </c>
      <c r="G941" s="77">
        <v>25000</v>
      </c>
      <c r="H941" s="126">
        <v>26.9</v>
      </c>
      <c r="I941" s="124">
        <v>431.09</v>
      </c>
      <c r="J941" s="126">
        <v>1.1000000000000001</v>
      </c>
      <c r="K941" s="124">
        <v>9791.6666666666697</v>
      </c>
      <c r="L941" s="124">
        <v>10222.756666666701</v>
      </c>
    </row>
    <row r="942" spans="1:12" ht="15" customHeight="1" x14ac:dyDescent="0.25">
      <c r="A942" s="78">
        <v>45931</v>
      </c>
      <c r="B942" t="s">
        <v>409</v>
      </c>
      <c r="C942" t="s">
        <v>410</v>
      </c>
      <c r="D942" t="s">
        <v>223</v>
      </c>
      <c r="E942" t="s">
        <v>2368</v>
      </c>
      <c r="F942" s="126">
        <v>19.8</v>
      </c>
      <c r="G942" s="77">
        <v>27000</v>
      </c>
      <c r="H942" s="126">
        <v>93.1</v>
      </c>
      <c r="I942" s="124">
        <v>1611.35</v>
      </c>
      <c r="J942" s="126">
        <v>8.6999999999999993</v>
      </c>
      <c r="K942" s="124">
        <v>44550</v>
      </c>
      <c r="L942" s="124">
        <v>46161.35</v>
      </c>
    </row>
    <row r="943" spans="1:12" ht="15" customHeight="1" x14ac:dyDescent="0.25">
      <c r="A943" s="78">
        <v>45931</v>
      </c>
      <c r="B943" t="s">
        <v>409</v>
      </c>
      <c r="C943" t="s">
        <v>410</v>
      </c>
      <c r="D943" t="s">
        <v>223</v>
      </c>
      <c r="E943" t="s">
        <v>230</v>
      </c>
      <c r="F943" s="126">
        <v>8.3000000000000007</v>
      </c>
      <c r="G943" s="77">
        <v>41000</v>
      </c>
      <c r="H943" s="126">
        <v>19.3</v>
      </c>
      <c r="I943" s="124">
        <v>507.24</v>
      </c>
      <c r="J943" s="126">
        <v>3.5</v>
      </c>
      <c r="K943" s="124">
        <v>28358.333333333299</v>
      </c>
      <c r="L943" s="124">
        <v>28865.573333333301</v>
      </c>
    </row>
    <row r="944" spans="1:12" ht="15" customHeight="1" x14ac:dyDescent="0.25">
      <c r="A944" s="78">
        <v>45931</v>
      </c>
      <c r="B944" t="s">
        <v>409</v>
      </c>
      <c r="C944" t="s">
        <v>410</v>
      </c>
      <c r="D944" t="s">
        <v>223</v>
      </c>
      <c r="E944" t="s">
        <v>232</v>
      </c>
      <c r="F944" s="126">
        <v>14.4</v>
      </c>
      <c r="G944" s="77">
        <v>25000</v>
      </c>
      <c r="H944" s="126">
        <v>37.299999999999997</v>
      </c>
      <c r="I944" s="124">
        <v>597.76</v>
      </c>
      <c r="J944" s="126">
        <v>6.7</v>
      </c>
      <c r="K944" s="124">
        <v>30000</v>
      </c>
      <c r="L944" s="124">
        <v>30597.759999999998</v>
      </c>
    </row>
    <row r="945" spans="1:12" ht="15" customHeight="1" x14ac:dyDescent="0.25">
      <c r="A945" s="78">
        <v>45931</v>
      </c>
      <c r="B945" t="s">
        <v>409</v>
      </c>
      <c r="C945" t="s">
        <v>410</v>
      </c>
      <c r="D945" t="s">
        <v>223</v>
      </c>
      <c r="E945" t="s">
        <v>2367</v>
      </c>
      <c r="F945" s="126">
        <v>16.5</v>
      </c>
      <c r="G945" s="77">
        <v>43000</v>
      </c>
      <c r="H945" s="126">
        <v>60.7</v>
      </c>
      <c r="I945" s="124">
        <v>1673.14</v>
      </c>
      <c r="J945" s="126">
        <v>9.1</v>
      </c>
      <c r="K945" s="124">
        <v>59125</v>
      </c>
      <c r="L945" s="124">
        <v>60798.14</v>
      </c>
    </row>
    <row r="946" spans="1:12" ht="15" customHeight="1" x14ac:dyDescent="0.25">
      <c r="A946" s="78">
        <v>45931</v>
      </c>
      <c r="B946" t="s">
        <v>409</v>
      </c>
      <c r="C946" t="s">
        <v>410</v>
      </c>
      <c r="D946" t="s">
        <v>223</v>
      </c>
      <c r="E946" t="s">
        <v>105</v>
      </c>
      <c r="F946" s="126">
        <v>11.6</v>
      </c>
      <c r="G946" s="77">
        <v>28000</v>
      </c>
      <c r="H946" s="126">
        <v>40.799999999999997</v>
      </c>
      <c r="I946" s="124">
        <v>732.31</v>
      </c>
      <c r="J946" s="126">
        <v>4.2</v>
      </c>
      <c r="K946" s="124">
        <v>27066.666666666701</v>
      </c>
      <c r="L946" s="124">
        <v>27798.976666666698</v>
      </c>
    </row>
    <row r="947" spans="1:12" ht="15" customHeight="1" x14ac:dyDescent="0.25">
      <c r="A947" s="78">
        <v>45931</v>
      </c>
      <c r="B947" t="s">
        <v>409</v>
      </c>
      <c r="C947" t="s">
        <v>410</v>
      </c>
      <c r="D947" t="s">
        <v>223</v>
      </c>
      <c r="E947" t="s">
        <v>2369</v>
      </c>
      <c r="F947" s="126">
        <v>7.9</v>
      </c>
      <c r="G947" s="77">
        <v>35000</v>
      </c>
      <c r="H947" s="126">
        <v>45.1</v>
      </c>
      <c r="I947" s="124">
        <v>1011.86</v>
      </c>
      <c r="J947" s="126">
        <v>3.1</v>
      </c>
      <c r="K947" s="124">
        <v>23041.666666666701</v>
      </c>
      <c r="L947" s="124">
        <v>24053.526666666701</v>
      </c>
    </row>
    <row r="948" spans="1:12" ht="15" customHeight="1" x14ac:dyDescent="0.25">
      <c r="A948" s="78">
        <v>45931</v>
      </c>
      <c r="B948" t="s">
        <v>488</v>
      </c>
      <c r="C948" t="s">
        <v>489</v>
      </c>
      <c r="D948" t="s">
        <v>225</v>
      </c>
      <c r="E948" t="s">
        <v>230</v>
      </c>
      <c r="F948" s="126">
        <v>14.4</v>
      </c>
      <c r="G948" s="77">
        <v>41000</v>
      </c>
      <c r="H948" s="126">
        <v>56.3</v>
      </c>
      <c r="I948" s="124">
        <v>1479.68</v>
      </c>
      <c r="J948" s="126">
        <v>7.6</v>
      </c>
      <c r="K948" s="124">
        <v>49200</v>
      </c>
      <c r="L948" s="124">
        <v>50679.68</v>
      </c>
    </row>
    <row r="949" spans="1:12" ht="15" customHeight="1" x14ac:dyDescent="0.25">
      <c r="A949" s="78">
        <v>45931</v>
      </c>
      <c r="B949" t="s">
        <v>488</v>
      </c>
      <c r="C949" t="s">
        <v>489</v>
      </c>
      <c r="D949" t="s">
        <v>225</v>
      </c>
      <c r="E949" t="s">
        <v>231</v>
      </c>
      <c r="F949" s="126">
        <v>12.2</v>
      </c>
      <c r="G949" s="77">
        <v>29000</v>
      </c>
      <c r="H949" s="126">
        <v>52.5</v>
      </c>
      <c r="I949" s="124">
        <v>975.96</v>
      </c>
      <c r="J949" s="126">
        <v>7.2</v>
      </c>
      <c r="K949" s="124">
        <v>29483.333333333299</v>
      </c>
      <c r="L949" s="124">
        <v>30459.293333333299</v>
      </c>
    </row>
    <row r="950" spans="1:12" ht="15" customHeight="1" x14ac:dyDescent="0.25">
      <c r="A950" s="78">
        <v>45931</v>
      </c>
      <c r="B950" t="s">
        <v>488</v>
      </c>
      <c r="C950" t="s">
        <v>489</v>
      </c>
      <c r="D950" t="s">
        <v>225</v>
      </c>
      <c r="E950" t="s">
        <v>232</v>
      </c>
      <c r="F950" s="126">
        <v>7.9</v>
      </c>
      <c r="G950" s="77">
        <v>25000</v>
      </c>
      <c r="H950" s="126">
        <v>37.299999999999997</v>
      </c>
      <c r="I950" s="124">
        <v>597.76</v>
      </c>
      <c r="J950" s="126">
        <v>3.1</v>
      </c>
      <c r="K950" s="124">
        <v>16458.333333333299</v>
      </c>
      <c r="L950" s="124">
        <v>17056.093333333301</v>
      </c>
    </row>
    <row r="951" spans="1:12" ht="15" customHeight="1" x14ac:dyDescent="0.25">
      <c r="A951" s="78">
        <v>45931</v>
      </c>
      <c r="B951" t="s">
        <v>488</v>
      </c>
      <c r="C951" t="s">
        <v>489</v>
      </c>
      <c r="D951" t="s">
        <v>225</v>
      </c>
      <c r="E951" t="s">
        <v>2368</v>
      </c>
      <c r="F951" s="126">
        <v>11.9</v>
      </c>
      <c r="G951" s="77">
        <v>27000</v>
      </c>
      <c r="H951" s="126">
        <v>86.5</v>
      </c>
      <c r="I951" s="124">
        <v>1497.12</v>
      </c>
      <c r="J951" s="126">
        <v>6.1</v>
      </c>
      <c r="K951" s="124">
        <v>26775</v>
      </c>
      <c r="L951" s="124">
        <v>28272.12</v>
      </c>
    </row>
    <row r="952" spans="1:12" ht="15" customHeight="1" x14ac:dyDescent="0.25">
      <c r="A952" s="78">
        <v>45931</v>
      </c>
      <c r="B952" t="s">
        <v>488</v>
      </c>
      <c r="C952" t="s">
        <v>489</v>
      </c>
      <c r="D952" t="s">
        <v>225</v>
      </c>
      <c r="E952" t="s">
        <v>105</v>
      </c>
      <c r="F952" s="126">
        <v>16.100000000000001</v>
      </c>
      <c r="G952" s="77">
        <v>28000</v>
      </c>
      <c r="H952" s="126">
        <v>60.8</v>
      </c>
      <c r="I952" s="124">
        <v>1091.28</v>
      </c>
      <c r="J952" s="126">
        <v>9</v>
      </c>
      <c r="K952" s="124">
        <v>37566.666666666701</v>
      </c>
      <c r="L952" s="124">
        <v>38657.946666666699</v>
      </c>
    </row>
    <row r="953" spans="1:12" ht="15" customHeight="1" x14ac:dyDescent="0.25">
      <c r="A953" s="78">
        <v>45931</v>
      </c>
      <c r="B953" t="s">
        <v>406</v>
      </c>
      <c r="C953" t="s">
        <v>407</v>
      </c>
      <c r="D953" t="s">
        <v>225</v>
      </c>
      <c r="E953" t="s">
        <v>231</v>
      </c>
      <c r="F953" s="126">
        <v>8.3000000000000007</v>
      </c>
      <c r="G953" s="77">
        <v>29000</v>
      </c>
      <c r="H953" s="126">
        <v>36.299999999999997</v>
      </c>
      <c r="I953" s="124">
        <v>674.81</v>
      </c>
      <c r="J953" s="126">
        <v>4.5</v>
      </c>
      <c r="K953" s="124">
        <v>20058.333333333299</v>
      </c>
      <c r="L953" s="124">
        <v>20733.143333333301</v>
      </c>
    </row>
    <row r="954" spans="1:12" ht="15" customHeight="1" x14ac:dyDescent="0.25">
      <c r="A954" s="78">
        <v>45931</v>
      </c>
      <c r="B954" t="s">
        <v>406</v>
      </c>
      <c r="C954" t="s">
        <v>407</v>
      </c>
      <c r="D954" t="s">
        <v>225</v>
      </c>
      <c r="E954" t="s">
        <v>230</v>
      </c>
      <c r="F954" s="126">
        <v>11</v>
      </c>
      <c r="G954" s="77">
        <v>41000</v>
      </c>
      <c r="H954" s="126">
        <v>85.1</v>
      </c>
      <c r="I954" s="124">
        <v>2236.6</v>
      </c>
      <c r="J954" s="126">
        <v>5.2</v>
      </c>
      <c r="K954" s="124">
        <v>37583.333333333299</v>
      </c>
      <c r="L954" s="124">
        <v>39819.933333333298</v>
      </c>
    </row>
    <row r="955" spans="1:12" ht="15" customHeight="1" x14ac:dyDescent="0.25">
      <c r="A955" s="78">
        <v>45931</v>
      </c>
      <c r="B955" t="s">
        <v>406</v>
      </c>
      <c r="C955" t="s">
        <v>407</v>
      </c>
      <c r="D955" t="s">
        <v>225</v>
      </c>
      <c r="E955" t="s">
        <v>2367</v>
      </c>
      <c r="F955" s="126">
        <v>11.6</v>
      </c>
      <c r="G955" s="77">
        <v>43000</v>
      </c>
      <c r="H955" s="126">
        <v>40.9</v>
      </c>
      <c r="I955" s="124">
        <v>1127.3699999999999</v>
      </c>
      <c r="J955" s="126">
        <v>5.9</v>
      </c>
      <c r="K955" s="124">
        <v>41566.666666666701</v>
      </c>
      <c r="L955" s="124">
        <v>42694.036666666703</v>
      </c>
    </row>
    <row r="956" spans="1:12" ht="15" customHeight="1" x14ac:dyDescent="0.25">
      <c r="A956" s="78">
        <v>45931</v>
      </c>
      <c r="B956" t="s">
        <v>406</v>
      </c>
      <c r="C956" t="s">
        <v>407</v>
      </c>
      <c r="D956" t="s">
        <v>225</v>
      </c>
      <c r="E956" t="s">
        <v>232</v>
      </c>
      <c r="F956" s="126">
        <v>10.9</v>
      </c>
      <c r="G956" s="77">
        <v>25000</v>
      </c>
      <c r="H956" s="126">
        <v>61.1</v>
      </c>
      <c r="I956" s="124">
        <v>979.17</v>
      </c>
      <c r="J956" s="126">
        <v>3.9</v>
      </c>
      <c r="K956" s="124">
        <v>22708.333333333299</v>
      </c>
      <c r="L956" s="124">
        <v>23687.503333333301</v>
      </c>
    </row>
    <row r="957" spans="1:12" ht="15" customHeight="1" x14ac:dyDescent="0.25">
      <c r="A957" s="78">
        <v>45931</v>
      </c>
      <c r="B957" t="s">
        <v>358</v>
      </c>
      <c r="C957" t="s">
        <v>359</v>
      </c>
      <c r="D957" t="s">
        <v>225</v>
      </c>
      <c r="E957" t="s">
        <v>2367</v>
      </c>
      <c r="F957" s="126">
        <v>18.100000000000001</v>
      </c>
      <c r="G957" s="77">
        <v>43000</v>
      </c>
      <c r="H957" s="126">
        <v>19</v>
      </c>
      <c r="I957" s="124">
        <v>523.72</v>
      </c>
      <c r="J957" s="126">
        <v>8.5</v>
      </c>
      <c r="K957" s="124">
        <v>64858.333333333299</v>
      </c>
      <c r="L957" s="124">
        <v>65382.053333333301</v>
      </c>
    </row>
    <row r="958" spans="1:12" ht="15" customHeight="1" x14ac:dyDescent="0.25">
      <c r="A958" s="78">
        <v>45931</v>
      </c>
      <c r="B958" t="s">
        <v>358</v>
      </c>
      <c r="C958" t="s">
        <v>359</v>
      </c>
      <c r="D958" t="s">
        <v>225</v>
      </c>
      <c r="E958" t="s">
        <v>232</v>
      </c>
      <c r="F958" s="126">
        <v>9.4</v>
      </c>
      <c r="G958" s="77">
        <v>25000</v>
      </c>
      <c r="H958" s="126">
        <v>14.6</v>
      </c>
      <c r="I958" s="124">
        <v>233.97</v>
      </c>
      <c r="J958" s="126">
        <v>4.3</v>
      </c>
      <c r="K958" s="124">
        <v>19583.333333333299</v>
      </c>
      <c r="L958" s="124">
        <v>19817.303333333301</v>
      </c>
    </row>
    <row r="959" spans="1:12" ht="15" customHeight="1" x14ac:dyDescent="0.25">
      <c r="A959" s="78">
        <v>45931</v>
      </c>
      <c r="B959" t="s">
        <v>358</v>
      </c>
      <c r="C959" t="s">
        <v>359</v>
      </c>
      <c r="D959" t="s">
        <v>225</v>
      </c>
      <c r="E959" t="s">
        <v>2368</v>
      </c>
      <c r="F959" s="126">
        <v>13.8</v>
      </c>
      <c r="G959" s="77">
        <v>27000</v>
      </c>
      <c r="H959" s="126">
        <v>65.599999999999994</v>
      </c>
      <c r="I959" s="124">
        <v>1135.3800000000001</v>
      </c>
      <c r="J959" s="126">
        <v>6</v>
      </c>
      <c r="K959" s="124">
        <v>31050</v>
      </c>
      <c r="L959" s="124">
        <v>32185.38</v>
      </c>
    </row>
    <row r="960" spans="1:12" ht="15" customHeight="1" x14ac:dyDescent="0.25">
      <c r="A960" s="78">
        <v>45931</v>
      </c>
      <c r="B960" t="s">
        <v>358</v>
      </c>
      <c r="C960" t="s">
        <v>359</v>
      </c>
      <c r="D960" t="s">
        <v>225</v>
      </c>
      <c r="E960" t="s">
        <v>230</v>
      </c>
      <c r="F960" s="126">
        <v>4.5</v>
      </c>
      <c r="G960" s="77">
        <v>41000</v>
      </c>
      <c r="H960" s="126">
        <v>8.4</v>
      </c>
      <c r="I960" s="124">
        <v>220.77</v>
      </c>
      <c r="J960" s="126">
        <v>2.2999999999999998</v>
      </c>
      <c r="K960" s="124">
        <v>15375</v>
      </c>
      <c r="L960" s="124">
        <v>15595.77</v>
      </c>
    </row>
    <row r="961" spans="1:12" ht="15" customHeight="1" x14ac:dyDescent="0.25">
      <c r="A961" s="78">
        <v>45931</v>
      </c>
      <c r="B961" t="s">
        <v>383</v>
      </c>
      <c r="C961" t="s">
        <v>384</v>
      </c>
      <c r="D961" t="s">
        <v>225</v>
      </c>
      <c r="E961" t="s">
        <v>2367</v>
      </c>
      <c r="F961" s="126">
        <v>12.6</v>
      </c>
      <c r="G961" s="77">
        <v>43000</v>
      </c>
      <c r="H961" s="126">
        <v>66.7</v>
      </c>
      <c r="I961" s="124">
        <v>1838.53</v>
      </c>
      <c r="J961" s="126">
        <v>4.5999999999999996</v>
      </c>
      <c r="K961" s="124">
        <v>45150</v>
      </c>
      <c r="L961" s="124">
        <v>46988.53</v>
      </c>
    </row>
    <row r="962" spans="1:12" ht="15" customHeight="1" x14ac:dyDescent="0.25">
      <c r="A962" s="78">
        <v>45931</v>
      </c>
      <c r="B962" t="s">
        <v>383</v>
      </c>
      <c r="C962" t="s">
        <v>384</v>
      </c>
      <c r="D962" t="s">
        <v>225</v>
      </c>
      <c r="E962" t="s">
        <v>230</v>
      </c>
      <c r="F962" s="126">
        <v>7</v>
      </c>
      <c r="G962" s="77">
        <v>41000</v>
      </c>
      <c r="H962" s="126">
        <v>36.6</v>
      </c>
      <c r="I962" s="124">
        <v>961.92</v>
      </c>
      <c r="J962" s="126">
        <v>4.3</v>
      </c>
      <c r="K962" s="124">
        <v>23916.666666666701</v>
      </c>
      <c r="L962" s="124">
        <v>24878.586666666699</v>
      </c>
    </row>
    <row r="963" spans="1:12" ht="15" customHeight="1" x14ac:dyDescent="0.25">
      <c r="A963" s="78">
        <v>45931</v>
      </c>
      <c r="B963" t="s">
        <v>383</v>
      </c>
      <c r="C963" t="s">
        <v>384</v>
      </c>
      <c r="D963" t="s">
        <v>225</v>
      </c>
      <c r="E963" t="s">
        <v>105</v>
      </c>
      <c r="F963" s="126">
        <v>5.5</v>
      </c>
      <c r="G963" s="77">
        <v>28000</v>
      </c>
      <c r="H963" s="126">
        <v>29.9</v>
      </c>
      <c r="I963" s="124">
        <v>536.66999999999996</v>
      </c>
      <c r="J963" s="126">
        <v>4</v>
      </c>
      <c r="K963" s="124">
        <v>12833.333333333299</v>
      </c>
      <c r="L963" s="124">
        <v>13370.003333333299</v>
      </c>
    </row>
    <row r="964" spans="1:12" ht="15" customHeight="1" x14ac:dyDescent="0.25">
      <c r="A964" s="78">
        <v>45931</v>
      </c>
      <c r="B964" t="s">
        <v>383</v>
      </c>
      <c r="C964" t="s">
        <v>384</v>
      </c>
      <c r="D964" t="s">
        <v>225</v>
      </c>
      <c r="E964" t="s">
        <v>231</v>
      </c>
      <c r="F964" s="126">
        <v>7.6</v>
      </c>
      <c r="G964" s="77">
        <v>29000</v>
      </c>
      <c r="H964" s="126">
        <v>55.5</v>
      </c>
      <c r="I964" s="124">
        <v>1031.73</v>
      </c>
      <c r="J964" s="126">
        <v>3.4</v>
      </c>
      <c r="K964" s="124">
        <v>18366.666666666701</v>
      </c>
      <c r="L964" s="124">
        <v>19398.3966666667</v>
      </c>
    </row>
    <row r="965" spans="1:12" ht="15" customHeight="1" x14ac:dyDescent="0.25">
      <c r="A965" s="78">
        <v>45931</v>
      </c>
      <c r="B965" t="s">
        <v>383</v>
      </c>
      <c r="C965" t="s">
        <v>384</v>
      </c>
      <c r="D965" t="s">
        <v>225</v>
      </c>
      <c r="E965" t="s">
        <v>2369</v>
      </c>
      <c r="F965" s="126">
        <v>6.9</v>
      </c>
      <c r="G965" s="77">
        <v>35000</v>
      </c>
      <c r="H965" s="126">
        <v>28.7</v>
      </c>
      <c r="I965" s="124">
        <v>643.91</v>
      </c>
      <c r="J965" s="126">
        <v>3</v>
      </c>
      <c r="K965" s="124">
        <v>20125</v>
      </c>
      <c r="L965" s="124">
        <v>20768.91</v>
      </c>
    </row>
    <row r="966" spans="1:12" ht="15" customHeight="1" x14ac:dyDescent="0.25">
      <c r="A966" s="78">
        <v>45931</v>
      </c>
      <c r="B966" t="s">
        <v>383</v>
      </c>
      <c r="C966" t="s">
        <v>384</v>
      </c>
      <c r="D966" t="s">
        <v>225</v>
      </c>
      <c r="E966" t="s">
        <v>2368</v>
      </c>
      <c r="F966" s="126">
        <v>8.5</v>
      </c>
      <c r="G966" s="77">
        <v>27000</v>
      </c>
      <c r="H966" s="126">
        <v>34</v>
      </c>
      <c r="I966" s="124">
        <v>588.46</v>
      </c>
      <c r="J966" s="126">
        <v>5.8</v>
      </c>
      <c r="K966" s="124">
        <v>19125</v>
      </c>
      <c r="L966" s="124">
        <v>19713.46</v>
      </c>
    </row>
    <row r="967" spans="1:12" ht="15" customHeight="1" x14ac:dyDescent="0.25">
      <c r="A967" s="78">
        <v>45931</v>
      </c>
      <c r="B967" t="s">
        <v>373</v>
      </c>
      <c r="C967" t="s">
        <v>374</v>
      </c>
      <c r="D967" t="s">
        <v>225</v>
      </c>
      <c r="E967" t="s">
        <v>232</v>
      </c>
      <c r="F967" s="126">
        <v>15.4</v>
      </c>
      <c r="G967" s="77">
        <v>25000</v>
      </c>
      <c r="H967" s="126">
        <v>30.5</v>
      </c>
      <c r="I967" s="124">
        <v>488.78</v>
      </c>
      <c r="J967" s="126">
        <v>6.8</v>
      </c>
      <c r="K967" s="124">
        <v>32083.333333333299</v>
      </c>
      <c r="L967" s="124">
        <v>32572.113333333298</v>
      </c>
    </row>
    <row r="968" spans="1:12" ht="15" customHeight="1" x14ac:dyDescent="0.25">
      <c r="A968" s="78">
        <v>45931</v>
      </c>
      <c r="B968" t="s">
        <v>373</v>
      </c>
      <c r="C968" t="s">
        <v>374</v>
      </c>
      <c r="D968" t="s">
        <v>225</v>
      </c>
      <c r="E968" t="s">
        <v>230</v>
      </c>
      <c r="F968" s="126">
        <v>12.4</v>
      </c>
      <c r="G968" s="77">
        <v>41000</v>
      </c>
      <c r="H968" s="126">
        <v>75.2</v>
      </c>
      <c r="I968" s="124">
        <v>1976.41</v>
      </c>
      <c r="J968" s="126">
        <v>7.2</v>
      </c>
      <c r="K968" s="124">
        <v>42366.666666666701</v>
      </c>
      <c r="L968" s="124">
        <v>44343.076666666697</v>
      </c>
    </row>
    <row r="969" spans="1:12" ht="15" customHeight="1" x14ac:dyDescent="0.25">
      <c r="A969" s="78">
        <v>45931</v>
      </c>
      <c r="B969" t="s">
        <v>373</v>
      </c>
      <c r="C969" t="s">
        <v>374</v>
      </c>
      <c r="D969" t="s">
        <v>225</v>
      </c>
      <c r="E969" t="s">
        <v>2368</v>
      </c>
      <c r="F969" s="126">
        <v>3.7</v>
      </c>
      <c r="G969" s="77">
        <v>27000</v>
      </c>
      <c r="H969" s="126">
        <v>12.8</v>
      </c>
      <c r="I969" s="124">
        <v>221.54</v>
      </c>
      <c r="J969" s="126">
        <v>2.7</v>
      </c>
      <c r="K969" s="124">
        <v>8325</v>
      </c>
      <c r="L969" s="124">
        <v>8546.5400000000009</v>
      </c>
    </row>
    <row r="970" spans="1:12" ht="15" customHeight="1" x14ac:dyDescent="0.25">
      <c r="A970" s="78">
        <v>45931</v>
      </c>
      <c r="B970" t="s">
        <v>373</v>
      </c>
      <c r="C970" t="s">
        <v>374</v>
      </c>
      <c r="D970" t="s">
        <v>225</v>
      </c>
      <c r="E970" t="s">
        <v>231</v>
      </c>
      <c r="F970" s="126">
        <v>11</v>
      </c>
      <c r="G970" s="77">
        <v>29000</v>
      </c>
      <c r="H970" s="126">
        <v>49.6</v>
      </c>
      <c r="I970" s="124">
        <v>922.05</v>
      </c>
      <c r="J970" s="126">
        <v>7</v>
      </c>
      <c r="K970" s="124">
        <v>26583.333333333299</v>
      </c>
      <c r="L970" s="124">
        <v>27505.383333333299</v>
      </c>
    </row>
    <row r="971" spans="1:12" ht="15" customHeight="1" x14ac:dyDescent="0.25">
      <c r="A971" s="78">
        <v>45931</v>
      </c>
      <c r="B971" t="s">
        <v>373</v>
      </c>
      <c r="C971" t="s">
        <v>374</v>
      </c>
      <c r="D971" t="s">
        <v>225</v>
      </c>
      <c r="E971" t="s">
        <v>2367</v>
      </c>
      <c r="F971" s="126">
        <v>9.9</v>
      </c>
      <c r="G971" s="77">
        <v>43000</v>
      </c>
      <c r="H971" s="126">
        <v>40.700000000000003</v>
      </c>
      <c r="I971" s="124">
        <v>1121.8599999999999</v>
      </c>
      <c r="J971" s="126">
        <v>6</v>
      </c>
      <c r="K971" s="124">
        <v>35475</v>
      </c>
      <c r="L971" s="124">
        <v>36596.86</v>
      </c>
    </row>
    <row r="972" spans="1:12" ht="15" customHeight="1" x14ac:dyDescent="0.25">
      <c r="A972" s="78">
        <v>45931</v>
      </c>
      <c r="B972" t="s">
        <v>373</v>
      </c>
      <c r="C972" t="s">
        <v>374</v>
      </c>
      <c r="D972" t="s">
        <v>225</v>
      </c>
      <c r="E972" t="s">
        <v>2369</v>
      </c>
      <c r="F972" s="126">
        <v>7.1</v>
      </c>
      <c r="G972" s="77">
        <v>35000</v>
      </c>
      <c r="H972" s="126">
        <v>56.5</v>
      </c>
      <c r="I972" s="124">
        <v>1267.6300000000001</v>
      </c>
      <c r="J972" s="126">
        <v>4.0999999999999996</v>
      </c>
      <c r="K972" s="124">
        <v>20708.333333333299</v>
      </c>
      <c r="L972" s="124">
        <v>21975.9633333333</v>
      </c>
    </row>
    <row r="973" spans="1:12" ht="15" customHeight="1" x14ac:dyDescent="0.25">
      <c r="A973" s="78">
        <v>45931</v>
      </c>
      <c r="B973" t="s">
        <v>354</v>
      </c>
      <c r="C973" t="s">
        <v>355</v>
      </c>
      <c r="D973" t="s">
        <v>227</v>
      </c>
      <c r="E973" t="s">
        <v>105</v>
      </c>
      <c r="F973" s="126">
        <v>16.399999999999999</v>
      </c>
      <c r="G973" s="77">
        <v>28000</v>
      </c>
      <c r="H973" s="126">
        <v>66.8</v>
      </c>
      <c r="I973" s="124">
        <v>1198.97</v>
      </c>
      <c r="J973" s="126">
        <v>8.9</v>
      </c>
      <c r="K973" s="124">
        <v>38266.666666666701</v>
      </c>
      <c r="L973" s="124">
        <v>39465.636666666702</v>
      </c>
    </row>
    <row r="974" spans="1:12" ht="15" customHeight="1" x14ac:dyDescent="0.25">
      <c r="A974" s="78">
        <v>45931</v>
      </c>
      <c r="B974" t="s">
        <v>354</v>
      </c>
      <c r="C974" t="s">
        <v>355</v>
      </c>
      <c r="D974" t="s">
        <v>227</v>
      </c>
      <c r="E974" t="s">
        <v>2367</v>
      </c>
      <c r="F974" s="126">
        <v>3.3</v>
      </c>
      <c r="G974" s="77">
        <v>43000</v>
      </c>
      <c r="H974" s="126">
        <v>11.4</v>
      </c>
      <c r="I974" s="124">
        <v>314.23</v>
      </c>
      <c r="J974" s="126">
        <v>4</v>
      </c>
      <c r="K974" s="124">
        <v>11825</v>
      </c>
      <c r="L974" s="124">
        <v>12139.23</v>
      </c>
    </row>
    <row r="975" spans="1:12" ht="15" customHeight="1" x14ac:dyDescent="0.25">
      <c r="A975" s="78">
        <v>45931</v>
      </c>
      <c r="B975" t="s">
        <v>354</v>
      </c>
      <c r="C975" t="s">
        <v>355</v>
      </c>
      <c r="D975" t="s">
        <v>227</v>
      </c>
      <c r="E975" t="s">
        <v>2368</v>
      </c>
      <c r="F975" s="126">
        <v>13.6</v>
      </c>
      <c r="G975" s="77">
        <v>27000</v>
      </c>
      <c r="H975" s="126">
        <v>58.1</v>
      </c>
      <c r="I975" s="124">
        <v>1005.58</v>
      </c>
      <c r="J975" s="126">
        <v>6.5</v>
      </c>
      <c r="K975" s="124">
        <v>30600</v>
      </c>
      <c r="L975" s="124">
        <v>31605.58</v>
      </c>
    </row>
    <row r="976" spans="1:12" ht="15" customHeight="1" x14ac:dyDescent="0.25">
      <c r="A976" s="78">
        <v>45931</v>
      </c>
      <c r="B976" t="s">
        <v>354</v>
      </c>
      <c r="C976" t="s">
        <v>355</v>
      </c>
      <c r="D976" t="s">
        <v>227</v>
      </c>
      <c r="E976" t="s">
        <v>2369</v>
      </c>
      <c r="F976" s="126">
        <v>13.8</v>
      </c>
      <c r="G976" s="77">
        <v>35000</v>
      </c>
      <c r="H976" s="126">
        <v>37.9</v>
      </c>
      <c r="I976" s="124">
        <v>850.32</v>
      </c>
      <c r="J976" s="126">
        <v>8</v>
      </c>
      <c r="K976" s="124">
        <v>40250</v>
      </c>
      <c r="L976" s="124">
        <v>41100.32</v>
      </c>
    </row>
    <row r="977" spans="1:12" ht="15" customHeight="1" x14ac:dyDescent="0.25">
      <c r="A977" s="78">
        <v>45931</v>
      </c>
      <c r="B977" t="s">
        <v>354</v>
      </c>
      <c r="C977" t="s">
        <v>355</v>
      </c>
      <c r="D977" t="s">
        <v>227</v>
      </c>
      <c r="E977" t="s">
        <v>230</v>
      </c>
      <c r="F977" s="126">
        <v>19</v>
      </c>
      <c r="G977" s="77">
        <v>41000</v>
      </c>
      <c r="H977" s="126">
        <v>100.7</v>
      </c>
      <c r="I977" s="124">
        <v>2646.6</v>
      </c>
      <c r="J977" s="126">
        <v>9</v>
      </c>
      <c r="K977" s="124">
        <v>64916.666666666701</v>
      </c>
      <c r="L977" s="124">
        <v>67563.266666666706</v>
      </c>
    </row>
    <row r="978" spans="1:12" ht="15" customHeight="1" x14ac:dyDescent="0.25">
      <c r="A978" s="78">
        <v>45931</v>
      </c>
      <c r="B978" t="s">
        <v>354</v>
      </c>
      <c r="C978" t="s">
        <v>355</v>
      </c>
      <c r="D978" t="s">
        <v>227</v>
      </c>
      <c r="E978" t="s">
        <v>231</v>
      </c>
      <c r="F978" s="126">
        <v>18.7</v>
      </c>
      <c r="G978" s="77">
        <v>29000</v>
      </c>
      <c r="H978" s="126">
        <v>91</v>
      </c>
      <c r="I978" s="124">
        <v>1691.67</v>
      </c>
      <c r="J978" s="126">
        <v>7.8</v>
      </c>
      <c r="K978" s="124">
        <v>45191.666666666701</v>
      </c>
      <c r="L978" s="124">
        <v>46883.336666666699</v>
      </c>
    </row>
    <row r="979" spans="1:12" ht="15" customHeight="1" x14ac:dyDescent="0.25">
      <c r="A979" s="78">
        <v>45931</v>
      </c>
      <c r="B979" t="s">
        <v>370</v>
      </c>
      <c r="C979" t="s">
        <v>371</v>
      </c>
      <c r="D979" t="s">
        <v>227</v>
      </c>
      <c r="E979" t="s">
        <v>231</v>
      </c>
      <c r="F979" s="126">
        <v>16.600000000000001</v>
      </c>
      <c r="G979" s="77">
        <v>29000</v>
      </c>
      <c r="H979" s="126">
        <v>71</v>
      </c>
      <c r="I979" s="124">
        <v>1319.87</v>
      </c>
      <c r="J979" s="126">
        <v>8.8000000000000007</v>
      </c>
      <c r="K979" s="124">
        <v>40116.666666666701</v>
      </c>
      <c r="L979" s="124">
        <v>41436.536666666703</v>
      </c>
    </row>
    <row r="980" spans="1:12" ht="15" customHeight="1" x14ac:dyDescent="0.25">
      <c r="A980" s="78">
        <v>45931</v>
      </c>
      <c r="B980" t="s">
        <v>370</v>
      </c>
      <c r="C980" t="s">
        <v>371</v>
      </c>
      <c r="D980" t="s">
        <v>227</v>
      </c>
      <c r="E980" t="s">
        <v>232</v>
      </c>
      <c r="F980" s="126">
        <v>18.8</v>
      </c>
      <c r="G980" s="77">
        <v>25000</v>
      </c>
      <c r="H980" s="126">
        <v>123.3</v>
      </c>
      <c r="I980" s="124">
        <v>1975.96</v>
      </c>
      <c r="J980" s="126">
        <v>8.6</v>
      </c>
      <c r="K980" s="124">
        <v>39166.666666666701</v>
      </c>
      <c r="L980" s="124">
        <v>41142.6266666667</v>
      </c>
    </row>
    <row r="981" spans="1:12" ht="15" customHeight="1" x14ac:dyDescent="0.25">
      <c r="A981" s="78">
        <v>45931</v>
      </c>
      <c r="B981" t="s">
        <v>370</v>
      </c>
      <c r="C981" t="s">
        <v>371</v>
      </c>
      <c r="D981" t="s">
        <v>227</v>
      </c>
      <c r="E981" t="s">
        <v>2368</v>
      </c>
      <c r="F981" s="126">
        <v>17.7</v>
      </c>
      <c r="G981" s="77">
        <v>27000</v>
      </c>
      <c r="H981" s="126">
        <v>36.9</v>
      </c>
      <c r="I981" s="124">
        <v>638.65</v>
      </c>
      <c r="J981" s="126">
        <v>8</v>
      </c>
      <c r="K981" s="124">
        <v>39825</v>
      </c>
      <c r="L981" s="124">
        <v>40463.65</v>
      </c>
    </row>
    <row r="982" spans="1:12" ht="15" customHeight="1" x14ac:dyDescent="0.25">
      <c r="A982" s="78">
        <v>45931</v>
      </c>
      <c r="B982" t="s">
        <v>370</v>
      </c>
      <c r="C982" t="s">
        <v>371</v>
      </c>
      <c r="D982" t="s">
        <v>227</v>
      </c>
      <c r="E982" t="s">
        <v>230</v>
      </c>
      <c r="F982" s="126">
        <v>7.3</v>
      </c>
      <c r="G982" s="77">
        <v>41000</v>
      </c>
      <c r="H982" s="126">
        <v>14.6</v>
      </c>
      <c r="I982" s="124">
        <v>383.72</v>
      </c>
      <c r="J982" s="126">
        <v>5</v>
      </c>
      <c r="K982" s="124">
        <v>24941.666666666701</v>
      </c>
      <c r="L982" s="124">
        <v>25325.386666666702</v>
      </c>
    </row>
    <row r="983" spans="1:12" ht="15" customHeight="1" x14ac:dyDescent="0.25">
      <c r="A983" s="78">
        <v>45931</v>
      </c>
      <c r="B983" t="s">
        <v>398</v>
      </c>
      <c r="C983" t="s">
        <v>399</v>
      </c>
      <c r="D983" t="s">
        <v>227</v>
      </c>
      <c r="E983" t="s">
        <v>232</v>
      </c>
      <c r="F983" s="126">
        <v>19.399999999999999</v>
      </c>
      <c r="G983" s="77">
        <v>25000</v>
      </c>
      <c r="H983" s="126">
        <v>122.7</v>
      </c>
      <c r="I983" s="124">
        <v>1966.35</v>
      </c>
      <c r="J983" s="126">
        <v>10</v>
      </c>
      <c r="K983" s="124">
        <v>40416.666666666701</v>
      </c>
      <c r="L983" s="124">
        <v>42383.016666666699</v>
      </c>
    </row>
    <row r="984" spans="1:12" ht="15" customHeight="1" x14ac:dyDescent="0.25">
      <c r="A984" s="78">
        <v>45931</v>
      </c>
      <c r="B984" t="s">
        <v>398</v>
      </c>
      <c r="C984" t="s">
        <v>399</v>
      </c>
      <c r="D984" t="s">
        <v>227</v>
      </c>
      <c r="E984" t="s">
        <v>2367</v>
      </c>
      <c r="F984" s="126">
        <v>13.9</v>
      </c>
      <c r="G984" s="77">
        <v>43000</v>
      </c>
      <c r="H984" s="126">
        <v>81.099999999999994</v>
      </c>
      <c r="I984" s="124">
        <v>2235.4499999999998</v>
      </c>
      <c r="J984" s="126">
        <v>7.1</v>
      </c>
      <c r="K984" s="124">
        <v>49808.333333333299</v>
      </c>
      <c r="L984" s="124">
        <v>52043.783333333296</v>
      </c>
    </row>
    <row r="985" spans="1:12" ht="15" customHeight="1" x14ac:dyDescent="0.25">
      <c r="A985" s="78">
        <v>45931</v>
      </c>
      <c r="B985" t="s">
        <v>398</v>
      </c>
      <c r="C985" t="s">
        <v>399</v>
      </c>
      <c r="D985" t="s">
        <v>227</v>
      </c>
      <c r="E985" t="s">
        <v>2368</v>
      </c>
      <c r="F985" s="126">
        <v>12.3</v>
      </c>
      <c r="G985" s="77">
        <v>27000</v>
      </c>
      <c r="H985" s="126">
        <v>47.4</v>
      </c>
      <c r="I985" s="124">
        <v>820.38</v>
      </c>
      <c r="J985" s="126">
        <v>5.8</v>
      </c>
      <c r="K985" s="124">
        <v>27675</v>
      </c>
      <c r="L985" s="124">
        <v>28495.38</v>
      </c>
    </row>
    <row r="986" spans="1:12" ht="15" customHeight="1" x14ac:dyDescent="0.25">
      <c r="A986" s="78">
        <v>45931</v>
      </c>
      <c r="B986" t="s">
        <v>398</v>
      </c>
      <c r="C986" t="s">
        <v>399</v>
      </c>
      <c r="D986" t="s">
        <v>227</v>
      </c>
      <c r="E986" t="s">
        <v>105</v>
      </c>
      <c r="F986" s="126">
        <v>11.1</v>
      </c>
      <c r="G986" s="77">
        <v>28000</v>
      </c>
      <c r="H986" s="126">
        <v>39.200000000000003</v>
      </c>
      <c r="I986" s="124">
        <v>703.59</v>
      </c>
      <c r="J986" s="126">
        <v>4</v>
      </c>
      <c r="K986" s="124">
        <v>25900</v>
      </c>
      <c r="L986" s="124">
        <v>26603.59</v>
      </c>
    </row>
    <row r="987" spans="1:12" ht="15" customHeight="1" x14ac:dyDescent="0.25">
      <c r="A987" s="78">
        <v>45931</v>
      </c>
      <c r="B987" t="s">
        <v>398</v>
      </c>
      <c r="C987" t="s">
        <v>399</v>
      </c>
      <c r="D987" t="s">
        <v>227</v>
      </c>
      <c r="E987" t="s">
        <v>231</v>
      </c>
      <c r="F987" s="126">
        <v>18</v>
      </c>
      <c r="G987" s="77">
        <v>29000</v>
      </c>
      <c r="H987" s="126">
        <v>79.099999999999994</v>
      </c>
      <c r="I987" s="124">
        <v>1470.45</v>
      </c>
      <c r="J987" s="126">
        <v>9</v>
      </c>
      <c r="K987" s="124">
        <v>43500</v>
      </c>
      <c r="L987" s="124">
        <v>44970.45</v>
      </c>
    </row>
    <row r="988" spans="1:12" ht="15" customHeight="1" x14ac:dyDescent="0.25">
      <c r="A988" s="78">
        <v>45931</v>
      </c>
      <c r="B988" t="s">
        <v>398</v>
      </c>
      <c r="C988" t="s">
        <v>399</v>
      </c>
      <c r="D988" t="s">
        <v>227</v>
      </c>
      <c r="E988" t="s">
        <v>230</v>
      </c>
      <c r="F988" s="126">
        <v>7.2</v>
      </c>
      <c r="G988" s="77">
        <v>41000</v>
      </c>
      <c r="H988" s="126">
        <v>36.799999999999997</v>
      </c>
      <c r="I988" s="124">
        <v>967.18</v>
      </c>
      <c r="J988" s="126">
        <v>3.7</v>
      </c>
      <c r="K988" s="124">
        <v>24600</v>
      </c>
      <c r="L988" s="124">
        <v>25567.18</v>
      </c>
    </row>
    <row r="989" spans="1:12" ht="15" customHeight="1" x14ac:dyDescent="0.25">
      <c r="A989" s="78">
        <v>45931</v>
      </c>
      <c r="B989" t="s">
        <v>378</v>
      </c>
      <c r="C989" t="s">
        <v>379</v>
      </c>
      <c r="D989" t="s">
        <v>227</v>
      </c>
      <c r="E989" t="s">
        <v>2369</v>
      </c>
      <c r="F989" s="126">
        <v>9.8000000000000007</v>
      </c>
      <c r="G989" s="77">
        <v>35000</v>
      </c>
      <c r="H989" s="126">
        <v>36.799999999999997</v>
      </c>
      <c r="I989" s="124">
        <v>825.64</v>
      </c>
      <c r="J989" s="126">
        <v>4</v>
      </c>
      <c r="K989" s="124">
        <v>28583.333333333299</v>
      </c>
      <c r="L989" s="124">
        <v>29408.973333333299</v>
      </c>
    </row>
    <row r="990" spans="1:12" ht="15" customHeight="1" x14ac:dyDescent="0.25">
      <c r="A990" s="78">
        <v>45931</v>
      </c>
      <c r="B990" t="s">
        <v>378</v>
      </c>
      <c r="C990" t="s">
        <v>379</v>
      </c>
      <c r="D990" t="s">
        <v>227</v>
      </c>
      <c r="E990" t="s">
        <v>2368</v>
      </c>
      <c r="F990" s="126">
        <v>7.1</v>
      </c>
      <c r="G990" s="77">
        <v>27000</v>
      </c>
      <c r="H990" s="126">
        <v>29.2</v>
      </c>
      <c r="I990" s="124">
        <v>505.38</v>
      </c>
      <c r="J990" s="126">
        <v>4.3</v>
      </c>
      <c r="K990" s="124">
        <v>15975</v>
      </c>
      <c r="L990" s="124">
        <v>16480.38</v>
      </c>
    </row>
    <row r="991" spans="1:12" ht="15" customHeight="1" x14ac:dyDescent="0.25">
      <c r="A991" s="78">
        <v>45931</v>
      </c>
      <c r="B991" t="s">
        <v>378</v>
      </c>
      <c r="C991" t="s">
        <v>379</v>
      </c>
      <c r="D991" t="s">
        <v>227</v>
      </c>
      <c r="E991" t="s">
        <v>231</v>
      </c>
      <c r="F991" s="126">
        <v>14.4</v>
      </c>
      <c r="G991" s="77">
        <v>29000</v>
      </c>
      <c r="H991" s="126">
        <v>32.9</v>
      </c>
      <c r="I991" s="124">
        <v>611.6</v>
      </c>
      <c r="J991" s="126">
        <v>7.3</v>
      </c>
      <c r="K991" s="124">
        <v>34800</v>
      </c>
      <c r="L991" s="124">
        <v>35411.599999999999</v>
      </c>
    </row>
    <row r="992" spans="1:12" ht="15" customHeight="1" x14ac:dyDescent="0.25">
      <c r="A992" s="78">
        <v>45931</v>
      </c>
      <c r="B992" t="s">
        <v>378</v>
      </c>
      <c r="C992" t="s">
        <v>379</v>
      </c>
      <c r="D992" t="s">
        <v>227</v>
      </c>
      <c r="E992" t="s">
        <v>232</v>
      </c>
      <c r="F992" s="126">
        <v>5.4</v>
      </c>
      <c r="G992" s="77">
        <v>25000</v>
      </c>
      <c r="H992" s="126">
        <v>23.5</v>
      </c>
      <c r="I992" s="124">
        <v>376.6</v>
      </c>
      <c r="J992" s="126">
        <v>2</v>
      </c>
      <c r="K992" s="124">
        <v>11250</v>
      </c>
      <c r="L992" s="124">
        <v>11626.6</v>
      </c>
    </row>
    <row r="993" spans="1:12" ht="15" customHeight="1" x14ac:dyDescent="0.25">
      <c r="A993" s="78">
        <v>45931</v>
      </c>
      <c r="B993" t="s">
        <v>393</v>
      </c>
      <c r="C993" t="s">
        <v>394</v>
      </c>
      <c r="D993" t="s">
        <v>227</v>
      </c>
      <c r="E993" t="s">
        <v>2367</v>
      </c>
      <c r="F993" s="126">
        <v>12.7</v>
      </c>
      <c r="G993" s="77">
        <v>43000</v>
      </c>
      <c r="H993" s="126">
        <v>39.6</v>
      </c>
      <c r="I993" s="124">
        <v>1091.54</v>
      </c>
      <c r="J993" s="126">
        <v>6.6</v>
      </c>
      <c r="K993" s="124">
        <v>45508.333333333299</v>
      </c>
      <c r="L993" s="124">
        <v>46599.8733333333</v>
      </c>
    </row>
    <row r="994" spans="1:12" ht="15" customHeight="1" x14ac:dyDescent="0.25">
      <c r="A994" s="78">
        <v>45931</v>
      </c>
      <c r="B994" t="s">
        <v>393</v>
      </c>
      <c r="C994" t="s">
        <v>394</v>
      </c>
      <c r="D994" t="s">
        <v>227</v>
      </c>
      <c r="E994" t="s">
        <v>2368</v>
      </c>
      <c r="F994" s="126">
        <v>14.4</v>
      </c>
      <c r="G994" s="77">
        <v>27000</v>
      </c>
      <c r="H994" s="126">
        <v>33.1</v>
      </c>
      <c r="I994" s="124">
        <v>572.88</v>
      </c>
      <c r="J994" s="126">
        <v>7.5</v>
      </c>
      <c r="K994" s="124">
        <v>32400</v>
      </c>
      <c r="L994" s="124">
        <v>32972.879999999997</v>
      </c>
    </row>
    <row r="995" spans="1:12" ht="15" customHeight="1" x14ac:dyDescent="0.25">
      <c r="A995" s="78">
        <v>45931</v>
      </c>
      <c r="B995" t="s">
        <v>393</v>
      </c>
      <c r="C995" t="s">
        <v>394</v>
      </c>
      <c r="D995" t="s">
        <v>227</v>
      </c>
      <c r="E995" t="s">
        <v>230</v>
      </c>
      <c r="F995" s="126">
        <v>15.4</v>
      </c>
      <c r="G995" s="77">
        <v>41000</v>
      </c>
      <c r="H995" s="126">
        <v>40.9</v>
      </c>
      <c r="I995" s="124">
        <v>1074.94</v>
      </c>
      <c r="J995" s="126">
        <v>8.8000000000000007</v>
      </c>
      <c r="K995" s="124">
        <v>52616.666666666701</v>
      </c>
      <c r="L995" s="124">
        <v>53691.606666666703</v>
      </c>
    </row>
    <row r="996" spans="1:12" ht="15" customHeight="1" x14ac:dyDescent="0.25">
      <c r="A996" s="78">
        <v>45931</v>
      </c>
      <c r="B996" t="s">
        <v>393</v>
      </c>
      <c r="C996" t="s">
        <v>394</v>
      </c>
      <c r="D996" t="s">
        <v>227</v>
      </c>
      <c r="E996" t="s">
        <v>231</v>
      </c>
      <c r="F996" s="126">
        <v>9.9</v>
      </c>
      <c r="G996" s="77">
        <v>29000</v>
      </c>
      <c r="H996" s="126">
        <v>74.3</v>
      </c>
      <c r="I996" s="124">
        <v>1381.22</v>
      </c>
      <c r="J996" s="126">
        <v>4.0999999999999996</v>
      </c>
      <c r="K996" s="124">
        <v>23925</v>
      </c>
      <c r="L996" s="124">
        <v>25306.22</v>
      </c>
    </row>
    <row r="997" spans="1:12" ht="15" customHeight="1" x14ac:dyDescent="0.25">
      <c r="A997" s="78">
        <v>45931</v>
      </c>
      <c r="B997" t="s">
        <v>393</v>
      </c>
      <c r="C997" t="s">
        <v>394</v>
      </c>
      <c r="D997" t="s">
        <v>227</v>
      </c>
      <c r="E997" t="s">
        <v>105</v>
      </c>
      <c r="F997" s="126">
        <v>5.7</v>
      </c>
      <c r="G997" s="77">
        <v>28000</v>
      </c>
      <c r="H997" s="126">
        <v>27.4</v>
      </c>
      <c r="I997" s="124">
        <v>491.79</v>
      </c>
      <c r="J997" s="126">
        <v>2.1</v>
      </c>
      <c r="K997" s="124">
        <v>13300</v>
      </c>
      <c r="L997" s="124">
        <v>13791.79</v>
      </c>
    </row>
    <row r="998" spans="1:12" ht="15" customHeight="1" x14ac:dyDescent="0.25">
      <c r="A998" s="78">
        <v>45962</v>
      </c>
      <c r="B998" t="s">
        <v>390</v>
      </c>
      <c r="C998" t="s">
        <v>391</v>
      </c>
      <c r="D998" t="s">
        <v>221</v>
      </c>
      <c r="E998" t="s">
        <v>2369</v>
      </c>
      <c r="F998" s="126">
        <v>15.3</v>
      </c>
      <c r="G998" s="77">
        <v>35000</v>
      </c>
      <c r="H998" s="126">
        <v>85.1</v>
      </c>
      <c r="I998" s="124">
        <v>1909.29</v>
      </c>
      <c r="J998" s="126">
        <v>6.4</v>
      </c>
      <c r="K998" s="124">
        <v>44625</v>
      </c>
      <c r="L998" s="124">
        <v>46534.29</v>
      </c>
    </row>
    <row r="999" spans="1:12" ht="15" customHeight="1" x14ac:dyDescent="0.25">
      <c r="A999" s="78">
        <v>45962</v>
      </c>
      <c r="B999" t="s">
        <v>390</v>
      </c>
      <c r="C999" t="s">
        <v>391</v>
      </c>
      <c r="D999" t="s">
        <v>221</v>
      </c>
      <c r="E999" t="s">
        <v>2368</v>
      </c>
      <c r="F999" s="126">
        <v>17.399999999999999</v>
      </c>
      <c r="G999" s="77">
        <v>27000</v>
      </c>
      <c r="H999" s="126">
        <v>82.1</v>
      </c>
      <c r="I999" s="124">
        <v>1420.96</v>
      </c>
      <c r="J999" s="126">
        <v>7.8</v>
      </c>
      <c r="K999" s="124">
        <v>39150</v>
      </c>
      <c r="L999" s="124">
        <v>40570.959999999999</v>
      </c>
    </row>
    <row r="1000" spans="1:12" ht="15" customHeight="1" x14ac:dyDescent="0.25">
      <c r="A1000" s="78">
        <v>45962</v>
      </c>
      <c r="B1000" t="s">
        <v>390</v>
      </c>
      <c r="C1000" t="s">
        <v>391</v>
      </c>
      <c r="D1000" t="s">
        <v>221</v>
      </c>
      <c r="E1000" t="s">
        <v>231</v>
      </c>
      <c r="F1000" s="126">
        <v>10.3</v>
      </c>
      <c r="G1000" s="77">
        <v>29000</v>
      </c>
      <c r="H1000" s="126">
        <v>38</v>
      </c>
      <c r="I1000" s="124">
        <v>706.41</v>
      </c>
      <c r="J1000" s="126">
        <v>4.0999999999999996</v>
      </c>
      <c r="K1000" s="124">
        <v>24891.666666666701</v>
      </c>
      <c r="L1000" s="124">
        <v>25598.0766666667</v>
      </c>
    </row>
    <row r="1001" spans="1:12" ht="15" customHeight="1" x14ac:dyDescent="0.25">
      <c r="A1001" s="78">
        <v>45962</v>
      </c>
      <c r="B1001" t="s">
        <v>390</v>
      </c>
      <c r="C1001" t="s">
        <v>391</v>
      </c>
      <c r="D1001" t="s">
        <v>221</v>
      </c>
      <c r="E1001" t="s">
        <v>230</v>
      </c>
      <c r="F1001" s="126">
        <v>4.8</v>
      </c>
      <c r="G1001" s="77">
        <v>41000</v>
      </c>
      <c r="H1001" s="126">
        <v>25.1</v>
      </c>
      <c r="I1001" s="124">
        <v>659.68</v>
      </c>
      <c r="J1001" s="126">
        <v>1.6</v>
      </c>
      <c r="K1001" s="124">
        <v>16400</v>
      </c>
      <c r="L1001" s="124">
        <v>17059.68</v>
      </c>
    </row>
    <row r="1002" spans="1:12" ht="15" customHeight="1" x14ac:dyDescent="0.25">
      <c r="A1002" s="78">
        <v>45962</v>
      </c>
      <c r="B1002" t="s">
        <v>401</v>
      </c>
      <c r="C1002" t="s">
        <v>402</v>
      </c>
      <c r="D1002" t="s">
        <v>221</v>
      </c>
      <c r="E1002" t="s">
        <v>232</v>
      </c>
      <c r="F1002" s="126">
        <v>19.100000000000001</v>
      </c>
      <c r="G1002" s="77">
        <v>25000</v>
      </c>
      <c r="H1002" s="126">
        <v>92.2</v>
      </c>
      <c r="I1002" s="124">
        <v>1477.56</v>
      </c>
      <c r="J1002" s="126">
        <v>9.1999999999999993</v>
      </c>
      <c r="K1002" s="124">
        <v>39791.666666666701</v>
      </c>
      <c r="L1002" s="124">
        <v>41269.226666666698</v>
      </c>
    </row>
    <row r="1003" spans="1:12" ht="15" customHeight="1" x14ac:dyDescent="0.25">
      <c r="A1003" s="78">
        <v>45962</v>
      </c>
      <c r="B1003" t="s">
        <v>401</v>
      </c>
      <c r="C1003" t="s">
        <v>402</v>
      </c>
      <c r="D1003" t="s">
        <v>221</v>
      </c>
      <c r="E1003" t="s">
        <v>2369</v>
      </c>
      <c r="F1003" s="126">
        <v>13.7</v>
      </c>
      <c r="G1003" s="77">
        <v>35000</v>
      </c>
      <c r="H1003" s="126">
        <v>52.4</v>
      </c>
      <c r="I1003" s="124">
        <v>1175.6400000000001</v>
      </c>
      <c r="J1003" s="126">
        <v>7</v>
      </c>
      <c r="K1003" s="124">
        <v>39958.333333333299</v>
      </c>
      <c r="L1003" s="124">
        <v>41133.973333333299</v>
      </c>
    </row>
    <row r="1004" spans="1:12" ht="15" customHeight="1" x14ac:dyDescent="0.25">
      <c r="A1004" s="78">
        <v>45962</v>
      </c>
      <c r="B1004" t="s">
        <v>401</v>
      </c>
      <c r="C1004" t="s">
        <v>402</v>
      </c>
      <c r="D1004" t="s">
        <v>221</v>
      </c>
      <c r="E1004" t="s">
        <v>105</v>
      </c>
      <c r="F1004" s="126">
        <v>5.7</v>
      </c>
      <c r="G1004" s="77">
        <v>28000</v>
      </c>
      <c r="H1004" s="126">
        <v>16.3</v>
      </c>
      <c r="I1004" s="124">
        <v>292.56</v>
      </c>
      <c r="J1004" s="126">
        <v>3.1</v>
      </c>
      <c r="K1004" s="124">
        <v>13300</v>
      </c>
      <c r="L1004" s="124">
        <v>13592.56</v>
      </c>
    </row>
    <row r="1005" spans="1:12" ht="15" customHeight="1" x14ac:dyDescent="0.25">
      <c r="A1005" s="78">
        <v>45962</v>
      </c>
      <c r="B1005" t="s">
        <v>401</v>
      </c>
      <c r="C1005" t="s">
        <v>402</v>
      </c>
      <c r="D1005" t="s">
        <v>221</v>
      </c>
      <c r="E1005" t="s">
        <v>2368</v>
      </c>
      <c r="F1005" s="126">
        <v>19.100000000000001</v>
      </c>
      <c r="G1005" s="77">
        <v>27000</v>
      </c>
      <c r="H1005" s="126">
        <v>120.2</v>
      </c>
      <c r="I1005" s="124">
        <v>2080.38</v>
      </c>
      <c r="J1005" s="126">
        <v>8.8000000000000007</v>
      </c>
      <c r="K1005" s="124">
        <v>42975</v>
      </c>
      <c r="L1005" s="124">
        <v>45055.38</v>
      </c>
    </row>
    <row r="1006" spans="1:12" ht="15" customHeight="1" x14ac:dyDescent="0.25">
      <c r="A1006" s="78">
        <v>45962</v>
      </c>
      <c r="B1006" t="s">
        <v>401</v>
      </c>
      <c r="C1006" t="s">
        <v>402</v>
      </c>
      <c r="D1006" t="s">
        <v>221</v>
      </c>
      <c r="E1006" t="s">
        <v>231</v>
      </c>
      <c r="F1006" s="126">
        <v>9.4</v>
      </c>
      <c r="G1006" s="77">
        <v>29000</v>
      </c>
      <c r="H1006" s="126">
        <v>54.1</v>
      </c>
      <c r="I1006" s="124">
        <v>1005.71</v>
      </c>
      <c r="J1006" s="126">
        <v>6.2</v>
      </c>
      <c r="K1006" s="124">
        <v>22716.666666666701</v>
      </c>
      <c r="L1006" s="124">
        <v>23722.3766666667</v>
      </c>
    </row>
    <row r="1007" spans="1:12" ht="15" customHeight="1" x14ac:dyDescent="0.25">
      <c r="A1007" s="78">
        <v>45962</v>
      </c>
      <c r="B1007" t="s">
        <v>431</v>
      </c>
      <c r="C1007" t="s">
        <v>432</v>
      </c>
      <c r="D1007" t="s">
        <v>221</v>
      </c>
      <c r="E1007" t="s">
        <v>105</v>
      </c>
      <c r="F1007" s="126">
        <v>15.3</v>
      </c>
      <c r="G1007" s="77">
        <v>28000</v>
      </c>
      <c r="H1007" s="126">
        <v>42.5</v>
      </c>
      <c r="I1007" s="124">
        <v>762.82</v>
      </c>
      <c r="J1007" s="126">
        <v>6.2</v>
      </c>
      <c r="K1007" s="124">
        <v>35700</v>
      </c>
      <c r="L1007" s="124">
        <v>36462.82</v>
      </c>
    </row>
    <row r="1008" spans="1:12" ht="15" customHeight="1" x14ac:dyDescent="0.25">
      <c r="A1008" s="78">
        <v>45962</v>
      </c>
      <c r="B1008" t="s">
        <v>431</v>
      </c>
      <c r="C1008" t="s">
        <v>432</v>
      </c>
      <c r="D1008" t="s">
        <v>221</v>
      </c>
      <c r="E1008" t="s">
        <v>232</v>
      </c>
      <c r="F1008" s="126">
        <v>9.3000000000000007</v>
      </c>
      <c r="G1008" s="77">
        <v>25000</v>
      </c>
      <c r="H1008" s="126">
        <v>41.4</v>
      </c>
      <c r="I1008" s="124">
        <v>663.46</v>
      </c>
      <c r="J1008" s="126">
        <v>4.0999999999999996</v>
      </c>
      <c r="K1008" s="124">
        <v>19375</v>
      </c>
      <c r="L1008" s="124">
        <v>20038.46</v>
      </c>
    </row>
    <row r="1009" spans="1:12" ht="15" customHeight="1" x14ac:dyDescent="0.25">
      <c r="A1009" s="78">
        <v>45962</v>
      </c>
      <c r="B1009" t="s">
        <v>431</v>
      </c>
      <c r="C1009" t="s">
        <v>432</v>
      </c>
      <c r="D1009" t="s">
        <v>221</v>
      </c>
      <c r="E1009" t="s">
        <v>231</v>
      </c>
      <c r="F1009" s="126">
        <v>12.2</v>
      </c>
      <c r="G1009" s="77">
        <v>29000</v>
      </c>
      <c r="H1009" s="126">
        <v>83</v>
      </c>
      <c r="I1009" s="124">
        <v>1542.95</v>
      </c>
      <c r="J1009" s="126">
        <v>6.1</v>
      </c>
      <c r="K1009" s="124">
        <v>29483.333333333299</v>
      </c>
      <c r="L1009" s="124">
        <v>31026.2833333333</v>
      </c>
    </row>
    <row r="1010" spans="1:12" ht="15" customHeight="1" x14ac:dyDescent="0.25">
      <c r="A1010" s="78">
        <v>45962</v>
      </c>
      <c r="B1010" t="s">
        <v>431</v>
      </c>
      <c r="C1010" t="s">
        <v>432</v>
      </c>
      <c r="D1010" t="s">
        <v>221</v>
      </c>
      <c r="E1010" t="s">
        <v>2369</v>
      </c>
      <c r="F1010" s="126">
        <v>6.2</v>
      </c>
      <c r="G1010" s="77">
        <v>35000</v>
      </c>
      <c r="H1010" s="126">
        <v>17.3</v>
      </c>
      <c r="I1010" s="124">
        <v>388.14</v>
      </c>
      <c r="J1010" s="126">
        <v>2</v>
      </c>
      <c r="K1010" s="124">
        <v>18083.333333333299</v>
      </c>
      <c r="L1010" s="124">
        <v>18471.473333333299</v>
      </c>
    </row>
    <row r="1011" spans="1:12" ht="15" customHeight="1" x14ac:dyDescent="0.25">
      <c r="A1011" s="78">
        <v>45962</v>
      </c>
      <c r="B1011" t="s">
        <v>431</v>
      </c>
      <c r="C1011" t="s">
        <v>432</v>
      </c>
      <c r="D1011" t="s">
        <v>221</v>
      </c>
      <c r="E1011" t="s">
        <v>2368</v>
      </c>
      <c r="F1011" s="126">
        <v>6.3</v>
      </c>
      <c r="G1011" s="77">
        <v>27000</v>
      </c>
      <c r="H1011" s="126">
        <v>35.5</v>
      </c>
      <c r="I1011" s="124">
        <v>614.41999999999996</v>
      </c>
      <c r="J1011" s="126">
        <v>2.6</v>
      </c>
      <c r="K1011" s="124">
        <v>14175</v>
      </c>
      <c r="L1011" s="124">
        <v>14789.42</v>
      </c>
    </row>
    <row r="1012" spans="1:12" ht="15" customHeight="1" x14ac:dyDescent="0.25">
      <c r="A1012" s="78">
        <v>45962</v>
      </c>
      <c r="B1012" t="s">
        <v>366</v>
      </c>
      <c r="C1012" t="s">
        <v>367</v>
      </c>
      <c r="D1012" t="s">
        <v>221</v>
      </c>
      <c r="E1012" t="s">
        <v>232</v>
      </c>
      <c r="F1012" s="126">
        <v>10</v>
      </c>
      <c r="G1012" s="77">
        <v>25000</v>
      </c>
      <c r="H1012" s="126">
        <v>40.700000000000003</v>
      </c>
      <c r="I1012" s="124">
        <v>652.24</v>
      </c>
      <c r="J1012" s="126">
        <v>6</v>
      </c>
      <c r="K1012" s="124">
        <v>20833.333333333299</v>
      </c>
      <c r="L1012" s="124">
        <v>21485.573333333301</v>
      </c>
    </row>
    <row r="1013" spans="1:12" ht="15" customHeight="1" x14ac:dyDescent="0.25">
      <c r="A1013" s="78">
        <v>45962</v>
      </c>
      <c r="B1013" t="s">
        <v>366</v>
      </c>
      <c r="C1013" t="s">
        <v>367</v>
      </c>
      <c r="D1013" t="s">
        <v>221</v>
      </c>
      <c r="E1013" t="s">
        <v>2368</v>
      </c>
      <c r="F1013" s="126">
        <v>7.8</v>
      </c>
      <c r="G1013" s="77">
        <v>27000</v>
      </c>
      <c r="H1013" s="126">
        <v>25.5</v>
      </c>
      <c r="I1013" s="124">
        <v>441.35</v>
      </c>
      <c r="J1013" s="126">
        <v>3.9</v>
      </c>
      <c r="K1013" s="124">
        <v>17550</v>
      </c>
      <c r="L1013" s="124">
        <v>17991.349999999999</v>
      </c>
    </row>
    <row r="1014" spans="1:12" ht="15" customHeight="1" x14ac:dyDescent="0.25">
      <c r="A1014" s="78">
        <v>45962</v>
      </c>
      <c r="B1014" t="s">
        <v>366</v>
      </c>
      <c r="C1014" t="s">
        <v>367</v>
      </c>
      <c r="D1014" t="s">
        <v>221</v>
      </c>
      <c r="E1014" t="s">
        <v>105</v>
      </c>
      <c r="F1014" s="126">
        <v>7.9</v>
      </c>
      <c r="G1014" s="77">
        <v>28000</v>
      </c>
      <c r="H1014" s="126">
        <v>31.4</v>
      </c>
      <c r="I1014" s="124">
        <v>563.59</v>
      </c>
      <c r="J1014" s="126">
        <v>4.5999999999999996</v>
      </c>
      <c r="K1014" s="124">
        <v>18433.333333333299</v>
      </c>
      <c r="L1014" s="124">
        <v>18996.9233333333</v>
      </c>
    </row>
    <row r="1015" spans="1:12" ht="15" customHeight="1" x14ac:dyDescent="0.25">
      <c r="A1015" s="78">
        <v>45962</v>
      </c>
      <c r="B1015" t="s">
        <v>366</v>
      </c>
      <c r="C1015" t="s">
        <v>367</v>
      </c>
      <c r="D1015" t="s">
        <v>221</v>
      </c>
      <c r="E1015" t="s">
        <v>2369</v>
      </c>
      <c r="F1015" s="126">
        <v>12.8</v>
      </c>
      <c r="G1015" s="77">
        <v>35000</v>
      </c>
      <c r="H1015" s="126">
        <v>62.5</v>
      </c>
      <c r="I1015" s="124">
        <v>1402.24</v>
      </c>
      <c r="J1015" s="126">
        <v>6.2</v>
      </c>
      <c r="K1015" s="124">
        <v>37333.333333333299</v>
      </c>
      <c r="L1015" s="124">
        <v>38735.573333333297</v>
      </c>
    </row>
    <row r="1016" spans="1:12" ht="15" customHeight="1" x14ac:dyDescent="0.25">
      <c r="A1016" s="78">
        <v>45962</v>
      </c>
      <c r="B1016" t="s">
        <v>366</v>
      </c>
      <c r="C1016" t="s">
        <v>367</v>
      </c>
      <c r="D1016" t="s">
        <v>221</v>
      </c>
      <c r="E1016" t="s">
        <v>231</v>
      </c>
      <c r="F1016" s="126">
        <v>16.899999999999999</v>
      </c>
      <c r="G1016" s="77">
        <v>29000</v>
      </c>
      <c r="H1016" s="126">
        <v>69.2</v>
      </c>
      <c r="I1016" s="124">
        <v>1286.4100000000001</v>
      </c>
      <c r="J1016" s="126">
        <v>8.1</v>
      </c>
      <c r="K1016" s="124">
        <v>40841.666666666701</v>
      </c>
      <c r="L1016" s="124">
        <v>42128.076666666697</v>
      </c>
    </row>
    <row r="1017" spans="1:12" ht="15" customHeight="1" x14ac:dyDescent="0.25">
      <c r="A1017" s="78">
        <v>45962</v>
      </c>
      <c r="B1017" t="s">
        <v>366</v>
      </c>
      <c r="C1017" t="s">
        <v>367</v>
      </c>
      <c r="D1017" t="s">
        <v>221</v>
      </c>
      <c r="E1017" t="s">
        <v>230</v>
      </c>
      <c r="F1017" s="126">
        <v>11.6</v>
      </c>
      <c r="G1017" s="77">
        <v>41000</v>
      </c>
      <c r="H1017" s="126">
        <v>20.7</v>
      </c>
      <c r="I1017" s="124">
        <v>544.04</v>
      </c>
      <c r="J1017" s="126">
        <v>6.1</v>
      </c>
      <c r="K1017" s="124">
        <v>39633.333333333299</v>
      </c>
      <c r="L1017" s="124">
        <v>40177.3733333333</v>
      </c>
    </row>
    <row r="1018" spans="1:12" ht="15" customHeight="1" x14ac:dyDescent="0.25">
      <c r="A1018" s="78">
        <v>45962</v>
      </c>
      <c r="B1018" t="s">
        <v>362</v>
      </c>
      <c r="C1018" t="s">
        <v>363</v>
      </c>
      <c r="D1018" t="s">
        <v>221</v>
      </c>
      <c r="E1018" t="s">
        <v>105</v>
      </c>
      <c r="F1018" s="126">
        <v>7.1</v>
      </c>
      <c r="G1018" s="77">
        <v>28000</v>
      </c>
      <c r="H1018" s="126">
        <v>48.6</v>
      </c>
      <c r="I1018" s="124">
        <v>872.31</v>
      </c>
      <c r="J1018" s="126">
        <v>2.7</v>
      </c>
      <c r="K1018" s="124">
        <v>16566.666666666701</v>
      </c>
      <c r="L1018" s="124">
        <v>17438.976666666698</v>
      </c>
    </row>
    <row r="1019" spans="1:12" ht="15" customHeight="1" x14ac:dyDescent="0.25">
      <c r="A1019" s="78">
        <v>45962</v>
      </c>
      <c r="B1019" t="s">
        <v>362</v>
      </c>
      <c r="C1019" t="s">
        <v>363</v>
      </c>
      <c r="D1019" t="s">
        <v>221</v>
      </c>
      <c r="E1019" t="s">
        <v>231</v>
      </c>
      <c r="F1019" s="126">
        <v>14.9</v>
      </c>
      <c r="G1019" s="77">
        <v>29000</v>
      </c>
      <c r="H1019" s="126">
        <v>42.3</v>
      </c>
      <c r="I1019" s="124">
        <v>786.35</v>
      </c>
      <c r="J1019" s="126">
        <v>6.6</v>
      </c>
      <c r="K1019" s="124">
        <v>36008.333333333299</v>
      </c>
      <c r="L1019" s="124">
        <v>36794.683333333298</v>
      </c>
    </row>
    <row r="1020" spans="1:12" ht="15" customHeight="1" x14ac:dyDescent="0.25">
      <c r="A1020" s="78">
        <v>45962</v>
      </c>
      <c r="B1020" t="s">
        <v>362</v>
      </c>
      <c r="C1020" t="s">
        <v>363</v>
      </c>
      <c r="D1020" t="s">
        <v>221</v>
      </c>
      <c r="E1020" t="s">
        <v>232</v>
      </c>
      <c r="F1020" s="126">
        <v>11.8</v>
      </c>
      <c r="G1020" s="77">
        <v>25000</v>
      </c>
      <c r="H1020" s="126">
        <v>60</v>
      </c>
      <c r="I1020" s="124">
        <v>961.54</v>
      </c>
      <c r="J1020" s="126">
        <v>6.3</v>
      </c>
      <c r="K1020" s="124">
        <v>24583.333333333299</v>
      </c>
      <c r="L1020" s="124">
        <v>25544.8733333333</v>
      </c>
    </row>
    <row r="1021" spans="1:12" ht="15" customHeight="1" x14ac:dyDescent="0.25">
      <c r="A1021" s="78">
        <v>45962</v>
      </c>
      <c r="B1021" t="s">
        <v>362</v>
      </c>
      <c r="C1021" t="s">
        <v>363</v>
      </c>
      <c r="D1021" t="s">
        <v>221</v>
      </c>
      <c r="E1021" t="s">
        <v>230</v>
      </c>
      <c r="F1021" s="126">
        <v>17.100000000000001</v>
      </c>
      <c r="G1021" s="77">
        <v>41000</v>
      </c>
      <c r="H1021" s="126">
        <v>64.3</v>
      </c>
      <c r="I1021" s="124">
        <v>1689.94</v>
      </c>
      <c r="J1021" s="126">
        <v>7.6</v>
      </c>
      <c r="K1021" s="124">
        <v>58425</v>
      </c>
      <c r="L1021" s="124">
        <v>60114.94</v>
      </c>
    </row>
    <row r="1022" spans="1:12" ht="15" customHeight="1" x14ac:dyDescent="0.25">
      <c r="A1022" s="78">
        <v>45962</v>
      </c>
      <c r="B1022" t="s">
        <v>335</v>
      </c>
      <c r="C1022" t="s">
        <v>336</v>
      </c>
      <c r="D1022" t="s">
        <v>223</v>
      </c>
      <c r="E1022" t="s">
        <v>230</v>
      </c>
      <c r="F1022" s="126">
        <v>17.100000000000001</v>
      </c>
      <c r="G1022" s="77">
        <v>41000</v>
      </c>
      <c r="H1022" s="126">
        <v>70.8</v>
      </c>
      <c r="I1022" s="124">
        <v>1860.77</v>
      </c>
      <c r="J1022" s="126">
        <v>7</v>
      </c>
      <c r="K1022" s="124">
        <v>58425</v>
      </c>
      <c r="L1022" s="124">
        <v>60285.77</v>
      </c>
    </row>
    <row r="1023" spans="1:12" ht="15" customHeight="1" x14ac:dyDescent="0.25">
      <c r="A1023" s="78">
        <v>45962</v>
      </c>
      <c r="B1023" t="s">
        <v>335</v>
      </c>
      <c r="C1023" t="s">
        <v>336</v>
      </c>
      <c r="D1023" t="s">
        <v>223</v>
      </c>
      <c r="E1023" t="s">
        <v>2368</v>
      </c>
      <c r="F1023" s="126">
        <v>4</v>
      </c>
      <c r="G1023" s="77">
        <v>27000</v>
      </c>
      <c r="H1023" s="126">
        <v>16.899999999999999</v>
      </c>
      <c r="I1023" s="124">
        <v>292.5</v>
      </c>
      <c r="J1023" s="126">
        <v>2.9</v>
      </c>
      <c r="K1023" s="124">
        <v>9000</v>
      </c>
      <c r="L1023" s="124">
        <v>9292.5</v>
      </c>
    </row>
    <row r="1024" spans="1:12" ht="15" customHeight="1" x14ac:dyDescent="0.25">
      <c r="A1024" s="78">
        <v>45962</v>
      </c>
      <c r="B1024" t="s">
        <v>335</v>
      </c>
      <c r="C1024" t="s">
        <v>336</v>
      </c>
      <c r="D1024" t="s">
        <v>223</v>
      </c>
      <c r="E1024" t="s">
        <v>231</v>
      </c>
      <c r="F1024" s="126">
        <v>14.7</v>
      </c>
      <c r="G1024" s="77">
        <v>29000</v>
      </c>
      <c r="H1024" s="126">
        <v>31.2</v>
      </c>
      <c r="I1024" s="124">
        <v>580</v>
      </c>
      <c r="J1024" s="126">
        <v>5.8</v>
      </c>
      <c r="K1024" s="124">
        <v>35525</v>
      </c>
      <c r="L1024" s="124">
        <v>36105</v>
      </c>
    </row>
    <row r="1025" spans="1:12" ht="15" customHeight="1" x14ac:dyDescent="0.25">
      <c r="A1025" s="78">
        <v>45962</v>
      </c>
      <c r="B1025" t="s">
        <v>335</v>
      </c>
      <c r="C1025" t="s">
        <v>336</v>
      </c>
      <c r="D1025" t="s">
        <v>223</v>
      </c>
      <c r="E1025" t="s">
        <v>2369</v>
      </c>
      <c r="F1025" s="126">
        <v>3.6</v>
      </c>
      <c r="G1025" s="77">
        <v>35000</v>
      </c>
      <c r="H1025" s="126">
        <v>22.9</v>
      </c>
      <c r="I1025" s="124">
        <v>513.78</v>
      </c>
      <c r="J1025" s="126">
        <v>1.2</v>
      </c>
      <c r="K1025" s="124">
        <v>10500</v>
      </c>
      <c r="L1025" s="124">
        <v>11013.78</v>
      </c>
    </row>
    <row r="1026" spans="1:12" ht="15" customHeight="1" x14ac:dyDescent="0.25">
      <c r="A1026" s="78">
        <v>45962</v>
      </c>
      <c r="B1026" t="s">
        <v>335</v>
      </c>
      <c r="C1026" t="s">
        <v>336</v>
      </c>
      <c r="D1026" t="s">
        <v>223</v>
      </c>
      <c r="E1026" t="s">
        <v>105</v>
      </c>
      <c r="F1026" s="126">
        <v>14.7</v>
      </c>
      <c r="G1026" s="77">
        <v>28000</v>
      </c>
      <c r="H1026" s="126">
        <v>83.8</v>
      </c>
      <c r="I1026" s="124">
        <v>1504.1</v>
      </c>
      <c r="J1026" s="126">
        <v>7.2</v>
      </c>
      <c r="K1026" s="124">
        <v>34300</v>
      </c>
      <c r="L1026" s="124">
        <v>35804.1</v>
      </c>
    </row>
    <row r="1027" spans="1:12" ht="15" customHeight="1" x14ac:dyDescent="0.25">
      <c r="A1027" s="78">
        <v>45962</v>
      </c>
      <c r="B1027" t="s">
        <v>386</v>
      </c>
      <c r="C1027" t="s">
        <v>387</v>
      </c>
      <c r="D1027" t="s">
        <v>223</v>
      </c>
      <c r="E1027" t="s">
        <v>105</v>
      </c>
      <c r="F1027" s="126">
        <v>18.600000000000001</v>
      </c>
      <c r="G1027" s="77">
        <v>28000</v>
      </c>
      <c r="H1027" s="126">
        <v>69.900000000000006</v>
      </c>
      <c r="I1027" s="124">
        <v>1254.6199999999999</v>
      </c>
      <c r="J1027" s="126">
        <v>9.6999999999999993</v>
      </c>
      <c r="K1027" s="124">
        <v>43400</v>
      </c>
      <c r="L1027" s="124">
        <v>44654.62</v>
      </c>
    </row>
    <row r="1028" spans="1:12" ht="15" customHeight="1" x14ac:dyDescent="0.25">
      <c r="A1028" s="78">
        <v>45962</v>
      </c>
      <c r="B1028" t="s">
        <v>386</v>
      </c>
      <c r="C1028" t="s">
        <v>387</v>
      </c>
      <c r="D1028" t="s">
        <v>223</v>
      </c>
      <c r="E1028" t="s">
        <v>230</v>
      </c>
      <c r="F1028" s="126">
        <v>6.6</v>
      </c>
      <c r="G1028" s="77">
        <v>41000</v>
      </c>
      <c r="H1028" s="126">
        <v>17.600000000000001</v>
      </c>
      <c r="I1028" s="124">
        <v>462.56</v>
      </c>
      <c r="J1028" s="126">
        <v>3.4</v>
      </c>
      <c r="K1028" s="124">
        <v>22550</v>
      </c>
      <c r="L1028" s="124">
        <v>23012.560000000001</v>
      </c>
    </row>
    <row r="1029" spans="1:12" ht="15" customHeight="1" x14ac:dyDescent="0.25">
      <c r="A1029" s="78">
        <v>45962</v>
      </c>
      <c r="B1029" t="s">
        <v>386</v>
      </c>
      <c r="C1029" t="s">
        <v>387</v>
      </c>
      <c r="D1029" t="s">
        <v>223</v>
      </c>
      <c r="E1029" t="s">
        <v>231</v>
      </c>
      <c r="F1029" s="126">
        <v>16</v>
      </c>
      <c r="G1029" s="77">
        <v>29000</v>
      </c>
      <c r="H1029" s="126">
        <v>54.8</v>
      </c>
      <c r="I1029" s="124">
        <v>1018.72</v>
      </c>
      <c r="J1029" s="126">
        <v>6.7</v>
      </c>
      <c r="K1029" s="124">
        <v>38666.666666666701</v>
      </c>
      <c r="L1029" s="124">
        <v>39685.386666666702</v>
      </c>
    </row>
    <row r="1030" spans="1:12" ht="15" customHeight="1" x14ac:dyDescent="0.25">
      <c r="A1030" s="78">
        <v>45962</v>
      </c>
      <c r="B1030" t="s">
        <v>386</v>
      </c>
      <c r="C1030" t="s">
        <v>387</v>
      </c>
      <c r="D1030" t="s">
        <v>223</v>
      </c>
      <c r="E1030" t="s">
        <v>2367</v>
      </c>
      <c r="F1030" s="126">
        <v>9</v>
      </c>
      <c r="G1030" s="77">
        <v>43000</v>
      </c>
      <c r="H1030" s="126">
        <v>40.6</v>
      </c>
      <c r="I1030" s="124">
        <v>1119.0999999999999</v>
      </c>
      <c r="J1030" s="126">
        <v>4.2</v>
      </c>
      <c r="K1030" s="124">
        <v>32250</v>
      </c>
      <c r="L1030" s="124">
        <v>33369.1</v>
      </c>
    </row>
    <row r="1031" spans="1:12" ht="15" customHeight="1" x14ac:dyDescent="0.25">
      <c r="A1031" s="78">
        <v>45962</v>
      </c>
      <c r="B1031" t="s">
        <v>341</v>
      </c>
      <c r="C1031" t="s">
        <v>342</v>
      </c>
      <c r="D1031" t="s">
        <v>223</v>
      </c>
      <c r="E1031" t="s">
        <v>230</v>
      </c>
      <c r="F1031" s="126">
        <v>16.7</v>
      </c>
      <c r="G1031" s="77">
        <v>41000</v>
      </c>
      <c r="H1031" s="126">
        <v>62.9</v>
      </c>
      <c r="I1031" s="124">
        <v>1653.14</v>
      </c>
      <c r="J1031" s="126">
        <v>7.1</v>
      </c>
      <c r="K1031" s="124">
        <v>57058.333333333299</v>
      </c>
      <c r="L1031" s="124">
        <v>58711.473333333299</v>
      </c>
    </row>
    <row r="1032" spans="1:12" ht="15" customHeight="1" x14ac:dyDescent="0.25">
      <c r="A1032" s="78">
        <v>45962</v>
      </c>
      <c r="B1032" t="s">
        <v>341</v>
      </c>
      <c r="C1032" t="s">
        <v>342</v>
      </c>
      <c r="D1032" t="s">
        <v>223</v>
      </c>
      <c r="E1032" t="s">
        <v>2367</v>
      </c>
      <c r="F1032" s="126">
        <v>16.7</v>
      </c>
      <c r="G1032" s="77">
        <v>43000</v>
      </c>
      <c r="H1032" s="126">
        <v>106.7</v>
      </c>
      <c r="I1032" s="124">
        <v>2941.09</v>
      </c>
      <c r="J1032" s="126">
        <v>9.1999999999999993</v>
      </c>
      <c r="K1032" s="124">
        <v>59841.666666666701</v>
      </c>
      <c r="L1032" s="124">
        <v>62782.756666666697</v>
      </c>
    </row>
    <row r="1033" spans="1:12" ht="15" customHeight="1" x14ac:dyDescent="0.25">
      <c r="A1033" s="78">
        <v>45962</v>
      </c>
      <c r="B1033" t="s">
        <v>341</v>
      </c>
      <c r="C1033" t="s">
        <v>342</v>
      </c>
      <c r="D1033" t="s">
        <v>223</v>
      </c>
      <c r="E1033" t="s">
        <v>105</v>
      </c>
      <c r="F1033" s="126">
        <v>4.5</v>
      </c>
      <c r="G1033" s="77">
        <v>28000</v>
      </c>
      <c r="H1033" s="126">
        <v>24.5</v>
      </c>
      <c r="I1033" s="124">
        <v>439.74</v>
      </c>
      <c r="J1033" s="126">
        <v>1.9</v>
      </c>
      <c r="K1033" s="124">
        <v>10500</v>
      </c>
      <c r="L1033" s="124">
        <v>10939.74</v>
      </c>
    </row>
    <row r="1034" spans="1:12" ht="15" customHeight="1" x14ac:dyDescent="0.25">
      <c r="A1034" s="78">
        <v>45962</v>
      </c>
      <c r="B1034" t="s">
        <v>341</v>
      </c>
      <c r="C1034" t="s">
        <v>342</v>
      </c>
      <c r="D1034" t="s">
        <v>223</v>
      </c>
      <c r="E1034" t="s">
        <v>232</v>
      </c>
      <c r="F1034" s="126">
        <v>15.1</v>
      </c>
      <c r="G1034" s="77">
        <v>25000</v>
      </c>
      <c r="H1034" s="126">
        <v>21.2</v>
      </c>
      <c r="I1034" s="124">
        <v>339.74</v>
      </c>
      <c r="J1034" s="126">
        <v>9.5</v>
      </c>
      <c r="K1034" s="124">
        <v>31458.333333333299</v>
      </c>
      <c r="L1034" s="124">
        <v>31798.073333333301</v>
      </c>
    </row>
    <row r="1035" spans="1:12" ht="15" customHeight="1" x14ac:dyDescent="0.25">
      <c r="A1035" s="78">
        <v>45962</v>
      </c>
      <c r="B1035" t="s">
        <v>341</v>
      </c>
      <c r="C1035" t="s">
        <v>342</v>
      </c>
      <c r="D1035" t="s">
        <v>223</v>
      </c>
      <c r="E1035" t="s">
        <v>231</v>
      </c>
      <c r="F1035" s="126">
        <v>10.7</v>
      </c>
      <c r="G1035" s="77">
        <v>29000</v>
      </c>
      <c r="H1035" s="126">
        <v>41.8</v>
      </c>
      <c r="I1035" s="124">
        <v>777.05</v>
      </c>
      <c r="J1035" s="126">
        <v>4.5999999999999996</v>
      </c>
      <c r="K1035" s="124">
        <v>25858.333333333299</v>
      </c>
      <c r="L1035" s="124">
        <v>26635.383333333299</v>
      </c>
    </row>
    <row r="1036" spans="1:12" ht="15" customHeight="1" x14ac:dyDescent="0.25">
      <c r="A1036" s="78">
        <v>45962</v>
      </c>
      <c r="B1036" t="s">
        <v>341</v>
      </c>
      <c r="C1036" t="s">
        <v>342</v>
      </c>
      <c r="D1036" t="s">
        <v>223</v>
      </c>
      <c r="E1036" t="s">
        <v>2369</v>
      </c>
      <c r="F1036" s="126">
        <v>10.9</v>
      </c>
      <c r="G1036" s="77">
        <v>35000</v>
      </c>
      <c r="H1036" s="126">
        <v>50.4</v>
      </c>
      <c r="I1036" s="124">
        <v>1130.77</v>
      </c>
      <c r="J1036" s="126">
        <v>6.6</v>
      </c>
      <c r="K1036" s="124">
        <v>31791.666666666701</v>
      </c>
      <c r="L1036" s="124">
        <v>32922.436666666697</v>
      </c>
    </row>
    <row r="1037" spans="1:12" ht="15" customHeight="1" x14ac:dyDescent="0.25">
      <c r="A1037" s="78">
        <v>45962</v>
      </c>
      <c r="B1037" t="s">
        <v>347</v>
      </c>
      <c r="C1037" t="s">
        <v>348</v>
      </c>
      <c r="D1037" t="s">
        <v>223</v>
      </c>
      <c r="E1037" t="s">
        <v>2367</v>
      </c>
      <c r="F1037" s="126">
        <v>7.1</v>
      </c>
      <c r="G1037" s="77">
        <v>43000</v>
      </c>
      <c r="H1037" s="126">
        <v>28.2</v>
      </c>
      <c r="I1037" s="124">
        <v>777.31</v>
      </c>
      <c r="J1037" s="126">
        <v>4.8</v>
      </c>
      <c r="K1037" s="124">
        <v>25441.666666666701</v>
      </c>
      <c r="L1037" s="124">
        <v>26218.976666666698</v>
      </c>
    </row>
    <row r="1038" spans="1:12" ht="15" customHeight="1" x14ac:dyDescent="0.25">
      <c r="A1038" s="78">
        <v>45962</v>
      </c>
      <c r="B1038" t="s">
        <v>347</v>
      </c>
      <c r="C1038" t="s">
        <v>348</v>
      </c>
      <c r="D1038" t="s">
        <v>223</v>
      </c>
      <c r="E1038" t="s">
        <v>232</v>
      </c>
      <c r="F1038" s="126">
        <v>4.5999999999999996</v>
      </c>
      <c r="G1038" s="77">
        <v>25000</v>
      </c>
      <c r="H1038" s="126">
        <v>25.9</v>
      </c>
      <c r="I1038" s="124">
        <v>415.06</v>
      </c>
      <c r="J1038" s="126">
        <v>1.2</v>
      </c>
      <c r="K1038" s="124">
        <v>9583.3333333333303</v>
      </c>
      <c r="L1038" s="124">
        <v>9998.3933333333298</v>
      </c>
    </row>
    <row r="1039" spans="1:12" ht="15" customHeight="1" x14ac:dyDescent="0.25">
      <c r="A1039" s="78">
        <v>45962</v>
      </c>
      <c r="B1039" t="s">
        <v>347</v>
      </c>
      <c r="C1039" t="s">
        <v>348</v>
      </c>
      <c r="D1039" t="s">
        <v>223</v>
      </c>
      <c r="E1039" t="s">
        <v>105</v>
      </c>
      <c r="F1039" s="126">
        <v>14.5</v>
      </c>
      <c r="G1039" s="77">
        <v>28000</v>
      </c>
      <c r="H1039" s="126">
        <v>43.3</v>
      </c>
      <c r="I1039" s="124">
        <v>777.18</v>
      </c>
      <c r="J1039" s="126">
        <v>8.1999999999999993</v>
      </c>
      <c r="K1039" s="124">
        <v>33833.333333333299</v>
      </c>
      <c r="L1039" s="124">
        <v>34610.5133333333</v>
      </c>
    </row>
    <row r="1040" spans="1:12" ht="15" customHeight="1" x14ac:dyDescent="0.25">
      <c r="A1040" s="78">
        <v>45962</v>
      </c>
      <c r="B1040" t="s">
        <v>347</v>
      </c>
      <c r="C1040" t="s">
        <v>348</v>
      </c>
      <c r="D1040" t="s">
        <v>223</v>
      </c>
      <c r="E1040" t="s">
        <v>231</v>
      </c>
      <c r="F1040" s="126">
        <v>11.4</v>
      </c>
      <c r="G1040" s="77">
        <v>29000</v>
      </c>
      <c r="H1040" s="126">
        <v>0</v>
      </c>
      <c r="I1040" s="124">
        <v>0</v>
      </c>
      <c r="J1040" s="126">
        <v>5.6</v>
      </c>
      <c r="K1040" s="124">
        <v>27550</v>
      </c>
      <c r="L1040" s="124">
        <v>27550</v>
      </c>
    </row>
    <row r="1041" spans="1:12" ht="15" customHeight="1" x14ac:dyDescent="0.25">
      <c r="A1041" s="78">
        <v>45962</v>
      </c>
      <c r="B1041" t="s">
        <v>409</v>
      </c>
      <c r="C1041" t="s">
        <v>410</v>
      </c>
      <c r="D1041" t="s">
        <v>223</v>
      </c>
      <c r="E1041" t="s">
        <v>2369</v>
      </c>
      <c r="F1041" s="126">
        <v>3.7</v>
      </c>
      <c r="G1041" s="77">
        <v>35000</v>
      </c>
      <c r="H1041" s="126">
        <v>6.9</v>
      </c>
      <c r="I1041" s="124">
        <v>154.81</v>
      </c>
      <c r="J1041" s="126">
        <v>1.4</v>
      </c>
      <c r="K1041" s="124">
        <v>10791.666666666701</v>
      </c>
      <c r="L1041" s="124">
        <v>10946.4766666667</v>
      </c>
    </row>
    <row r="1042" spans="1:12" ht="15" customHeight="1" x14ac:dyDescent="0.25">
      <c r="A1042" s="78">
        <v>45962</v>
      </c>
      <c r="B1042" t="s">
        <v>409</v>
      </c>
      <c r="C1042" t="s">
        <v>410</v>
      </c>
      <c r="D1042" t="s">
        <v>223</v>
      </c>
      <c r="E1042" t="s">
        <v>2368</v>
      </c>
      <c r="F1042" s="126">
        <v>9.9</v>
      </c>
      <c r="G1042" s="77">
        <v>27000</v>
      </c>
      <c r="H1042" s="126">
        <v>35.200000000000003</v>
      </c>
      <c r="I1042" s="124">
        <v>609.23</v>
      </c>
      <c r="J1042" s="126">
        <v>4.5999999999999996</v>
      </c>
      <c r="K1042" s="124">
        <v>22275</v>
      </c>
      <c r="L1042" s="124">
        <v>22884.23</v>
      </c>
    </row>
    <row r="1043" spans="1:12" ht="15" customHeight="1" x14ac:dyDescent="0.25">
      <c r="A1043" s="78">
        <v>45962</v>
      </c>
      <c r="B1043" t="s">
        <v>409</v>
      </c>
      <c r="C1043" t="s">
        <v>410</v>
      </c>
      <c r="D1043" t="s">
        <v>223</v>
      </c>
      <c r="E1043" t="s">
        <v>230</v>
      </c>
      <c r="F1043" s="126">
        <v>3.6</v>
      </c>
      <c r="G1043" s="77">
        <v>41000</v>
      </c>
      <c r="H1043" s="126">
        <v>11.4</v>
      </c>
      <c r="I1043" s="124">
        <v>299.62</v>
      </c>
      <c r="J1043" s="126">
        <v>0.7</v>
      </c>
      <c r="K1043" s="124">
        <v>12300</v>
      </c>
      <c r="L1043" s="124">
        <v>12599.62</v>
      </c>
    </row>
    <row r="1044" spans="1:12" ht="15" customHeight="1" x14ac:dyDescent="0.25">
      <c r="A1044" s="78">
        <v>45962</v>
      </c>
      <c r="B1044" t="s">
        <v>409</v>
      </c>
      <c r="C1044" t="s">
        <v>410</v>
      </c>
      <c r="D1044" t="s">
        <v>223</v>
      </c>
      <c r="E1044" t="s">
        <v>231</v>
      </c>
      <c r="F1044" s="126">
        <v>4.3</v>
      </c>
      <c r="G1044" s="77">
        <v>29000</v>
      </c>
      <c r="H1044" s="126">
        <v>32</v>
      </c>
      <c r="I1044" s="124">
        <v>594.87</v>
      </c>
      <c r="J1044" s="126">
        <v>4</v>
      </c>
      <c r="K1044" s="124">
        <v>10391.666666666701</v>
      </c>
      <c r="L1044" s="124">
        <v>10986.5366666667</v>
      </c>
    </row>
    <row r="1045" spans="1:12" ht="15" customHeight="1" x14ac:dyDescent="0.25">
      <c r="A1045" s="78">
        <v>45962</v>
      </c>
      <c r="B1045" t="s">
        <v>488</v>
      </c>
      <c r="C1045" t="s">
        <v>489</v>
      </c>
      <c r="D1045" t="s">
        <v>225</v>
      </c>
      <c r="E1045" t="s">
        <v>105</v>
      </c>
      <c r="F1045" s="126">
        <v>15.9</v>
      </c>
      <c r="G1045" s="77">
        <v>28000</v>
      </c>
      <c r="H1045" s="126">
        <v>35.9</v>
      </c>
      <c r="I1045" s="124">
        <v>644.36</v>
      </c>
      <c r="J1045" s="126">
        <v>9.5</v>
      </c>
      <c r="K1045" s="124">
        <v>37100</v>
      </c>
      <c r="L1045" s="124">
        <v>37744.36</v>
      </c>
    </row>
    <row r="1046" spans="1:12" ht="15" customHeight="1" x14ac:dyDescent="0.25">
      <c r="A1046" s="78">
        <v>45962</v>
      </c>
      <c r="B1046" t="s">
        <v>488</v>
      </c>
      <c r="C1046" t="s">
        <v>489</v>
      </c>
      <c r="D1046" t="s">
        <v>225</v>
      </c>
      <c r="E1046" t="s">
        <v>2367</v>
      </c>
      <c r="F1046" s="126">
        <v>8.6</v>
      </c>
      <c r="G1046" s="77">
        <v>43000</v>
      </c>
      <c r="H1046" s="126">
        <v>29.2</v>
      </c>
      <c r="I1046" s="124">
        <v>804.87</v>
      </c>
      <c r="J1046" s="126">
        <v>4.4000000000000004</v>
      </c>
      <c r="K1046" s="124">
        <v>30816.666666666701</v>
      </c>
      <c r="L1046" s="124">
        <v>31621.5366666667</v>
      </c>
    </row>
    <row r="1047" spans="1:12" ht="15" customHeight="1" x14ac:dyDescent="0.25">
      <c r="A1047" s="78">
        <v>45962</v>
      </c>
      <c r="B1047" t="s">
        <v>488</v>
      </c>
      <c r="C1047" t="s">
        <v>489</v>
      </c>
      <c r="D1047" t="s">
        <v>225</v>
      </c>
      <c r="E1047" t="s">
        <v>2368</v>
      </c>
      <c r="F1047" s="126">
        <v>9.6</v>
      </c>
      <c r="G1047" s="77">
        <v>27000</v>
      </c>
      <c r="H1047" s="126">
        <v>37.5</v>
      </c>
      <c r="I1047" s="124">
        <v>649.04</v>
      </c>
      <c r="J1047" s="126">
        <v>4.0999999999999996</v>
      </c>
      <c r="K1047" s="124">
        <v>21600</v>
      </c>
      <c r="L1047" s="124">
        <v>22249.040000000001</v>
      </c>
    </row>
    <row r="1048" spans="1:12" ht="15" customHeight="1" x14ac:dyDescent="0.25">
      <c r="A1048" s="78">
        <v>45962</v>
      </c>
      <c r="B1048" t="s">
        <v>488</v>
      </c>
      <c r="C1048" t="s">
        <v>489</v>
      </c>
      <c r="D1048" t="s">
        <v>225</v>
      </c>
      <c r="E1048" t="s">
        <v>2369</v>
      </c>
      <c r="F1048" s="126">
        <v>10.8</v>
      </c>
      <c r="G1048" s="77">
        <v>35000</v>
      </c>
      <c r="H1048" s="126">
        <v>59.1</v>
      </c>
      <c r="I1048" s="124">
        <v>1325.96</v>
      </c>
      <c r="J1048" s="126">
        <v>5.5</v>
      </c>
      <c r="K1048" s="124">
        <v>31500</v>
      </c>
      <c r="L1048" s="124">
        <v>32825.96</v>
      </c>
    </row>
    <row r="1049" spans="1:12" ht="15" customHeight="1" x14ac:dyDescent="0.25">
      <c r="A1049" s="78">
        <v>45962</v>
      </c>
      <c r="B1049" t="s">
        <v>406</v>
      </c>
      <c r="C1049" t="s">
        <v>407</v>
      </c>
      <c r="D1049" t="s">
        <v>225</v>
      </c>
      <c r="E1049" t="s">
        <v>105</v>
      </c>
      <c r="F1049" s="126">
        <v>6.5</v>
      </c>
      <c r="G1049" s="77">
        <v>28000</v>
      </c>
      <c r="H1049" s="126">
        <v>21.4</v>
      </c>
      <c r="I1049" s="124">
        <v>384.1</v>
      </c>
      <c r="J1049" s="126">
        <v>1.9</v>
      </c>
      <c r="K1049" s="124">
        <v>15166.666666666701</v>
      </c>
      <c r="L1049" s="124">
        <v>15550.766666666699</v>
      </c>
    </row>
    <row r="1050" spans="1:12" ht="15" customHeight="1" x14ac:dyDescent="0.25">
      <c r="A1050" s="78">
        <v>45962</v>
      </c>
      <c r="B1050" t="s">
        <v>406</v>
      </c>
      <c r="C1050" t="s">
        <v>407</v>
      </c>
      <c r="D1050" t="s">
        <v>225</v>
      </c>
      <c r="E1050" t="s">
        <v>2369</v>
      </c>
      <c r="F1050" s="126">
        <v>3.5</v>
      </c>
      <c r="G1050" s="77">
        <v>35000</v>
      </c>
      <c r="H1050" s="126">
        <v>9.3000000000000007</v>
      </c>
      <c r="I1050" s="124">
        <v>208.65</v>
      </c>
      <c r="J1050" s="126">
        <v>0.1</v>
      </c>
      <c r="K1050" s="124">
        <v>10208.333333333299</v>
      </c>
      <c r="L1050" s="124">
        <v>10416.983333333301</v>
      </c>
    </row>
    <row r="1051" spans="1:12" ht="15" customHeight="1" x14ac:dyDescent="0.25">
      <c r="A1051" s="78">
        <v>45962</v>
      </c>
      <c r="B1051" t="s">
        <v>406</v>
      </c>
      <c r="C1051" t="s">
        <v>407</v>
      </c>
      <c r="D1051" t="s">
        <v>225</v>
      </c>
      <c r="E1051" t="s">
        <v>2367</v>
      </c>
      <c r="F1051" s="126">
        <v>16.8</v>
      </c>
      <c r="G1051" s="77">
        <v>43000</v>
      </c>
      <c r="H1051" s="126">
        <v>67.5</v>
      </c>
      <c r="I1051" s="124">
        <v>1860.58</v>
      </c>
      <c r="J1051" s="126">
        <v>7.2</v>
      </c>
      <c r="K1051" s="124">
        <v>60200</v>
      </c>
      <c r="L1051" s="124">
        <v>62060.58</v>
      </c>
    </row>
    <row r="1052" spans="1:12" ht="15" customHeight="1" x14ac:dyDescent="0.25">
      <c r="A1052" s="78">
        <v>45962</v>
      </c>
      <c r="B1052" t="s">
        <v>406</v>
      </c>
      <c r="C1052" t="s">
        <v>407</v>
      </c>
      <c r="D1052" t="s">
        <v>225</v>
      </c>
      <c r="E1052" t="s">
        <v>232</v>
      </c>
      <c r="F1052" s="126">
        <v>13</v>
      </c>
      <c r="G1052" s="77">
        <v>25000</v>
      </c>
      <c r="H1052" s="126">
        <v>46.8</v>
      </c>
      <c r="I1052" s="124">
        <v>750</v>
      </c>
      <c r="J1052" s="126">
        <v>7.9</v>
      </c>
      <c r="K1052" s="124">
        <v>27083.333333333299</v>
      </c>
      <c r="L1052" s="124">
        <v>27833.333333333299</v>
      </c>
    </row>
    <row r="1053" spans="1:12" ht="15" customHeight="1" x14ac:dyDescent="0.25">
      <c r="A1053" s="78">
        <v>45962</v>
      </c>
      <c r="B1053" t="s">
        <v>406</v>
      </c>
      <c r="C1053" t="s">
        <v>407</v>
      </c>
      <c r="D1053" t="s">
        <v>225</v>
      </c>
      <c r="E1053" t="s">
        <v>2368</v>
      </c>
      <c r="F1053" s="126">
        <v>8.6999999999999993</v>
      </c>
      <c r="G1053" s="77">
        <v>27000</v>
      </c>
      <c r="H1053" s="126">
        <v>50.5</v>
      </c>
      <c r="I1053" s="124">
        <v>874.04</v>
      </c>
      <c r="J1053" s="126">
        <v>4.3</v>
      </c>
      <c r="K1053" s="124">
        <v>19575</v>
      </c>
      <c r="L1053" s="124">
        <v>20449.04</v>
      </c>
    </row>
    <row r="1054" spans="1:12" ht="15" customHeight="1" x14ac:dyDescent="0.25">
      <c r="A1054" s="78">
        <v>45962</v>
      </c>
      <c r="B1054" t="s">
        <v>406</v>
      </c>
      <c r="C1054" t="s">
        <v>407</v>
      </c>
      <c r="D1054" t="s">
        <v>225</v>
      </c>
      <c r="E1054" t="s">
        <v>230</v>
      </c>
      <c r="F1054" s="126">
        <v>10.1</v>
      </c>
      <c r="G1054" s="77">
        <v>41000</v>
      </c>
      <c r="H1054" s="126">
        <v>39.1</v>
      </c>
      <c r="I1054" s="124">
        <v>1027.6300000000001</v>
      </c>
      <c r="J1054" s="126">
        <v>6.9</v>
      </c>
      <c r="K1054" s="124">
        <v>34508.333333333299</v>
      </c>
      <c r="L1054" s="124">
        <v>35535.963333333297</v>
      </c>
    </row>
    <row r="1055" spans="1:12" ht="15" customHeight="1" x14ac:dyDescent="0.25">
      <c r="A1055" s="78">
        <v>45962</v>
      </c>
      <c r="B1055" t="s">
        <v>358</v>
      </c>
      <c r="C1055" t="s">
        <v>359</v>
      </c>
      <c r="D1055" t="s">
        <v>225</v>
      </c>
      <c r="E1055" t="s">
        <v>231</v>
      </c>
      <c r="F1055" s="126">
        <v>8.6999999999999993</v>
      </c>
      <c r="G1055" s="77">
        <v>29000</v>
      </c>
      <c r="H1055" s="126">
        <v>41.6</v>
      </c>
      <c r="I1055" s="124">
        <v>773.33</v>
      </c>
      <c r="J1055" s="126">
        <v>4</v>
      </c>
      <c r="K1055" s="124">
        <v>21025</v>
      </c>
      <c r="L1055" s="124">
        <v>21798.33</v>
      </c>
    </row>
    <row r="1056" spans="1:12" ht="15" customHeight="1" x14ac:dyDescent="0.25">
      <c r="A1056" s="78">
        <v>45962</v>
      </c>
      <c r="B1056" t="s">
        <v>358</v>
      </c>
      <c r="C1056" t="s">
        <v>359</v>
      </c>
      <c r="D1056" t="s">
        <v>225</v>
      </c>
      <c r="E1056" t="s">
        <v>2367</v>
      </c>
      <c r="F1056" s="126">
        <v>13.8</v>
      </c>
      <c r="G1056" s="77">
        <v>43000</v>
      </c>
      <c r="H1056" s="126">
        <v>25.7</v>
      </c>
      <c r="I1056" s="124">
        <v>708.4</v>
      </c>
      <c r="J1056" s="126">
        <v>7.3</v>
      </c>
      <c r="K1056" s="124">
        <v>49450</v>
      </c>
      <c r="L1056" s="124">
        <v>50158.400000000001</v>
      </c>
    </row>
    <row r="1057" spans="1:12" ht="15" customHeight="1" x14ac:dyDescent="0.25">
      <c r="A1057" s="78">
        <v>45962</v>
      </c>
      <c r="B1057" t="s">
        <v>358</v>
      </c>
      <c r="C1057" t="s">
        <v>359</v>
      </c>
      <c r="D1057" t="s">
        <v>225</v>
      </c>
      <c r="E1057" t="s">
        <v>2368</v>
      </c>
      <c r="F1057" s="126">
        <v>11.5</v>
      </c>
      <c r="G1057" s="77">
        <v>27000</v>
      </c>
      <c r="H1057" s="126">
        <v>60.3</v>
      </c>
      <c r="I1057" s="124">
        <v>1043.6500000000001</v>
      </c>
      <c r="J1057" s="126">
        <v>5.0999999999999996</v>
      </c>
      <c r="K1057" s="124">
        <v>25875</v>
      </c>
      <c r="L1057" s="124">
        <v>26918.65</v>
      </c>
    </row>
    <row r="1058" spans="1:12" ht="15" customHeight="1" x14ac:dyDescent="0.25">
      <c r="A1058" s="78">
        <v>45962</v>
      </c>
      <c r="B1058" t="s">
        <v>358</v>
      </c>
      <c r="C1058" t="s">
        <v>359</v>
      </c>
      <c r="D1058" t="s">
        <v>225</v>
      </c>
      <c r="E1058" t="s">
        <v>232</v>
      </c>
      <c r="F1058" s="126">
        <v>15.4</v>
      </c>
      <c r="G1058" s="77">
        <v>25000</v>
      </c>
      <c r="H1058" s="126">
        <v>68.3</v>
      </c>
      <c r="I1058" s="124">
        <v>1094.55</v>
      </c>
      <c r="J1058" s="126">
        <v>7.3</v>
      </c>
      <c r="K1058" s="124">
        <v>32083.333333333299</v>
      </c>
      <c r="L1058" s="124">
        <v>33177.883333333302</v>
      </c>
    </row>
    <row r="1059" spans="1:12" ht="15" customHeight="1" x14ac:dyDescent="0.25">
      <c r="A1059" s="78">
        <v>45962</v>
      </c>
      <c r="B1059" t="s">
        <v>358</v>
      </c>
      <c r="C1059" t="s">
        <v>359</v>
      </c>
      <c r="D1059" t="s">
        <v>225</v>
      </c>
      <c r="E1059" t="s">
        <v>2369</v>
      </c>
      <c r="F1059" s="126">
        <v>17</v>
      </c>
      <c r="G1059" s="77">
        <v>35000</v>
      </c>
      <c r="H1059" s="126">
        <v>63.3</v>
      </c>
      <c r="I1059" s="124">
        <v>1420.19</v>
      </c>
      <c r="J1059" s="126">
        <v>6</v>
      </c>
      <c r="K1059" s="124">
        <v>49583.333333333299</v>
      </c>
      <c r="L1059" s="124">
        <v>51003.523333333302</v>
      </c>
    </row>
    <row r="1060" spans="1:12" ht="15" customHeight="1" x14ac:dyDescent="0.25">
      <c r="A1060" s="78">
        <v>45962</v>
      </c>
      <c r="B1060" t="s">
        <v>358</v>
      </c>
      <c r="C1060" t="s">
        <v>359</v>
      </c>
      <c r="D1060" t="s">
        <v>225</v>
      </c>
      <c r="E1060" t="s">
        <v>105</v>
      </c>
      <c r="F1060" s="126">
        <v>13.1</v>
      </c>
      <c r="G1060" s="77">
        <v>28000</v>
      </c>
      <c r="H1060" s="126">
        <v>48</v>
      </c>
      <c r="I1060" s="124">
        <v>861.54</v>
      </c>
      <c r="J1060" s="126">
        <v>7.5</v>
      </c>
      <c r="K1060" s="124">
        <v>30566.666666666701</v>
      </c>
      <c r="L1060" s="124">
        <v>31428.206666666701</v>
      </c>
    </row>
    <row r="1061" spans="1:12" ht="15" customHeight="1" x14ac:dyDescent="0.25">
      <c r="A1061" s="78">
        <v>45962</v>
      </c>
      <c r="B1061" t="s">
        <v>383</v>
      </c>
      <c r="C1061" t="s">
        <v>384</v>
      </c>
      <c r="D1061" t="s">
        <v>225</v>
      </c>
      <c r="E1061" t="s">
        <v>2369</v>
      </c>
      <c r="F1061" s="126">
        <v>13.4</v>
      </c>
      <c r="G1061" s="77">
        <v>35000</v>
      </c>
      <c r="H1061" s="126">
        <v>40.9</v>
      </c>
      <c r="I1061" s="124">
        <v>917.63</v>
      </c>
      <c r="J1061" s="126">
        <v>6.8</v>
      </c>
      <c r="K1061" s="124">
        <v>39083.333333333299</v>
      </c>
      <c r="L1061" s="124">
        <v>40000.963333333297</v>
      </c>
    </row>
    <row r="1062" spans="1:12" ht="15" customHeight="1" x14ac:dyDescent="0.25">
      <c r="A1062" s="78">
        <v>45962</v>
      </c>
      <c r="B1062" t="s">
        <v>383</v>
      </c>
      <c r="C1062" t="s">
        <v>384</v>
      </c>
      <c r="D1062" t="s">
        <v>225</v>
      </c>
      <c r="E1062" t="s">
        <v>232</v>
      </c>
      <c r="F1062" s="126">
        <v>8.9</v>
      </c>
      <c r="G1062" s="77">
        <v>25000</v>
      </c>
      <c r="H1062" s="126">
        <v>25.5</v>
      </c>
      <c r="I1062" s="124">
        <v>408.65</v>
      </c>
      <c r="J1062" s="126">
        <v>4.8</v>
      </c>
      <c r="K1062" s="124">
        <v>18541.666666666701</v>
      </c>
      <c r="L1062" s="124">
        <v>18950.316666666698</v>
      </c>
    </row>
    <row r="1063" spans="1:12" ht="15" customHeight="1" x14ac:dyDescent="0.25">
      <c r="A1063" s="78">
        <v>45962</v>
      </c>
      <c r="B1063" t="s">
        <v>383</v>
      </c>
      <c r="C1063" t="s">
        <v>384</v>
      </c>
      <c r="D1063" t="s">
        <v>225</v>
      </c>
      <c r="E1063" t="s">
        <v>2367</v>
      </c>
      <c r="F1063" s="126">
        <v>18.100000000000001</v>
      </c>
      <c r="G1063" s="77">
        <v>43000</v>
      </c>
      <c r="H1063" s="126">
        <v>66.5</v>
      </c>
      <c r="I1063" s="124">
        <v>1833.01</v>
      </c>
      <c r="J1063" s="126">
        <v>8.1</v>
      </c>
      <c r="K1063" s="124">
        <v>64858.333333333299</v>
      </c>
      <c r="L1063" s="124">
        <v>66691.343333333294</v>
      </c>
    </row>
    <row r="1064" spans="1:12" ht="15" customHeight="1" x14ac:dyDescent="0.25">
      <c r="A1064" s="78">
        <v>45962</v>
      </c>
      <c r="B1064" t="s">
        <v>383</v>
      </c>
      <c r="C1064" t="s">
        <v>384</v>
      </c>
      <c r="D1064" t="s">
        <v>225</v>
      </c>
      <c r="E1064" t="s">
        <v>231</v>
      </c>
      <c r="F1064" s="126">
        <v>4.3</v>
      </c>
      <c r="G1064" s="77">
        <v>29000</v>
      </c>
      <c r="H1064" s="126">
        <v>25.8</v>
      </c>
      <c r="I1064" s="124">
        <v>479.62</v>
      </c>
      <c r="J1064" s="126">
        <v>3.1</v>
      </c>
      <c r="K1064" s="124">
        <v>10391.666666666701</v>
      </c>
      <c r="L1064" s="124">
        <v>10871.2866666667</v>
      </c>
    </row>
    <row r="1065" spans="1:12" ht="15" customHeight="1" x14ac:dyDescent="0.25">
      <c r="A1065" s="78">
        <v>45962</v>
      </c>
      <c r="B1065" t="s">
        <v>383</v>
      </c>
      <c r="C1065" t="s">
        <v>384</v>
      </c>
      <c r="D1065" t="s">
        <v>225</v>
      </c>
      <c r="E1065" t="s">
        <v>105</v>
      </c>
      <c r="F1065" s="126">
        <v>13.3</v>
      </c>
      <c r="G1065" s="77">
        <v>28000</v>
      </c>
      <c r="H1065" s="126">
        <v>41.1</v>
      </c>
      <c r="I1065" s="124">
        <v>737.69</v>
      </c>
      <c r="J1065" s="126">
        <v>7.1</v>
      </c>
      <c r="K1065" s="124">
        <v>31033.333333333299</v>
      </c>
      <c r="L1065" s="124">
        <v>31771.023333333302</v>
      </c>
    </row>
    <row r="1066" spans="1:12" ht="15" customHeight="1" x14ac:dyDescent="0.25">
      <c r="A1066" s="78">
        <v>45962</v>
      </c>
      <c r="B1066" t="s">
        <v>383</v>
      </c>
      <c r="C1066" t="s">
        <v>384</v>
      </c>
      <c r="D1066" t="s">
        <v>225</v>
      </c>
      <c r="E1066" t="s">
        <v>230</v>
      </c>
      <c r="F1066" s="126">
        <v>16.7</v>
      </c>
      <c r="G1066" s="77">
        <v>41000</v>
      </c>
      <c r="H1066" s="126">
        <v>80.3</v>
      </c>
      <c r="I1066" s="124">
        <v>2110.4499999999998</v>
      </c>
      <c r="J1066" s="126">
        <v>9</v>
      </c>
      <c r="K1066" s="124">
        <v>57058.333333333299</v>
      </c>
      <c r="L1066" s="124">
        <v>59168.783333333296</v>
      </c>
    </row>
    <row r="1067" spans="1:12" ht="15" customHeight="1" x14ac:dyDescent="0.25">
      <c r="A1067" s="78">
        <v>45962</v>
      </c>
      <c r="B1067" t="s">
        <v>373</v>
      </c>
      <c r="C1067" t="s">
        <v>374</v>
      </c>
      <c r="D1067" t="s">
        <v>225</v>
      </c>
      <c r="E1067" t="s">
        <v>2368</v>
      </c>
      <c r="F1067" s="126">
        <v>6.8</v>
      </c>
      <c r="G1067" s="77">
        <v>27000</v>
      </c>
      <c r="H1067" s="126">
        <v>9.9</v>
      </c>
      <c r="I1067" s="124">
        <v>171.35</v>
      </c>
      <c r="J1067" s="126">
        <v>4.4000000000000004</v>
      </c>
      <c r="K1067" s="124">
        <v>15300</v>
      </c>
      <c r="L1067" s="124">
        <v>15471.35</v>
      </c>
    </row>
    <row r="1068" spans="1:12" ht="15" customHeight="1" x14ac:dyDescent="0.25">
      <c r="A1068" s="78">
        <v>45962</v>
      </c>
      <c r="B1068" t="s">
        <v>373</v>
      </c>
      <c r="C1068" t="s">
        <v>374</v>
      </c>
      <c r="D1068" t="s">
        <v>225</v>
      </c>
      <c r="E1068" t="s">
        <v>2367</v>
      </c>
      <c r="F1068" s="126">
        <v>9.6999999999999993</v>
      </c>
      <c r="G1068" s="77">
        <v>43000</v>
      </c>
      <c r="H1068" s="126">
        <v>30.5</v>
      </c>
      <c r="I1068" s="124">
        <v>840.71</v>
      </c>
      <c r="J1068" s="126">
        <v>4.5</v>
      </c>
      <c r="K1068" s="124">
        <v>34758.333333333299</v>
      </c>
      <c r="L1068" s="124">
        <v>35599.043333333299</v>
      </c>
    </row>
    <row r="1069" spans="1:12" ht="15" customHeight="1" x14ac:dyDescent="0.25">
      <c r="A1069" s="78">
        <v>45962</v>
      </c>
      <c r="B1069" t="s">
        <v>373</v>
      </c>
      <c r="C1069" t="s">
        <v>374</v>
      </c>
      <c r="D1069" t="s">
        <v>225</v>
      </c>
      <c r="E1069" t="s">
        <v>230</v>
      </c>
      <c r="F1069" s="126">
        <v>11.1</v>
      </c>
      <c r="G1069" s="77">
        <v>41000</v>
      </c>
      <c r="H1069" s="126">
        <v>88.3</v>
      </c>
      <c r="I1069" s="124">
        <v>2320.71</v>
      </c>
      <c r="J1069" s="126">
        <v>5.9</v>
      </c>
      <c r="K1069" s="124">
        <v>37925</v>
      </c>
      <c r="L1069" s="124">
        <v>40245.71</v>
      </c>
    </row>
    <row r="1070" spans="1:12" ht="15" customHeight="1" x14ac:dyDescent="0.25">
      <c r="A1070" s="78">
        <v>45962</v>
      </c>
      <c r="B1070" t="s">
        <v>373</v>
      </c>
      <c r="C1070" t="s">
        <v>374</v>
      </c>
      <c r="D1070" t="s">
        <v>225</v>
      </c>
      <c r="E1070" t="s">
        <v>232</v>
      </c>
      <c r="F1070" s="126">
        <v>17.2</v>
      </c>
      <c r="G1070" s="77">
        <v>25000</v>
      </c>
      <c r="H1070" s="126">
        <v>58.8</v>
      </c>
      <c r="I1070" s="124">
        <v>942.31</v>
      </c>
      <c r="J1070" s="126">
        <v>6.4</v>
      </c>
      <c r="K1070" s="124">
        <v>35833.333333333299</v>
      </c>
      <c r="L1070" s="124">
        <v>36775.643333333297</v>
      </c>
    </row>
    <row r="1071" spans="1:12" ht="15" customHeight="1" x14ac:dyDescent="0.25">
      <c r="A1071" s="78">
        <v>45962</v>
      </c>
      <c r="B1071" t="s">
        <v>373</v>
      </c>
      <c r="C1071" t="s">
        <v>374</v>
      </c>
      <c r="D1071" t="s">
        <v>225</v>
      </c>
      <c r="E1071" t="s">
        <v>105</v>
      </c>
      <c r="F1071" s="126">
        <v>13</v>
      </c>
      <c r="G1071" s="77">
        <v>28000</v>
      </c>
      <c r="H1071" s="126">
        <v>79.099999999999994</v>
      </c>
      <c r="I1071" s="124">
        <v>1419.74</v>
      </c>
      <c r="J1071" s="126">
        <v>5.2</v>
      </c>
      <c r="K1071" s="124">
        <v>30333.333333333299</v>
      </c>
      <c r="L1071" s="124">
        <v>31753.073333333301</v>
      </c>
    </row>
    <row r="1072" spans="1:12" ht="15" customHeight="1" x14ac:dyDescent="0.25">
      <c r="A1072" s="78">
        <v>45962</v>
      </c>
      <c r="B1072" t="s">
        <v>373</v>
      </c>
      <c r="C1072" t="s">
        <v>374</v>
      </c>
      <c r="D1072" t="s">
        <v>225</v>
      </c>
      <c r="E1072" t="s">
        <v>231</v>
      </c>
      <c r="F1072" s="126">
        <v>15.9</v>
      </c>
      <c r="G1072" s="77">
        <v>29000</v>
      </c>
      <c r="H1072" s="126">
        <v>39.700000000000003</v>
      </c>
      <c r="I1072" s="124">
        <v>738.01</v>
      </c>
      <c r="J1072" s="126">
        <v>7.6</v>
      </c>
      <c r="K1072" s="124">
        <v>38425</v>
      </c>
      <c r="L1072" s="124">
        <v>39163.01</v>
      </c>
    </row>
    <row r="1073" spans="1:12" ht="15" customHeight="1" x14ac:dyDescent="0.25">
      <c r="A1073" s="78">
        <v>45962</v>
      </c>
      <c r="B1073" t="s">
        <v>354</v>
      </c>
      <c r="C1073" t="s">
        <v>355</v>
      </c>
      <c r="D1073" t="s">
        <v>227</v>
      </c>
      <c r="E1073" t="s">
        <v>231</v>
      </c>
      <c r="F1073" s="126">
        <v>13.2</v>
      </c>
      <c r="G1073" s="77">
        <v>29000</v>
      </c>
      <c r="H1073" s="126">
        <v>80.8</v>
      </c>
      <c r="I1073" s="124">
        <v>1502.05</v>
      </c>
      <c r="J1073" s="126">
        <v>7.4</v>
      </c>
      <c r="K1073" s="124">
        <v>31900</v>
      </c>
      <c r="L1073" s="124">
        <v>33402.050000000003</v>
      </c>
    </row>
    <row r="1074" spans="1:12" ht="15" customHeight="1" x14ac:dyDescent="0.25">
      <c r="A1074" s="78">
        <v>45962</v>
      </c>
      <c r="B1074" t="s">
        <v>354</v>
      </c>
      <c r="C1074" t="s">
        <v>355</v>
      </c>
      <c r="D1074" t="s">
        <v>227</v>
      </c>
      <c r="E1074" t="s">
        <v>105</v>
      </c>
      <c r="F1074" s="126">
        <v>5.5</v>
      </c>
      <c r="G1074" s="77">
        <v>28000</v>
      </c>
      <c r="H1074" s="126">
        <v>20.7</v>
      </c>
      <c r="I1074" s="124">
        <v>371.54</v>
      </c>
      <c r="J1074" s="126">
        <v>3.1</v>
      </c>
      <c r="K1074" s="124">
        <v>12833.333333333299</v>
      </c>
      <c r="L1074" s="124">
        <v>13204.8733333333</v>
      </c>
    </row>
    <row r="1075" spans="1:12" ht="15" customHeight="1" x14ac:dyDescent="0.25">
      <c r="A1075" s="78">
        <v>45962</v>
      </c>
      <c r="B1075" t="s">
        <v>354</v>
      </c>
      <c r="C1075" t="s">
        <v>355</v>
      </c>
      <c r="D1075" t="s">
        <v>227</v>
      </c>
      <c r="E1075" t="s">
        <v>2368</v>
      </c>
      <c r="F1075" s="126">
        <v>7.1</v>
      </c>
      <c r="G1075" s="77">
        <v>27000</v>
      </c>
      <c r="H1075" s="126">
        <v>22</v>
      </c>
      <c r="I1075" s="124">
        <v>380.77</v>
      </c>
      <c r="J1075" s="126">
        <v>3.7</v>
      </c>
      <c r="K1075" s="124">
        <v>15975</v>
      </c>
      <c r="L1075" s="124">
        <v>16355.77</v>
      </c>
    </row>
    <row r="1076" spans="1:12" ht="15" customHeight="1" x14ac:dyDescent="0.25">
      <c r="A1076" s="78">
        <v>45962</v>
      </c>
      <c r="B1076" t="s">
        <v>354</v>
      </c>
      <c r="C1076" t="s">
        <v>355</v>
      </c>
      <c r="D1076" t="s">
        <v>227</v>
      </c>
      <c r="E1076" t="s">
        <v>2367</v>
      </c>
      <c r="F1076" s="126">
        <v>7.7</v>
      </c>
      <c r="G1076" s="77">
        <v>43000</v>
      </c>
      <c r="H1076" s="126">
        <v>31.6</v>
      </c>
      <c r="I1076" s="124">
        <v>871.03</v>
      </c>
      <c r="J1076" s="126">
        <v>4.8</v>
      </c>
      <c r="K1076" s="124">
        <v>27591.666666666701</v>
      </c>
      <c r="L1076" s="124">
        <v>28462.696666666699</v>
      </c>
    </row>
    <row r="1077" spans="1:12" ht="15" customHeight="1" x14ac:dyDescent="0.25">
      <c r="A1077" s="78">
        <v>45962</v>
      </c>
      <c r="B1077" t="s">
        <v>354</v>
      </c>
      <c r="C1077" t="s">
        <v>355</v>
      </c>
      <c r="D1077" t="s">
        <v>227</v>
      </c>
      <c r="E1077" t="s">
        <v>230</v>
      </c>
      <c r="F1077" s="126">
        <v>8.6999999999999993</v>
      </c>
      <c r="G1077" s="77">
        <v>41000</v>
      </c>
      <c r="H1077" s="126">
        <v>47.4</v>
      </c>
      <c r="I1077" s="124">
        <v>1245.77</v>
      </c>
      <c r="J1077" s="126">
        <v>4.8</v>
      </c>
      <c r="K1077" s="124">
        <v>29725</v>
      </c>
      <c r="L1077" s="124">
        <v>30970.77</v>
      </c>
    </row>
    <row r="1078" spans="1:12" ht="15" customHeight="1" x14ac:dyDescent="0.25">
      <c r="A1078" s="78">
        <v>45962</v>
      </c>
      <c r="B1078" t="s">
        <v>370</v>
      </c>
      <c r="C1078" t="s">
        <v>371</v>
      </c>
      <c r="D1078" t="s">
        <v>227</v>
      </c>
      <c r="E1078" t="s">
        <v>232</v>
      </c>
      <c r="F1078" s="126">
        <v>5.2</v>
      </c>
      <c r="G1078" s="77">
        <v>25000</v>
      </c>
      <c r="H1078" s="126">
        <v>18</v>
      </c>
      <c r="I1078" s="124">
        <v>288.45999999999998</v>
      </c>
      <c r="J1078" s="126">
        <v>3.3</v>
      </c>
      <c r="K1078" s="124">
        <v>10833.333333333299</v>
      </c>
      <c r="L1078" s="124">
        <v>11121.7933333333</v>
      </c>
    </row>
    <row r="1079" spans="1:12" ht="15" customHeight="1" x14ac:dyDescent="0.25">
      <c r="A1079" s="78">
        <v>45962</v>
      </c>
      <c r="B1079" t="s">
        <v>370</v>
      </c>
      <c r="C1079" t="s">
        <v>371</v>
      </c>
      <c r="D1079" t="s">
        <v>227</v>
      </c>
      <c r="E1079" t="s">
        <v>230</v>
      </c>
      <c r="F1079" s="126">
        <v>12.1</v>
      </c>
      <c r="G1079" s="77">
        <v>41000</v>
      </c>
      <c r="H1079" s="126">
        <v>46.7</v>
      </c>
      <c r="I1079" s="124">
        <v>1227.3699999999999</v>
      </c>
      <c r="J1079" s="126">
        <v>5</v>
      </c>
      <c r="K1079" s="124">
        <v>41341.666666666701</v>
      </c>
      <c r="L1079" s="124">
        <v>42569.036666666703</v>
      </c>
    </row>
    <row r="1080" spans="1:12" ht="15" customHeight="1" x14ac:dyDescent="0.25">
      <c r="A1080" s="78">
        <v>45962</v>
      </c>
      <c r="B1080" t="s">
        <v>370</v>
      </c>
      <c r="C1080" t="s">
        <v>371</v>
      </c>
      <c r="D1080" t="s">
        <v>227</v>
      </c>
      <c r="E1080" t="s">
        <v>105</v>
      </c>
      <c r="F1080" s="126">
        <v>19</v>
      </c>
      <c r="G1080" s="77">
        <v>28000</v>
      </c>
      <c r="H1080" s="126">
        <v>64.5</v>
      </c>
      <c r="I1080" s="124">
        <v>1157.69</v>
      </c>
      <c r="J1080" s="126">
        <v>9.6</v>
      </c>
      <c r="K1080" s="124">
        <v>44333.333333333299</v>
      </c>
      <c r="L1080" s="124">
        <v>45491.023333333302</v>
      </c>
    </row>
    <row r="1081" spans="1:12" ht="15" customHeight="1" x14ac:dyDescent="0.25">
      <c r="A1081" s="78">
        <v>45962</v>
      </c>
      <c r="B1081" t="s">
        <v>370</v>
      </c>
      <c r="C1081" t="s">
        <v>371</v>
      </c>
      <c r="D1081" t="s">
        <v>227</v>
      </c>
      <c r="E1081" t="s">
        <v>2368</v>
      </c>
      <c r="F1081" s="126">
        <v>3.7</v>
      </c>
      <c r="G1081" s="77">
        <v>27000</v>
      </c>
      <c r="H1081" s="126">
        <v>19.899999999999999</v>
      </c>
      <c r="I1081" s="124">
        <v>344.42</v>
      </c>
      <c r="J1081" s="126">
        <v>1.7</v>
      </c>
      <c r="K1081" s="124">
        <v>8325</v>
      </c>
      <c r="L1081" s="124">
        <v>8669.42</v>
      </c>
    </row>
    <row r="1082" spans="1:12" ht="15" customHeight="1" x14ac:dyDescent="0.25">
      <c r="A1082" s="78">
        <v>45962</v>
      </c>
      <c r="B1082" t="s">
        <v>398</v>
      </c>
      <c r="C1082" t="s">
        <v>399</v>
      </c>
      <c r="D1082" t="s">
        <v>227</v>
      </c>
      <c r="E1082" t="s">
        <v>2368</v>
      </c>
      <c r="F1082" s="126">
        <v>18.899999999999999</v>
      </c>
      <c r="G1082" s="77">
        <v>27000</v>
      </c>
      <c r="H1082" s="126">
        <v>41.3</v>
      </c>
      <c r="I1082" s="124">
        <v>714.81</v>
      </c>
      <c r="J1082" s="126">
        <v>9.5</v>
      </c>
      <c r="K1082" s="124">
        <v>42525</v>
      </c>
      <c r="L1082" s="124">
        <v>43239.81</v>
      </c>
    </row>
    <row r="1083" spans="1:12" ht="15" customHeight="1" x14ac:dyDescent="0.25">
      <c r="A1083" s="78">
        <v>45962</v>
      </c>
      <c r="B1083" t="s">
        <v>398</v>
      </c>
      <c r="C1083" t="s">
        <v>399</v>
      </c>
      <c r="D1083" t="s">
        <v>227</v>
      </c>
      <c r="E1083" t="s">
        <v>232</v>
      </c>
      <c r="F1083" s="126">
        <v>10.3</v>
      </c>
      <c r="G1083" s="77">
        <v>25000</v>
      </c>
      <c r="H1083" s="126">
        <v>43</v>
      </c>
      <c r="I1083" s="124">
        <v>689.1</v>
      </c>
      <c r="J1083" s="126">
        <v>5.3</v>
      </c>
      <c r="K1083" s="124">
        <v>21458.333333333299</v>
      </c>
      <c r="L1083" s="124">
        <v>22147.433333333302</v>
      </c>
    </row>
    <row r="1084" spans="1:12" ht="15" customHeight="1" x14ac:dyDescent="0.25">
      <c r="A1084" s="78">
        <v>45962</v>
      </c>
      <c r="B1084" t="s">
        <v>398</v>
      </c>
      <c r="C1084" t="s">
        <v>399</v>
      </c>
      <c r="D1084" t="s">
        <v>227</v>
      </c>
      <c r="E1084" t="s">
        <v>230</v>
      </c>
      <c r="F1084" s="126">
        <v>19.399999999999999</v>
      </c>
      <c r="G1084" s="77">
        <v>41000</v>
      </c>
      <c r="H1084" s="126">
        <v>104.4</v>
      </c>
      <c r="I1084" s="124">
        <v>2743.85</v>
      </c>
      <c r="J1084" s="126">
        <v>10.7</v>
      </c>
      <c r="K1084" s="124">
        <v>66283.333333333299</v>
      </c>
      <c r="L1084" s="124">
        <v>69027.183333333305</v>
      </c>
    </row>
    <row r="1085" spans="1:12" ht="15" customHeight="1" x14ac:dyDescent="0.25">
      <c r="A1085" s="78">
        <v>45962</v>
      </c>
      <c r="B1085" t="s">
        <v>398</v>
      </c>
      <c r="C1085" t="s">
        <v>399</v>
      </c>
      <c r="D1085" t="s">
        <v>227</v>
      </c>
      <c r="E1085" t="s">
        <v>231</v>
      </c>
      <c r="F1085" s="126">
        <v>15.6</v>
      </c>
      <c r="G1085" s="77">
        <v>29000</v>
      </c>
      <c r="H1085" s="126">
        <v>48.5</v>
      </c>
      <c r="I1085" s="124">
        <v>901.6</v>
      </c>
      <c r="J1085" s="126">
        <v>7.2</v>
      </c>
      <c r="K1085" s="124">
        <v>37700</v>
      </c>
      <c r="L1085" s="124">
        <v>38601.599999999999</v>
      </c>
    </row>
    <row r="1086" spans="1:12" ht="15" customHeight="1" x14ac:dyDescent="0.25">
      <c r="A1086" s="78">
        <v>45962</v>
      </c>
      <c r="B1086" t="s">
        <v>398</v>
      </c>
      <c r="C1086" t="s">
        <v>399</v>
      </c>
      <c r="D1086" t="s">
        <v>227</v>
      </c>
      <c r="E1086" t="s">
        <v>2369</v>
      </c>
      <c r="F1086" s="126">
        <v>11.8</v>
      </c>
      <c r="G1086" s="77">
        <v>35000</v>
      </c>
      <c r="H1086" s="126">
        <v>28.8</v>
      </c>
      <c r="I1086" s="124">
        <v>646.15</v>
      </c>
      <c r="J1086" s="126">
        <v>6.6</v>
      </c>
      <c r="K1086" s="124">
        <v>34416.666666666701</v>
      </c>
      <c r="L1086" s="124">
        <v>35062.816666666702</v>
      </c>
    </row>
    <row r="1087" spans="1:12" ht="15" customHeight="1" x14ac:dyDescent="0.25">
      <c r="A1087" s="78">
        <v>45962</v>
      </c>
      <c r="B1087" t="s">
        <v>378</v>
      </c>
      <c r="C1087" t="s">
        <v>379</v>
      </c>
      <c r="D1087" t="s">
        <v>227</v>
      </c>
      <c r="E1087" t="s">
        <v>232</v>
      </c>
      <c r="F1087" s="126">
        <v>16.3</v>
      </c>
      <c r="G1087" s="77">
        <v>25000</v>
      </c>
      <c r="H1087" s="126">
        <v>100.6</v>
      </c>
      <c r="I1087" s="124">
        <v>1612.18</v>
      </c>
      <c r="J1087" s="126">
        <v>7.8</v>
      </c>
      <c r="K1087" s="124">
        <v>33958.333333333299</v>
      </c>
      <c r="L1087" s="124">
        <v>35570.5133333333</v>
      </c>
    </row>
    <row r="1088" spans="1:12" ht="15" customHeight="1" x14ac:dyDescent="0.25">
      <c r="A1088" s="78">
        <v>45962</v>
      </c>
      <c r="B1088" t="s">
        <v>378</v>
      </c>
      <c r="C1088" t="s">
        <v>379</v>
      </c>
      <c r="D1088" t="s">
        <v>227</v>
      </c>
      <c r="E1088" t="s">
        <v>2368</v>
      </c>
      <c r="F1088" s="126">
        <v>3.3</v>
      </c>
      <c r="G1088" s="77">
        <v>27000</v>
      </c>
      <c r="H1088" s="126">
        <v>12</v>
      </c>
      <c r="I1088" s="124">
        <v>207.69</v>
      </c>
      <c r="J1088" s="126">
        <v>3.1</v>
      </c>
      <c r="K1088" s="124">
        <v>7425</v>
      </c>
      <c r="L1088" s="124">
        <v>7632.69</v>
      </c>
    </row>
    <row r="1089" spans="1:12" ht="15" customHeight="1" x14ac:dyDescent="0.25">
      <c r="A1089" s="78">
        <v>45962</v>
      </c>
      <c r="B1089" t="s">
        <v>378</v>
      </c>
      <c r="C1089" t="s">
        <v>379</v>
      </c>
      <c r="D1089" t="s">
        <v>227</v>
      </c>
      <c r="E1089" t="s">
        <v>231</v>
      </c>
      <c r="F1089" s="126">
        <v>3.7</v>
      </c>
      <c r="G1089" s="77">
        <v>29000</v>
      </c>
      <c r="H1089" s="126">
        <v>17.600000000000001</v>
      </c>
      <c r="I1089" s="124">
        <v>327.18</v>
      </c>
      <c r="J1089" s="126">
        <v>2.2999999999999998</v>
      </c>
      <c r="K1089" s="124">
        <v>8941.6666666666697</v>
      </c>
      <c r="L1089" s="124">
        <v>9268.84666666667</v>
      </c>
    </row>
    <row r="1090" spans="1:12" ht="15" customHeight="1" x14ac:dyDescent="0.25">
      <c r="A1090" s="78">
        <v>45962</v>
      </c>
      <c r="B1090" t="s">
        <v>378</v>
      </c>
      <c r="C1090" t="s">
        <v>379</v>
      </c>
      <c r="D1090" t="s">
        <v>227</v>
      </c>
      <c r="E1090" t="s">
        <v>2369</v>
      </c>
      <c r="F1090" s="126">
        <v>6.3</v>
      </c>
      <c r="G1090" s="77">
        <v>35000</v>
      </c>
      <c r="H1090" s="126">
        <v>13.9</v>
      </c>
      <c r="I1090" s="124">
        <v>311.86</v>
      </c>
      <c r="J1090" s="126">
        <v>3.8</v>
      </c>
      <c r="K1090" s="124">
        <v>18375</v>
      </c>
      <c r="L1090" s="124">
        <v>18686.86</v>
      </c>
    </row>
    <row r="1091" spans="1:12" ht="15" customHeight="1" x14ac:dyDescent="0.25">
      <c r="A1091" s="78">
        <v>45962</v>
      </c>
      <c r="B1091" t="s">
        <v>393</v>
      </c>
      <c r="C1091" t="s">
        <v>394</v>
      </c>
      <c r="D1091" t="s">
        <v>227</v>
      </c>
      <c r="E1091" t="s">
        <v>2367</v>
      </c>
      <c r="F1091" s="126">
        <v>9.8000000000000007</v>
      </c>
      <c r="G1091" s="77">
        <v>43000</v>
      </c>
      <c r="H1091" s="126">
        <v>25.5</v>
      </c>
      <c r="I1091" s="124">
        <v>702.88</v>
      </c>
      <c r="J1091" s="126">
        <v>3.8</v>
      </c>
      <c r="K1091" s="124">
        <v>35116.666666666701</v>
      </c>
      <c r="L1091" s="124">
        <v>35819.546666666698</v>
      </c>
    </row>
    <row r="1092" spans="1:12" ht="15" customHeight="1" x14ac:dyDescent="0.25">
      <c r="A1092" s="78">
        <v>45962</v>
      </c>
      <c r="B1092" t="s">
        <v>393</v>
      </c>
      <c r="C1092" t="s">
        <v>394</v>
      </c>
      <c r="D1092" t="s">
        <v>227</v>
      </c>
      <c r="E1092" t="s">
        <v>231</v>
      </c>
      <c r="F1092" s="126">
        <v>13.3</v>
      </c>
      <c r="G1092" s="77">
        <v>29000</v>
      </c>
      <c r="H1092" s="126">
        <v>46.3</v>
      </c>
      <c r="I1092" s="124">
        <v>860.71</v>
      </c>
      <c r="J1092" s="126">
        <v>6.1</v>
      </c>
      <c r="K1092" s="124">
        <v>32141.666666666701</v>
      </c>
      <c r="L1092" s="124">
        <v>33002.3766666667</v>
      </c>
    </row>
    <row r="1093" spans="1:12" ht="15" customHeight="1" x14ac:dyDescent="0.25">
      <c r="A1093" s="78">
        <v>45962</v>
      </c>
      <c r="B1093" t="s">
        <v>393</v>
      </c>
      <c r="C1093" t="s">
        <v>394</v>
      </c>
      <c r="D1093" t="s">
        <v>227</v>
      </c>
      <c r="E1093" t="s">
        <v>230</v>
      </c>
      <c r="F1093" s="126">
        <v>16.899999999999999</v>
      </c>
      <c r="G1093" s="77">
        <v>41000</v>
      </c>
      <c r="H1093" s="126">
        <v>62</v>
      </c>
      <c r="I1093" s="124">
        <v>1629.49</v>
      </c>
      <c r="J1093" s="126">
        <v>7</v>
      </c>
      <c r="K1093" s="124">
        <v>57741.666666666701</v>
      </c>
      <c r="L1093" s="124">
        <v>59371.156666666699</v>
      </c>
    </row>
    <row r="1094" spans="1:12" ht="15" customHeight="1" x14ac:dyDescent="0.25">
      <c r="A1094" s="78">
        <v>45962</v>
      </c>
      <c r="B1094" t="s">
        <v>393</v>
      </c>
      <c r="C1094" t="s">
        <v>394</v>
      </c>
      <c r="D1094" t="s">
        <v>227</v>
      </c>
      <c r="E1094" t="s">
        <v>2369</v>
      </c>
      <c r="F1094" s="126">
        <v>16</v>
      </c>
      <c r="G1094" s="77">
        <v>35000</v>
      </c>
      <c r="H1094" s="126">
        <v>87</v>
      </c>
      <c r="I1094" s="124">
        <v>1951.92</v>
      </c>
      <c r="J1094" s="126">
        <v>9.1</v>
      </c>
      <c r="K1094" s="124">
        <v>46666.666666666701</v>
      </c>
      <c r="L1094" s="124">
        <v>48618.586666666699</v>
      </c>
    </row>
    <row r="1095" spans="1:12" ht="15" customHeight="1" x14ac:dyDescent="0.25">
      <c r="A1095" s="78">
        <v>45992</v>
      </c>
      <c r="B1095" t="s">
        <v>390</v>
      </c>
      <c r="C1095" t="s">
        <v>391</v>
      </c>
      <c r="D1095" t="s">
        <v>221</v>
      </c>
      <c r="E1095" t="s">
        <v>231</v>
      </c>
      <c r="F1095" s="126">
        <v>19</v>
      </c>
      <c r="G1095" s="77">
        <v>29000</v>
      </c>
      <c r="H1095" s="126">
        <v>20.5</v>
      </c>
      <c r="I1095" s="124">
        <v>381.09</v>
      </c>
      <c r="J1095" s="126">
        <v>10.5</v>
      </c>
      <c r="K1095" s="124">
        <v>45916.666666666701</v>
      </c>
      <c r="L1095" s="124">
        <v>46297.756666666697</v>
      </c>
    </row>
    <row r="1096" spans="1:12" ht="15" customHeight="1" x14ac:dyDescent="0.25">
      <c r="A1096" s="78">
        <v>45992</v>
      </c>
      <c r="B1096" t="s">
        <v>390</v>
      </c>
      <c r="C1096" t="s">
        <v>391</v>
      </c>
      <c r="D1096" t="s">
        <v>221</v>
      </c>
      <c r="E1096" t="s">
        <v>2368</v>
      </c>
      <c r="F1096" s="126">
        <v>6.6</v>
      </c>
      <c r="G1096" s="77">
        <v>27000</v>
      </c>
      <c r="H1096" s="126">
        <v>18.399999999999999</v>
      </c>
      <c r="I1096" s="124">
        <v>318.45999999999998</v>
      </c>
      <c r="J1096" s="126">
        <v>4.2</v>
      </c>
      <c r="K1096" s="124">
        <v>14850</v>
      </c>
      <c r="L1096" s="124">
        <v>15168.46</v>
      </c>
    </row>
    <row r="1097" spans="1:12" ht="15" customHeight="1" x14ac:dyDescent="0.25">
      <c r="A1097" s="78">
        <v>45992</v>
      </c>
      <c r="B1097" t="s">
        <v>390</v>
      </c>
      <c r="C1097" t="s">
        <v>391</v>
      </c>
      <c r="D1097" t="s">
        <v>221</v>
      </c>
      <c r="E1097" t="s">
        <v>2369</v>
      </c>
      <c r="F1097" s="126">
        <v>19.2</v>
      </c>
      <c r="G1097" s="77">
        <v>35000</v>
      </c>
      <c r="H1097" s="126">
        <v>74.8</v>
      </c>
      <c r="I1097" s="124">
        <v>1678.21</v>
      </c>
      <c r="J1097" s="126">
        <v>9.6</v>
      </c>
      <c r="K1097" s="124">
        <v>56000</v>
      </c>
      <c r="L1097" s="124">
        <v>57678.21</v>
      </c>
    </row>
    <row r="1098" spans="1:12" ht="15" customHeight="1" x14ac:dyDescent="0.25">
      <c r="A1098" s="78">
        <v>45992</v>
      </c>
      <c r="B1098" t="s">
        <v>390</v>
      </c>
      <c r="C1098" t="s">
        <v>391</v>
      </c>
      <c r="D1098" t="s">
        <v>221</v>
      </c>
      <c r="E1098" t="s">
        <v>232</v>
      </c>
      <c r="F1098" s="126">
        <v>16</v>
      </c>
      <c r="G1098" s="77">
        <v>25000</v>
      </c>
      <c r="H1098" s="126">
        <v>59.6</v>
      </c>
      <c r="I1098" s="124">
        <v>955.13</v>
      </c>
      <c r="J1098" s="126">
        <v>9.1999999999999993</v>
      </c>
      <c r="K1098" s="124">
        <v>33333.333333333299</v>
      </c>
      <c r="L1098" s="124">
        <v>34288.463333333297</v>
      </c>
    </row>
    <row r="1099" spans="1:12" ht="15" customHeight="1" x14ac:dyDescent="0.25">
      <c r="A1099" s="78">
        <v>45992</v>
      </c>
      <c r="B1099" t="s">
        <v>390</v>
      </c>
      <c r="C1099" t="s">
        <v>391</v>
      </c>
      <c r="D1099" t="s">
        <v>221</v>
      </c>
      <c r="E1099" t="s">
        <v>105</v>
      </c>
      <c r="F1099" s="126">
        <v>7.3</v>
      </c>
      <c r="G1099" s="77">
        <v>28000</v>
      </c>
      <c r="H1099" s="126">
        <v>15.6</v>
      </c>
      <c r="I1099" s="124">
        <v>280</v>
      </c>
      <c r="J1099" s="126">
        <v>4.3</v>
      </c>
      <c r="K1099" s="124">
        <v>17033.333333333299</v>
      </c>
      <c r="L1099" s="124">
        <v>17313.333333333299</v>
      </c>
    </row>
    <row r="1100" spans="1:12" ht="15" customHeight="1" x14ac:dyDescent="0.25">
      <c r="A1100" s="78">
        <v>45992</v>
      </c>
      <c r="B1100" t="s">
        <v>401</v>
      </c>
      <c r="C1100" t="s">
        <v>402</v>
      </c>
      <c r="D1100" t="s">
        <v>221</v>
      </c>
      <c r="E1100" t="s">
        <v>230</v>
      </c>
      <c r="F1100" s="126">
        <v>12.7</v>
      </c>
      <c r="G1100" s="77">
        <v>41000</v>
      </c>
      <c r="H1100" s="126">
        <v>71.8</v>
      </c>
      <c r="I1100" s="124">
        <v>1887.05</v>
      </c>
      <c r="J1100" s="126">
        <v>7.1</v>
      </c>
      <c r="K1100" s="124">
        <v>43391.666666666701</v>
      </c>
      <c r="L1100" s="124">
        <v>45278.716666666704</v>
      </c>
    </row>
    <row r="1101" spans="1:12" ht="15" customHeight="1" x14ac:dyDescent="0.25">
      <c r="A1101" s="78">
        <v>45992</v>
      </c>
      <c r="B1101" t="s">
        <v>401</v>
      </c>
      <c r="C1101" t="s">
        <v>402</v>
      </c>
      <c r="D1101" t="s">
        <v>221</v>
      </c>
      <c r="E1101" t="s">
        <v>232</v>
      </c>
      <c r="F1101" s="126">
        <v>11.3</v>
      </c>
      <c r="G1101" s="77">
        <v>25000</v>
      </c>
      <c r="H1101" s="126">
        <v>84.6</v>
      </c>
      <c r="I1101" s="124">
        <v>1355.77</v>
      </c>
      <c r="J1101" s="126">
        <v>5.0999999999999996</v>
      </c>
      <c r="K1101" s="124">
        <v>23541.666666666701</v>
      </c>
      <c r="L1101" s="124">
        <v>24897.436666666701</v>
      </c>
    </row>
    <row r="1102" spans="1:12" ht="15" customHeight="1" x14ac:dyDescent="0.25">
      <c r="A1102" s="78">
        <v>45992</v>
      </c>
      <c r="B1102" t="s">
        <v>401</v>
      </c>
      <c r="C1102" t="s">
        <v>402</v>
      </c>
      <c r="D1102" t="s">
        <v>221</v>
      </c>
      <c r="E1102" t="s">
        <v>2369</v>
      </c>
      <c r="F1102" s="126">
        <v>17.399999999999999</v>
      </c>
      <c r="G1102" s="77">
        <v>35000</v>
      </c>
      <c r="H1102" s="126">
        <v>94.6</v>
      </c>
      <c r="I1102" s="124">
        <v>2122.44</v>
      </c>
      <c r="J1102" s="126">
        <v>8.6</v>
      </c>
      <c r="K1102" s="124">
        <v>50750</v>
      </c>
      <c r="L1102" s="124">
        <v>52872.44</v>
      </c>
    </row>
    <row r="1103" spans="1:12" ht="15" customHeight="1" x14ac:dyDescent="0.25">
      <c r="A1103" s="78">
        <v>45992</v>
      </c>
      <c r="B1103" t="s">
        <v>401</v>
      </c>
      <c r="C1103" t="s">
        <v>402</v>
      </c>
      <c r="D1103" t="s">
        <v>221</v>
      </c>
      <c r="E1103" t="s">
        <v>231</v>
      </c>
      <c r="F1103" s="126">
        <v>10.199999999999999</v>
      </c>
      <c r="G1103" s="77">
        <v>29000</v>
      </c>
      <c r="H1103" s="126">
        <v>59.7</v>
      </c>
      <c r="I1103" s="124">
        <v>1109.81</v>
      </c>
      <c r="J1103" s="126">
        <v>5.0999999999999996</v>
      </c>
      <c r="K1103" s="124">
        <v>24650</v>
      </c>
      <c r="L1103" s="124">
        <v>25759.81</v>
      </c>
    </row>
    <row r="1104" spans="1:12" ht="15" customHeight="1" x14ac:dyDescent="0.25">
      <c r="A1104" s="78">
        <v>45992</v>
      </c>
      <c r="B1104" t="s">
        <v>401</v>
      </c>
      <c r="C1104" t="s">
        <v>402</v>
      </c>
      <c r="D1104" t="s">
        <v>221</v>
      </c>
      <c r="E1104" t="s">
        <v>2367</v>
      </c>
      <c r="F1104" s="126">
        <v>12.5</v>
      </c>
      <c r="G1104" s="77">
        <v>43000</v>
      </c>
      <c r="H1104" s="126">
        <v>42.7</v>
      </c>
      <c r="I1104" s="124">
        <v>1176.99</v>
      </c>
      <c r="J1104" s="126">
        <v>7.6</v>
      </c>
      <c r="K1104" s="124">
        <v>44791.666666666701</v>
      </c>
      <c r="L1104" s="124">
        <v>45968.656666666699</v>
      </c>
    </row>
    <row r="1105" spans="1:12" ht="15" customHeight="1" x14ac:dyDescent="0.25">
      <c r="A1105" s="78">
        <v>45992</v>
      </c>
      <c r="B1105" t="s">
        <v>431</v>
      </c>
      <c r="C1105" t="s">
        <v>432</v>
      </c>
      <c r="D1105" t="s">
        <v>221</v>
      </c>
      <c r="E1105" t="s">
        <v>2367</v>
      </c>
      <c r="F1105" s="126">
        <v>7.9</v>
      </c>
      <c r="G1105" s="77">
        <v>43000</v>
      </c>
      <c r="H1105" s="126">
        <v>25.8</v>
      </c>
      <c r="I1105" s="124">
        <v>711.15</v>
      </c>
      <c r="J1105" s="126">
        <v>2.5</v>
      </c>
      <c r="K1105" s="124">
        <v>28308.333333333299</v>
      </c>
      <c r="L1105" s="124">
        <v>29019.483333333301</v>
      </c>
    </row>
    <row r="1106" spans="1:12" ht="15" customHeight="1" x14ac:dyDescent="0.25">
      <c r="A1106" s="78">
        <v>45992</v>
      </c>
      <c r="B1106" t="s">
        <v>431</v>
      </c>
      <c r="C1106" t="s">
        <v>432</v>
      </c>
      <c r="D1106" t="s">
        <v>221</v>
      </c>
      <c r="E1106" t="s">
        <v>231</v>
      </c>
      <c r="F1106" s="126">
        <v>19.399999999999999</v>
      </c>
      <c r="G1106" s="77">
        <v>29000</v>
      </c>
      <c r="H1106" s="126">
        <v>62.6</v>
      </c>
      <c r="I1106" s="124">
        <v>1163.72</v>
      </c>
      <c r="J1106" s="126">
        <v>10.3</v>
      </c>
      <c r="K1106" s="124">
        <v>46883.333333333299</v>
      </c>
      <c r="L1106" s="124">
        <v>48047.053333333301</v>
      </c>
    </row>
    <row r="1107" spans="1:12" ht="15" customHeight="1" x14ac:dyDescent="0.25">
      <c r="A1107" s="78">
        <v>45992</v>
      </c>
      <c r="B1107" t="s">
        <v>431</v>
      </c>
      <c r="C1107" t="s">
        <v>432</v>
      </c>
      <c r="D1107" t="s">
        <v>221</v>
      </c>
      <c r="E1107" t="s">
        <v>105</v>
      </c>
      <c r="F1107" s="126">
        <v>5</v>
      </c>
      <c r="G1107" s="77">
        <v>28000</v>
      </c>
      <c r="H1107" s="126">
        <v>30.4</v>
      </c>
      <c r="I1107" s="124">
        <v>545.64</v>
      </c>
      <c r="J1107" s="126">
        <v>2.6</v>
      </c>
      <c r="K1107" s="124">
        <v>11666.666666666701</v>
      </c>
      <c r="L1107" s="124">
        <v>12212.3066666667</v>
      </c>
    </row>
    <row r="1108" spans="1:12" ht="15" customHeight="1" x14ac:dyDescent="0.25">
      <c r="A1108" s="78">
        <v>45992</v>
      </c>
      <c r="B1108" t="s">
        <v>431</v>
      </c>
      <c r="C1108" t="s">
        <v>432</v>
      </c>
      <c r="D1108" t="s">
        <v>221</v>
      </c>
      <c r="E1108" t="s">
        <v>230</v>
      </c>
      <c r="F1108" s="126">
        <v>8.1999999999999993</v>
      </c>
      <c r="G1108" s="77">
        <v>41000</v>
      </c>
      <c r="H1108" s="126">
        <v>49</v>
      </c>
      <c r="I1108" s="124">
        <v>1287.82</v>
      </c>
      <c r="J1108" s="126">
        <v>2.7</v>
      </c>
      <c r="K1108" s="124">
        <v>28016.666666666701</v>
      </c>
      <c r="L1108" s="124">
        <v>29304.4866666667</v>
      </c>
    </row>
    <row r="1109" spans="1:12" ht="15" customHeight="1" x14ac:dyDescent="0.25">
      <c r="A1109" s="78">
        <v>45992</v>
      </c>
      <c r="B1109" t="s">
        <v>366</v>
      </c>
      <c r="C1109" t="s">
        <v>367</v>
      </c>
      <c r="D1109" t="s">
        <v>221</v>
      </c>
      <c r="E1109" t="s">
        <v>232</v>
      </c>
      <c r="F1109" s="126">
        <v>7</v>
      </c>
      <c r="G1109" s="77">
        <v>25000</v>
      </c>
      <c r="H1109" s="126">
        <v>23.3</v>
      </c>
      <c r="I1109" s="124">
        <v>373.4</v>
      </c>
      <c r="J1109" s="126">
        <v>3.2</v>
      </c>
      <c r="K1109" s="124">
        <v>14583.333333333299</v>
      </c>
      <c r="L1109" s="124">
        <v>14956.733333333301</v>
      </c>
    </row>
    <row r="1110" spans="1:12" ht="15" customHeight="1" x14ac:dyDescent="0.25">
      <c r="A1110" s="78">
        <v>45992</v>
      </c>
      <c r="B1110" t="s">
        <v>366</v>
      </c>
      <c r="C1110" t="s">
        <v>367</v>
      </c>
      <c r="D1110" t="s">
        <v>221</v>
      </c>
      <c r="E1110" t="s">
        <v>2367</v>
      </c>
      <c r="F1110" s="126">
        <v>17.7</v>
      </c>
      <c r="G1110" s="77">
        <v>43000</v>
      </c>
      <c r="H1110" s="126">
        <v>67.8</v>
      </c>
      <c r="I1110" s="124">
        <v>1868.85</v>
      </c>
      <c r="J1110" s="126">
        <v>8.9</v>
      </c>
      <c r="K1110" s="124">
        <v>63425</v>
      </c>
      <c r="L1110" s="124">
        <v>65293.85</v>
      </c>
    </row>
    <row r="1111" spans="1:12" ht="15" customHeight="1" x14ac:dyDescent="0.25">
      <c r="A1111" s="78">
        <v>45992</v>
      </c>
      <c r="B1111" t="s">
        <v>366</v>
      </c>
      <c r="C1111" t="s">
        <v>367</v>
      </c>
      <c r="D1111" t="s">
        <v>221</v>
      </c>
      <c r="E1111" t="s">
        <v>2369</v>
      </c>
      <c r="F1111" s="126">
        <v>18.5</v>
      </c>
      <c r="G1111" s="77">
        <v>35000</v>
      </c>
      <c r="H1111" s="126">
        <v>93.2</v>
      </c>
      <c r="I1111" s="124">
        <v>2091.0300000000002</v>
      </c>
      <c r="J1111" s="126">
        <v>8.8000000000000007</v>
      </c>
      <c r="K1111" s="124">
        <v>53958.333333333299</v>
      </c>
      <c r="L1111" s="124">
        <v>56049.363333333298</v>
      </c>
    </row>
    <row r="1112" spans="1:12" ht="15" customHeight="1" x14ac:dyDescent="0.25">
      <c r="A1112" s="78">
        <v>45992</v>
      </c>
      <c r="B1112" t="s">
        <v>366</v>
      </c>
      <c r="C1112" t="s">
        <v>367</v>
      </c>
      <c r="D1112" t="s">
        <v>221</v>
      </c>
      <c r="E1112" t="s">
        <v>231</v>
      </c>
      <c r="F1112" s="126">
        <v>15.5</v>
      </c>
      <c r="G1112" s="77">
        <v>29000</v>
      </c>
      <c r="H1112" s="126">
        <v>65.2</v>
      </c>
      <c r="I1112" s="124">
        <v>1212.05</v>
      </c>
      <c r="J1112" s="126">
        <v>7.7</v>
      </c>
      <c r="K1112" s="124">
        <v>37458.333333333299</v>
      </c>
      <c r="L1112" s="124">
        <v>38670.383333333302</v>
      </c>
    </row>
    <row r="1113" spans="1:12" ht="15" customHeight="1" x14ac:dyDescent="0.25">
      <c r="A1113" s="78">
        <v>45992</v>
      </c>
      <c r="B1113" t="s">
        <v>366</v>
      </c>
      <c r="C1113" t="s">
        <v>367</v>
      </c>
      <c r="D1113" t="s">
        <v>221</v>
      </c>
      <c r="E1113" t="s">
        <v>2368</v>
      </c>
      <c r="F1113" s="126">
        <v>12</v>
      </c>
      <c r="G1113" s="77">
        <v>27000</v>
      </c>
      <c r="H1113" s="126">
        <v>31.3</v>
      </c>
      <c r="I1113" s="124">
        <v>541.73</v>
      </c>
      <c r="J1113" s="126">
        <v>5.9</v>
      </c>
      <c r="K1113" s="124">
        <v>27000</v>
      </c>
      <c r="L1113" s="124">
        <v>27541.73</v>
      </c>
    </row>
    <row r="1114" spans="1:12" ht="15" customHeight="1" x14ac:dyDescent="0.25">
      <c r="A1114" s="78">
        <v>45992</v>
      </c>
      <c r="B1114" t="s">
        <v>366</v>
      </c>
      <c r="C1114" t="s">
        <v>367</v>
      </c>
      <c r="D1114" t="s">
        <v>221</v>
      </c>
      <c r="E1114" t="s">
        <v>230</v>
      </c>
      <c r="F1114" s="126">
        <v>9.9</v>
      </c>
      <c r="G1114" s="77">
        <v>41000</v>
      </c>
      <c r="H1114" s="126">
        <v>37.5</v>
      </c>
      <c r="I1114" s="124">
        <v>985.58</v>
      </c>
      <c r="J1114" s="126">
        <v>4.8</v>
      </c>
      <c r="K1114" s="124">
        <v>33825</v>
      </c>
      <c r="L1114" s="124">
        <v>34810.58</v>
      </c>
    </row>
    <row r="1115" spans="1:12" ht="15" customHeight="1" x14ac:dyDescent="0.25">
      <c r="A1115" s="78">
        <v>45992</v>
      </c>
      <c r="B1115" t="s">
        <v>362</v>
      </c>
      <c r="C1115" t="s">
        <v>363</v>
      </c>
      <c r="D1115" t="s">
        <v>221</v>
      </c>
      <c r="E1115" t="s">
        <v>231</v>
      </c>
      <c r="F1115" s="126">
        <v>3.9</v>
      </c>
      <c r="G1115" s="77">
        <v>29000</v>
      </c>
      <c r="H1115" s="126">
        <v>15.8</v>
      </c>
      <c r="I1115" s="124">
        <v>293.72000000000003</v>
      </c>
      <c r="J1115" s="126">
        <v>2</v>
      </c>
      <c r="K1115" s="124">
        <v>9425</v>
      </c>
      <c r="L1115" s="124">
        <v>9718.7199999999993</v>
      </c>
    </row>
    <row r="1116" spans="1:12" ht="15" customHeight="1" x14ac:dyDescent="0.25">
      <c r="A1116" s="78">
        <v>45992</v>
      </c>
      <c r="B1116" t="s">
        <v>362</v>
      </c>
      <c r="C1116" t="s">
        <v>363</v>
      </c>
      <c r="D1116" t="s">
        <v>221</v>
      </c>
      <c r="E1116" t="s">
        <v>2368</v>
      </c>
      <c r="F1116" s="126">
        <v>14.3</v>
      </c>
      <c r="G1116" s="77">
        <v>27000</v>
      </c>
      <c r="H1116" s="126">
        <v>47.9</v>
      </c>
      <c r="I1116" s="124">
        <v>829.04</v>
      </c>
      <c r="J1116" s="126">
        <v>8.4</v>
      </c>
      <c r="K1116" s="124">
        <v>32175</v>
      </c>
      <c r="L1116" s="124">
        <v>33004.04</v>
      </c>
    </row>
    <row r="1117" spans="1:12" ht="15" customHeight="1" x14ac:dyDescent="0.25">
      <c r="A1117" s="78">
        <v>45992</v>
      </c>
      <c r="B1117" t="s">
        <v>362</v>
      </c>
      <c r="C1117" t="s">
        <v>363</v>
      </c>
      <c r="D1117" t="s">
        <v>221</v>
      </c>
      <c r="E1117" t="s">
        <v>230</v>
      </c>
      <c r="F1117" s="126">
        <v>10.7</v>
      </c>
      <c r="G1117" s="77">
        <v>41000</v>
      </c>
      <c r="H1117" s="126">
        <v>24</v>
      </c>
      <c r="I1117" s="124">
        <v>630.77</v>
      </c>
      <c r="J1117" s="126">
        <v>4.5999999999999996</v>
      </c>
      <c r="K1117" s="124">
        <v>36558.333333333299</v>
      </c>
      <c r="L1117" s="124">
        <v>37189.103333333303</v>
      </c>
    </row>
    <row r="1118" spans="1:12" ht="15" customHeight="1" x14ac:dyDescent="0.25">
      <c r="A1118" s="78">
        <v>45992</v>
      </c>
      <c r="B1118" t="s">
        <v>362</v>
      </c>
      <c r="C1118" t="s">
        <v>363</v>
      </c>
      <c r="D1118" t="s">
        <v>221</v>
      </c>
      <c r="E1118" t="s">
        <v>232</v>
      </c>
      <c r="F1118" s="126">
        <v>14.8</v>
      </c>
      <c r="G1118" s="77">
        <v>25000</v>
      </c>
      <c r="H1118" s="126">
        <v>120.9</v>
      </c>
      <c r="I1118" s="124">
        <v>1937.5</v>
      </c>
      <c r="J1118" s="126">
        <v>6.4</v>
      </c>
      <c r="K1118" s="124">
        <v>30833.333333333299</v>
      </c>
      <c r="L1118" s="124">
        <v>32770.833333333299</v>
      </c>
    </row>
    <row r="1119" spans="1:12" ht="15" customHeight="1" x14ac:dyDescent="0.25">
      <c r="A1119" s="78">
        <v>45992</v>
      </c>
      <c r="B1119" t="s">
        <v>335</v>
      </c>
      <c r="C1119" t="s">
        <v>336</v>
      </c>
      <c r="D1119" t="s">
        <v>223</v>
      </c>
      <c r="E1119" t="s">
        <v>105</v>
      </c>
      <c r="F1119" s="126">
        <v>16.7</v>
      </c>
      <c r="G1119" s="77">
        <v>28000</v>
      </c>
      <c r="H1119" s="126">
        <v>32.9</v>
      </c>
      <c r="I1119" s="124">
        <v>590.51</v>
      </c>
      <c r="J1119" s="126">
        <v>9.1</v>
      </c>
      <c r="K1119" s="124">
        <v>38966.666666666701</v>
      </c>
      <c r="L1119" s="124">
        <v>39557.176666666703</v>
      </c>
    </row>
    <row r="1120" spans="1:12" ht="15" customHeight="1" x14ac:dyDescent="0.25">
      <c r="A1120" s="78">
        <v>45992</v>
      </c>
      <c r="B1120" t="s">
        <v>335</v>
      </c>
      <c r="C1120" t="s">
        <v>336</v>
      </c>
      <c r="D1120" t="s">
        <v>223</v>
      </c>
      <c r="E1120" t="s">
        <v>232</v>
      </c>
      <c r="F1120" s="126">
        <v>7.9</v>
      </c>
      <c r="G1120" s="77">
        <v>25000</v>
      </c>
      <c r="H1120" s="126">
        <v>7</v>
      </c>
      <c r="I1120" s="124">
        <v>112.18</v>
      </c>
      <c r="J1120" s="126">
        <v>3.7</v>
      </c>
      <c r="K1120" s="124">
        <v>16458.333333333299</v>
      </c>
      <c r="L1120" s="124">
        <v>16570.5133333333</v>
      </c>
    </row>
    <row r="1121" spans="1:12" ht="15" customHeight="1" x14ac:dyDescent="0.25">
      <c r="A1121" s="78">
        <v>45992</v>
      </c>
      <c r="B1121" t="s">
        <v>335</v>
      </c>
      <c r="C1121" t="s">
        <v>336</v>
      </c>
      <c r="D1121" t="s">
        <v>223</v>
      </c>
      <c r="E1121" t="s">
        <v>2367</v>
      </c>
      <c r="F1121" s="126">
        <v>6.1</v>
      </c>
      <c r="G1121" s="77">
        <v>43000</v>
      </c>
      <c r="H1121" s="126">
        <v>44</v>
      </c>
      <c r="I1121" s="124">
        <v>1212.82</v>
      </c>
      <c r="J1121" s="126">
        <v>1.5</v>
      </c>
      <c r="K1121" s="124">
        <v>21858.333333333299</v>
      </c>
      <c r="L1121" s="124">
        <v>23071.153333333299</v>
      </c>
    </row>
    <row r="1122" spans="1:12" ht="15" customHeight="1" x14ac:dyDescent="0.25">
      <c r="A1122" s="78">
        <v>45992</v>
      </c>
      <c r="B1122" t="s">
        <v>335</v>
      </c>
      <c r="C1122" t="s">
        <v>336</v>
      </c>
      <c r="D1122" t="s">
        <v>223</v>
      </c>
      <c r="E1122" t="s">
        <v>230</v>
      </c>
      <c r="F1122" s="126">
        <v>3.3</v>
      </c>
      <c r="G1122" s="77">
        <v>41000</v>
      </c>
      <c r="H1122" s="126">
        <v>3.4</v>
      </c>
      <c r="I1122" s="124">
        <v>89.36</v>
      </c>
      <c r="J1122" s="126">
        <v>0.2</v>
      </c>
      <c r="K1122" s="124">
        <v>11275</v>
      </c>
      <c r="L1122" s="124">
        <v>11364.36</v>
      </c>
    </row>
    <row r="1123" spans="1:12" ht="15" customHeight="1" x14ac:dyDescent="0.25">
      <c r="A1123" s="78">
        <v>45992</v>
      </c>
      <c r="B1123" t="s">
        <v>335</v>
      </c>
      <c r="C1123" t="s">
        <v>336</v>
      </c>
      <c r="D1123" t="s">
        <v>223</v>
      </c>
      <c r="E1123" t="s">
        <v>2369</v>
      </c>
      <c r="F1123" s="126">
        <v>19.899999999999999</v>
      </c>
      <c r="G1123" s="77">
        <v>35000</v>
      </c>
      <c r="H1123" s="126">
        <v>106.4</v>
      </c>
      <c r="I1123" s="124">
        <v>2387.1799999999998</v>
      </c>
      <c r="J1123" s="126">
        <v>11.1</v>
      </c>
      <c r="K1123" s="124">
        <v>58041.666666666701</v>
      </c>
      <c r="L1123" s="124">
        <v>60428.846666666701</v>
      </c>
    </row>
    <row r="1124" spans="1:12" ht="15" customHeight="1" x14ac:dyDescent="0.25">
      <c r="A1124" s="78">
        <v>45992</v>
      </c>
      <c r="B1124" t="s">
        <v>335</v>
      </c>
      <c r="C1124" t="s">
        <v>336</v>
      </c>
      <c r="D1124" t="s">
        <v>223</v>
      </c>
      <c r="E1124" t="s">
        <v>2368</v>
      </c>
      <c r="F1124" s="126">
        <v>19.899999999999999</v>
      </c>
      <c r="G1124" s="77">
        <v>27000</v>
      </c>
      <c r="H1124" s="126">
        <v>64.3</v>
      </c>
      <c r="I1124" s="124">
        <v>1112.8800000000001</v>
      </c>
      <c r="J1124" s="126">
        <v>10.6</v>
      </c>
      <c r="K1124" s="124">
        <v>44775</v>
      </c>
      <c r="L1124" s="124">
        <v>45887.88</v>
      </c>
    </row>
    <row r="1125" spans="1:12" ht="15" customHeight="1" x14ac:dyDescent="0.25">
      <c r="A1125" s="78">
        <v>45992</v>
      </c>
      <c r="B1125" t="s">
        <v>386</v>
      </c>
      <c r="C1125" t="s">
        <v>387</v>
      </c>
      <c r="D1125" t="s">
        <v>223</v>
      </c>
      <c r="E1125" t="s">
        <v>105</v>
      </c>
      <c r="F1125" s="126">
        <v>17.8</v>
      </c>
      <c r="G1125" s="77">
        <v>28000</v>
      </c>
      <c r="H1125" s="126">
        <v>108.3</v>
      </c>
      <c r="I1125" s="124">
        <v>1943.85</v>
      </c>
      <c r="J1125" s="126">
        <v>10.7</v>
      </c>
      <c r="K1125" s="124">
        <v>41533.333333333299</v>
      </c>
      <c r="L1125" s="124">
        <v>43477.183333333298</v>
      </c>
    </row>
    <row r="1126" spans="1:12" ht="15" customHeight="1" x14ac:dyDescent="0.25">
      <c r="A1126" s="78">
        <v>45992</v>
      </c>
      <c r="B1126" t="s">
        <v>386</v>
      </c>
      <c r="C1126" t="s">
        <v>387</v>
      </c>
      <c r="D1126" t="s">
        <v>223</v>
      </c>
      <c r="E1126" t="s">
        <v>231</v>
      </c>
      <c r="F1126" s="126">
        <v>14.2</v>
      </c>
      <c r="G1126" s="77">
        <v>29000</v>
      </c>
      <c r="H1126" s="126">
        <v>51.6</v>
      </c>
      <c r="I1126" s="124">
        <v>959.23</v>
      </c>
      <c r="J1126" s="126">
        <v>4.8</v>
      </c>
      <c r="K1126" s="124">
        <v>34316.666666666701</v>
      </c>
      <c r="L1126" s="124">
        <v>35275.896666666697</v>
      </c>
    </row>
    <row r="1127" spans="1:12" ht="15" customHeight="1" x14ac:dyDescent="0.25">
      <c r="A1127" s="78">
        <v>45992</v>
      </c>
      <c r="B1127" t="s">
        <v>386</v>
      </c>
      <c r="C1127" t="s">
        <v>387</v>
      </c>
      <c r="D1127" t="s">
        <v>223</v>
      </c>
      <c r="E1127" t="s">
        <v>2369</v>
      </c>
      <c r="F1127" s="126">
        <v>17.100000000000001</v>
      </c>
      <c r="G1127" s="77">
        <v>35000</v>
      </c>
      <c r="H1127" s="126">
        <v>47.3</v>
      </c>
      <c r="I1127" s="124">
        <v>1061.22</v>
      </c>
      <c r="J1127" s="126">
        <v>8.1</v>
      </c>
      <c r="K1127" s="124">
        <v>49875</v>
      </c>
      <c r="L1127" s="124">
        <v>50936.22</v>
      </c>
    </row>
    <row r="1128" spans="1:12" ht="15" customHeight="1" x14ac:dyDescent="0.25">
      <c r="A1128" s="78">
        <v>45992</v>
      </c>
      <c r="B1128" t="s">
        <v>386</v>
      </c>
      <c r="C1128" t="s">
        <v>387</v>
      </c>
      <c r="D1128" t="s">
        <v>223</v>
      </c>
      <c r="E1128" t="s">
        <v>2367</v>
      </c>
      <c r="F1128" s="126">
        <v>13.9</v>
      </c>
      <c r="G1128" s="77">
        <v>43000</v>
      </c>
      <c r="H1128" s="126">
        <v>50.2</v>
      </c>
      <c r="I1128" s="124">
        <v>1383.72</v>
      </c>
      <c r="J1128" s="126">
        <v>6.8</v>
      </c>
      <c r="K1128" s="124">
        <v>49808.333333333299</v>
      </c>
      <c r="L1128" s="124">
        <v>51192.053333333301</v>
      </c>
    </row>
    <row r="1129" spans="1:12" ht="15" customHeight="1" x14ac:dyDescent="0.25">
      <c r="A1129" s="78">
        <v>45992</v>
      </c>
      <c r="B1129" t="s">
        <v>386</v>
      </c>
      <c r="C1129" t="s">
        <v>387</v>
      </c>
      <c r="D1129" t="s">
        <v>223</v>
      </c>
      <c r="E1129" t="s">
        <v>230</v>
      </c>
      <c r="F1129" s="126">
        <v>15.9</v>
      </c>
      <c r="G1129" s="77">
        <v>41000</v>
      </c>
      <c r="H1129" s="126">
        <v>90.3</v>
      </c>
      <c r="I1129" s="124">
        <v>2373.27</v>
      </c>
      <c r="J1129" s="126">
        <v>9.1999999999999993</v>
      </c>
      <c r="K1129" s="124">
        <v>54325</v>
      </c>
      <c r="L1129" s="124">
        <v>56698.27</v>
      </c>
    </row>
    <row r="1130" spans="1:12" ht="15" customHeight="1" x14ac:dyDescent="0.25">
      <c r="A1130" s="78">
        <v>45992</v>
      </c>
      <c r="B1130" t="s">
        <v>386</v>
      </c>
      <c r="C1130" t="s">
        <v>387</v>
      </c>
      <c r="D1130" t="s">
        <v>223</v>
      </c>
      <c r="E1130" t="s">
        <v>2368</v>
      </c>
      <c r="F1130" s="126">
        <v>15.7</v>
      </c>
      <c r="G1130" s="77">
        <v>27000</v>
      </c>
      <c r="H1130" s="126">
        <v>58.8</v>
      </c>
      <c r="I1130" s="124">
        <v>1017.69</v>
      </c>
      <c r="J1130" s="126">
        <v>8.9</v>
      </c>
      <c r="K1130" s="124">
        <v>35325</v>
      </c>
      <c r="L1130" s="124">
        <v>36342.69</v>
      </c>
    </row>
    <row r="1131" spans="1:12" ht="15" customHeight="1" x14ac:dyDescent="0.25">
      <c r="A1131" s="78">
        <v>45992</v>
      </c>
      <c r="B1131" t="s">
        <v>341</v>
      </c>
      <c r="C1131" t="s">
        <v>342</v>
      </c>
      <c r="D1131" t="s">
        <v>223</v>
      </c>
      <c r="E1131" t="s">
        <v>2368</v>
      </c>
      <c r="F1131" s="126">
        <v>12.8</v>
      </c>
      <c r="G1131" s="77">
        <v>27000</v>
      </c>
      <c r="H1131" s="126">
        <v>58.1</v>
      </c>
      <c r="I1131" s="124">
        <v>1005.58</v>
      </c>
      <c r="J1131" s="126">
        <v>6.5</v>
      </c>
      <c r="K1131" s="124">
        <v>28800</v>
      </c>
      <c r="L1131" s="124">
        <v>29805.58</v>
      </c>
    </row>
    <row r="1132" spans="1:12" ht="15" customHeight="1" x14ac:dyDescent="0.25">
      <c r="A1132" s="78">
        <v>45992</v>
      </c>
      <c r="B1132" t="s">
        <v>341</v>
      </c>
      <c r="C1132" t="s">
        <v>342</v>
      </c>
      <c r="D1132" t="s">
        <v>223</v>
      </c>
      <c r="E1132" t="s">
        <v>2369</v>
      </c>
      <c r="F1132" s="126">
        <v>13.8</v>
      </c>
      <c r="G1132" s="77">
        <v>35000</v>
      </c>
      <c r="H1132" s="126">
        <v>74</v>
      </c>
      <c r="I1132" s="124">
        <v>1660.26</v>
      </c>
      <c r="J1132" s="126">
        <v>7</v>
      </c>
      <c r="K1132" s="124">
        <v>40250</v>
      </c>
      <c r="L1132" s="124">
        <v>41910.26</v>
      </c>
    </row>
    <row r="1133" spans="1:12" ht="15" customHeight="1" x14ac:dyDescent="0.25">
      <c r="A1133" s="78">
        <v>45992</v>
      </c>
      <c r="B1133" t="s">
        <v>341</v>
      </c>
      <c r="C1133" t="s">
        <v>342</v>
      </c>
      <c r="D1133" t="s">
        <v>223</v>
      </c>
      <c r="E1133" t="s">
        <v>232</v>
      </c>
      <c r="F1133" s="126">
        <v>12.7</v>
      </c>
      <c r="G1133" s="77">
        <v>25000</v>
      </c>
      <c r="H1133" s="126">
        <v>90</v>
      </c>
      <c r="I1133" s="124">
        <v>1442.31</v>
      </c>
      <c r="J1133" s="126">
        <v>4.9000000000000004</v>
      </c>
      <c r="K1133" s="124">
        <v>26458.333333333299</v>
      </c>
      <c r="L1133" s="124">
        <v>27900.643333333301</v>
      </c>
    </row>
    <row r="1134" spans="1:12" ht="15" customHeight="1" x14ac:dyDescent="0.25">
      <c r="A1134" s="78">
        <v>45992</v>
      </c>
      <c r="B1134" t="s">
        <v>341</v>
      </c>
      <c r="C1134" t="s">
        <v>342</v>
      </c>
      <c r="D1134" t="s">
        <v>223</v>
      </c>
      <c r="E1134" t="s">
        <v>230</v>
      </c>
      <c r="F1134" s="126">
        <v>5.5</v>
      </c>
      <c r="G1134" s="77">
        <v>41000</v>
      </c>
      <c r="H1134" s="126">
        <v>17.7</v>
      </c>
      <c r="I1134" s="124">
        <v>465.19</v>
      </c>
      <c r="J1134" s="126">
        <v>2.6</v>
      </c>
      <c r="K1134" s="124">
        <v>18791.666666666701</v>
      </c>
      <c r="L1134" s="124">
        <v>19256.856666666699</v>
      </c>
    </row>
    <row r="1135" spans="1:12" ht="15" customHeight="1" x14ac:dyDescent="0.25">
      <c r="A1135" s="78">
        <v>45992</v>
      </c>
      <c r="B1135" t="s">
        <v>341</v>
      </c>
      <c r="C1135" t="s">
        <v>342</v>
      </c>
      <c r="D1135" t="s">
        <v>223</v>
      </c>
      <c r="E1135" t="s">
        <v>2367</v>
      </c>
      <c r="F1135" s="126">
        <v>12.6</v>
      </c>
      <c r="G1135" s="77">
        <v>43000</v>
      </c>
      <c r="H1135" s="126">
        <v>58.7</v>
      </c>
      <c r="I1135" s="124">
        <v>1618.01</v>
      </c>
      <c r="J1135" s="126">
        <v>7.6</v>
      </c>
      <c r="K1135" s="124">
        <v>45150</v>
      </c>
      <c r="L1135" s="124">
        <v>46768.01</v>
      </c>
    </row>
    <row r="1136" spans="1:12" ht="15" customHeight="1" x14ac:dyDescent="0.25">
      <c r="A1136" s="78">
        <v>45992</v>
      </c>
      <c r="B1136" t="s">
        <v>341</v>
      </c>
      <c r="C1136" t="s">
        <v>342</v>
      </c>
      <c r="D1136" t="s">
        <v>223</v>
      </c>
      <c r="E1136" t="s">
        <v>231</v>
      </c>
      <c r="F1136" s="126">
        <v>8</v>
      </c>
      <c r="G1136" s="77">
        <v>29000</v>
      </c>
      <c r="H1136" s="126">
        <v>31.7</v>
      </c>
      <c r="I1136" s="124">
        <v>589.29</v>
      </c>
      <c r="J1136" s="126">
        <v>2.6</v>
      </c>
      <c r="K1136" s="124">
        <v>19333.333333333299</v>
      </c>
      <c r="L1136" s="124">
        <v>19922.6233333333</v>
      </c>
    </row>
    <row r="1137" spans="1:12" ht="15" customHeight="1" x14ac:dyDescent="0.25">
      <c r="A1137" s="78">
        <v>45992</v>
      </c>
      <c r="B1137" t="s">
        <v>347</v>
      </c>
      <c r="C1137" t="s">
        <v>348</v>
      </c>
      <c r="D1137" t="s">
        <v>223</v>
      </c>
      <c r="E1137" t="s">
        <v>230</v>
      </c>
      <c r="F1137" s="126">
        <v>4.8</v>
      </c>
      <c r="G1137" s="77">
        <v>41000</v>
      </c>
      <c r="H1137" s="126">
        <v>25.3</v>
      </c>
      <c r="I1137" s="124">
        <v>664.94</v>
      </c>
      <c r="J1137" s="126">
        <v>3.2</v>
      </c>
      <c r="K1137" s="124">
        <v>16400</v>
      </c>
      <c r="L1137" s="124">
        <v>17064.939999999999</v>
      </c>
    </row>
    <row r="1138" spans="1:12" ht="15" customHeight="1" x14ac:dyDescent="0.25">
      <c r="A1138" s="78">
        <v>45992</v>
      </c>
      <c r="B1138" t="s">
        <v>347</v>
      </c>
      <c r="C1138" t="s">
        <v>348</v>
      </c>
      <c r="D1138" t="s">
        <v>223</v>
      </c>
      <c r="E1138" t="s">
        <v>2367</v>
      </c>
      <c r="F1138" s="126">
        <v>17.3</v>
      </c>
      <c r="G1138" s="77">
        <v>43000</v>
      </c>
      <c r="H1138" s="126">
        <v>18.8</v>
      </c>
      <c r="I1138" s="124">
        <v>518.21</v>
      </c>
      <c r="J1138" s="126">
        <v>8.6</v>
      </c>
      <c r="K1138" s="124">
        <v>61991.666666666701</v>
      </c>
      <c r="L1138" s="124">
        <v>62509.8766666667</v>
      </c>
    </row>
    <row r="1139" spans="1:12" ht="15" customHeight="1" x14ac:dyDescent="0.25">
      <c r="A1139" s="78">
        <v>45992</v>
      </c>
      <c r="B1139" t="s">
        <v>347</v>
      </c>
      <c r="C1139" t="s">
        <v>348</v>
      </c>
      <c r="D1139" t="s">
        <v>223</v>
      </c>
      <c r="E1139" t="s">
        <v>2368</v>
      </c>
      <c r="F1139" s="126">
        <v>16.7</v>
      </c>
      <c r="G1139" s="77">
        <v>27000</v>
      </c>
      <c r="H1139" s="126">
        <v>27</v>
      </c>
      <c r="I1139" s="124">
        <v>467.31</v>
      </c>
      <c r="J1139" s="126">
        <v>7.7</v>
      </c>
      <c r="K1139" s="124">
        <v>37575</v>
      </c>
      <c r="L1139" s="124">
        <v>38042.31</v>
      </c>
    </row>
    <row r="1140" spans="1:12" ht="15" customHeight="1" x14ac:dyDescent="0.25">
      <c r="A1140" s="78">
        <v>45992</v>
      </c>
      <c r="B1140" t="s">
        <v>347</v>
      </c>
      <c r="C1140" t="s">
        <v>348</v>
      </c>
      <c r="D1140" t="s">
        <v>223</v>
      </c>
      <c r="E1140" t="s">
        <v>231</v>
      </c>
      <c r="F1140" s="126">
        <v>6.8</v>
      </c>
      <c r="G1140" s="77">
        <v>29000</v>
      </c>
      <c r="H1140" s="126">
        <v>18</v>
      </c>
      <c r="I1140" s="124">
        <v>334.62</v>
      </c>
      <c r="J1140" s="126">
        <v>4.2</v>
      </c>
      <c r="K1140" s="124">
        <v>16433.333333333299</v>
      </c>
      <c r="L1140" s="124">
        <v>16767.953333333298</v>
      </c>
    </row>
    <row r="1141" spans="1:12" ht="15" customHeight="1" x14ac:dyDescent="0.25">
      <c r="A1141" s="78">
        <v>45992</v>
      </c>
      <c r="B1141" t="s">
        <v>347</v>
      </c>
      <c r="C1141" t="s">
        <v>348</v>
      </c>
      <c r="D1141" t="s">
        <v>223</v>
      </c>
      <c r="E1141" t="s">
        <v>232</v>
      </c>
      <c r="F1141" s="126">
        <v>16.3</v>
      </c>
      <c r="G1141" s="77">
        <v>25000</v>
      </c>
      <c r="H1141" s="126">
        <v>68.099999999999994</v>
      </c>
      <c r="I1141" s="124">
        <v>1091.3499999999999</v>
      </c>
      <c r="J1141" s="126">
        <v>6.9</v>
      </c>
      <c r="K1141" s="124">
        <v>33958.333333333299</v>
      </c>
      <c r="L1141" s="124">
        <v>35049.683333333298</v>
      </c>
    </row>
    <row r="1142" spans="1:12" ht="15" customHeight="1" x14ac:dyDescent="0.25">
      <c r="A1142" s="78">
        <v>45992</v>
      </c>
      <c r="B1142" t="s">
        <v>347</v>
      </c>
      <c r="C1142" t="s">
        <v>348</v>
      </c>
      <c r="D1142" t="s">
        <v>223</v>
      </c>
      <c r="E1142" t="s">
        <v>105</v>
      </c>
      <c r="F1142" s="126">
        <v>16.2</v>
      </c>
      <c r="G1142" s="77">
        <v>28000</v>
      </c>
      <c r="H1142" s="126">
        <v>86.2</v>
      </c>
      <c r="I1142" s="124">
        <v>1547.18</v>
      </c>
      <c r="J1142" s="126">
        <v>6.7</v>
      </c>
      <c r="K1142" s="124">
        <v>37800</v>
      </c>
      <c r="L1142" s="124">
        <v>39347.18</v>
      </c>
    </row>
    <row r="1143" spans="1:12" ht="15" customHeight="1" x14ac:dyDescent="0.25">
      <c r="A1143" s="78">
        <v>45992</v>
      </c>
      <c r="B1143" t="s">
        <v>409</v>
      </c>
      <c r="C1143" t="s">
        <v>410</v>
      </c>
      <c r="D1143" t="s">
        <v>223</v>
      </c>
      <c r="E1143" t="s">
        <v>2369</v>
      </c>
      <c r="F1143" s="126">
        <v>13.6</v>
      </c>
      <c r="G1143" s="77">
        <v>35000</v>
      </c>
      <c r="H1143" s="126">
        <v>61.1</v>
      </c>
      <c r="I1143" s="124">
        <v>1370.83</v>
      </c>
      <c r="J1143" s="126">
        <v>6</v>
      </c>
      <c r="K1143" s="124">
        <v>39666.666666666701</v>
      </c>
      <c r="L1143" s="124">
        <v>41037.496666666702</v>
      </c>
    </row>
    <row r="1144" spans="1:12" ht="15" customHeight="1" x14ac:dyDescent="0.25">
      <c r="A1144" s="78">
        <v>45992</v>
      </c>
      <c r="B1144" t="s">
        <v>409</v>
      </c>
      <c r="C1144" t="s">
        <v>410</v>
      </c>
      <c r="D1144" t="s">
        <v>223</v>
      </c>
      <c r="E1144" t="s">
        <v>2367</v>
      </c>
      <c r="F1144" s="126">
        <v>3.4</v>
      </c>
      <c r="G1144" s="77">
        <v>43000</v>
      </c>
      <c r="H1144" s="126">
        <v>11.7</v>
      </c>
      <c r="I1144" s="124">
        <v>322.5</v>
      </c>
      <c r="J1144" s="126">
        <v>2.2000000000000002</v>
      </c>
      <c r="K1144" s="124">
        <v>12183.333333333299</v>
      </c>
      <c r="L1144" s="124">
        <v>12505.833333333299</v>
      </c>
    </row>
    <row r="1145" spans="1:12" ht="15" customHeight="1" x14ac:dyDescent="0.25">
      <c r="A1145" s="78">
        <v>45992</v>
      </c>
      <c r="B1145" t="s">
        <v>409</v>
      </c>
      <c r="C1145" t="s">
        <v>410</v>
      </c>
      <c r="D1145" t="s">
        <v>223</v>
      </c>
      <c r="E1145" t="s">
        <v>2368</v>
      </c>
      <c r="F1145" s="126">
        <v>12.5</v>
      </c>
      <c r="G1145" s="77">
        <v>27000</v>
      </c>
      <c r="H1145" s="126">
        <v>59.8</v>
      </c>
      <c r="I1145" s="124">
        <v>1035</v>
      </c>
      <c r="J1145" s="126">
        <v>7.6</v>
      </c>
      <c r="K1145" s="124">
        <v>28125</v>
      </c>
      <c r="L1145" s="124">
        <v>29160</v>
      </c>
    </row>
    <row r="1146" spans="1:12" ht="15" customHeight="1" x14ac:dyDescent="0.25">
      <c r="A1146" s="78">
        <v>45992</v>
      </c>
      <c r="B1146" t="s">
        <v>409</v>
      </c>
      <c r="C1146" t="s">
        <v>410</v>
      </c>
      <c r="D1146" t="s">
        <v>223</v>
      </c>
      <c r="E1146" t="s">
        <v>232</v>
      </c>
      <c r="F1146" s="126">
        <v>5.6</v>
      </c>
      <c r="G1146" s="77">
        <v>25000</v>
      </c>
      <c r="H1146" s="126">
        <v>21.7</v>
      </c>
      <c r="I1146" s="124">
        <v>347.76</v>
      </c>
      <c r="J1146" s="126">
        <v>3.1</v>
      </c>
      <c r="K1146" s="124">
        <v>11666.666666666701</v>
      </c>
      <c r="L1146" s="124">
        <v>12014.426666666701</v>
      </c>
    </row>
    <row r="1147" spans="1:12" ht="15" customHeight="1" x14ac:dyDescent="0.25">
      <c r="A1147" s="78">
        <v>45992</v>
      </c>
      <c r="B1147" t="s">
        <v>409</v>
      </c>
      <c r="C1147" t="s">
        <v>410</v>
      </c>
      <c r="D1147" t="s">
        <v>223</v>
      </c>
      <c r="E1147" t="s">
        <v>231</v>
      </c>
      <c r="F1147" s="126">
        <v>13.9</v>
      </c>
      <c r="G1147" s="77">
        <v>29000</v>
      </c>
      <c r="H1147" s="126">
        <v>46.5</v>
      </c>
      <c r="I1147" s="124">
        <v>864.42</v>
      </c>
      <c r="J1147" s="126">
        <v>7.1</v>
      </c>
      <c r="K1147" s="124">
        <v>33591.666666666701</v>
      </c>
      <c r="L1147" s="124">
        <v>34456.086666666699</v>
      </c>
    </row>
    <row r="1148" spans="1:12" ht="15" customHeight="1" x14ac:dyDescent="0.25">
      <c r="A1148" s="78">
        <v>45992</v>
      </c>
      <c r="B1148" t="s">
        <v>488</v>
      </c>
      <c r="C1148" t="s">
        <v>489</v>
      </c>
      <c r="D1148" t="s">
        <v>225</v>
      </c>
      <c r="E1148" t="s">
        <v>105</v>
      </c>
      <c r="F1148" s="126">
        <v>15.7</v>
      </c>
      <c r="G1148" s="77">
        <v>28000</v>
      </c>
      <c r="H1148" s="126">
        <v>73.099999999999994</v>
      </c>
      <c r="I1148" s="124">
        <v>1312.05</v>
      </c>
      <c r="J1148" s="126">
        <v>7.8</v>
      </c>
      <c r="K1148" s="124">
        <v>36633.333333333299</v>
      </c>
      <c r="L1148" s="124">
        <v>37945.383333333302</v>
      </c>
    </row>
    <row r="1149" spans="1:12" ht="15" customHeight="1" x14ac:dyDescent="0.25">
      <c r="A1149" s="78">
        <v>45992</v>
      </c>
      <c r="B1149" t="s">
        <v>488</v>
      </c>
      <c r="C1149" t="s">
        <v>489</v>
      </c>
      <c r="D1149" t="s">
        <v>225</v>
      </c>
      <c r="E1149" t="s">
        <v>2369</v>
      </c>
      <c r="F1149" s="126">
        <v>8.3000000000000007</v>
      </c>
      <c r="G1149" s="77">
        <v>35000</v>
      </c>
      <c r="H1149" s="126">
        <v>10.7</v>
      </c>
      <c r="I1149" s="124">
        <v>240.06</v>
      </c>
      <c r="J1149" s="126">
        <v>4.5</v>
      </c>
      <c r="K1149" s="124">
        <v>24208.333333333299</v>
      </c>
      <c r="L1149" s="124">
        <v>24448.393333333301</v>
      </c>
    </row>
    <row r="1150" spans="1:12" ht="15" customHeight="1" x14ac:dyDescent="0.25">
      <c r="A1150" s="78">
        <v>45992</v>
      </c>
      <c r="B1150" t="s">
        <v>488</v>
      </c>
      <c r="C1150" t="s">
        <v>489</v>
      </c>
      <c r="D1150" t="s">
        <v>225</v>
      </c>
      <c r="E1150" t="s">
        <v>232</v>
      </c>
      <c r="F1150" s="126">
        <v>19</v>
      </c>
      <c r="G1150" s="77">
        <v>25000</v>
      </c>
      <c r="H1150" s="126">
        <v>86.4</v>
      </c>
      <c r="I1150" s="124">
        <v>1384.62</v>
      </c>
      <c r="J1150" s="126">
        <v>8.8000000000000007</v>
      </c>
      <c r="K1150" s="124">
        <v>39583.333333333299</v>
      </c>
      <c r="L1150" s="124">
        <v>40967.953333333302</v>
      </c>
    </row>
    <row r="1151" spans="1:12" ht="15" customHeight="1" x14ac:dyDescent="0.25">
      <c r="A1151" s="78">
        <v>45992</v>
      </c>
      <c r="B1151" t="s">
        <v>488</v>
      </c>
      <c r="C1151" t="s">
        <v>489</v>
      </c>
      <c r="D1151" t="s">
        <v>225</v>
      </c>
      <c r="E1151" t="s">
        <v>2368</v>
      </c>
      <c r="F1151" s="126">
        <v>15.3</v>
      </c>
      <c r="G1151" s="77">
        <v>27000</v>
      </c>
      <c r="H1151" s="126">
        <v>31.7</v>
      </c>
      <c r="I1151" s="124">
        <v>548.65</v>
      </c>
      <c r="J1151" s="126">
        <v>9.1</v>
      </c>
      <c r="K1151" s="124">
        <v>34425</v>
      </c>
      <c r="L1151" s="124">
        <v>34973.65</v>
      </c>
    </row>
    <row r="1152" spans="1:12" ht="15" customHeight="1" x14ac:dyDescent="0.25">
      <c r="A1152" s="78">
        <v>45992</v>
      </c>
      <c r="B1152" t="s">
        <v>488</v>
      </c>
      <c r="C1152" t="s">
        <v>489</v>
      </c>
      <c r="D1152" t="s">
        <v>225</v>
      </c>
      <c r="E1152" t="s">
        <v>2367</v>
      </c>
      <c r="F1152" s="126">
        <v>11.8</v>
      </c>
      <c r="G1152" s="77">
        <v>43000</v>
      </c>
      <c r="H1152" s="126">
        <v>55.9</v>
      </c>
      <c r="I1152" s="124">
        <v>1540.83</v>
      </c>
      <c r="J1152" s="126">
        <v>5.7</v>
      </c>
      <c r="K1152" s="124">
        <v>42283.333333333299</v>
      </c>
      <c r="L1152" s="124">
        <v>43824.163333333301</v>
      </c>
    </row>
    <row r="1153" spans="1:12" ht="15" customHeight="1" x14ac:dyDescent="0.25">
      <c r="A1153" s="78">
        <v>45992</v>
      </c>
      <c r="B1153" t="s">
        <v>406</v>
      </c>
      <c r="C1153" t="s">
        <v>407</v>
      </c>
      <c r="D1153" t="s">
        <v>225</v>
      </c>
      <c r="E1153" t="s">
        <v>230</v>
      </c>
      <c r="F1153" s="126">
        <v>14.1</v>
      </c>
      <c r="G1153" s="77">
        <v>41000</v>
      </c>
      <c r="H1153" s="126">
        <v>32.4</v>
      </c>
      <c r="I1153" s="124">
        <v>851.54</v>
      </c>
      <c r="J1153" s="126">
        <v>6.2</v>
      </c>
      <c r="K1153" s="124">
        <v>48175</v>
      </c>
      <c r="L1153" s="124">
        <v>49026.54</v>
      </c>
    </row>
    <row r="1154" spans="1:12" ht="15" customHeight="1" x14ac:dyDescent="0.25">
      <c r="A1154" s="78">
        <v>45992</v>
      </c>
      <c r="B1154" t="s">
        <v>406</v>
      </c>
      <c r="C1154" t="s">
        <v>407</v>
      </c>
      <c r="D1154" t="s">
        <v>225</v>
      </c>
      <c r="E1154" t="s">
        <v>2368</v>
      </c>
      <c r="F1154" s="126">
        <v>18.3</v>
      </c>
      <c r="G1154" s="77">
        <v>27000</v>
      </c>
      <c r="H1154" s="126">
        <v>109</v>
      </c>
      <c r="I1154" s="124">
        <v>1886.54</v>
      </c>
      <c r="J1154" s="126">
        <v>9.3000000000000007</v>
      </c>
      <c r="K1154" s="124">
        <v>41175</v>
      </c>
      <c r="L1154" s="124">
        <v>43061.54</v>
      </c>
    </row>
    <row r="1155" spans="1:12" ht="15" customHeight="1" x14ac:dyDescent="0.25">
      <c r="A1155" s="78">
        <v>45992</v>
      </c>
      <c r="B1155" t="s">
        <v>406</v>
      </c>
      <c r="C1155" t="s">
        <v>407</v>
      </c>
      <c r="D1155" t="s">
        <v>225</v>
      </c>
      <c r="E1155" t="s">
        <v>2367</v>
      </c>
      <c r="F1155" s="126">
        <v>11.8</v>
      </c>
      <c r="G1155" s="77">
        <v>43000</v>
      </c>
      <c r="H1155" s="126">
        <v>37.5</v>
      </c>
      <c r="I1155" s="124">
        <v>1033.6500000000001</v>
      </c>
      <c r="J1155" s="126">
        <v>6.4</v>
      </c>
      <c r="K1155" s="124">
        <v>42283.333333333299</v>
      </c>
      <c r="L1155" s="124">
        <v>43316.983333333301</v>
      </c>
    </row>
    <row r="1156" spans="1:12" ht="15" customHeight="1" x14ac:dyDescent="0.25">
      <c r="A1156" s="78">
        <v>45992</v>
      </c>
      <c r="B1156" t="s">
        <v>406</v>
      </c>
      <c r="C1156" t="s">
        <v>407</v>
      </c>
      <c r="D1156" t="s">
        <v>225</v>
      </c>
      <c r="E1156" t="s">
        <v>105</v>
      </c>
      <c r="F1156" s="126">
        <v>14.2</v>
      </c>
      <c r="G1156" s="77">
        <v>28000</v>
      </c>
      <c r="H1156" s="126">
        <v>39.5</v>
      </c>
      <c r="I1156" s="124">
        <v>708.97</v>
      </c>
      <c r="J1156" s="126">
        <v>8.6</v>
      </c>
      <c r="K1156" s="124">
        <v>33133.333333333299</v>
      </c>
      <c r="L1156" s="124">
        <v>33842.303333333301</v>
      </c>
    </row>
    <row r="1157" spans="1:12" ht="15" customHeight="1" x14ac:dyDescent="0.25">
      <c r="A1157" s="78">
        <v>45992</v>
      </c>
      <c r="B1157" t="s">
        <v>358</v>
      </c>
      <c r="C1157" t="s">
        <v>359</v>
      </c>
      <c r="D1157" t="s">
        <v>225</v>
      </c>
      <c r="E1157" t="s">
        <v>105</v>
      </c>
      <c r="F1157" s="126">
        <v>18.100000000000001</v>
      </c>
      <c r="G1157" s="77">
        <v>28000</v>
      </c>
      <c r="H1157" s="126">
        <v>109.1</v>
      </c>
      <c r="I1157" s="124">
        <v>1958.21</v>
      </c>
      <c r="J1157" s="126">
        <v>8.6</v>
      </c>
      <c r="K1157" s="124">
        <v>42233.333333333299</v>
      </c>
      <c r="L1157" s="124">
        <v>44191.543333333299</v>
      </c>
    </row>
    <row r="1158" spans="1:12" ht="15" customHeight="1" x14ac:dyDescent="0.25">
      <c r="A1158" s="78">
        <v>45992</v>
      </c>
      <c r="B1158" t="s">
        <v>358</v>
      </c>
      <c r="C1158" t="s">
        <v>359</v>
      </c>
      <c r="D1158" t="s">
        <v>225</v>
      </c>
      <c r="E1158" t="s">
        <v>232</v>
      </c>
      <c r="F1158" s="126">
        <v>5</v>
      </c>
      <c r="G1158" s="77">
        <v>25000</v>
      </c>
      <c r="H1158" s="126">
        <v>15.3</v>
      </c>
      <c r="I1158" s="124">
        <v>245.19</v>
      </c>
      <c r="J1158" s="126">
        <v>0</v>
      </c>
      <c r="K1158" s="124">
        <v>10416.666666666701</v>
      </c>
      <c r="L1158" s="124">
        <v>10661.856666666699</v>
      </c>
    </row>
    <row r="1159" spans="1:12" ht="15" customHeight="1" x14ac:dyDescent="0.25">
      <c r="A1159" s="78">
        <v>45992</v>
      </c>
      <c r="B1159" t="s">
        <v>358</v>
      </c>
      <c r="C1159" t="s">
        <v>359</v>
      </c>
      <c r="D1159" t="s">
        <v>225</v>
      </c>
      <c r="E1159" t="s">
        <v>230</v>
      </c>
      <c r="F1159" s="126">
        <v>5.4</v>
      </c>
      <c r="G1159" s="77">
        <v>41000</v>
      </c>
      <c r="H1159" s="126">
        <v>9.6</v>
      </c>
      <c r="I1159" s="124">
        <v>252.31</v>
      </c>
      <c r="J1159" s="126">
        <v>1.4</v>
      </c>
      <c r="K1159" s="124">
        <v>18450</v>
      </c>
      <c r="L1159" s="124">
        <v>18702.310000000001</v>
      </c>
    </row>
    <row r="1160" spans="1:12" ht="15" customHeight="1" x14ac:dyDescent="0.25">
      <c r="A1160" s="78">
        <v>45992</v>
      </c>
      <c r="B1160" t="s">
        <v>358</v>
      </c>
      <c r="C1160" t="s">
        <v>359</v>
      </c>
      <c r="D1160" t="s">
        <v>225</v>
      </c>
      <c r="E1160" t="s">
        <v>2368</v>
      </c>
      <c r="F1160" s="126">
        <v>14.8</v>
      </c>
      <c r="G1160" s="77">
        <v>27000</v>
      </c>
      <c r="H1160" s="126">
        <v>62.2</v>
      </c>
      <c r="I1160" s="124">
        <v>1076.54</v>
      </c>
      <c r="J1160" s="126">
        <v>7.1</v>
      </c>
      <c r="K1160" s="124">
        <v>33300</v>
      </c>
      <c r="L1160" s="124">
        <v>34376.54</v>
      </c>
    </row>
    <row r="1161" spans="1:12" ht="15" customHeight="1" x14ac:dyDescent="0.25">
      <c r="A1161" s="78">
        <v>45992</v>
      </c>
      <c r="B1161" t="s">
        <v>358</v>
      </c>
      <c r="C1161" t="s">
        <v>359</v>
      </c>
      <c r="D1161" t="s">
        <v>225</v>
      </c>
      <c r="E1161" t="s">
        <v>231</v>
      </c>
      <c r="F1161" s="126">
        <v>13.4</v>
      </c>
      <c r="G1161" s="77">
        <v>29000</v>
      </c>
      <c r="H1161" s="126">
        <v>26.6</v>
      </c>
      <c r="I1161" s="124">
        <v>494.49</v>
      </c>
      <c r="J1161" s="126">
        <v>6.4</v>
      </c>
      <c r="K1161" s="124">
        <v>32383.333333333299</v>
      </c>
      <c r="L1161" s="124">
        <v>32877.823333333297</v>
      </c>
    </row>
    <row r="1162" spans="1:12" ht="15" customHeight="1" x14ac:dyDescent="0.25">
      <c r="A1162" s="78">
        <v>45992</v>
      </c>
      <c r="B1162" t="s">
        <v>358</v>
      </c>
      <c r="C1162" t="s">
        <v>359</v>
      </c>
      <c r="D1162" t="s">
        <v>225</v>
      </c>
      <c r="E1162" t="s">
        <v>2367</v>
      </c>
      <c r="F1162" s="126">
        <v>8.8000000000000007</v>
      </c>
      <c r="G1162" s="77">
        <v>43000</v>
      </c>
      <c r="H1162" s="126">
        <v>41.9</v>
      </c>
      <c r="I1162" s="124">
        <v>1154.94</v>
      </c>
      <c r="J1162" s="126">
        <v>4.9000000000000004</v>
      </c>
      <c r="K1162" s="124">
        <v>31533.333333333299</v>
      </c>
      <c r="L1162" s="124">
        <v>32688.273333333302</v>
      </c>
    </row>
    <row r="1163" spans="1:12" ht="15" customHeight="1" x14ac:dyDescent="0.25">
      <c r="A1163" s="78">
        <v>45992</v>
      </c>
      <c r="B1163" t="s">
        <v>383</v>
      </c>
      <c r="C1163" t="s">
        <v>384</v>
      </c>
      <c r="D1163" t="s">
        <v>225</v>
      </c>
      <c r="E1163" t="s">
        <v>105</v>
      </c>
      <c r="F1163" s="126">
        <v>10.4</v>
      </c>
      <c r="G1163" s="77">
        <v>28000</v>
      </c>
      <c r="H1163" s="126">
        <v>12</v>
      </c>
      <c r="I1163" s="124">
        <v>215.38</v>
      </c>
      <c r="J1163" s="126">
        <v>5.0999999999999996</v>
      </c>
      <c r="K1163" s="124">
        <v>24266.666666666701</v>
      </c>
      <c r="L1163" s="124">
        <v>24482.046666666702</v>
      </c>
    </row>
    <row r="1164" spans="1:12" ht="15" customHeight="1" x14ac:dyDescent="0.25">
      <c r="A1164" s="78">
        <v>45992</v>
      </c>
      <c r="B1164" t="s">
        <v>383</v>
      </c>
      <c r="C1164" t="s">
        <v>384</v>
      </c>
      <c r="D1164" t="s">
        <v>225</v>
      </c>
      <c r="E1164" t="s">
        <v>231</v>
      </c>
      <c r="F1164" s="126">
        <v>7.5</v>
      </c>
      <c r="G1164" s="77">
        <v>29000</v>
      </c>
      <c r="H1164" s="126">
        <v>14.4</v>
      </c>
      <c r="I1164" s="124">
        <v>267.69</v>
      </c>
      <c r="J1164" s="126">
        <v>4.7</v>
      </c>
      <c r="K1164" s="124">
        <v>18125</v>
      </c>
      <c r="L1164" s="124">
        <v>18392.689999999999</v>
      </c>
    </row>
    <row r="1165" spans="1:12" ht="15" customHeight="1" x14ac:dyDescent="0.25">
      <c r="A1165" s="78">
        <v>45992</v>
      </c>
      <c r="B1165" t="s">
        <v>383</v>
      </c>
      <c r="C1165" t="s">
        <v>384</v>
      </c>
      <c r="D1165" t="s">
        <v>225</v>
      </c>
      <c r="E1165" t="s">
        <v>2369</v>
      </c>
      <c r="F1165" s="126">
        <v>16.3</v>
      </c>
      <c r="G1165" s="77">
        <v>35000</v>
      </c>
      <c r="H1165" s="126">
        <v>84.4</v>
      </c>
      <c r="I1165" s="124">
        <v>1893.59</v>
      </c>
      <c r="J1165" s="126">
        <v>7.3</v>
      </c>
      <c r="K1165" s="124">
        <v>47541.666666666701</v>
      </c>
      <c r="L1165" s="124">
        <v>49435.256666666697</v>
      </c>
    </row>
    <row r="1166" spans="1:12" ht="15" customHeight="1" x14ac:dyDescent="0.25">
      <c r="A1166" s="78">
        <v>45992</v>
      </c>
      <c r="B1166" t="s">
        <v>383</v>
      </c>
      <c r="C1166" t="s">
        <v>384</v>
      </c>
      <c r="D1166" t="s">
        <v>225</v>
      </c>
      <c r="E1166" t="s">
        <v>230</v>
      </c>
      <c r="F1166" s="126">
        <v>9.5</v>
      </c>
      <c r="G1166" s="77">
        <v>41000</v>
      </c>
      <c r="H1166" s="126">
        <v>27.1</v>
      </c>
      <c r="I1166" s="124">
        <v>712.24</v>
      </c>
      <c r="J1166" s="126">
        <v>4.3</v>
      </c>
      <c r="K1166" s="124">
        <v>32458.333333333299</v>
      </c>
      <c r="L1166" s="124">
        <v>33170.573333333297</v>
      </c>
    </row>
    <row r="1167" spans="1:12" ht="15" customHeight="1" x14ac:dyDescent="0.25">
      <c r="A1167" s="78">
        <v>45992</v>
      </c>
      <c r="B1167" t="s">
        <v>383</v>
      </c>
      <c r="C1167" t="s">
        <v>384</v>
      </c>
      <c r="D1167" t="s">
        <v>225</v>
      </c>
      <c r="E1167" t="s">
        <v>2367</v>
      </c>
      <c r="F1167" s="126">
        <v>9.4</v>
      </c>
      <c r="G1167" s="77">
        <v>43000</v>
      </c>
      <c r="H1167" s="126">
        <v>5.8</v>
      </c>
      <c r="I1167" s="124">
        <v>159.87</v>
      </c>
      <c r="J1167" s="126">
        <v>5</v>
      </c>
      <c r="K1167" s="124">
        <v>33683.333333333299</v>
      </c>
      <c r="L1167" s="124">
        <v>33843.203333333302</v>
      </c>
    </row>
    <row r="1168" spans="1:12" ht="15" customHeight="1" x14ac:dyDescent="0.25">
      <c r="A1168" s="78">
        <v>45992</v>
      </c>
      <c r="B1168" t="s">
        <v>383</v>
      </c>
      <c r="C1168" t="s">
        <v>384</v>
      </c>
      <c r="D1168" t="s">
        <v>225</v>
      </c>
      <c r="E1168" t="s">
        <v>232</v>
      </c>
      <c r="F1168" s="126">
        <v>9.9</v>
      </c>
      <c r="G1168" s="77">
        <v>25000</v>
      </c>
      <c r="H1168" s="126">
        <v>35.5</v>
      </c>
      <c r="I1168" s="124">
        <v>568.91</v>
      </c>
      <c r="J1168" s="126">
        <v>5.9</v>
      </c>
      <c r="K1168" s="124">
        <v>20625</v>
      </c>
      <c r="L1168" s="124">
        <v>21193.91</v>
      </c>
    </row>
    <row r="1169" spans="1:12" ht="15" customHeight="1" x14ac:dyDescent="0.25">
      <c r="A1169" s="78">
        <v>45992</v>
      </c>
      <c r="B1169" t="s">
        <v>373</v>
      </c>
      <c r="C1169" t="s">
        <v>374</v>
      </c>
      <c r="D1169" t="s">
        <v>225</v>
      </c>
      <c r="E1169" t="s">
        <v>105</v>
      </c>
      <c r="F1169" s="126">
        <v>16.7</v>
      </c>
      <c r="G1169" s="77">
        <v>28000</v>
      </c>
      <c r="H1169" s="126">
        <v>39.299999999999997</v>
      </c>
      <c r="I1169" s="124">
        <v>705.38</v>
      </c>
      <c r="J1169" s="126">
        <v>7.7</v>
      </c>
      <c r="K1169" s="124">
        <v>38966.666666666701</v>
      </c>
      <c r="L1169" s="124">
        <v>39672.046666666698</v>
      </c>
    </row>
    <row r="1170" spans="1:12" ht="15" customHeight="1" x14ac:dyDescent="0.25">
      <c r="A1170" s="78">
        <v>45992</v>
      </c>
      <c r="B1170" t="s">
        <v>373</v>
      </c>
      <c r="C1170" t="s">
        <v>374</v>
      </c>
      <c r="D1170" t="s">
        <v>225</v>
      </c>
      <c r="E1170" t="s">
        <v>231</v>
      </c>
      <c r="F1170" s="126">
        <v>4.7</v>
      </c>
      <c r="G1170" s="77">
        <v>29000</v>
      </c>
      <c r="H1170" s="126">
        <v>8.1999999999999993</v>
      </c>
      <c r="I1170" s="124">
        <v>152.44</v>
      </c>
      <c r="J1170" s="126">
        <v>1.3</v>
      </c>
      <c r="K1170" s="124">
        <v>11358.333333333299</v>
      </c>
      <c r="L1170" s="124">
        <v>11510.7733333333</v>
      </c>
    </row>
    <row r="1171" spans="1:12" ht="15" customHeight="1" x14ac:dyDescent="0.25">
      <c r="A1171" s="78">
        <v>45992</v>
      </c>
      <c r="B1171" t="s">
        <v>373</v>
      </c>
      <c r="C1171" t="s">
        <v>374</v>
      </c>
      <c r="D1171" t="s">
        <v>225</v>
      </c>
      <c r="E1171" t="s">
        <v>232</v>
      </c>
      <c r="F1171" s="126">
        <v>17.100000000000001</v>
      </c>
      <c r="G1171" s="77">
        <v>25000</v>
      </c>
      <c r="H1171" s="126">
        <v>38.1</v>
      </c>
      <c r="I1171" s="124">
        <v>610.58000000000004</v>
      </c>
      <c r="J1171" s="126">
        <v>9.5</v>
      </c>
      <c r="K1171" s="124">
        <v>35625</v>
      </c>
      <c r="L1171" s="124">
        <v>36235.58</v>
      </c>
    </row>
    <row r="1172" spans="1:12" ht="15" customHeight="1" x14ac:dyDescent="0.25">
      <c r="A1172" s="78">
        <v>45992</v>
      </c>
      <c r="B1172" t="s">
        <v>373</v>
      </c>
      <c r="C1172" t="s">
        <v>374</v>
      </c>
      <c r="D1172" t="s">
        <v>225</v>
      </c>
      <c r="E1172" t="s">
        <v>2369</v>
      </c>
      <c r="F1172" s="126">
        <v>18</v>
      </c>
      <c r="G1172" s="77">
        <v>35000</v>
      </c>
      <c r="H1172" s="126">
        <v>53.1</v>
      </c>
      <c r="I1172" s="124">
        <v>1191.3499999999999</v>
      </c>
      <c r="J1172" s="126">
        <v>9.1</v>
      </c>
      <c r="K1172" s="124">
        <v>52500</v>
      </c>
      <c r="L1172" s="124">
        <v>53691.35</v>
      </c>
    </row>
    <row r="1173" spans="1:12" ht="15" customHeight="1" x14ac:dyDescent="0.25">
      <c r="A1173" s="78">
        <v>45992</v>
      </c>
      <c r="B1173" t="s">
        <v>354</v>
      </c>
      <c r="C1173" t="s">
        <v>355</v>
      </c>
      <c r="D1173" t="s">
        <v>227</v>
      </c>
      <c r="E1173" t="s">
        <v>105</v>
      </c>
      <c r="F1173" s="126">
        <v>19.7</v>
      </c>
      <c r="G1173" s="77">
        <v>28000</v>
      </c>
      <c r="H1173" s="126">
        <v>67.5</v>
      </c>
      <c r="I1173" s="124">
        <v>1211.54</v>
      </c>
      <c r="J1173" s="126">
        <v>8.6</v>
      </c>
      <c r="K1173" s="124">
        <v>45966.666666666701</v>
      </c>
      <c r="L1173" s="124">
        <v>47178.206666666701</v>
      </c>
    </row>
    <row r="1174" spans="1:12" ht="15" customHeight="1" x14ac:dyDescent="0.25">
      <c r="A1174" s="78">
        <v>45992</v>
      </c>
      <c r="B1174" t="s">
        <v>354</v>
      </c>
      <c r="C1174" t="s">
        <v>355</v>
      </c>
      <c r="D1174" t="s">
        <v>227</v>
      </c>
      <c r="E1174" t="s">
        <v>2367</v>
      </c>
      <c r="F1174" s="126">
        <v>15.8</v>
      </c>
      <c r="G1174" s="77">
        <v>43000</v>
      </c>
      <c r="H1174" s="126">
        <v>59.2</v>
      </c>
      <c r="I1174" s="124">
        <v>1631.79</v>
      </c>
      <c r="J1174" s="126">
        <v>8.5</v>
      </c>
      <c r="K1174" s="124">
        <v>56616.666666666701</v>
      </c>
      <c r="L1174" s="124">
        <v>58248.456666666701</v>
      </c>
    </row>
    <row r="1175" spans="1:12" ht="15" customHeight="1" x14ac:dyDescent="0.25">
      <c r="A1175" s="78">
        <v>45992</v>
      </c>
      <c r="B1175" t="s">
        <v>354</v>
      </c>
      <c r="C1175" t="s">
        <v>355</v>
      </c>
      <c r="D1175" t="s">
        <v>227</v>
      </c>
      <c r="E1175" t="s">
        <v>230</v>
      </c>
      <c r="F1175" s="126">
        <v>7.3</v>
      </c>
      <c r="G1175" s="77">
        <v>41000</v>
      </c>
      <c r="H1175" s="126">
        <v>16</v>
      </c>
      <c r="I1175" s="124">
        <v>420.51</v>
      </c>
      <c r="J1175" s="126">
        <v>4.5</v>
      </c>
      <c r="K1175" s="124">
        <v>24941.666666666701</v>
      </c>
      <c r="L1175" s="124">
        <v>25362.176666666699</v>
      </c>
    </row>
    <row r="1176" spans="1:12" ht="15" customHeight="1" x14ac:dyDescent="0.25">
      <c r="A1176" s="78">
        <v>45992</v>
      </c>
      <c r="B1176" t="s">
        <v>354</v>
      </c>
      <c r="C1176" t="s">
        <v>355</v>
      </c>
      <c r="D1176" t="s">
        <v>227</v>
      </c>
      <c r="E1176" t="s">
        <v>2368</v>
      </c>
      <c r="F1176" s="126">
        <v>6.3</v>
      </c>
      <c r="G1176" s="77">
        <v>27000</v>
      </c>
      <c r="H1176" s="126">
        <v>17.2</v>
      </c>
      <c r="I1176" s="124">
        <v>297.69</v>
      </c>
      <c r="J1176" s="126">
        <v>2.7</v>
      </c>
      <c r="K1176" s="124">
        <v>14175</v>
      </c>
      <c r="L1176" s="124">
        <v>14472.69</v>
      </c>
    </row>
    <row r="1177" spans="1:12" ht="15" customHeight="1" x14ac:dyDescent="0.25">
      <c r="A1177" s="78">
        <v>45992</v>
      </c>
      <c r="B1177" t="s">
        <v>370</v>
      </c>
      <c r="C1177" t="s">
        <v>371</v>
      </c>
      <c r="D1177" t="s">
        <v>227</v>
      </c>
      <c r="E1177" t="s">
        <v>2369</v>
      </c>
      <c r="F1177" s="126">
        <v>16.5</v>
      </c>
      <c r="G1177" s="77">
        <v>35000</v>
      </c>
      <c r="H1177" s="126">
        <v>79.099999999999994</v>
      </c>
      <c r="I1177" s="124">
        <v>1774.68</v>
      </c>
      <c r="J1177" s="126">
        <v>7.6</v>
      </c>
      <c r="K1177" s="124">
        <v>48125</v>
      </c>
      <c r="L1177" s="124">
        <v>49899.68</v>
      </c>
    </row>
    <row r="1178" spans="1:12" ht="15" customHeight="1" x14ac:dyDescent="0.25">
      <c r="A1178" s="78">
        <v>45992</v>
      </c>
      <c r="B1178" t="s">
        <v>370</v>
      </c>
      <c r="C1178" t="s">
        <v>371</v>
      </c>
      <c r="D1178" t="s">
        <v>227</v>
      </c>
      <c r="E1178" t="s">
        <v>2367</v>
      </c>
      <c r="F1178" s="126">
        <v>8.3000000000000007</v>
      </c>
      <c r="G1178" s="77">
        <v>43000</v>
      </c>
      <c r="H1178" s="126">
        <v>33.700000000000003</v>
      </c>
      <c r="I1178" s="124">
        <v>928.91</v>
      </c>
      <c r="J1178" s="126">
        <v>3.8</v>
      </c>
      <c r="K1178" s="124">
        <v>29741.666666666701</v>
      </c>
      <c r="L1178" s="124">
        <v>30670.5766666667</v>
      </c>
    </row>
    <row r="1179" spans="1:12" ht="15" customHeight="1" x14ac:dyDescent="0.25">
      <c r="A1179" s="78">
        <v>45992</v>
      </c>
      <c r="B1179" t="s">
        <v>370</v>
      </c>
      <c r="C1179" t="s">
        <v>371</v>
      </c>
      <c r="D1179" t="s">
        <v>227</v>
      </c>
      <c r="E1179" t="s">
        <v>231</v>
      </c>
      <c r="F1179" s="126">
        <v>11.7</v>
      </c>
      <c r="G1179" s="77">
        <v>29000</v>
      </c>
      <c r="H1179" s="126">
        <v>49.1</v>
      </c>
      <c r="I1179" s="124">
        <v>912.76</v>
      </c>
      <c r="J1179" s="126">
        <v>3.5</v>
      </c>
      <c r="K1179" s="124">
        <v>28275</v>
      </c>
      <c r="L1179" s="124">
        <v>29187.759999999998</v>
      </c>
    </row>
    <row r="1180" spans="1:12" ht="15" customHeight="1" x14ac:dyDescent="0.25">
      <c r="A1180" s="78">
        <v>45992</v>
      </c>
      <c r="B1180" t="s">
        <v>370</v>
      </c>
      <c r="C1180" t="s">
        <v>371</v>
      </c>
      <c r="D1180" t="s">
        <v>227</v>
      </c>
      <c r="E1180" t="s">
        <v>2368</v>
      </c>
      <c r="F1180" s="126">
        <v>13.6</v>
      </c>
      <c r="G1180" s="77">
        <v>27000</v>
      </c>
      <c r="H1180" s="126">
        <v>17.100000000000001</v>
      </c>
      <c r="I1180" s="124">
        <v>295.95999999999998</v>
      </c>
      <c r="J1180" s="126">
        <v>7.4</v>
      </c>
      <c r="K1180" s="124">
        <v>30600</v>
      </c>
      <c r="L1180" s="124">
        <v>30895.96</v>
      </c>
    </row>
    <row r="1181" spans="1:12" ht="15" customHeight="1" x14ac:dyDescent="0.25">
      <c r="A1181" s="78">
        <v>45992</v>
      </c>
      <c r="B1181" t="s">
        <v>370</v>
      </c>
      <c r="C1181" t="s">
        <v>371</v>
      </c>
      <c r="D1181" t="s">
        <v>227</v>
      </c>
      <c r="E1181" t="s">
        <v>230</v>
      </c>
      <c r="F1181" s="126">
        <v>3.7</v>
      </c>
      <c r="G1181" s="77">
        <v>41000</v>
      </c>
      <c r="H1181" s="126">
        <v>20.6</v>
      </c>
      <c r="I1181" s="124">
        <v>541.41</v>
      </c>
      <c r="J1181" s="126">
        <v>0.9</v>
      </c>
      <c r="K1181" s="124">
        <v>12641.666666666701</v>
      </c>
      <c r="L1181" s="124">
        <v>13183.0766666667</v>
      </c>
    </row>
    <row r="1182" spans="1:12" ht="15" customHeight="1" x14ac:dyDescent="0.25">
      <c r="A1182" s="78">
        <v>45992</v>
      </c>
      <c r="B1182" t="s">
        <v>398</v>
      </c>
      <c r="C1182" t="s">
        <v>399</v>
      </c>
      <c r="D1182" t="s">
        <v>227</v>
      </c>
      <c r="E1182" t="s">
        <v>105</v>
      </c>
      <c r="F1182" s="126">
        <v>3</v>
      </c>
      <c r="G1182" s="77">
        <v>28000</v>
      </c>
      <c r="H1182" s="126">
        <v>10.9</v>
      </c>
      <c r="I1182" s="124">
        <v>195.64</v>
      </c>
      <c r="J1182" s="126">
        <v>1.8</v>
      </c>
      <c r="K1182" s="124">
        <v>7000</v>
      </c>
      <c r="L1182" s="124">
        <v>7195.64</v>
      </c>
    </row>
    <row r="1183" spans="1:12" ht="15" customHeight="1" x14ac:dyDescent="0.25">
      <c r="A1183" s="78">
        <v>45992</v>
      </c>
      <c r="B1183" t="s">
        <v>398</v>
      </c>
      <c r="C1183" t="s">
        <v>399</v>
      </c>
      <c r="D1183" t="s">
        <v>227</v>
      </c>
      <c r="E1183" t="s">
        <v>231</v>
      </c>
      <c r="F1183" s="126">
        <v>14.4</v>
      </c>
      <c r="G1183" s="77">
        <v>29000</v>
      </c>
      <c r="H1183" s="126">
        <v>72.599999999999994</v>
      </c>
      <c r="I1183" s="124">
        <v>1349.62</v>
      </c>
      <c r="J1183" s="126">
        <v>5.2</v>
      </c>
      <c r="K1183" s="124">
        <v>34800</v>
      </c>
      <c r="L1183" s="124">
        <v>36149.620000000003</v>
      </c>
    </row>
    <row r="1184" spans="1:12" ht="15" customHeight="1" x14ac:dyDescent="0.25">
      <c r="A1184" s="78">
        <v>45992</v>
      </c>
      <c r="B1184" t="s">
        <v>398</v>
      </c>
      <c r="C1184" t="s">
        <v>399</v>
      </c>
      <c r="D1184" t="s">
        <v>227</v>
      </c>
      <c r="E1184" t="s">
        <v>2369</v>
      </c>
      <c r="F1184" s="126">
        <v>11.7</v>
      </c>
      <c r="G1184" s="77">
        <v>35000</v>
      </c>
      <c r="H1184" s="126">
        <v>31.2</v>
      </c>
      <c r="I1184" s="124">
        <v>700</v>
      </c>
      <c r="J1184" s="126">
        <v>5.5</v>
      </c>
      <c r="K1184" s="124">
        <v>34125</v>
      </c>
      <c r="L1184" s="124">
        <v>34825</v>
      </c>
    </row>
    <row r="1185" spans="1:12" ht="15" customHeight="1" x14ac:dyDescent="0.25">
      <c r="A1185" s="78">
        <v>45992</v>
      </c>
      <c r="B1185" t="s">
        <v>398</v>
      </c>
      <c r="C1185" t="s">
        <v>399</v>
      </c>
      <c r="D1185" t="s">
        <v>227</v>
      </c>
      <c r="E1185" t="s">
        <v>2368</v>
      </c>
      <c r="F1185" s="126">
        <v>13.2</v>
      </c>
      <c r="G1185" s="77">
        <v>27000</v>
      </c>
      <c r="H1185" s="126">
        <v>66.7</v>
      </c>
      <c r="I1185" s="124">
        <v>1154.42</v>
      </c>
      <c r="J1185" s="126">
        <v>9.1</v>
      </c>
      <c r="K1185" s="124">
        <v>29700</v>
      </c>
      <c r="L1185" s="124">
        <v>30854.42</v>
      </c>
    </row>
    <row r="1186" spans="1:12" ht="15" customHeight="1" x14ac:dyDescent="0.25">
      <c r="A1186" s="78">
        <v>45992</v>
      </c>
      <c r="B1186" t="s">
        <v>378</v>
      </c>
      <c r="C1186" t="s">
        <v>379</v>
      </c>
      <c r="D1186" t="s">
        <v>227</v>
      </c>
      <c r="E1186" t="s">
        <v>232</v>
      </c>
      <c r="F1186" s="126">
        <v>6.4</v>
      </c>
      <c r="G1186" s="77">
        <v>25000</v>
      </c>
      <c r="H1186" s="126">
        <v>23.4</v>
      </c>
      <c r="I1186" s="124">
        <v>375</v>
      </c>
      <c r="J1186" s="126">
        <v>1.8</v>
      </c>
      <c r="K1186" s="124">
        <v>13333.333333333299</v>
      </c>
      <c r="L1186" s="124">
        <v>13708.333333333299</v>
      </c>
    </row>
    <row r="1187" spans="1:12" ht="15" customHeight="1" x14ac:dyDescent="0.25">
      <c r="A1187" s="78">
        <v>45992</v>
      </c>
      <c r="B1187" t="s">
        <v>378</v>
      </c>
      <c r="C1187" t="s">
        <v>379</v>
      </c>
      <c r="D1187" t="s">
        <v>227</v>
      </c>
      <c r="E1187" t="s">
        <v>105</v>
      </c>
      <c r="F1187" s="126">
        <v>4.4000000000000004</v>
      </c>
      <c r="G1187" s="77">
        <v>28000</v>
      </c>
      <c r="H1187" s="126">
        <v>20.3</v>
      </c>
      <c r="I1187" s="124">
        <v>364.36</v>
      </c>
      <c r="J1187" s="126">
        <v>3.5</v>
      </c>
      <c r="K1187" s="124">
        <v>10266.666666666701</v>
      </c>
      <c r="L1187" s="124">
        <v>10631.026666666699</v>
      </c>
    </row>
    <row r="1188" spans="1:12" ht="15" customHeight="1" x14ac:dyDescent="0.25">
      <c r="A1188" s="78">
        <v>45992</v>
      </c>
      <c r="B1188" t="s">
        <v>378</v>
      </c>
      <c r="C1188" t="s">
        <v>379</v>
      </c>
      <c r="D1188" t="s">
        <v>227</v>
      </c>
      <c r="E1188" t="s">
        <v>2368</v>
      </c>
      <c r="F1188" s="126">
        <v>6.3</v>
      </c>
      <c r="G1188" s="77">
        <v>27000</v>
      </c>
      <c r="H1188" s="126">
        <v>26.2</v>
      </c>
      <c r="I1188" s="124">
        <v>453.46</v>
      </c>
      <c r="J1188" s="126">
        <v>2.2000000000000002</v>
      </c>
      <c r="K1188" s="124">
        <v>14175</v>
      </c>
      <c r="L1188" s="124">
        <v>14628.46</v>
      </c>
    </row>
    <row r="1189" spans="1:12" ht="15" customHeight="1" x14ac:dyDescent="0.25">
      <c r="A1189" s="78">
        <v>45992</v>
      </c>
      <c r="B1189" t="s">
        <v>378</v>
      </c>
      <c r="C1189" t="s">
        <v>379</v>
      </c>
      <c r="D1189" t="s">
        <v>227</v>
      </c>
      <c r="E1189" t="s">
        <v>2369</v>
      </c>
      <c r="F1189" s="126">
        <v>13.4</v>
      </c>
      <c r="G1189" s="77">
        <v>35000</v>
      </c>
      <c r="H1189" s="126">
        <v>72.900000000000006</v>
      </c>
      <c r="I1189" s="124">
        <v>1635.58</v>
      </c>
      <c r="J1189" s="126">
        <v>7.4</v>
      </c>
      <c r="K1189" s="124">
        <v>39083.333333333299</v>
      </c>
      <c r="L1189" s="124">
        <v>40718.913333333301</v>
      </c>
    </row>
    <row r="1190" spans="1:12" ht="15" customHeight="1" x14ac:dyDescent="0.25">
      <c r="A1190" s="78">
        <v>45992</v>
      </c>
      <c r="B1190" t="s">
        <v>378</v>
      </c>
      <c r="C1190" t="s">
        <v>379</v>
      </c>
      <c r="D1190" t="s">
        <v>227</v>
      </c>
      <c r="E1190" t="s">
        <v>230</v>
      </c>
      <c r="F1190" s="126">
        <v>17</v>
      </c>
      <c r="G1190" s="77">
        <v>41000</v>
      </c>
      <c r="H1190" s="126">
        <v>41.8</v>
      </c>
      <c r="I1190" s="124">
        <v>1098.5899999999999</v>
      </c>
      <c r="J1190" s="126">
        <v>8.9</v>
      </c>
      <c r="K1190" s="124">
        <v>58083.333333333299</v>
      </c>
      <c r="L1190" s="124">
        <v>59181.923333333303</v>
      </c>
    </row>
    <row r="1191" spans="1:12" ht="15" customHeight="1" x14ac:dyDescent="0.25">
      <c r="A1191" s="78">
        <v>45992</v>
      </c>
      <c r="B1191" t="s">
        <v>393</v>
      </c>
      <c r="C1191" t="s">
        <v>394</v>
      </c>
      <c r="D1191" t="s">
        <v>227</v>
      </c>
      <c r="E1191" t="s">
        <v>232</v>
      </c>
      <c r="F1191" s="126">
        <v>13.4</v>
      </c>
      <c r="G1191" s="77">
        <v>25000</v>
      </c>
      <c r="H1191" s="126">
        <v>73.599999999999994</v>
      </c>
      <c r="I1191" s="124">
        <v>1179.49</v>
      </c>
      <c r="J1191" s="126">
        <v>7.9</v>
      </c>
      <c r="K1191" s="124">
        <v>27916.666666666701</v>
      </c>
      <c r="L1191" s="124">
        <v>29096.156666666699</v>
      </c>
    </row>
    <row r="1192" spans="1:12" ht="15" customHeight="1" x14ac:dyDescent="0.25">
      <c r="A1192" s="78">
        <v>45992</v>
      </c>
      <c r="B1192" t="s">
        <v>393</v>
      </c>
      <c r="C1192" t="s">
        <v>394</v>
      </c>
      <c r="D1192" t="s">
        <v>227</v>
      </c>
      <c r="E1192" t="s">
        <v>105</v>
      </c>
      <c r="F1192" s="126">
        <v>7.7</v>
      </c>
      <c r="G1192" s="77">
        <v>28000</v>
      </c>
      <c r="H1192" s="126">
        <v>30</v>
      </c>
      <c r="I1192" s="124">
        <v>538.46</v>
      </c>
      <c r="J1192" s="126">
        <v>3.5</v>
      </c>
      <c r="K1192" s="124">
        <v>17966.666666666701</v>
      </c>
      <c r="L1192" s="124">
        <v>18505.1266666667</v>
      </c>
    </row>
    <row r="1193" spans="1:12" ht="15" customHeight="1" x14ac:dyDescent="0.25">
      <c r="A1193" s="78">
        <v>45992</v>
      </c>
      <c r="B1193" t="s">
        <v>393</v>
      </c>
      <c r="C1193" t="s">
        <v>394</v>
      </c>
      <c r="D1193" t="s">
        <v>227</v>
      </c>
      <c r="E1193" t="s">
        <v>2369</v>
      </c>
      <c r="F1193" s="126">
        <v>8</v>
      </c>
      <c r="G1193" s="77">
        <v>35000</v>
      </c>
      <c r="H1193" s="126">
        <v>46.7</v>
      </c>
      <c r="I1193" s="124">
        <v>1047.76</v>
      </c>
      <c r="J1193" s="126">
        <v>2.8</v>
      </c>
      <c r="K1193" s="124">
        <v>23333.333333333299</v>
      </c>
      <c r="L1193" s="124">
        <v>24381.093333333301</v>
      </c>
    </row>
    <row r="1194" spans="1:12" ht="15" customHeight="1" x14ac:dyDescent="0.25">
      <c r="A1194" s="78">
        <v>45992</v>
      </c>
      <c r="B1194" t="s">
        <v>393</v>
      </c>
      <c r="C1194" t="s">
        <v>394</v>
      </c>
      <c r="D1194" t="s">
        <v>227</v>
      </c>
      <c r="E1194" t="s">
        <v>2368</v>
      </c>
      <c r="F1194" s="126">
        <v>13.3</v>
      </c>
      <c r="G1194" s="77">
        <v>27000</v>
      </c>
      <c r="H1194" s="126">
        <v>61.9</v>
      </c>
      <c r="I1194" s="124">
        <v>1071.3499999999999</v>
      </c>
      <c r="J1194" s="126">
        <v>5.3</v>
      </c>
      <c r="K1194" s="124">
        <v>29925</v>
      </c>
      <c r="L1194" s="124">
        <v>30996.35</v>
      </c>
    </row>
  </sheetData>
  <pageMargins left="0.7" right="0.7" top="0.75" bottom="0.75" header="0.511811023622047" footer="0.511811023622047"/>
  <pageSetup paperSize="9" orientation="portrait" horizontalDpi="300" verticalDpi="300"/>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493"/>
  <sheetViews>
    <sheetView zoomScaleNormal="100" workbookViewId="0">
      <pane ySplit="1" topLeftCell="A2" activePane="bottomLeft" state="frozen"/>
      <selection pane="bottomLeft"/>
    </sheetView>
  </sheetViews>
  <sheetFormatPr defaultColWidth="8.7109375" defaultRowHeight="15" x14ac:dyDescent="0.25"/>
  <cols>
    <col min="1" max="7" width="10.7109375" customWidth="1"/>
    <col min="8" max="8" width="12.7109375" customWidth="1"/>
    <col min="9" max="9" width="13.7109375" customWidth="1"/>
  </cols>
  <sheetData>
    <row r="1" spans="1:9" ht="15" customHeight="1" x14ac:dyDescent="0.25">
      <c r="A1" t="s">
        <v>78</v>
      </c>
      <c r="B1" t="s">
        <v>191</v>
      </c>
      <c r="C1" t="s">
        <v>320</v>
      </c>
      <c r="D1" t="s">
        <v>75</v>
      </c>
      <c r="E1" t="s">
        <v>131</v>
      </c>
      <c r="F1" t="s">
        <v>2360</v>
      </c>
      <c r="G1" t="s">
        <v>2370</v>
      </c>
      <c r="H1" t="s">
        <v>2371</v>
      </c>
      <c r="I1" t="s">
        <v>2372</v>
      </c>
    </row>
    <row r="2" spans="1:9" ht="15" customHeight="1" x14ac:dyDescent="0.25">
      <c r="A2" s="78">
        <v>45658</v>
      </c>
      <c r="B2" t="s">
        <v>390</v>
      </c>
      <c r="C2" t="s">
        <v>391</v>
      </c>
      <c r="D2" t="s">
        <v>221</v>
      </c>
      <c r="E2" t="s">
        <v>234</v>
      </c>
      <c r="F2" t="s">
        <v>230</v>
      </c>
      <c r="G2" s="77">
        <v>127</v>
      </c>
      <c r="H2" s="77">
        <v>42</v>
      </c>
      <c r="I2" s="77">
        <v>5334</v>
      </c>
    </row>
    <row r="3" spans="1:9" ht="15" customHeight="1" x14ac:dyDescent="0.25">
      <c r="A3" s="78">
        <v>45658</v>
      </c>
      <c r="B3" t="s">
        <v>390</v>
      </c>
      <c r="C3" t="s">
        <v>391</v>
      </c>
      <c r="D3" t="s">
        <v>221</v>
      </c>
      <c r="E3" t="s">
        <v>235</v>
      </c>
      <c r="F3" t="s">
        <v>232</v>
      </c>
      <c r="G3" s="77">
        <v>80</v>
      </c>
      <c r="H3" s="77">
        <v>23</v>
      </c>
      <c r="I3" s="77">
        <v>1840</v>
      </c>
    </row>
    <row r="4" spans="1:9" ht="15" customHeight="1" x14ac:dyDescent="0.25">
      <c r="A4" s="78">
        <v>45658</v>
      </c>
      <c r="B4" t="s">
        <v>390</v>
      </c>
      <c r="C4" t="s">
        <v>391</v>
      </c>
      <c r="D4" t="s">
        <v>221</v>
      </c>
      <c r="E4" t="s">
        <v>236</v>
      </c>
      <c r="F4" t="s">
        <v>231</v>
      </c>
      <c r="G4" s="77">
        <v>134</v>
      </c>
      <c r="H4" s="77">
        <v>28</v>
      </c>
      <c r="I4" s="77">
        <v>3752</v>
      </c>
    </row>
    <row r="5" spans="1:9" ht="15" customHeight="1" x14ac:dyDescent="0.25">
      <c r="A5" s="78">
        <v>45658</v>
      </c>
      <c r="B5" t="s">
        <v>401</v>
      </c>
      <c r="C5" t="s">
        <v>402</v>
      </c>
      <c r="D5" t="s">
        <v>221</v>
      </c>
      <c r="E5" t="s">
        <v>236</v>
      </c>
      <c r="F5" t="s">
        <v>232</v>
      </c>
      <c r="G5" s="77">
        <v>107</v>
      </c>
      <c r="H5" s="77">
        <v>23</v>
      </c>
      <c r="I5" s="77">
        <v>2461</v>
      </c>
    </row>
    <row r="6" spans="1:9" ht="15" customHeight="1" x14ac:dyDescent="0.25">
      <c r="A6" s="78">
        <v>45658</v>
      </c>
      <c r="B6" t="s">
        <v>401</v>
      </c>
      <c r="C6" t="s">
        <v>402</v>
      </c>
      <c r="D6" t="s">
        <v>221</v>
      </c>
      <c r="E6" t="s">
        <v>235</v>
      </c>
      <c r="F6" t="s">
        <v>230</v>
      </c>
      <c r="G6" s="77">
        <v>47</v>
      </c>
      <c r="H6" s="77">
        <v>42</v>
      </c>
      <c r="I6" s="77">
        <v>1974</v>
      </c>
    </row>
    <row r="7" spans="1:9" ht="15" customHeight="1" x14ac:dyDescent="0.25">
      <c r="A7" s="78">
        <v>45658</v>
      </c>
      <c r="B7" t="s">
        <v>401</v>
      </c>
      <c r="C7" t="s">
        <v>402</v>
      </c>
      <c r="D7" t="s">
        <v>221</v>
      </c>
      <c r="E7" t="s">
        <v>235</v>
      </c>
      <c r="F7" t="s">
        <v>231</v>
      </c>
      <c r="G7" s="77">
        <v>139</v>
      </c>
      <c r="H7" s="77">
        <v>28</v>
      </c>
      <c r="I7" s="77">
        <v>3892</v>
      </c>
    </row>
    <row r="8" spans="1:9" ht="15" customHeight="1" x14ac:dyDescent="0.25">
      <c r="A8" s="78">
        <v>45658</v>
      </c>
      <c r="B8" t="s">
        <v>431</v>
      </c>
      <c r="C8" t="s">
        <v>432</v>
      </c>
      <c r="D8" t="s">
        <v>221</v>
      </c>
      <c r="E8" t="s">
        <v>234</v>
      </c>
      <c r="F8" t="s">
        <v>230</v>
      </c>
      <c r="G8" s="77">
        <v>144</v>
      </c>
      <c r="H8" s="77">
        <v>42</v>
      </c>
      <c r="I8" s="77">
        <v>6048</v>
      </c>
    </row>
    <row r="9" spans="1:9" ht="15" customHeight="1" x14ac:dyDescent="0.25">
      <c r="A9" s="78">
        <v>45658</v>
      </c>
      <c r="B9" t="s">
        <v>431</v>
      </c>
      <c r="C9" t="s">
        <v>432</v>
      </c>
      <c r="D9" t="s">
        <v>221</v>
      </c>
      <c r="E9" t="s">
        <v>235</v>
      </c>
      <c r="F9" t="s">
        <v>232</v>
      </c>
      <c r="G9" s="77">
        <v>120</v>
      </c>
      <c r="H9" s="77">
        <v>23</v>
      </c>
      <c r="I9" s="77">
        <v>2760</v>
      </c>
    </row>
    <row r="10" spans="1:9" ht="15" customHeight="1" x14ac:dyDescent="0.25">
      <c r="A10" s="78">
        <v>45658</v>
      </c>
      <c r="B10" t="s">
        <v>431</v>
      </c>
      <c r="C10" t="s">
        <v>432</v>
      </c>
      <c r="D10" t="s">
        <v>221</v>
      </c>
      <c r="E10" t="s">
        <v>234</v>
      </c>
      <c r="F10" t="s">
        <v>231</v>
      </c>
      <c r="G10" s="77">
        <v>63</v>
      </c>
      <c r="H10" s="77">
        <v>28</v>
      </c>
      <c r="I10" s="77">
        <v>1764</v>
      </c>
    </row>
    <row r="11" spans="1:9" ht="15" customHeight="1" x14ac:dyDescent="0.25">
      <c r="A11" s="78">
        <v>45658</v>
      </c>
      <c r="B11" t="s">
        <v>366</v>
      </c>
      <c r="C11" t="s">
        <v>367</v>
      </c>
      <c r="D11" t="s">
        <v>221</v>
      </c>
      <c r="E11" t="s">
        <v>234</v>
      </c>
      <c r="F11" t="s">
        <v>230</v>
      </c>
      <c r="G11" s="77">
        <v>79</v>
      </c>
      <c r="H11" s="77">
        <v>42</v>
      </c>
      <c r="I11" s="77">
        <v>3318</v>
      </c>
    </row>
    <row r="12" spans="1:9" ht="15" customHeight="1" x14ac:dyDescent="0.25">
      <c r="A12" s="78">
        <v>45658</v>
      </c>
      <c r="B12" t="s">
        <v>366</v>
      </c>
      <c r="C12" t="s">
        <v>367</v>
      </c>
      <c r="D12" t="s">
        <v>221</v>
      </c>
      <c r="E12" t="s">
        <v>235</v>
      </c>
      <c r="F12" t="s">
        <v>231</v>
      </c>
      <c r="G12" s="77">
        <v>95</v>
      </c>
      <c r="H12" s="77">
        <v>28</v>
      </c>
      <c r="I12" s="77">
        <v>2660</v>
      </c>
    </row>
    <row r="13" spans="1:9" ht="15" customHeight="1" x14ac:dyDescent="0.25">
      <c r="A13" s="78">
        <v>45658</v>
      </c>
      <c r="B13" t="s">
        <v>362</v>
      </c>
      <c r="C13" t="s">
        <v>363</v>
      </c>
      <c r="D13" t="s">
        <v>221</v>
      </c>
      <c r="E13" t="s">
        <v>234</v>
      </c>
      <c r="F13" t="s">
        <v>231</v>
      </c>
      <c r="G13" s="77">
        <v>65</v>
      </c>
      <c r="H13" s="77">
        <v>28</v>
      </c>
      <c r="I13" s="77">
        <v>1820</v>
      </c>
    </row>
    <row r="14" spans="1:9" ht="15" customHeight="1" x14ac:dyDescent="0.25">
      <c r="A14" s="78">
        <v>45658</v>
      </c>
      <c r="B14" t="s">
        <v>335</v>
      </c>
      <c r="C14" t="s">
        <v>336</v>
      </c>
      <c r="D14" t="s">
        <v>223</v>
      </c>
      <c r="E14" t="s">
        <v>234</v>
      </c>
      <c r="F14" t="s">
        <v>231</v>
      </c>
      <c r="G14" s="77">
        <v>149</v>
      </c>
      <c r="H14" s="77">
        <v>28</v>
      </c>
      <c r="I14" s="77">
        <v>4172</v>
      </c>
    </row>
    <row r="15" spans="1:9" ht="15" customHeight="1" x14ac:dyDescent="0.25">
      <c r="A15" s="78">
        <v>45658</v>
      </c>
      <c r="B15" t="s">
        <v>386</v>
      </c>
      <c r="C15" t="s">
        <v>387</v>
      </c>
      <c r="D15" t="s">
        <v>223</v>
      </c>
      <c r="E15" t="s">
        <v>236</v>
      </c>
      <c r="F15" t="s">
        <v>231</v>
      </c>
      <c r="G15" s="77">
        <v>95</v>
      </c>
      <c r="H15" s="77">
        <v>28</v>
      </c>
      <c r="I15" s="77">
        <v>2660</v>
      </c>
    </row>
    <row r="16" spans="1:9" ht="15" customHeight="1" x14ac:dyDescent="0.25">
      <c r="A16" s="78">
        <v>45658</v>
      </c>
      <c r="B16" t="s">
        <v>386</v>
      </c>
      <c r="C16" t="s">
        <v>387</v>
      </c>
      <c r="D16" t="s">
        <v>223</v>
      </c>
      <c r="E16" t="s">
        <v>235</v>
      </c>
      <c r="F16" t="s">
        <v>232</v>
      </c>
      <c r="G16" s="77">
        <v>10</v>
      </c>
      <c r="H16" s="77">
        <v>23</v>
      </c>
      <c r="I16" s="77">
        <v>230</v>
      </c>
    </row>
    <row r="17" spans="1:9" ht="15" customHeight="1" x14ac:dyDescent="0.25">
      <c r="A17" s="78">
        <v>45658</v>
      </c>
      <c r="B17" t="s">
        <v>341</v>
      </c>
      <c r="C17" t="s">
        <v>342</v>
      </c>
      <c r="D17" t="s">
        <v>223</v>
      </c>
      <c r="E17" t="s">
        <v>236</v>
      </c>
      <c r="F17" t="s">
        <v>232</v>
      </c>
      <c r="G17" s="77">
        <v>101</v>
      </c>
      <c r="H17" s="77">
        <v>23</v>
      </c>
      <c r="I17" s="77">
        <v>2323</v>
      </c>
    </row>
    <row r="18" spans="1:9" ht="15" customHeight="1" x14ac:dyDescent="0.25">
      <c r="A18" s="78">
        <v>45658</v>
      </c>
      <c r="B18" t="s">
        <v>341</v>
      </c>
      <c r="C18" t="s">
        <v>342</v>
      </c>
      <c r="D18" t="s">
        <v>223</v>
      </c>
      <c r="E18" t="s">
        <v>234</v>
      </c>
      <c r="F18" t="s">
        <v>231</v>
      </c>
      <c r="G18" s="77">
        <v>77</v>
      </c>
      <c r="H18" s="77">
        <v>28</v>
      </c>
      <c r="I18" s="77">
        <v>2156</v>
      </c>
    </row>
    <row r="19" spans="1:9" ht="15" customHeight="1" x14ac:dyDescent="0.25">
      <c r="A19" s="78">
        <v>45658</v>
      </c>
      <c r="B19" t="s">
        <v>347</v>
      </c>
      <c r="C19" t="s">
        <v>348</v>
      </c>
      <c r="D19" t="s">
        <v>223</v>
      </c>
      <c r="E19" t="s">
        <v>235</v>
      </c>
      <c r="F19" t="s">
        <v>231</v>
      </c>
      <c r="G19" s="77">
        <v>87</v>
      </c>
      <c r="H19" s="77">
        <v>28</v>
      </c>
      <c r="I19" s="77">
        <v>2436</v>
      </c>
    </row>
    <row r="20" spans="1:9" ht="15" customHeight="1" x14ac:dyDescent="0.25">
      <c r="A20" s="78">
        <v>45658</v>
      </c>
      <c r="B20" t="s">
        <v>347</v>
      </c>
      <c r="C20" t="s">
        <v>348</v>
      </c>
      <c r="D20" t="s">
        <v>223</v>
      </c>
      <c r="E20" t="s">
        <v>235</v>
      </c>
      <c r="F20" t="s">
        <v>230</v>
      </c>
      <c r="G20" s="77">
        <v>77</v>
      </c>
      <c r="H20" s="77">
        <v>42</v>
      </c>
      <c r="I20" s="77">
        <v>3234</v>
      </c>
    </row>
    <row r="21" spans="1:9" ht="15" customHeight="1" x14ac:dyDescent="0.25">
      <c r="A21" s="78">
        <v>45658</v>
      </c>
      <c r="B21" t="s">
        <v>347</v>
      </c>
      <c r="C21" t="s">
        <v>348</v>
      </c>
      <c r="D21" t="s">
        <v>223</v>
      </c>
      <c r="E21" t="s">
        <v>236</v>
      </c>
      <c r="F21" t="s">
        <v>232</v>
      </c>
      <c r="G21" s="77">
        <v>118</v>
      </c>
      <c r="H21" s="77">
        <v>23</v>
      </c>
      <c r="I21" s="77">
        <v>2714</v>
      </c>
    </row>
    <row r="22" spans="1:9" ht="15" customHeight="1" x14ac:dyDescent="0.25">
      <c r="A22" s="78">
        <v>45658</v>
      </c>
      <c r="B22" t="s">
        <v>409</v>
      </c>
      <c r="C22" t="s">
        <v>410</v>
      </c>
      <c r="D22" t="s">
        <v>223</v>
      </c>
      <c r="E22" t="s">
        <v>235</v>
      </c>
      <c r="F22" t="s">
        <v>231</v>
      </c>
      <c r="G22" s="77">
        <v>129</v>
      </c>
      <c r="H22" s="77">
        <v>28</v>
      </c>
      <c r="I22" s="77">
        <v>3612</v>
      </c>
    </row>
    <row r="23" spans="1:9" ht="15" customHeight="1" x14ac:dyDescent="0.25">
      <c r="A23" s="78">
        <v>45658</v>
      </c>
      <c r="B23" t="s">
        <v>409</v>
      </c>
      <c r="C23" t="s">
        <v>410</v>
      </c>
      <c r="D23" t="s">
        <v>223</v>
      </c>
      <c r="E23" t="s">
        <v>234</v>
      </c>
      <c r="F23" t="s">
        <v>232</v>
      </c>
      <c r="G23" s="77">
        <v>99</v>
      </c>
      <c r="H23" s="77">
        <v>23</v>
      </c>
      <c r="I23" s="77">
        <v>2277</v>
      </c>
    </row>
    <row r="24" spans="1:9" ht="15" customHeight="1" x14ac:dyDescent="0.25">
      <c r="A24" s="78">
        <v>45658</v>
      </c>
      <c r="B24" t="s">
        <v>409</v>
      </c>
      <c r="C24" t="s">
        <v>410</v>
      </c>
      <c r="D24" t="s">
        <v>223</v>
      </c>
      <c r="E24" t="s">
        <v>236</v>
      </c>
      <c r="F24" t="s">
        <v>230</v>
      </c>
      <c r="G24" s="77">
        <v>78</v>
      </c>
      <c r="H24" s="77">
        <v>42</v>
      </c>
      <c r="I24" s="77">
        <v>3276</v>
      </c>
    </row>
    <row r="25" spans="1:9" ht="15" customHeight="1" x14ac:dyDescent="0.25">
      <c r="A25" s="78">
        <v>45658</v>
      </c>
      <c r="B25" t="s">
        <v>488</v>
      </c>
      <c r="C25" t="s">
        <v>489</v>
      </c>
      <c r="D25" t="s">
        <v>225</v>
      </c>
      <c r="E25" t="s">
        <v>235</v>
      </c>
      <c r="F25" t="s">
        <v>231</v>
      </c>
      <c r="G25" s="77">
        <v>88</v>
      </c>
      <c r="H25" s="77">
        <v>28</v>
      </c>
      <c r="I25" s="77">
        <v>2464</v>
      </c>
    </row>
    <row r="26" spans="1:9" ht="15" customHeight="1" x14ac:dyDescent="0.25">
      <c r="A26" s="78">
        <v>45658</v>
      </c>
      <c r="B26" t="s">
        <v>488</v>
      </c>
      <c r="C26" t="s">
        <v>489</v>
      </c>
      <c r="D26" t="s">
        <v>225</v>
      </c>
      <c r="E26" t="s">
        <v>235</v>
      </c>
      <c r="F26" t="s">
        <v>230</v>
      </c>
      <c r="G26" s="77">
        <v>90</v>
      </c>
      <c r="H26" s="77">
        <v>42</v>
      </c>
      <c r="I26" s="77">
        <v>3780</v>
      </c>
    </row>
    <row r="27" spans="1:9" ht="15" customHeight="1" x14ac:dyDescent="0.25">
      <c r="A27" s="78">
        <v>45658</v>
      </c>
      <c r="B27" t="s">
        <v>488</v>
      </c>
      <c r="C27" t="s">
        <v>489</v>
      </c>
      <c r="D27" t="s">
        <v>225</v>
      </c>
      <c r="E27" t="s">
        <v>235</v>
      </c>
      <c r="F27" t="s">
        <v>232</v>
      </c>
      <c r="G27" s="77">
        <v>61</v>
      </c>
      <c r="H27" s="77">
        <v>23</v>
      </c>
      <c r="I27" s="77">
        <v>1403</v>
      </c>
    </row>
    <row r="28" spans="1:9" ht="15" customHeight="1" x14ac:dyDescent="0.25">
      <c r="A28" s="78">
        <v>45658</v>
      </c>
      <c r="B28" t="s">
        <v>406</v>
      </c>
      <c r="C28" t="s">
        <v>407</v>
      </c>
      <c r="D28" t="s">
        <v>225</v>
      </c>
      <c r="E28" t="s">
        <v>235</v>
      </c>
      <c r="F28" t="s">
        <v>232</v>
      </c>
      <c r="G28" s="77">
        <v>110</v>
      </c>
      <c r="H28" s="77">
        <v>23</v>
      </c>
      <c r="I28" s="77">
        <v>2530</v>
      </c>
    </row>
    <row r="29" spans="1:9" ht="15" customHeight="1" x14ac:dyDescent="0.25">
      <c r="A29" s="78">
        <v>45658</v>
      </c>
      <c r="B29" t="s">
        <v>406</v>
      </c>
      <c r="C29" t="s">
        <v>407</v>
      </c>
      <c r="D29" t="s">
        <v>225</v>
      </c>
      <c r="E29" t="s">
        <v>234</v>
      </c>
      <c r="F29" t="s">
        <v>231</v>
      </c>
      <c r="G29" s="77">
        <v>106</v>
      </c>
      <c r="H29" s="77">
        <v>28</v>
      </c>
      <c r="I29" s="77">
        <v>2968</v>
      </c>
    </row>
    <row r="30" spans="1:9" ht="15" customHeight="1" x14ac:dyDescent="0.25">
      <c r="A30" s="78">
        <v>45658</v>
      </c>
      <c r="B30" t="s">
        <v>358</v>
      </c>
      <c r="C30" t="s">
        <v>359</v>
      </c>
      <c r="D30" t="s">
        <v>225</v>
      </c>
      <c r="E30" t="s">
        <v>235</v>
      </c>
      <c r="F30" t="s">
        <v>231</v>
      </c>
      <c r="G30" s="77">
        <v>143</v>
      </c>
      <c r="H30" s="77">
        <v>28</v>
      </c>
      <c r="I30" s="77">
        <v>4004</v>
      </c>
    </row>
    <row r="31" spans="1:9" ht="15" customHeight="1" x14ac:dyDescent="0.25">
      <c r="A31" s="78">
        <v>45658</v>
      </c>
      <c r="B31" t="s">
        <v>358</v>
      </c>
      <c r="C31" t="s">
        <v>359</v>
      </c>
      <c r="D31" t="s">
        <v>225</v>
      </c>
      <c r="E31" t="s">
        <v>234</v>
      </c>
      <c r="F31" t="s">
        <v>232</v>
      </c>
      <c r="G31" s="77">
        <v>133</v>
      </c>
      <c r="H31" s="77">
        <v>23</v>
      </c>
      <c r="I31" s="77">
        <v>3059</v>
      </c>
    </row>
    <row r="32" spans="1:9" ht="15" customHeight="1" x14ac:dyDescent="0.25">
      <c r="A32" s="78">
        <v>45658</v>
      </c>
      <c r="B32" t="s">
        <v>383</v>
      </c>
      <c r="C32" t="s">
        <v>384</v>
      </c>
      <c r="D32" t="s">
        <v>225</v>
      </c>
      <c r="E32" t="s">
        <v>236</v>
      </c>
      <c r="F32" t="s">
        <v>232</v>
      </c>
      <c r="G32" s="77">
        <v>66</v>
      </c>
      <c r="H32" s="77">
        <v>23</v>
      </c>
      <c r="I32" s="77">
        <v>1518</v>
      </c>
    </row>
    <row r="33" spans="1:9" ht="15" customHeight="1" x14ac:dyDescent="0.25">
      <c r="A33" s="78">
        <v>45658</v>
      </c>
      <c r="B33" t="s">
        <v>383</v>
      </c>
      <c r="C33" t="s">
        <v>384</v>
      </c>
      <c r="D33" t="s">
        <v>225</v>
      </c>
      <c r="E33" t="s">
        <v>235</v>
      </c>
      <c r="F33" t="s">
        <v>230</v>
      </c>
      <c r="G33" s="77">
        <v>118</v>
      </c>
      <c r="H33" s="77">
        <v>42</v>
      </c>
      <c r="I33" s="77">
        <v>4956</v>
      </c>
    </row>
    <row r="34" spans="1:9" ht="15" customHeight="1" x14ac:dyDescent="0.25">
      <c r="A34" s="78">
        <v>45658</v>
      </c>
      <c r="B34" t="s">
        <v>373</v>
      </c>
      <c r="C34" t="s">
        <v>374</v>
      </c>
      <c r="D34" t="s">
        <v>225</v>
      </c>
      <c r="E34" t="s">
        <v>235</v>
      </c>
      <c r="F34" t="s">
        <v>232</v>
      </c>
      <c r="G34" s="77">
        <v>56</v>
      </c>
      <c r="H34" s="77">
        <v>23</v>
      </c>
      <c r="I34" s="77">
        <v>1288</v>
      </c>
    </row>
    <row r="35" spans="1:9" ht="15" customHeight="1" x14ac:dyDescent="0.25">
      <c r="A35" s="78">
        <v>45658</v>
      </c>
      <c r="B35" t="s">
        <v>373</v>
      </c>
      <c r="C35" t="s">
        <v>374</v>
      </c>
      <c r="D35" t="s">
        <v>225</v>
      </c>
      <c r="E35" t="s">
        <v>236</v>
      </c>
      <c r="F35" t="s">
        <v>231</v>
      </c>
      <c r="G35" s="77">
        <v>114</v>
      </c>
      <c r="H35" s="77">
        <v>28</v>
      </c>
      <c r="I35" s="77">
        <v>3192</v>
      </c>
    </row>
    <row r="36" spans="1:9" ht="15" customHeight="1" x14ac:dyDescent="0.25">
      <c r="A36" s="78">
        <v>45658</v>
      </c>
      <c r="B36" t="s">
        <v>354</v>
      </c>
      <c r="C36" t="s">
        <v>355</v>
      </c>
      <c r="D36" t="s">
        <v>227</v>
      </c>
      <c r="E36" t="s">
        <v>236</v>
      </c>
      <c r="F36" t="s">
        <v>232</v>
      </c>
      <c r="G36" s="77">
        <v>71</v>
      </c>
      <c r="H36" s="77">
        <v>23</v>
      </c>
      <c r="I36" s="77">
        <v>1633</v>
      </c>
    </row>
    <row r="37" spans="1:9" ht="15" customHeight="1" x14ac:dyDescent="0.25">
      <c r="A37" s="78">
        <v>45658</v>
      </c>
      <c r="B37" t="s">
        <v>370</v>
      </c>
      <c r="C37" t="s">
        <v>371</v>
      </c>
      <c r="D37" t="s">
        <v>227</v>
      </c>
      <c r="E37" t="s">
        <v>234</v>
      </c>
      <c r="F37" t="s">
        <v>232</v>
      </c>
      <c r="G37" s="77">
        <v>54</v>
      </c>
      <c r="H37" s="77">
        <v>23</v>
      </c>
      <c r="I37" s="77">
        <v>1242</v>
      </c>
    </row>
    <row r="38" spans="1:9" ht="15" customHeight="1" x14ac:dyDescent="0.25">
      <c r="A38" s="78">
        <v>45658</v>
      </c>
      <c r="B38" t="s">
        <v>398</v>
      </c>
      <c r="C38" t="s">
        <v>399</v>
      </c>
      <c r="D38" t="s">
        <v>227</v>
      </c>
      <c r="E38" t="s">
        <v>234</v>
      </c>
      <c r="F38" t="s">
        <v>232</v>
      </c>
      <c r="G38" s="77">
        <v>99</v>
      </c>
      <c r="H38" s="77">
        <v>23</v>
      </c>
      <c r="I38" s="77">
        <v>2277</v>
      </c>
    </row>
    <row r="39" spans="1:9" ht="15" customHeight="1" x14ac:dyDescent="0.25">
      <c r="A39" s="78">
        <v>45658</v>
      </c>
      <c r="B39" t="s">
        <v>378</v>
      </c>
      <c r="C39" t="s">
        <v>379</v>
      </c>
      <c r="D39" t="s">
        <v>227</v>
      </c>
      <c r="E39" t="s">
        <v>236</v>
      </c>
      <c r="F39" t="s">
        <v>231</v>
      </c>
      <c r="G39" s="77">
        <v>10</v>
      </c>
      <c r="H39" s="77">
        <v>28</v>
      </c>
      <c r="I39" s="77">
        <v>280</v>
      </c>
    </row>
    <row r="40" spans="1:9" ht="15" customHeight="1" x14ac:dyDescent="0.25">
      <c r="A40" s="78">
        <v>45658</v>
      </c>
      <c r="B40" t="s">
        <v>393</v>
      </c>
      <c r="C40" t="s">
        <v>394</v>
      </c>
      <c r="D40" t="s">
        <v>227</v>
      </c>
      <c r="E40" t="s">
        <v>234</v>
      </c>
      <c r="F40" t="s">
        <v>232</v>
      </c>
      <c r="G40" s="77">
        <v>28</v>
      </c>
      <c r="H40" s="77">
        <v>23</v>
      </c>
      <c r="I40" s="77">
        <v>644</v>
      </c>
    </row>
    <row r="41" spans="1:9" ht="15" customHeight="1" x14ac:dyDescent="0.25">
      <c r="A41" s="78">
        <v>45658</v>
      </c>
      <c r="B41" t="s">
        <v>393</v>
      </c>
      <c r="C41" t="s">
        <v>394</v>
      </c>
      <c r="D41" t="s">
        <v>227</v>
      </c>
      <c r="E41" t="s">
        <v>236</v>
      </c>
      <c r="F41" t="s">
        <v>230</v>
      </c>
      <c r="G41" s="77">
        <v>83</v>
      </c>
      <c r="H41" s="77">
        <v>42</v>
      </c>
      <c r="I41" s="77">
        <v>3486</v>
      </c>
    </row>
    <row r="42" spans="1:9" ht="15" customHeight="1" x14ac:dyDescent="0.25">
      <c r="A42" s="78">
        <v>45689</v>
      </c>
      <c r="B42" t="s">
        <v>390</v>
      </c>
      <c r="C42" t="s">
        <v>391</v>
      </c>
      <c r="D42" t="s">
        <v>221</v>
      </c>
      <c r="E42" t="s">
        <v>235</v>
      </c>
      <c r="F42" t="s">
        <v>230</v>
      </c>
      <c r="G42" s="77">
        <v>92</v>
      </c>
      <c r="H42" s="77">
        <v>42</v>
      </c>
      <c r="I42" s="77">
        <v>3864</v>
      </c>
    </row>
    <row r="43" spans="1:9" ht="15" customHeight="1" x14ac:dyDescent="0.25">
      <c r="A43" s="78">
        <v>45689</v>
      </c>
      <c r="B43" t="s">
        <v>390</v>
      </c>
      <c r="C43" t="s">
        <v>391</v>
      </c>
      <c r="D43" t="s">
        <v>221</v>
      </c>
      <c r="E43" t="s">
        <v>235</v>
      </c>
      <c r="F43" t="s">
        <v>231</v>
      </c>
      <c r="G43" s="77">
        <v>77</v>
      </c>
      <c r="H43" s="77">
        <v>28</v>
      </c>
      <c r="I43" s="77">
        <v>2156</v>
      </c>
    </row>
    <row r="44" spans="1:9" ht="15" customHeight="1" x14ac:dyDescent="0.25">
      <c r="A44" s="78">
        <v>45689</v>
      </c>
      <c r="B44" t="s">
        <v>390</v>
      </c>
      <c r="C44" t="s">
        <v>391</v>
      </c>
      <c r="D44" t="s">
        <v>221</v>
      </c>
      <c r="E44" t="s">
        <v>234</v>
      </c>
      <c r="F44" t="s">
        <v>232</v>
      </c>
      <c r="G44" s="77">
        <v>34</v>
      </c>
      <c r="H44" s="77">
        <v>23</v>
      </c>
      <c r="I44" s="77">
        <v>782</v>
      </c>
    </row>
    <row r="45" spans="1:9" ht="15" customHeight="1" x14ac:dyDescent="0.25">
      <c r="A45" s="78">
        <v>45689</v>
      </c>
      <c r="B45" t="s">
        <v>401</v>
      </c>
      <c r="C45" t="s">
        <v>402</v>
      </c>
      <c r="D45" t="s">
        <v>221</v>
      </c>
      <c r="E45" t="s">
        <v>236</v>
      </c>
      <c r="F45" t="s">
        <v>231</v>
      </c>
      <c r="G45" s="77">
        <v>61</v>
      </c>
      <c r="H45" s="77">
        <v>28</v>
      </c>
      <c r="I45" s="77">
        <v>1708</v>
      </c>
    </row>
    <row r="46" spans="1:9" ht="15" customHeight="1" x14ac:dyDescent="0.25">
      <c r="A46" s="78">
        <v>45689</v>
      </c>
      <c r="B46" t="s">
        <v>431</v>
      </c>
      <c r="C46" t="s">
        <v>432</v>
      </c>
      <c r="D46" t="s">
        <v>221</v>
      </c>
      <c r="E46" t="s">
        <v>236</v>
      </c>
      <c r="F46" t="s">
        <v>230</v>
      </c>
      <c r="G46" s="77">
        <v>103</v>
      </c>
      <c r="H46" s="77">
        <v>42</v>
      </c>
      <c r="I46" s="77">
        <v>4326</v>
      </c>
    </row>
    <row r="47" spans="1:9" ht="15" customHeight="1" x14ac:dyDescent="0.25">
      <c r="A47" s="78">
        <v>45689</v>
      </c>
      <c r="B47" t="s">
        <v>431</v>
      </c>
      <c r="C47" t="s">
        <v>432</v>
      </c>
      <c r="D47" t="s">
        <v>221</v>
      </c>
      <c r="E47" t="s">
        <v>235</v>
      </c>
      <c r="F47" t="s">
        <v>231</v>
      </c>
      <c r="G47" s="77">
        <v>110</v>
      </c>
      <c r="H47" s="77">
        <v>28</v>
      </c>
      <c r="I47" s="77">
        <v>3080</v>
      </c>
    </row>
    <row r="48" spans="1:9" ht="15" customHeight="1" x14ac:dyDescent="0.25">
      <c r="A48" s="78">
        <v>45689</v>
      </c>
      <c r="B48" t="s">
        <v>366</v>
      </c>
      <c r="C48" t="s">
        <v>367</v>
      </c>
      <c r="D48" t="s">
        <v>221</v>
      </c>
      <c r="E48" t="s">
        <v>235</v>
      </c>
      <c r="F48" t="s">
        <v>232</v>
      </c>
      <c r="G48" s="77">
        <v>89</v>
      </c>
      <c r="H48" s="77">
        <v>23</v>
      </c>
      <c r="I48" s="77">
        <v>2047</v>
      </c>
    </row>
    <row r="49" spans="1:9" ht="15" customHeight="1" x14ac:dyDescent="0.25">
      <c r="A49" s="78">
        <v>45689</v>
      </c>
      <c r="B49" t="s">
        <v>366</v>
      </c>
      <c r="C49" t="s">
        <v>367</v>
      </c>
      <c r="D49" t="s">
        <v>221</v>
      </c>
      <c r="E49" t="s">
        <v>234</v>
      </c>
      <c r="F49" t="s">
        <v>230</v>
      </c>
      <c r="G49" s="77">
        <v>130</v>
      </c>
      <c r="H49" s="77">
        <v>42</v>
      </c>
      <c r="I49" s="77">
        <v>5460</v>
      </c>
    </row>
    <row r="50" spans="1:9" ht="15" customHeight="1" x14ac:dyDescent="0.25">
      <c r="A50" s="78">
        <v>45689</v>
      </c>
      <c r="B50" t="s">
        <v>366</v>
      </c>
      <c r="C50" t="s">
        <v>367</v>
      </c>
      <c r="D50" t="s">
        <v>221</v>
      </c>
      <c r="E50" t="s">
        <v>234</v>
      </c>
      <c r="F50" t="s">
        <v>231</v>
      </c>
      <c r="G50" s="77">
        <v>103</v>
      </c>
      <c r="H50" s="77">
        <v>28</v>
      </c>
      <c r="I50" s="77">
        <v>2884</v>
      </c>
    </row>
    <row r="51" spans="1:9" ht="15" customHeight="1" x14ac:dyDescent="0.25">
      <c r="A51" s="78">
        <v>45689</v>
      </c>
      <c r="B51" t="s">
        <v>362</v>
      </c>
      <c r="C51" t="s">
        <v>363</v>
      </c>
      <c r="D51" t="s">
        <v>221</v>
      </c>
      <c r="E51" t="s">
        <v>234</v>
      </c>
      <c r="F51" t="s">
        <v>232</v>
      </c>
      <c r="G51" s="77">
        <v>63</v>
      </c>
      <c r="H51" s="77">
        <v>23</v>
      </c>
      <c r="I51" s="77">
        <v>1449</v>
      </c>
    </row>
    <row r="52" spans="1:9" ht="15" customHeight="1" x14ac:dyDescent="0.25">
      <c r="A52" s="78">
        <v>45689</v>
      </c>
      <c r="B52" t="s">
        <v>362</v>
      </c>
      <c r="C52" t="s">
        <v>363</v>
      </c>
      <c r="D52" t="s">
        <v>221</v>
      </c>
      <c r="E52" t="s">
        <v>234</v>
      </c>
      <c r="F52" t="s">
        <v>231</v>
      </c>
      <c r="G52" s="77">
        <v>80</v>
      </c>
      <c r="H52" s="77">
        <v>28</v>
      </c>
      <c r="I52" s="77">
        <v>2240</v>
      </c>
    </row>
    <row r="53" spans="1:9" ht="15" customHeight="1" x14ac:dyDescent="0.25">
      <c r="A53" s="78">
        <v>45689</v>
      </c>
      <c r="B53" t="s">
        <v>362</v>
      </c>
      <c r="C53" t="s">
        <v>363</v>
      </c>
      <c r="D53" t="s">
        <v>221</v>
      </c>
      <c r="E53" t="s">
        <v>235</v>
      </c>
      <c r="F53" t="s">
        <v>230</v>
      </c>
      <c r="G53" s="77">
        <v>40</v>
      </c>
      <c r="H53" s="77">
        <v>42</v>
      </c>
      <c r="I53" s="77">
        <v>1680</v>
      </c>
    </row>
    <row r="54" spans="1:9" ht="15" customHeight="1" x14ac:dyDescent="0.25">
      <c r="A54" s="78">
        <v>45689</v>
      </c>
      <c r="B54" t="s">
        <v>335</v>
      </c>
      <c r="C54" t="s">
        <v>336</v>
      </c>
      <c r="D54" t="s">
        <v>223</v>
      </c>
      <c r="E54" t="s">
        <v>235</v>
      </c>
      <c r="F54" t="s">
        <v>230</v>
      </c>
      <c r="G54" s="77">
        <v>86</v>
      </c>
      <c r="H54" s="77">
        <v>42</v>
      </c>
      <c r="I54" s="77">
        <v>3612</v>
      </c>
    </row>
    <row r="55" spans="1:9" ht="15" customHeight="1" x14ac:dyDescent="0.25">
      <c r="A55" s="78">
        <v>45689</v>
      </c>
      <c r="B55" t="s">
        <v>386</v>
      </c>
      <c r="C55" t="s">
        <v>387</v>
      </c>
      <c r="D55" t="s">
        <v>223</v>
      </c>
      <c r="E55" t="s">
        <v>234</v>
      </c>
      <c r="F55" t="s">
        <v>230</v>
      </c>
      <c r="G55" s="77">
        <v>128</v>
      </c>
      <c r="H55" s="77">
        <v>42</v>
      </c>
      <c r="I55" s="77">
        <v>5376</v>
      </c>
    </row>
    <row r="56" spans="1:9" ht="15" customHeight="1" x14ac:dyDescent="0.25">
      <c r="A56" s="78">
        <v>45689</v>
      </c>
      <c r="B56" t="s">
        <v>386</v>
      </c>
      <c r="C56" t="s">
        <v>387</v>
      </c>
      <c r="D56" t="s">
        <v>223</v>
      </c>
      <c r="E56" t="s">
        <v>236</v>
      </c>
      <c r="F56" t="s">
        <v>232</v>
      </c>
      <c r="G56" s="77">
        <v>113</v>
      </c>
      <c r="H56" s="77">
        <v>23</v>
      </c>
      <c r="I56" s="77">
        <v>2599</v>
      </c>
    </row>
    <row r="57" spans="1:9" ht="15" customHeight="1" x14ac:dyDescent="0.25">
      <c r="A57" s="78">
        <v>45689</v>
      </c>
      <c r="B57" t="s">
        <v>386</v>
      </c>
      <c r="C57" t="s">
        <v>387</v>
      </c>
      <c r="D57" t="s">
        <v>223</v>
      </c>
      <c r="E57" t="s">
        <v>235</v>
      </c>
      <c r="F57" t="s">
        <v>231</v>
      </c>
      <c r="G57" s="77">
        <v>139</v>
      </c>
      <c r="H57" s="77">
        <v>28</v>
      </c>
      <c r="I57" s="77">
        <v>3892</v>
      </c>
    </row>
    <row r="58" spans="1:9" ht="15" customHeight="1" x14ac:dyDescent="0.25">
      <c r="A58" s="78">
        <v>45689</v>
      </c>
      <c r="B58" t="s">
        <v>341</v>
      </c>
      <c r="C58" t="s">
        <v>342</v>
      </c>
      <c r="D58" t="s">
        <v>223</v>
      </c>
      <c r="E58" t="s">
        <v>236</v>
      </c>
      <c r="F58" t="s">
        <v>230</v>
      </c>
      <c r="G58" s="77">
        <v>79</v>
      </c>
      <c r="H58" s="77">
        <v>42</v>
      </c>
      <c r="I58" s="77">
        <v>3318</v>
      </c>
    </row>
    <row r="59" spans="1:9" ht="15" customHeight="1" x14ac:dyDescent="0.25">
      <c r="A59" s="78">
        <v>45689</v>
      </c>
      <c r="B59" t="s">
        <v>347</v>
      </c>
      <c r="C59" t="s">
        <v>348</v>
      </c>
      <c r="D59" t="s">
        <v>223</v>
      </c>
      <c r="E59" t="s">
        <v>235</v>
      </c>
      <c r="F59" t="s">
        <v>231</v>
      </c>
      <c r="G59" s="77">
        <v>137</v>
      </c>
      <c r="H59" s="77">
        <v>28</v>
      </c>
      <c r="I59" s="77">
        <v>3836</v>
      </c>
    </row>
    <row r="60" spans="1:9" ht="15" customHeight="1" x14ac:dyDescent="0.25">
      <c r="A60" s="78">
        <v>45689</v>
      </c>
      <c r="B60" t="s">
        <v>347</v>
      </c>
      <c r="C60" t="s">
        <v>348</v>
      </c>
      <c r="D60" t="s">
        <v>223</v>
      </c>
      <c r="E60" t="s">
        <v>235</v>
      </c>
      <c r="F60" t="s">
        <v>232</v>
      </c>
      <c r="G60" s="77">
        <v>83</v>
      </c>
      <c r="H60" s="77">
        <v>23</v>
      </c>
      <c r="I60" s="77">
        <v>1909</v>
      </c>
    </row>
    <row r="61" spans="1:9" ht="15" customHeight="1" x14ac:dyDescent="0.25">
      <c r="A61" s="78">
        <v>45689</v>
      </c>
      <c r="B61" t="s">
        <v>409</v>
      </c>
      <c r="C61" t="s">
        <v>410</v>
      </c>
      <c r="D61" t="s">
        <v>223</v>
      </c>
      <c r="E61" t="s">
        <v>236</v>
      </c>
      <c r="F61" t="s">
        <v>232</v>
      </c>
      <c r="G61" s="77">
        <v>141</v>
      </c>
      <c r="H61" s="77">
        <v>23</v>
      </c>
      <c r="I61" s="77">
        <v>3243</v>
      </c>
    </row>
    <row r="62" spans="1:9" ht="15" customHeight="1" x14ac:dyDescent="0.25">
      <c r="A62" s="78">
        <v>45689</v>
      </c>
      <c r="B62" t="s">
        <v>488</v>
      </c>
      <c r="C62" t="s">
        <v>489</v>
      </c>
      <c r="D62" t="s">
        <v>225</v>
      </c>
      <c r="E62" t="s">
        <v>236</v>
      </c>
      <c r="F62" t="s">
        <v>230</v>
      </c>
      <c r="G62" s="77">
        <v>89</v>
      </c>
      <c r="H62" s="77">
        <v>42</v>
      </c>
      <c r="I62" s="77">
        <v>3738</v>
      </c>
    </row>
    <row r="63" spans="1:9" ht="15" customHeight="1" x14ac:dyDescent="0.25">
      <c r="A63" s="78">
        <v>45689</v>
      </c>
      <c r="B63" t="s">
        <v>406</v>
      </c>
      <c r="C63" t="s">
        <v>407</v>
      </c>
      <c r="D63" t="s">
        <v>225</v>
      </c>
      <c r="E63" t="s">
        <v>234</v>
      </c>
      <c r="F63" t="s">
        <v>232</v>
      </c>
      <c r="G63" s="77">
        <v>114</v>
      </c>
      <c r="H63" s="77">
        <v>23</v>
      </c>
      <c r="I63" s="77">
        <v>2622</v>
      </c>
    </row>
    <row r="64" spans="1:9" ht="15" customHeight="1" x14ac:dyDescent="0.25">
      <c r="A64" s="78">
        <v>45689</v>
      </c>
      <c r="B64" t="s">
        <v>406</v>
      </c>
      <c r="C64" t="s">
        <v>407</v>
      </c>
      <c r="D64" t="s">
        <v>225</v>
      </c>
      <c r="E64" t="s">
        <v>236</v>
      </c>
      <c r="F64" t="s">
        <v>231</v>
      </c>
      <c r="G64" s="77">
        <v>141</v>
      </c>
      <c r="H64" s="77">
        <v>28</v>
      </c>
      <c r="I64" s="77">
        <v>3948</v>
      </c>
    </row>
    <row r="65" spans="1:9" ht="15" customHeight="1" x14ac:dyDescent="0.25">
      <c r="A65" s="78">
        <v>45689</v>
      </c>
      <c r="B65" t="s">
        <v>406</v>
      </c>
      <c r="C65" t="s">
        <v>407</v>
      </c>
      <c r="D65" t="s">
        <v>225</v>
      </c>
      <c r="E65" t="s">
        <v>234</v>
      </c>
      <c r="F65" t="s">
        <v>230</v>
      </c>
      <c r="G65" s="77">
        <v>83</v>
      </c>
      <c r="H65" s="77">
        <v>42</v>
      </c>
      <c r="I65" s="77">
        <v>3486</v>
      </c>
    </row>
    <row r="66" spans="1:9" ht="15" customHeight="1" x14ac:dyDescent="0.25">
      <c r="A66" s="78">
        <v>45689</v>
      </c>
      <c r="B66" t="s">
        <v>358</v>
      </c>
      <c r="C66" t="s">
        <v>359</v>
      </c>
      <c r="D66" t="s">
        <v>225</v>
      </c>
      <c r="E66" t="s">
        <v>236</v>
      </c>
      <c r="F66" t="s">
        <v>231</v>
      </c>
      <c r="G66" s="77">
        <v>97</v>
      </c>
      <c r="H66" s="77">
        <v>28</v>
      </c>
      <c r="I66" s="77">
        <v>2716</v>
      </c>
    </row>
    <row r="67" spans="1:9" ht="15" customHeight="1" x14ac:dyDescent="0.25">
      <c r="A67" s="78">
        <v>45689</v>
      </c>
      <c r="B67" t="s">
        <v>383</v>
      </c>
      <c r="C67" t="s">
        <v>384</v>
      </c>
      <c r="D67" t="s">
        <v>225</v>
      </c>
      <c r="E67" t="s">
        <v>236</v>
      </c>
      <c r="F67" t="s">
        <v>231</v>
      </c>
      <c r="G67" s="77">
        <v>135</v>
      </c>
      <c r="H67" s="77">
        <v>28</v>
      </c>
      <c r="I67" s="77">
        <v>3780</v>
      </c>
    </row>
    <row r="68" spans="1:9" ht="15" customHeight="1" x14ac:dyDescent="0.25">
      <c r="A68" s="78">
        <v>45689</v>
      </c>
      <c r="B68" t="s">
        <v>383</v>
      </c>
      <c r="C68" t="s">
        <v>384</v>
      </c>
      <c r="D68" t="s">
        <v>225</v>
      </c>
      <c r="E68" t="s">
        <v>236</v>
      </c>
      <c r="F68" t="s">
        <v>230</v>
      </c>
      <c r="G68" s="77">
        <v>85</v>
      </c>
      <c r="H68" s="77">
        <v>42</v>
      </c>
      <c r="I68" s="77">
        <v>3570</v>
      </c>
    </row>
    <row r="69" spans="1:9" ht="15" customHeight="1" x14ac:dyDescent="0.25">
      <c r="A69" s="78">
        <v>45689</v>
      </c>
      <c r="B69" t="s">
        <v>373</v>
      </c>
      <c r="C69" t="s">
        <v>374</v>
      </c>
      <c r="D69" t="s">
        <v>225</v>
      </c>
      <c r="E69" t="s">
        <v>235</v>
      </c>
      <c r="F69" t="s">
        <v>230</v>
      </c>
      <c r="G69" s="77">
        <v>43</v>
      </c>
      <c r="H69" s="77">
        <v>42</v>
      </c>
      <c r="I69" s="77">
        <v>1806</v>
      </c>
    </row>
    <row r="70" spans="1:9" ht="15" customHeight="1" x14ac:dyDescent="0.25">
      <c r="A70" s="78">
        <v>45689</v>
      </c>
      <c r="B70" t="s">
        <v>373</v>
      </c>
      <c r="C70" t="s">
        <v>374</v>
      </c>
      <c r="D70" t="s">
        <v>225</v>
      </c>
      <c r="E70" t="s">
        <v>236</v>
      </c>
      <c r="F70" t="s">
        <v>232</v>
      </c>
      <c r="G70" s="77">
        <v>165</v>
      </c>
      <c r="H70" s="77">
        <v>23</v>
      </c>
      <c r="I70" s="77">
        <v>3795</v>
      </c>
    </row>
    <row r="71" spans="1:9" ht="15" customHeight="1" x14ac:dyDescent="0.25">
      <c r="A71" s="78">
        <v>45689</v>
      </c>
      <c r="B71" t="s">
        <v>373</v>
      </c>
      <c r="C71" t="s">
        <v>374</v>
      </c>
      <c r="D71" t="s">
        <v>225</v>
      </c>
      <c r="E71" t="s">
        <v>235</v>
      </c>
      <c r="F71" t="s">
        <v>231</v>
      </c>
      <c r="G71" s="77">
        <v>73</v>
      </c>
      <c r="H71" s="77">
        <v>28</v>
      </c>
      <c r="I71" s="77">
        <v>2044</v>
      </c>
    </row>
    <row r="72" spans="1:9" ht="15" customHeight="1" x14ac:dyDescent="0.25">
      <c r="A72" s="78">
        <v>45689</v>
      </c>
      <c r="B72" t="s">
        <v>354</v>
      </c>
      <c r="C72" t="s">
        <v>355</v>
      </c>
      <c r="D72" t="s">
        <v>227</v>
      </c>
      <c r="E72" t="s">
        <v>235</v>
      </c>
      <c r="F72" t="s">
        <v>231</v>
      </c>
      <c r="G72" s="77">
        <v>95</v>
      </c>
      <c r="H72" s="77">
        <v>28</v>
      </c>
      <c r="I72" s="77">
        <v>2660</v>
      </c>
    </row>
    <row r="73" spans="1:9" ht="15" customHeight="1" x14ac:dyDescent="0.25">
      <c r="A73" s="78">
        <v>45689</v>
      </c>
      <c r="B73" t="s">
        <v>370</v>
      </c>
      <c r="C73" t="s">
        <v>371</v>
      </c>
      <c r="D73" t="s">
        <v>227</v>
      </c>
      <c r="E73" t="s">
        <v>235</v>
      </c>
      <c r="F73" t="s">
        <v>231</v>
      </c>
      <c r="G73" s="77">
        <v>130</v>
      </c>
      <c r="H73" s="77">
        <v>28</v>
      </c>
      <c r="I73" s="77">
        <v>3640</v>
      </c>
    </row>
    <row r="74" spans="1:9" ht="15" customHeight="1" x14ac:dyDescent="0.25">
      <c r="A74" s="78">
        <v>45689</v>
      </c>
      <c r="B74" t="s">
        <v>370</v>
      </c>
      <c r="C74" t="s">
        <v>371</v>
      </c>
      <c r="D74" t="s">
        <v>227</v>
      </c>
      <c r="E74" t="s">
        <v>234</v>
      </c>
      <c r="F74" t="s">
        <v>230</v>
      </c>
      <c r="G74" s="77">
        <v>68</v>
      </c>
      <c r="H74" s="77">
        <v>42</v>
      </c>
      <c r="I74" s="77">
        <v>2856</v>
      </c>
    </row>
    <row r="75" spans="1:9" ht="15" customHeight="1" x14ac:dyDescent="0.25">
      <c r="A75" s="78">
        <v>45689</v>
      </c>
      <c r="B75" t="s">
        <v>370</v>
      </c>
      <c r="C75" t="s">
        <v>371</v>
      </c>
      <c r="D75" t="s">
        <v>227</v>
      </c>
      <c r="E75" t="s">
        <v>235</v>
      </c>
      <c r="F75" t="s">
        <v>232</v>
      </c>
      <c r="G75" s="77">
        <v>54</v>
      </c>
      <c r="H75" s="77">
        <v>23</v>
      </c>
      <c r="I75" s="77">
        <v>1242</v>
      </c>
    </row>
    <row r="76" spans="1:9" ht="15" customHeight="1" x14ac:dyDescent="0.25">
      <c r="A76" s="78">
        <v>45689</v>
      </c>
      <c r="B76" t="s">
        <v>398</v>
      </c>
      <c r="C76" t="s">
        <v>399</v>
      </c>
      <c r="D76" t="s">
        <v>227</v>
      </c>
      <c r="E76" t="s">
        <v>236</v>
      </c>
      <c r="F76" t="s">
        <v>230</v>
      </c>
      <c r="G76" s="77">
        <v>98</v>
      </c>
      <c r="H76" s="77">
        <v>42</v>
      </c>
      <c r="I76" s="77">
        <v>4116</v>
      </c>
    </row>
    <row r="77" spans="1:9" ht="15" customHeight="1" x14ac:dyDescent="0.25">
      <c r="A77" s="78">
        <v>45689</v>
      </c>
      <c r="B77" t="s">
        <v>398</v>
      </c>
      <c r="C77" t="s">
        <v>399</v>
      </c>
      <c r="D77" t="s">
        <v>227</v>
      </c>
      <c r="E77" t="s">
        <v>236</v>
      </c>
      <c r="F77" t="s">
        <v>232</v>
      </c>
      <c r="G77" s="77">
        <v>27</v>
      </c>
      <c r="H77" s="77">
        <v>23</v>
      </c>
      <c r="I77" s="77">
        <v>621</v>
      </c>
    </row>
    <row r="78" spans="1:9" ht="15" customHeight="1" x14ac:dyDescent="0.25">
      <c r="A78" s="78">
        <v>45689</v>
      </c>
      <c r="B78" t="s">
        <v>398</v>
      </c>
      <c r="C78" t="s">
        <v>399</v>
      </c>
      <c r="D78" t="s">
        <v>227</v>
      </c>
      <c r="E78" t="s">
        <v>236</v>
      </c>
      <c r="F78" t="s">
        <v>231</v>
      </c>
      <c r="G78" s="77">
        <v>79</v>
      </c>
      <c r="H78" s="77">
        <v>28</v>
      </c>
      <c r="I78" s="77">
        <v>2212</v>
      </c>
    </row>
    <row r="79" spans="1:9" ht="15" customHeight="1" x14ac:dyDescent="0.25">
      <c r="A79" s="78">
        <v>45689</v>
      </c>
      <c r="B79" t="s">
        <v>378</v>
      </c>
      <c r="C79" t="s">
        <v>379</v>
      </c>
      <c r="D79" t="s">
        <v>227</v>
      </c>
      <c r="E79" t="s">
        <v>236</v>
      </c>
      <c r="F79" t="s">
        <v>231</v>
      </c>
      <c r="G79" s="77">
        <v>98</v>
      </c>
      <c r="H79" s="77">
        <v>28</v>
      </c>
      <c r="I79" s="77">
        <v>2744</v>
      </c>
    </row>
    <row r="80" spans="1:9" ht="15" customHeight="1" x14ac:dyDescent="0.25">
      <c r="A80" s="78">
        <v>45689</v>
      </c>
      <c r="B80" t="s">
        <v>378</v>
      </c>
      <c r="C80" t="s">
        <v>379</v>
      </c>
      <c r="D80" t="s">
        <v>227</v>
      </c>
      <c r="E80" t="s">
        <v>235</v>
      </c>
      <c r="F80" t="s">
        <v>230</v>
      </c>
      <c r="G80" s="77">
        <v>80</v>
      </c>
      <c r="H80" s="77">
        <v>42</v>
      </c>
      <c r="I80" s="77">
        <v>3360</v>
      </c>
    </row>
    <row r="81" spans="1:9" ht="15" customHeight="1" x14ac:dyDescent="0.25">
      <c r="A81" s="78">
        <v>45689</v>
      </c>
      <c r="B81" t="s">
        <v>378</v>
      </c>
      <c r="C81" t="s">
        <v>379</v>
      </c>
      <c r="D81" t="s">
        <v>227</v>
      </c>
      <c r="E81" t="s">
        <v>234</v>
      </c>
      <c r="F81" t="s">
        <v>232</v>
      </c>
      <c r="G81" s="77">
        <v>35</v>
      </c>
      <c r="H81" s="77">
        <v>23</v>
      </c>
      <c r="I81" s="77">
        <v>805</v>
      </c>
    </row>
    <row r="82" spans="1:9" ht="15" customHeight="1" x14ac:dyDescent="0.25">
      <c r="A82" s="78">
        <v>45689</v>
      </c>
      <c r="B82" t="s">
        <v>393</v>
      </c>
      <c r="C82" t="s">
        <v>394</v>
      </c>
      <c r="D82" t="s">
        <v>227</v>
      </c>
      <c r="E82" t="s">
        <v>234</v>
      </c>
      <c r="F82" t="s">
        <v>231</v>
      </c>
      <c r="G82" s="77">
        <v>145</v>
      </c>
      <c r="H82" s="77">
        <v>28</v>
      </c>
      <c r="I82" s="77">
        <v>4060</v>
      </c>
    </row>
    <row r="83" spans="1:9" ht="15" customHeight="1" x14ac:dyDescent="0.25">
      <c r="A83" s="78">
        <v>45689</v>
      </c>
      <c r="B83" t="s">
        <v>393</v>
      </c>
      <c r="C83" t="s">
        <v>394</v>
      </c>
      <c r="D83" t="s">
        <v>227</v>
      </c>
      <c r="E83" t="s">
        <v>234</v>
      </c>
      <c r="F83" t="s">
        <v>232</v>
      </c>
      <c r="G83" s="77">
        <v>93</v>
      </c>
      <c r="H83" s="77">
        <v>23</v>
      </c>
      <c r="I83" s="77">
        <v>2139</v>
      </c>
    </row>
    <row r="84" spans="1:9" ht="15" customHeight="1" x14ac:dyDescent="0.25">
      <c r="A84" s="78">
        <v>45717</v>
      </c>
      <c r="B84" t="s">
        <v>390</v>
      </c>
      <c r="C84" t="s">
        <v>391</v>
      </c>
      <c r="D84" t="s">
        <v>221</v>
      </c>
      <c r="E84" t="s">
        <v>236</v>
      </c>
      <c r="F84" t="s">
        <v>230</v>
      </c>
      <c r="G84" s="77">
        <v>140</v>
      </c>
      <c r="H84" s="77">
        <v>42</v>
      </c>
      <c r="I84" s="77">
        <v>5880</v>
      </c>
    </row>
    <row r="85" spans="1:9" ht="15" customHeight="1" x14ac:dyDescent="0.25">
      <c r="A85" s="78">
        <v>45717</v>
      </c>
      <c r="B85" t="s">
        <v>401</v>
      </c>
      <c r="C85" t="s">
        <v>402</v>
      </c>
      <c r="D85" t="s">
        <v>221</v>
      </c>
      <c r="E85" t="s">
        <v>234</v>
      </c>
      <c r="F85" t="s">
        <v>232</v>
      </c>
      <c r="G85" s="77">
        <v>80</v>
      </c>
      <c r="H85" s="77">
        <v>23</v>
      </c>
      <c r="I85" s="77">
        <v>1840</v>
      </c>
    </row>
    <row r="86" spans="1:9" ht="15" customHeight="1" x14ac:dyDescent="0.25">
      <c r="A86" s="78">
        <v>45717</v>
      </c>
      <c r="B86" t="s">
        <v>431</v>
      </c>
      <c r="C86" t="s">
        <v>432</v>
      </c>
      <c r="D86" t="s">
        <v>221</v>
      </c>
      <c r="E86" t="s">
        <v>236</v>
      </c>
      <c r="F86" t="s">
        <v>230</v>
      </c>
      <c r="G86" s="77">
        <v>59</v>
      </c>
      <c r="H86" s="77">
        <v>42</v>
      </c>
      <c r="I86" s="77">
        <v>2478</v>
      </c>
    </row>
    <row r="87" spans="1:9" ht="15" customHeight="1" x14ac:dyDescent="0.25">
      <c r="A87" s="78">
        <v>45717</v>
      </c>
      <c r="B87" t="s">
        <v>366</v>
      </c>
      <c r="C87" t="s">
        <v>367</v>
      </c>
      <c r="D87" t="s">
        <v>221</v>
      </c>
      <c r="E87" t="s">
        <v>236</v>
      </c>
      <c r="F87" t="s">
        <v>232</v>
      </c>
      <c r="G87" s="77">
        <v>99</v>
      </c>
      <c r="H87" s="77">
        <v>23</v>
      </c>
      <c r="I87" s="77">
        <v>2277</v>
      </c>
    </row>
    <row r="88" spans="1:9" ht="15" customHeight="1" x14ac:dyDescent="0.25">
      <c r="A88" s="78">
        <v>45717</v>
      </c>
      <c r="B88" t="s">
        <v>362</v>
      </c>
      <c r="C88" t="s">
        <v>363</v>
      </c>
      <c r="D88" t="s">
        <v>221</v>
      </c>
      <c r="E88" t="s">
        <v>235</v>
      </c>
      <c r="F88" t="s">
        <v>232</v>
      </c>
      <c r="G88" s="77">
        <v>82</v>
      </c>
      <c r="H88" s="77">
        <v>23</v>
      </c>
      <c r="I88" s="77">
        <v>1886</v>
      </c>
    </row>
    <row r="89" spans="1:9" ht="15" customHeight="1" x14ac:dyDescent="0.25">
      <c r="A89" s="78">
        <v>45717</v>
      </c>
      <c r="B89" t="s">
        <v>335</v>
      </c>
      <c r="C89" t="s">
        <v>336</v>
      </c>
      <c r="D89" t="s">
        <v>223</v>
      </c>
      <c r="E89" t="s">
        <v>235</v>
      </c>
      <c r="F89" t="s">
        <v>230</v>
      </c>
      <c r="G89" s="77">
        <v>48</v>
      </c>
      <c r="H89" s="77">
        <v>42</v>
      </c>
      <c r="I89" s="77">
        <v>2016</v>
      </c>
    </row>
    <row r="90" spans="1:9" ht="15" customHeight="1" x14ac:dyDescent="0.25">
      <c r="A90" s="78">
        <v>45717</v>
      </c>
      <c r="B90" t="s">
        <v>335</v>
      </c>
      <c r="C90" t="s">
        <v>336</v>
      </c>
      <c r="D90" t="s">
        <v>223</v>
      </c>
      <c r="E90" t="s">
        <v>234</v>
      </c>
      <c r="F90" t="s">
        <v>231</v>
      </c>
      <c r="G90" s="77">
        <v>141</v>
      </c>
      <c r="H90" s="77">
        <v>28</v>
      </c>
      <c r="I90" s="77">
        <v>3948</v>
      </c>
    </row>
    <row r="91" spans="1:9" ht="15" customHeight="1" x14ac:dyDescent="0.25">
      <c r="A91" s="78">
        <v>45717</v>
      </c>
      <c r="B91" t="s">
        <v>335</v>
      </c>
      <c r="C91" t="s">
        <v>336</v>
      </c>
      <c r="D91" t="s">
        <v>223</v>
      </c>
      <c r="E91" t="s">
        <v>236</v>
      </c>
      <c r="F91" t="s">
        <v>232</v>
      </c>
      <c r="G91" s="77">
        <v>68</v>
      </c>
      <c r="H91" s="77">
        <v>23</v>
      </c>
      <c r="I91" s="77">
        <v>1564</v>
      </c>
    </row>
    <row r="92" spans="1:9" ht="15" customHeight="1" x14ac:dyDescent="0.25">
      <c r="A92" s="78">
        <v>45717</v>
      </c>
      <c r="B92" t="s">
        <v>386</v>
      </c>
      <c r="C92" t="s">
        <v>387</v>
      </c>
      <c r="D92" t="s">
        <v>223</v>
      </c>
      <c r="E92" t="s">
        <v>236</v>
      </c>
      <c r="F92" t="s">
        <v>230</v>
      </c>
      <c r="G92" s="77">
        <v>25</v>
      </c>
      <c r="H92" s="77">
        <v>42</v>
      </c>
      <c r="I92" s="77">
        <v>1050</v>
      </c>
    </row>
    <row r="93" spans="1:9" ht="15" customHeight="1" x14ac:dyDescent="0.25">
      <c r="A93" s="78">
        <v>45717</v>
      </c>
      <c r="B93" t="s">
        <v>386</v>
      </c>
      <c r="C93" t="s">
        <v>387</v>
      </c>
      <c r="D93" t="s">
        <v>223</v>
      </c>
      <c r="E93" t="s">
        <v>234</v>
      </c>
      <c r="F93" t="s">
        <v>232</v>
      </c>
      <c r="G93" s="77">
        <v>136</v>
      </c>
      <c r="H93" s="77">
        <v>23</v>
      </c>
      <c r="I93" s="77">
        <v>3128</v>
      </c>
    </row>
    <row r="94" spans="1:9" ht="15" customHeight="1" x14ac:dyDescent="0.25">
      <c r="A94" s="78">
        <v>45717</v>
      </c>
      <c r="B94" t="s">
        <v>386</v>
      </c>
      <c r="C94" t="s">
        <v>387</v>
      </c>
      <c r="D94" t="s">
        <v>223</v>
      </c>
      <c r="E94" t="s">
        <v>235</v>
      </c>
      <c r="F94" t="s">
        <v>231</v>
      </c>
      <c r="G94" s="77">
        <v>72</v>
      </c>
      <c r="H94" s="77">
        <v>28</v>
      </c>
      <c r="I94" s="77">
        <v>2016</v>
      </c>
    </row>
    <row r="95" spans="1:9" ht="15" customHeight="1" x14ac:dyDescent="0.25">
      <c r="A95" s="78">
        <v>45717</v>
      </c>
      <c r="B95" t="s">
        <v>341</v>
      </c>
      <c r="C95" t="s">
        <v>342</v>
      </c>
      <c r="D95" t="s">
        <v>223</v>
      </c>
      <c r="E95" t="s">
        <v>236</v>
      </c>
      <c r="F95" t="s">
        <v>230</v>
      </c>
      <c r="G95" s="77">
        <v>68</v>
      </c>
      <c r="H95" s="77">
        <v>42</v>
      </c>
      <c r="I95" s="77">
        <v>2856</v>
      </c>
    </row>
    <row r="96" spans="1:9" ht="15" customHeight="1" x14ac:dyDescent="0.25">
      <c r="A96" s="78">
        <v>45717</v>
      </c>
      <c r="B96" t="s">
        <v>341</v>
      </c>
      <c r="C96" t="s">
        <v>342</v>
      </c>
      <c r="D96" t="s">
        <v>223</v>
      </c>
      <c r="E96" t="s">
        <v>235</v>
      </c>
      <c r="F96" t="s">
        <v>231</v>
      </c>
      <c r="G96" s="77">
        <v>28</v>
      </c>
      <c r="H96" s="77">
        <v>28</v>
      </c>
      <c r="I96" s="77">
        <v>784</v>
      </c>
    </row>
    <row r="97" spans="1:9" ht="15" customHeight="1" x14ac:dyDescent="0.25">
      <c r="A97" s="78">
        <v>45717</v>
      </c>
      <c r="B97" t="s">
        <v>341</v>
      </c>
      <c r="C97" t="s">
        <v>342</v>
      </c>
      <c r="D97" t="s">
        <v>223</v>
      </c>
      <c r="E97" t="s">
        <v>236</v>
      </c>
      <c r="F97" t="s">
        <v>232</v>
      </c>
      <c r="G97" s="77">
        <v>150</v>
      </c>
      <c r="H97" s="77">
        <v>23</v>
      </c>
      <c r="I97" s="77">
        <v>3450</v>
      </c>
    </row>
    <row r="98" spans="1:9" ht="15" customHeight="1" x14ac:dyDescent="0.25">
      <c r="A98" s="78">
        <v>45717</v>
      </c>
      <c r="B98" t="s">
        <v>347</v>
      </c>
      <c r="C98" t="s">
        <v>348</v>
      </c>
      <c r="D98" t="s">
        <v>223</v>
      </c>
      <c r="E98" t="s">
        <v>234</v>
      </c>
      <c r="F98" t="s">
        <v>232</v>
      </c>
      <c r="G98" s="77">
        <v>44</v>
      </c>
      <c r="H98" s="77">
        <v>23</v>
      </c>
      <c r="I98" s="77">
        <v>1012</v>
      </c>
    </row>
    <row r="99" spans="1:9" ht="15" customHeight="1" x14ac:dyDescent="0.25">
      <c r="A99" s="78">
        <v>45717</v>
      </c>
      <c r="B99" t="s">
        <v>347</v>
      </c>
      <c r="C99" t="s">
        <v>348</v>
      </c>
      <c r="D99" t="s">
        <v>223</v>
      </c>
      <c r="E99" t="s">
        <v>236</v>
      </c>
      <c r="F99" t="s">
        <v>231</v>
      </c>
      <c r="G99" s="77">
        <v>92</v>
      </c>
      <c r="H99" s="77">
        <v>28</v>
      </c>
      <c r="I99" s="77">
        <v>2576</v>
      </c>
    </row>
    <row r="100" spans="1:9" ht="15" customHeight="1" x14ac:dyDescent="0.25">
      <c r="A100" s="78">
        <v>45717</v>
      </c>
      <c r="B100" t="s">
        <v>347</v>
      </c>
      <c r="C100" t="s">
        <v>348</v>
      </c>
      <c r="D100" t="s">
        <v>223</v>
      </c>
      <c r="E100" t="s">
        <v>234</v>
      </c>
      <c r="F100" t="s">
        <v>230</v>
      </c>
      <c r="G100" s="77">
        <v>121</v>
      </c>
      <c r="H100" s="77">
        <v>42</v>
      </c>
      <c r="I100" s="77">
        <v>5082</v>
      </c>
    </row>
    <row r="101" spans="1:9" ht="15" customHeight="1" x14ac:dyDescent="0.25">
      <c r="A101" s="78">
        <v>45717</v>
      </c>
      <c r="B101" t="s">
        <v>409</v>
      </c>
      <c r="C101" t="s">
        <v>410</v>
      </c>
      <c r="D101" t="s">
        <v>223</v>
      </c>
      <c r="E101" t="s">
        <v>236</v>
      </c>
      <c r="F101" t="s">
        <v>231</v>
      </c>
      <c r="G101" s="77">
        <v>104</v>
      </c>
      <c r="H101" s="77">
        <v>28</v>
      </c>
      <c r="I101" s="77">
        <v>2912</v>
      </c>
    </row>
    <row r="102" spans="1:9" ht="15" customHeight="1" x14ac:dyDescent="0.25">
      <c r="A102" s="78">
        <v>45717</v>
      </c>
      <c r="B102" t="s">
        <v>409</v>
      </c>
      <c r="C102" t="s">
        <v>410</v>
      </c>
      <c r="D102" t="s">
        <v>223</v>
      </c>
      <c r="E102" t="s">
        <v>236</v>
      </c>
      <c r="F102" t="s">
        <v>232</v>
      </c>
      <c r="G102" s="77">
        <v>87</v>
      </c>
      <c r="H102" s="77">
        <v>23</v>
      </c>
      <c r="I102" s="77">
        <v>2001</v>
      </c>
    </row>
    <row r="103" spans="1:9" ht="15" customHeight="1" x14ac:dyDescent="0.25">
      <c r="A103" s="78">
        <v>45717</v>
      </c>
      <c r="B103" t="s">
        <v>488</v>
      </c>
      <c r="C103" t="s">
        <v>489</v>
      </c>
      <c r="D103" t="s">
        <v>225</v>
      </c>
      <c r="E103" t="s">
        <v>234</v>
      </c>
      <c r="F103" t="s">
        <v>231</v>
      </c>
      <c r="G103" s="77">
        <v>30</v>
      </c>
      <c r="H103" s="77">
        <v>28</v>
      </c>
      <c r="I103" s="77">
        <v>840</v>
      </c>
    </row>
    <row r="104" spans="1:9" ht="15" customHeight="1" x14ac:dyDescent="0.25">
      <c r="A104" s="78">
        <v>45717</v>
      </c>
      <c r="B104" t="s">
        <v>488</v>
      </c>
      <c r="C104" t="s">
        <v>489</v>
      </c>
      <c r="D104" t="s">
        <v>225</v>
      </c>
      <c r="E104" t="s">
        <v>236</v>
      </c>
      <c r="F104" t="s">
        <v>230</v>
      </c>
      <c r="G104" s="77">
        <v>61</v>
      </c>
      <c r="H104" s="77">
        <v>42</v>
      </c>
      <c r="I104" s="77">
        <v>2562</v>
      </c>
    </row>
    <row r="105" spans="1:9" ht="15" customHeight="1" x14ac:dyDescent="0.25">
      <c r="A105" s="78">
        <v>45717</v>
      </c>
      <c r="B105" t="s">
        <v>488</v>
      </c>
      <c r="C105" t="s">
        <v>489</v>
      </c>
      <c r="D105" t="s">
        <v>225</v>
      </c>
      <c r="E105" t="s">
        <v>236</v>
      </c>
      <c r="F105" t="s">
        <v>232</v>
      </c>
      <c r="G105" s="77">
        <v>96</v>
      </c>
      <c r="H105" s="77">
        <v>23</v>
      </c>
      <c r="I105" s="77">
        <v>2208</v>
      </c>
    </row>
    <row r="106" spans="1:9" ht="15" customHeight="1" x14ac:dyDescent="0.25">
      <c r="A106" s="78">
        <v>45717</v>
      </c>
      <c r="B106" t="s">
        <v>406</v>
      </c>
      <c r="C106" t="s">
        <v>407</v>
      </c>
      <c r="D106" t="s">
        <v>225</v>
      </c>
      <c r="E106" t="s">
        <v>235</v>
      </c>
      <c r="F106" t="s">
        <v>230</v>
      </c>
      <c r="G106" s="77">
        <v>62</v>
      </c>
      <c r="H106" s="77">
        <v>42</v>
      </c>
      <c r="I106" s="77">
        <v>2604</v>
      </c>
    </row>
    <row r="107" spans="1:9" ht="15" customHeight="1" x14ac:dyDescent="0.25">
      <c r="A107" s="78">
        <v>45717</v>
      </c>
      <c r="B107" t="s">
        <v>406</v>
      </c>
      <c r="C107" t="s">
        <v>407</v>
      </c>
      <c r="D107" t="s">
        <v>225</v>
      </c>
      <c r="E107" t="s">
        <v>235</v>
      </c>
      <c r="F107" t="s">
        <v>232</v>
      </c>
      <c r="G107" s="77">
        <v>97</v>
      </c>
      <c r="H107" s="77">
        <v>23</v>
      </c>
      <c r="I107" s="77">
        <v>2231</v>
      </c>
    </row>
    <row r="108" spans="1:9" ht="15" customHeight="1" x14ac:dyDescent="0.25">
      <c r="A108" s="78">
        <v>45717</v>
      </c>
      <c r="B108" t="s">
        <v>406</v>
      </c>
      <c r="C108" t="s">
        <v>407</v>
      </c>
      <c r="D108" t="s">
        <v>225</v>
      </c>
      <c r="E108" t="s">
        <v>234</v>
      </c>
      <c r="F108" t="s">
        <v>231</v>
      </c>
      <c r="G108" s="77">
        <v>113</v>
      </c>
      <c r="H108" s="77">
        <v>28</v>
      </c>
      <c r="I108" s="77">
        <v>3164</v>
      </c>
    </row>
    <row r="109" spans="1:9" ht="15" customHeight="1" x14ac:dyDescent="0.25">
      <c r="A109" s="78">
        <v>45717</v>
      </c>
      <c r="B109" t="s">
        <v>358</v>
      </c>
      <c r="C109" t="s">
        <v>359</v>
      </c>
      <c r="D109" t="s">
        <v>225</v>
      </c>
      <c r="E109" t="s">
        <v>236</v>
      </c>
      <c r="F109" t="s">
        <v>231</v>
      </c>
      <c r="G109" s="77">
        <v>123</v>
      </c>
      <c r="H109" s="77">
        <v>28</v>
      </c>
      <c r="I109" s="77">
        <v>3444</v>
      </c>
    </row>
    <row r="110" spans="1:9" ht="15" customHeight="1" x14ac:dyDescent="0.25">
      <c r="A110" s="78">
        <v>45717</v>
      </c>
      <c r="B110" t="s">
        <v>383</v>
      </c>
      <c r="C110" t="s">
        <v>384</v>
      </c>
      <c r="D110" t="s">
        <v>225</v>
      </c>
      <c r="E110" t="s">
        <v>236</v>
      </c>
      <c r="F110" t="s">
        <v>232</v>
      </c>
      <c r="G110" s="77">
        <v>47</v>
      </c>
      <c r="H110" s="77">
        <v>23</v>
      </c>
      <c r="I110" s="77">
        <v>1081</v>
      </c>
    </row>
    <row r="111" spans="1:9" ht="15" customHeight="1" x14ac:dyDescent="0.25">
      <c r="A111" s="78">
        <v>45717</v>
      </c>
      <c r="B111" t="s">
        <v>383</v>
      </c>
      <c r="C111" t="s">
        <v>384</v>
      </c>
      <c r="D111" t="s">
        <v>225</v>
      </c>
      <c r="E111" t="s">
        <v>234</v>
      </c>
      <c r="F111" t="s">
        <v>230</v>
      </c>
      <c r="G111" s="77">
        <v>166</v>
      </c>
      <c r="H111" s="77">
        <v>42</v>
      </c>
      <c r="I111" s="77">
        <v>6972</v>
      </c>
    </row>
    <row r="112" spans="1:9" ht="15" customHeight="1" x14ac:dyDescent="0.25">
      <c r="A112" s="78">
        <v>45717</v>
      </c>
      <c r="B112" t="s">
        <v>383</v>
      </c>
      <c r="C112" t="s">
        <v>384</v>
      </c>
      <c r="D112" t="s">
        <v>225</v>
      </c>
      <c r="E112" t="s">
        <v>236</v>
      </c>
      <c r="F112" t="s">
        <v>231</v>
      </c>
      <c r="G112" s="77">
        <v>116</v>
      </c>
      <c r="H112" s="77">
        <v>28</v>
      </c>
      <c r="I112" s="77">
        <v>3248</v>
      </c>
    </row>
    <row r="113" spans="1:9" ht="15" customHeight="1" x14ac:dyDescent="0.25">
      <c r="A113" s="78">
        <v>45717</v>
      </c>
      <c r="B113" t="s">
        <v>373</v>
      </c>
      <c r="C113" t="s">
        <v>374</v>
      </c>
      <c r="D113" t="s">
        <v>225</v>
      </c>
      <c r="E113" t="s">
        <v>236</v>
      </c>
      <c r="F113" t="s">
        <v>230</v>
      </c>
      <c r="G113" s="77">
        <v>89</v>
      </c>
      <c r="H113" s="77">
        <v>42</v>
      </c>
      <c r="I113" s="77">
        <v>3738</v>
      </c>
    </row>
    <row r="114" spans="1:9" ht="15" customHeight="1" x14ac:dyDescent="0.25">
      <c r="A114" s="78">
        <v>45717</v>
      </c>
      <c r="B114" t="s">
        <v>354</v>
      </c>
      <c r="C114" t="s">
        <v>355</v>
      </c>
      <c r="D114" t="s">
        <v>227</v>
      </c>
      <c r="E114" t="s">
        <v>236</v>
      </c>
      <c r="F114" t="s">
        <v>231</v>
      </c>
      <c r="G114" s="77">
        <v>128</v>
      </c>
      <c r="H114" s="77">
        <v>28</v>
      </c>
      <c r="I114" s="77">
        <v>3584</v>
      </c>
    </row>
    <row r="115" spans="1:9" ht="15" customHeight="1" x14ac:dyDescent="0.25">
      <c r="A115" s="78">
        <v>45717</v>
      </c>
      <c r="B115" t="s">
        <v>354</v>
      </c>
      <c r="C115" t="s">
        <v>355</v>
      </c>
      <c r="D115" t="s">
        <v>227</v>
      </c>
      <c r="E115" t="s">
        <v>235</v>
      </c>
      <c r="F115" t="s">
        <v>232</v>
      </c>
      <c r="G115" s="77">
        <v>172</v>
      </c>
      <c r="H115" s="77">
        <v>23</v>
      </c>
      <c r="I115" s="77">
        <v>3956</v>
      </c>
    </row>
    <row r="116" spans="1:9" ht="15" customHeight="1" x14ac:dyDescent="0.25">
      <c r="A116" s="78">
        <v>45717</v>
      </c>
      <c r="B116" t="s">
        <v>370</v>
      </c>
      <c r="C116" t="s">
        <v>371</v>
      </c>
      <c r="D116" t="s">
        <v>227</v>
      </c>
      <c r="E116" t="s">
        <v>236</v>
      </c>
      <c r="F116" t="s">
        <v>230</v>
      </c>
      <c r="G116" s="77">
        <v>39</v>
      </c>
      <c r="H116" s="77">
        <v>42</v>
      </c>
      <c r="I116" s="77">
        <v>1638</v>
      </c>
    </row>
    <row r="117" spans="1:9" ht="15" customHeight="1" x14ac:dyDescent="0.25">
      <c r="A117" s="78">
        <v>45717</v>
      </c>
      <c r="B117" t="s">
        <v>370</v>
      </c>
      <c r="C117" t="s">
        <v>371</v>
      </c>
      <c r="D117" t="s">
        <v>227</v>
      </c>
      <c r="E117" t="s">
        <v>236</v>
      </c>
      <c r="F117" t="s">
        <v>231</v>
      </c>
      <c r="G117" s="77">
        <v>82</v>
      </c>
      <c r="H117" s="77">
        <v>28</v>
      </c>
      <c r="I117" s="77">
        <v>2296</v>
      </c>
    </row>
    <row r="118" spans="1:9" ht="15" customHeight="1" x14ac:dyDescent="0.25">
      <c r="A118" s="78">
        <v>45717</v>
      </c>
      <c r="B118" t="s">
        <v>398</v>
      </c>
      <c r="C118" t="s">
        <v>399</v>
      </c>
      <c r="D118" t="s">
        <v>227</v>
      </c>
      <c r="E118" t="s">
        <v>235</v>
      </c>
      <c r="F118" t="s">
        <v>230</v>
      </c>
      <c r="G118" s="77">
        <v>10</v>
      </c>
      <c r="H118" s="77">
        <v>42</v>
      </c>
      <c r="I118" s="77">
        <v>420</v>
      </c>
    </row>
    <row r="119" spans="1:9" ht="15" customHeight="1" x14ac:dyDescent="0.25">
      <c r="A119" s="78">
        <v>45717</v>
      </c>
      <c r="B119" t="s">
        <v>398</v>
      </c>
      <c r="C119" t="s">
        <v>399</v>
      </c>
      <c r="D119" t="s">
        <v>227</v>
      </c>
      <c r="E119" t="s">
        <v>234</v>
      </c>
      <c r="F119" t="s">
        <v>232</v>
      </c>
      <c r="G119" s="77">
        <v>96</v>
      </c>
      <c r="H119" s="77">
        <v>23</v>
      </c>
      <c r="I119" s="77">
        <v>2208</v>
      </c>
    </row>
    <row r="120" spans="1:9" ht="15" customHeight="1" x14ac:dyDescent="0.25">
      <c r="A120" s="78">
        <v>45717</v>
      </c>
      <c r="B120" t="s">
        <v>398</v>
      </c>
      <c r="C120" t="s">
        <v>399</v>
      </c>
      <c r="D120" t="s">
        <v>227</v>
      </c>
      <c r="E120" t="s">
        <v>235</v>
      </c>
      <c r="F120" t="s">
        <v>231</v>
      </c>
      <c r="G120" s="77">
        <v>102</v>
      </c>
      <c r="H120" s="77">
        <v>28</v>
      </c>
      <c r="I120" s="77">
        <v>2856</v>
      </c>
    </row>
    <row r="121" spans="1:9" ht="15" customHeight="1" x14ac:dyDescent="0.25">
      <c r="A121" s="78">
        <v>45717</v>
      </c>
      <c r="B121" t="s">
        <v>378</v>
      </c>
      <c r="C121" t="s">
        <v>379</v>
      </c>
      <c r="D121" t="s">
        <v>227</v>
      </c>
      <c r="E121" t="s">
        <v>234</v>
      </c>
      <c r="F121" t="s">
        <v>231</v>
      </c>
      <c r="G121" s="77">
        <v>88</v>
      </c>
      <c r="H121" s="77">
        <v>28</v>
      </c>
      <c r="I121" s="77">
        <v>2464</v>
      </c>
    </row>
    <row r="122" spans="1:9" ht="15" customHeight="1" x14ac:dyDescent="0.25">
      <c r="A122" s="78">
        <v>45717</v>
      </c>
      <c r="B122" t="s">
        <v>393</v>
      </c>
      <c r="C122" t="s">
        <v>394</v>
      </c>
      <c r="D122" t="s">
        <v>227</v>
      </c>
      <c r="E122" t="s">
        <v>235</v>
      </c>
      <c r="F122" t="s">
        <v>230</v>
      </c>
      <c r="G122" s="77">
        <v>67</v>
      </c>
      <c r="H122" s="77">
        <v>42</v>
      </c>
      <c r="I122" s="77">
        <v>2814</v>
      </c>
    </row>
    <row r="123" spans="1:9" ht="15" customHeight="1" x14ac:dyDescent="0.25">
      <c r="A123" s="78">
        <v>45717</v>
      </c>
      <c r="B123" t="s">
        <v>393</v>
      </c>
      <c r="C123" t="s">
        <v>394</v>
      </c>
      <c r="D123" t="s">
        <v>227</v>
      </c>
      <c r="E123" t="s">
        <v>236</v>
      </c>
      <c r="F123" t="s">
        <v>231</v>
      </c>
      <c r="G123" s="77">
        <v>18</v>
      </c>
      <c r="H123" s="77">
        <v>28</v>
      </c>
      <c r="I123" s="77">
        <v>504</v>
      </c>
    </row>
    <row r="124" spans="1:9" ht="15" customHeight="1" x14ac:dyDescent="0.25">
      <c r="A124" s="78">
        <v>45748</v>
      </c>
      <c r="B124" t="s">
        <v>390</v>
      </c>
      <c r="C124" t="s">
        <v>391</v>
      </c>
      <c r="D124" t="s">
        <v>221</v>
      </c>
      <c r="E124" t="s">
        <v>234</v>
      </c>
      <c r="F124" t="s">
        <v>232</v>
      </c>
      <c r="G124" s="77">
        <v>103</v>
      </c>
      <c r="H124" s="77">
        <v>23</v>
      </c>
      <c r="I124" s="77">
        <v>2369</v>
      </c>
    </row>
    <row r="125" spans="1:9" ht="15" customHeight="1" x14ac:dyDescent="0.25">
      <c r="A125" s="78">
        <v>45748</v>
      </c>
      <c r="B125" t="s">
        <v>390</v>
      </c>
      <c r="C125" t="s">
        <v>391</v>
      </c>
      <c r="D125" t="s">
        <v>221</v>
      </c>
      <c r="E125" t="s">
        <v>234</v>
      </c>
      <c r="F125" t="s">
        <v>231</v>
      </c>
      <c r="G125" s="77">
        <v>140</v>
      </c>
      <c r="H125" s="77">
        <v>28</v>
      </c>
      <c r="I125" s="77">
        <v>3920</v>
      </c>
    </row>
    <row r="126" spans="1:9" ht="15" customHeight="1" x14ac:dyDescent="0.25">
      <c r="A126" s="78">
        <v>45748</v>
      </c>
      <c r="B126" t="s">
        <v>390</v>
      </c>
      <c r="C126" t="s">
        <v>391</v>
      </c>
      <c r="D126" t="s">
        <v>221</v>
      </c>
      <c r="E126" t="s">
        <v>235</v>
      </c>
      <c r="F126" t="s">
        <v>230</v>
      </c>
      <c r="G126" s="77">
        <v>69</v>
      </c>
      <c r="H126" s="77">
        <v>42</v>
      </c>
      <c r="I126" s="77">
        <v>2898</v>
      </c>
    </row>
    <row r="127" spans="1:9" ht="15" customHeight="1" x14ac:dyDescent="0.25">
      <c r="A127" s="78">
        <v>45748</v>
      </c>
      <c r="B127" t="s">
        <v>401</v>
      </c>
      <c r="C127" t="s">
        <v>402</v>
      </c>
      <c r="D127" t="s">
        <v>221</v>
      </c>
      <c r="E127" t="s">
        <v>236</v>
      </c>
      <c r="F127" t="s">
        <v>232</v>
      </c>
      <c r="G127" s="77">
        <v>105</v>
      </c>
      <c r="H127" s="77">
        <v>23</v>
      </c>
      <c r="I127" s="77">
        <v>2415</v>
      </c>
    </row>
    <row r="128" spans="1:9" ht="15" customHeight="1" x14ac:dyDescent="0.25">
      <c r="A128" s="78">
        <v>45748</v>
      </c>
      <c r="B128" t="s">
        <v>401</v>
      </c>
      <c r="C128" t="s">
        <v>402</v>
      </c>
      <c r="D128" t="s">
        <v>221</v>
      </c>
      <c r="E128" t="s">
        <v>236</v>
      </c>
      <c r="F128" t="s">
        <v>230</v>
      </c>
      <c r="G128" s="77">
        <v>35</v>
      </c>
      <c r="H128" s="77">
        <v>42</v>
      </c>
      <c r="I128" s="77">
        <v>1470</v>
      </c>
    </row>
    <row r="129" spans="1:9" ht="15" customHeight="1" x14ac:dyDescent="0.25">
      <c r="A129" s="78">
        <v>45748</v>
      </c>
      <c r="B129" t="s">
        <v>401</v>
      </c>
      <c r="C129" t="s">
        <v>402</v>
      </c>
      <c r="D129" t="s">
        <v>221</v>
      </c>
      <c r="E129" t="s">
        <v>234</v>
      </c>
      <c r="F129" t="s">
        <v>231</v>
      </c>
      <c r="G129" s="77">
        <v>106</v>
      </c>
      <c r="H129" s="77">
        <v>28</v>
      </c>
      <c r="I129" s="77">
        <v>2968</v>
      </c>
    </row>
    <row r="130" spans="1:9" ht="15" customHeight="1" x14ac:dyDescent="0.25">
      <c r="A130" s="78">
        <v>45748</v>
      </c>
      <c r="B130" t="s">
        <v>431</v>
      </c>
      <c r="C130" t="s">
        <v>432</v>
      </c>
      <c r="D130" t="s">
        <v>221</v>
      </c>
      <c r="E130" t="s">
        <v>236</v>
      </c>
      <c r="F130" t="s">
        <v>231</v>
      </c>
      <c r="G130" s="77">
        <v>76</v>
      </c>
      <c r="H130" s="77">
        <v>28</v>
      </c>
      <c r="I130" s="77">
        <v>2128</v>
      </c>
    </row>
    <row r="131" spans="1:9" ht="15" customHeight="1" x14ac:dyDescent="0.25">
      <c r="A131" s="78">
        <v>45748</v>
      </c>
      <c r="B131" t="s">
        <v>431</v>
      </c>
      <c r="C131" t="s">
        <v>432</v>
      </c>
      <c r="D131" t="s">
        <v>221</v>
      </c>
      <c r="E131" t="s">
        <v>236</v>
      </c>
      <c r="F131" t="s">
        <v>232</v>
      </c>
      <c r="G131" s="77">
        <v>63</v>
      </c>
      <c r="H131" s="77">
        <v>23</v>
      </c>
      <c r="I131" s="77">
        <v>1449</v>
      </c>
    </row>
    <row r="132" spans="1:9" ht="15" customHeight="1" x14ac:dyDescent="0.25">
      <c r="A132" s="78">
        <v>45748</v>
      </c>
      <c r="B132" t="s">
        <v>366</v>
      </c>
      <c r="C132" t="s">
        <v>367</v>
      </c>
      <c r="D132" t="s">
        <v>221</v>
      </c>
      <c r="E132" t="s">
        <v>236</v>
      </c>
      <c r="F132" t="s">
        <v>231</v>
      </c>
      <c r="G132" s="77">
        <v>63</v>
      </c>
      <c r="H132" s="77">
        <v>28</v>
      </c>
      <c r="I132" s="77">
        <v>1764</v>
      </c>
    </row>
    <row r="133" spans="1:9" ht="15" customHeight="1" x14ac:dyDescent="0.25">
      <c r="A133" s="78">
        <v>45748</v>
      </c>
      <c r="B133" t="s">
        <v>366</v>
      </c>
      <c r="C133" t="s">
        <v>367</v>
      </c>
      <c r="D133" t="s">
        <v>221</v>
      </c>
      <c r="E133" t="s">
        <v>235</v>
      </c>
      <c r="F133" t="s">
        <v>230</v>
      </c>
      <c r="G133" s="77">
        <v>76</v>
      </c>
      <c r="H133" s="77">
        <v>42</v>
      </c>
      <c r="I133" s="77">
        <v>3192</v>
      </c>
    </row>
    <row r="134" spans="1:9" ht="15" customHeight="1" x14ac:dyDescent="0.25">
      <c r="A134" s="78">
        <v>45748</v>
      </c>
      <c r="B134" t="s">
        <v>362</v>
      </c>
      <c r="C134" t="s">
        <v>363</v>
      </c>
      <c r="D134" t="s">
        <v>221</v>
      </c>
      <c r="E134" t="s">
        <v>236</v>
      </c>
      <c r="F134" t="s">
        <v>230</v>
      </c>
      <c r="G134" s="77">
        <v>103</v>
      </c>
      <c r="H134" s="77">
        <v>42</v>
      </c>
      <c r="I134" s="77">
        <v>4326</v>
      </c>
    </row>
    <row r="135" spans="1:9" ht="15" customHeight="1" x14ac:dyDescent="0.25">
      <c r="A135" s="78">
        <v>45748</v>
      </c>
      <c r="B135" t="s">
        <v>335</v>
      </c>
      <c r="C135" t="s">
        <v>336</v>
      </c>
      <c r="D135" t="s">
        <v>223</v>
      </c>
      <c r="E135" t="s">
        <v>236</v>
      </c>
      <c r="F135" t="s">
        <v>232</v>
      </c>
      <c r="G135" s="77">
        <v>44</v>
      </c>
      <c r="H135" s="77">
        <v>23</v>
      </c>
      <c r="I135" s="77">
        <v>1012</v>
      </c>
    </row>
    <row r="136" spans="1:9" ht="15" customHeight="1" x14ac:dyDescent="0.25">
      <c r="A136" s="78">
        <v>45748</v>
      </c>
      <c r="B136" t="s">
        <v>335</v>
      </c>
      <c r="C136" t="s">
        <v>336</v>
      </c>
      <c r="D136" t="s">
        <v>223</v>
      </c>
      <c r="E136" t="s">
        <v>236</v>
      </c>
      <c r="F136" t="s">
        <v>230</v>
      </c>
      <c r="G136" s="77">
        <v>76</v>
      </c>
      <c r="H136" s="77">
        <v>42</v>
      </c>
      <c r="I136" s="77">
        <v>3192</v>
      </c>
    </row>
    <row r="137" spans="1:9" ht="15" customHeight="1" x14ac:dyDescent="0.25">
      <c r="A137" s="78">
        <v>45748</v>
      </c>
      <c r="B137" t="s">
        <v>335</v>
      </c>
      <c r="C137" t="s">
        <v>336</v>
      </c>
      <c r="D137" t="s">
        <v>223</v>
      </c>
      <c r="E137" t="s">
        <v>234</v>
      </c>
      <c r="F137" t="s">
        <v>231</v>
      </c>
      <c r="G137" s="77">
        <v>88</v>
      </c>
      <c r="H137" s="77">
        <v>28</v>
      </c>
      <c r="I137" s="77">
        <v>2464</v>
      </c>
    </row>
    <row r="138" spans="1:9" ht="15" customHeight="1" x14ac:dyDescent="0.25">
      <c r="A138" s="78">
        <v>45748</v>
      </c>
      <c r="B138" t="s">
        <v>386</v>
      </c>
      <c r="C138" t="s">
        <v>387</v>
      </c>
      <c r="D138" t="s">
        <v>223</v>
      </c>
      <c r="E138" t="s">
        <v>236</v>
      </c>
      <c r="F138" t="s">
        <v>231</v>
      </c>
      <c r="G138" s="77">
        <v>51</v>
      </c>
      <c r="H138" s="77">
        <v>28</v>
      </c>
      <c r="I138" s="77">
        <v>1428</v>
      </c>
    </row>
    <row r="139" spans="1:9" ht="15" customHeight="1" x14ac:dyDescent="0.25">
      <c r="A139" s="78">
        <v>45748</v>
      </c>
      <c r="B139" t="s">
        <v>386</v>
      </c>
      <c r="C139" t="s">
        <v>387</v>
      </c>
      <c r="D139" t="s">
        <v>223</v>
      </c>
      <c r="E139" t="s">
        <v>235</v>
      </c>
      <c r="F139" t="s">
        <v>232</v>
      </c>
      <c r="G139" s="77">
        <v>152</v>
      </c>
      <c r="H139" s="77">
        <v>23</v>
      </c>
      <c r="I139" s="77">
        <v>3496</v>
      </c>
    </row>
    <row r="140" spans="1:9" ht="15" customHeight="1" x14ac:dyDescent="0.25">
      <c r="A140" s="78">
        <v>45748</v>
      </c>
      <c r="B140" t="s">
        <v>386</v>
      </c>
      <c r="C140" t="s">
        <v>387</v>
      </c>
      <c r="D140" t="s">
        <v>223</v>
      </c>
      <c r="E140" t="s">
        <v>236</v>
      </c>
      <c r="F140" t="s">
        <v>230</v>
      </c>
      <c r="G140" s="77">
        <v>60</v>
      </c>
      <c r="H140" s="77">
        <v>42</v>
      </c>
      <c r="I140" s="77">
        <v>2520</v>
      </c>
    </row>
    <row r="141" spans="1:9" ht="15" customHeight="1" x14ac:dyDescent="0.25">
      <c r="A141" s="78">
        <v>45748</v>
      </c>
      <c r="B141" t="s">
        <v>341</v>
      </c>
      <c r="C141" t="s">
        <v>342</v>
      </c>
      <c r="D141" t="s">
        <v>223</v>
      </c>
      <c r="E141" t="s">
        <v>236</v>
      </c>
      <c r="F141" t="s">
        <v>232</v>
      </c>
      <c r="G141" s="77">
        <v>66</v>
      </c>
      <c r="H141" s="77">
        <v>23</v>
      </c>
      <c r="I141" s="77">
        <v>1518</v>
      </c>
    </row>
    <row r="142" spans="1:9" ht="15" customHeight="1" x14ac:dyDescent="0.25">
      <c r="A142" s="78">
        <v>45748</v>
      </c>
      <c r="B142" t="s">
        <v>341</v>
      </c>
      <c r="C142" t="s">
        <v>342</v>
      </c>
      <c r="D142" t="s">
        <v>223</v>
      </c>
      <c r="E142" t="s">
        <v>234</v>
      </c>
      <c r="F142" t="s">
        <v>230</v>
      </c>
      <c r="G142" s="77">
        <v>55</v>
      </c>
      <c r="H142" s="77">
        <v>42</v>
      </c>
      <c r="I142" s="77">
        <v>2310</v>
      </c>
    </row>
    <row r="143" spans="1:9" ht="15" customHeight="1" x14ac:dyDescent="0.25">
      <c r="A143" s="78">
        <v>45748</v>
      </c>
      <c r="B143" t="s">
        <v>341</v>
      </c>
      <c r="C143" t="s">
        <v>342</v>
      </c>
      <c r="D143" t="s">
        <v>223</v>
      </c>
      <c r="E143" t="s">
        <v>235</v>
      </c>
      <c r="F143" t="s">
        <v>231</v>
      </c>
      <c r="G143" s="77">
        <v>152</v>
      </c>
      <c r="H143" s="77">
        <v>28</v>
      </c>
      <c r="I143" s="77">
        <v>4256</v>
      </c>
    </row>
    <row r="144" spans="1:9" ht="15" customHeight="1" x14ac:dyDescent="0.25">
      <c r="A144" s="78">
        <v>45748</v>
      </c>
      <c r="B144" t="s">
        <v>347</v>
      </c>
      <c r="C144" t="s">
        <v>348</v>
      </c>
      <c r="D144" t="s">
        <v>223</v>
      </c>
      <c r="E144" t="s">
        <v>236</v>
      </c>
      <c r="F144" t="s">
        <v>230</v>
      </c>
      <c r="G144" s="77">
        <v>109</v>
      </c>
      <c r="H144" s="77">
        <v>42</v>
      </c>
      <c r="I144" s="77">
        <v>4578</v>
      </c>
    </row>
    <row r="145" spans="1:9" ht="15" customHeight="1" x14ac:dyDescent="0.25">
      <c r="A145" s="78">
        <v>45748</v>
      </c>
      <c r="B145" t="s">
        <v>347</v>
      </c>
      <c r="C145" t="s">
        <v>348</v>
      </c>
      <c r="D145" t="s">
        <v>223</v>
      </c>
      <c r="E145" t="s">
        <v>236</v>
      </c>
      <c r="F145" t="s">
        <v>231</v>
      </c>
      <c r="G145" s="77">
        <v>57</v>
      </c>
      <c r="H145" s="77">
        <v>28</v>
      </c>
      <c r="I145" s="77">
        <v>1596</v>
      </c>
    </row>
    <row r="146" spans="1:9" ht="15" customHeight="1" x14ac:dyDescent="0.25">
      <c r="A146" s="78">
        <v>45748</v>
      </c>
      <c r="B146" t="s">
        <v>347</v>
      </c>
      <c r="C146" t="s">
        <v>348</v>
      </c>
      <c r="D146" t="s">
        <v>223</v>
      </c>
      <c r="E146" t="s">
        <v>234</v>
      </c>
      <c r="F146" t="s">
        <v>232</v>
      </c>
      <c r="G146" s="77">
        <v>128</v>
      </c>
      <c r="H146" s="77">
        <v>23</v>
      </c>
      <c r="I146" s="77">
        <v>2944</v>
      </c>
    </row>
    <row r="147" spans="1:9" ht="15" customHeight="1" x14ac:dyDescent="0.25">
      <c r="A147" s="78">
        <v>45748</v>
      </c>
      <c r="B147" t="s">
        <v>409</v>
      </c>
      <c r="C147" t="s">
        <v>410</v>
      </c>
      <c r="D147" t="s">
        <v>223</v>
      </c>
      <c r="E147" t="s">
        <v>236</v>
      </c>
      <c r="F147" t="s">
        <v>230</v>
      </c>
      <c r="G147" s="77">
        <v>97</v>
      </c>
      <c r="H147" s="77">
        <v>42</v>
      </c>
      <c r="I147" s="77">
        <v>4074</v>
      </c>
    </row>
    <row r="148" spans="1:9" ht="15" customHeight="1" x14ac:dyDescent="0.25">
      <c r="A148" s="78">
        <v>45748</v>
      </c>
      <c r="B148" t="s">
        <v>409</v>
      </c>
      <c r="C148" t="s">
        <v>410</v>
      </c>
      <c r="D148" t="s">
        <v>223</v>
      </c>
      <c r="E148" t="s">
        <v>235</v>
      </c>
      <c r="F148" t="s">
        <v>232</v>
      </c>
      <c r="G148" s="77">
        <v>99</v>
      </c>
      <c r="H148" s="77">
        <v>23</v>
      </c>
      <c r="I148" s="77">
        <v>2277</v>
      </c>
    </row>
    <row r="149" spans="1:9" ht="15" customHeight="1" x14ac:dyDescent="0.25">
      <c r="A149" s="78">
        <v>45748</v>
      </c>
      <c r="B149" t="s">
        <v>409</v>
      </c>
      <c r="C149" t="s">
        <v>410</v>
      </c>
      <c r="D149" t="s">
        <v>223</v>
      </c>
      <c r="E149" t="s">
        <v>235</v>
      </c>
      <c r="F149" t="s">
        <v>231</v>
      </c>
      <c r="G149" s="77">
        <v>77</v>
      </c>
      <c r="H149" s="77">
        <v>28</v>
      </c>
      <c r="I149" s="77">
        <v>2156</v>
      </c>
    </row>
    <row r="150" spans="1:9" ht="15" customHeight="1" x14ac:dyDescent="0.25">
      <c r="A150" s="78">
        <v>45748</v>
      </c>
      <c r="B150" t="s">
        <v>488</v>
      </c>
      <c r="C150" t="s">
        <v>489</v>
      </c>
      <c r="D150" t="s">
        <v>225</v>
      </c>
      <c r="E150" t="s">
        <v>236</v>
      </c>
      <c r="F150" t="s">
        <v>231</v>
      </c>
      <c r="G150" s="77">
        <v>63</v>
      </c>
      <c r="H150" s="77">
        <v>28</v>
      </c>
      <c r="I150" s="77">
        <v>1764</v>
      </c>
    </row>
    <row r="151" spans="1:9" ht="15" customHeight="1" x14ac:dyDescent="0.25">
      <c r="A151" s="78">
        <v>45748</v>
      </c>
      <c r="B151" t="s">
        <v>488</v>
      </c>
      <c r="C151" t="s">
        <v>489</v>
      </c>
      <c r="D151" t="s">
        <v>225</v>
      </c>
      <c r="E151" t="s">
        <v>234</v>
      </c>
      <c r="F151" t="s">
        <v>232</v>
      </c>
      <c r="G151" s="77">
        <v>101</v>
      </c>
      <c r="H151" s="77">
        <v>23</v>
      </c>
      <c r="I151" s="77">
        <v>2323</v>
      </c>
    </row>
    <row r="152" spans="1:9" ht="15" customHeight="1" x14ac:dyDescent="0.25">
      <c r="A152" s="78">
        <v>45748</v>
      </c>
      <c r="B152" t="s">
        <v>406</v>
      </c>
      <c r="C152" t="s">
        <v>407</v>
      </c>
      <c r="D152" t="s">
        <v>225</v>
      </c>
      <c r="E152" t="s">
        <v>235</v>
      </c>
      <c r="F152" t="s">
        <v>230</v>
      </c>
      <c r="G152" s="77">
        <v>70</v>
      </c>
      <c r="H152" s="77">
        <v>42</v>
      </c>
      <c r="I152" s="77">
        <v>2940</v>
      </c>
    </row>
    <row r="153" spans="1:9" ht="15" customHeight="1" x14ac:dyDescent="0.25">
      <c r="A153" s="78">
        <v>45748</v>
      </c>
      <c r="B153" t="s">
        <v>406</v>
      </c>
      <c r="C153" t="s">
        <v>407</v>
      </c>
      <c r="D153" t="s">
        <v>225</v>
      </c>
      <c r="E153" t="s">
        <v>236</v>
      </c>
      <c r="F153" t="s">
        <v>231</v>
      </c>
      <c r="G153" s="77">
        <v>153</v>
      </c>
      <c r="H153" s="77">
        <v>28</v>
      </c>
      <c r="I153" s="77">
        <v>4284</v>
      </c>
    </row>
    <row r="154" spans="1:9" ht="15" customHeight="1" x14ac:dyDescent="0.25">
      <c r="A154" s="78">
        <v>45748</v>
      </c>
      <c r="B154" t="s">
        <v>358</v>
      </c>
      <c r="C154" t="s">
        <v>359</v>
      </c>
      <c r="D154" t="s">
        <v>225</v>
      </c>
      <c r="E154" t="s">
        <v>235</v>
      </c>
      <c r="F154" t="s">
        <v>230</v>
      </c>
      <c r="G154" s="77">
        <v>45</v>
      </c>
      <c r="H154" s="77">
        <v>42</v>
      </c>
      <c r="I154" s="77">
        <v>1890</v>
      </c>
    </row>
    <row r="155" spans="1:9" ht="15" customHeight="1" x14ac:dyDescent="0.25">
      <c r="A155" s="78">
        <v>45748</v>
      </c>
      <c r="B155" t="s">
        <v>358</v>
      </c>
      <c r="C155" t="s">
        <v>359</v>
      </c>
      <c r="D155" t="s">
        <v>225</v>
      </c>
      <c r="E155" t="s">
        <v>235</v>
      </c>
      <c r="F155" t="s">
        <v>231</v>
      </c>
      <c r="G155" s="77">
        <v>143</v>
      </c>
      <c r="H155" s="77">
        <v>28</v>
      </c>
      <c r="I155" s="77">
        <v>4004</v>
      </c>
    </row>
    <row r="156" spans="1:9" ht="15" customHeight="1" x14ac:dyDescent="0.25">
      <c r="A156" s="78">
        <v>45748</v>
      </c>
      <c r="B156" t="s">
        <v>383</v>
      </c>
      <c r="C156" t="s">
        <v>384</v>
      </c>
      <c r="D156" t="s">
        <v>225</v>
      </c>
      <c r="E156" t="s">
        <v>235</v>
      </c>
      <c r="F156" t="s">
        <v>231</v>
      </c>
      <c r="G156" s="77">
        <v>86</v>
      </c>
      <c r="H156" s="77">
        <v>28</v>
      </c>
      <c r="I156" s="77">
        <v>2408</v>
      </c>
    </row>
    <row r="157" spans="1:9" ht="15" customHeight="1" x14ac:dyDescent="0.25">
      <c r="A157" s="78">
        <v>45748</v>
      </c>
      <c r="B157" t="s">
        <v>383</v>
      </c>
      <c r="C157" t="s">
        <v>384</v>
      </c>
      <c r="D157" t="s">
        <v>225</v>
      </c>
      <c r="E157" t="s">
        <v>236</v>
      </c>
      <c r="F157" t="s">
        <v>230</v>
      </c>
      <c r="G157" s="77">
        <v>100</v>
      </c>
      <c r="H157" s="77">
        <v>42</v>
      </c>
      <c r="I157" s="77">
        <v>4200</v>
      </c>
    </row>
    <row r="158" spans="1:9" ht="15" customHeight="1" x14ac:dyDescent="0.25">
      <c r="A158" s="78">
        <v>45748</v>
      </c>
      <c r="B158" t="s">
        <v>373</v>
      </c>
      <c r="C158" t="s">
        <v>374</v>
      </c>
      <c r="D158" t="s">
        <v>225</v>
      </c>
      <c r="E158" t="s">
        <v>235</v>
      </c>
      <c r="F158" t="s">
        <v>231</v>
      </c>
      <c r="G158" s="77">
        <v>119</v>
      </c>
      <c r="H158" s="77">
        <v>28</v>
      </c>
      <c r="I158" s="77">
        <v>3332</v>
      </c>
    </row>
    <row r="159" spans="1:9" ht="15" customHeight="1" x14ac:dyDescent="0.25">
      <c r="A159" s="78">
        <v>45748</v>
      </c>
      <c r="B159" t="s">
        <v>354</v>
      </c>
      <c r="C159" t="s">
        <v>355</v>
      </c>
      <c r="D159" t="s">
        <v>227</v>
      </c>
      <c r="E159" t="s">
        <v>235</v>
      </c>
      <c r="F159" t="s">
        <v>231</v>
      </c>
      <c r="G159" s="77">
        <v>67</v>
      </c>
      <c r="H159" s="77">
        <v>28</v>
      </c>
      <c r="I159" s="77">
        <v>1876</v>
      </c>
    </row>
    <row r="160" spans="1:9" ht="15" customHeight="1" x14ac:dyDescent="0.25">
      <c r="A160" s="78">
        <v>45748</v>
      </c>
      <c r="B160" t="s">
        <v>354</v>
      </c>
      <c r="C160" t="s">
        <v>355</v>
      </c>
      <c r="D160" t="s">
        <v>227</v>
      </c>
      <c r="E160" t="s">
        <v>235</v>
      </c>
      <c r="F160" t="s">
        <v>230</v>
      </c>
      <c r="G160" s="77">
        <v>120</v>
      </c>
      <c r="H160" s="77">
        <v>42</v>
      </c>
      <c r="I160" s="77">
        <v>5040</v>
      </c>
    </row>
    <row r="161" spans="1:9" ht="15" customHeight="1" x14ac:dyDescent="0.25">
      <c r="A161" s="78">
        <v>45748</v>
      </c>
      <c r="B161" t="s">
        <v>354</v>
      </c>
      <c r="C161" t="s">
        <v>355</v>
      </c>
      <c r="D161" t="s">
        <v>227</v>
      </c>
      <c r="E161" t="s">
        <v>236</v>
      </c>
      <c r="F161" t="s">
        <v>232</v>
      </c>
      <c r="G161" s="77">
        <v>10</v>
      </c>
      <c r="H161" s="77">
        <v>23</v>
      </c>
      <c r="I161" s="77">
        <v>230</v>
      </c>
    </row>
    <row r="162" spans="1:9" ht="15" customHeight="1" x14ac:dyDescent="0.25">
      <c r="A162" s="78">
        <v>45748</v>
      </c>
      <c r="B162" t="s">
        <v>370</v>
      </c>
      <c r="C162" t="s">
        <v>371</v>
      </c>
      <c r="D162" t="s">
        <v>227</v>
      </c>
      <c r="E162" t="s">
        <v>235</v>
      </c>
      <c r="F162" t="s">
        <v>232</v>
      </c>
      <c r="G162" s="77">
        <v>64</v>
      </c>
      <c r="H162" s="77">
        <v>23</v>
      </c>
      <c r="I162" s="77">
        <v>1472</v>
      </c>
    </row>
    <row r="163" spans="1:9" ht="15" customHeight="1" x14ac:dyDescent="0.25">
      <c r="A163" s="78">
        <v>45748</v>
      </c>
      <c r="B163" t="s">
        <v>370</v>
      </c>
      <c r="C163" t="s">
        <v>371</v>
      </c>
      <c r="D163" t="s">
        <v>227</v>
      </c>
      <c r="E163" t="s">
        <v>234</v>
      </c>
      <c r="F163" t="s">
        <v>230</v>
      </c>
      <c r="G163" s="77">
        <v>57</v>
      </c>
      <c r="H163" s="77">
        <v>42</v>
      </c>
      <c r="I163" s="77">
        <v>2394</v>
      </c>
    </row>
    <row r="164" spans="1:9" ht="15" customHeight="1" x14ac:dyDescent="0.25">
      <c r="A164" s="78">
        <v>45748</v>
      </c>
      <c r="B164" t="s">
        <v>370</v>
      </c>
      <c r="C164" t="s">
        <v>371</v>
      </c>
      <c r="D164" t="s">
        <v>227</v>
      </c>
      <c r="E164" t="s">
        <v>235</v>
      </c>
      <c r="F164" t="s">
        <v>231</v>
      </c>
      <c r="G164" s="77">
        <v>46</v>
      </c>
      <c r="H164" s="77">
        <v>28</v>
      </c>
      <c r="I164" s="77">
        <v>1288</v>
      </c>
    </row>
    <row r="165" spans="1:9" ht="15" customHeight="1" x14ac:dyDescent="0.25">
      <c r="A165" s="78">
        <v>45748</v>
      </c>
      <c r="B165" t="s">
        <v>398</v>
      </c>
      <c r="C165" t="s">
        <v>399</v>
      </c>
      <c r="D165" t="s">
        <v>227</v>
      </c>
      <c r="E165" t="s">
        <v>236</v>
      </c>
      <c r="F165" t="s">
        <v>231</v>
      </c>
      <c r="G165" s="77">
        <v>82</v>
      </c>
      <c r="H165" s="77">
        <v>28</v>
      </c>
      <c r="I165" s="77">
        <v>2296</v>
      </c>
    </row>
    <row r="166" spans="1:9" ht="15" customHeight="1" x14ac:dyDescent="0.25">
      <c r="A166" s="78">
        <v>45748</v>
      </c>
      <c r="B166" t="s">
        <v>398</v>
      </c>
      <c r="C166" t="s">
        <v>399</v>
      </c>
      <c r="D166" t="s">
        <v>227</v>
      </c>
      <c r="E166" t="s">
        <v>234</v>
      </c>
      <c r="F166" t="s">
        <v>230</v>
      </c>
      <c r="G166" s="77">
        <v>103</v>
      </c>
      <c r="H166" s="77">
        <v>42</v>
      </c>
      <c r="I166" s="77">
        <v>4326</v>
      </c>
    </row>
    <row r="167" spans="1:9" ht="15" customHeight="1" x14ac:dyDescent="0.25">
      <c r="A167" s="78">
        <v>45748</v>
      </c>
      <c r="B167" t="s">
        <v>398</v>
      </c>
      <c r="C167" t="s">
        <v>399</v>
      </c>
      <c r="D167" t="s">
        <v>227</v>
      </c>
      <c r="E167" t="s">
        <v>236</v>
      </c>
      <c r="F167" t="s">
        <v>232</v>
      </c>
      <c r="G167" s="77">
        <v>114</v>
      </c>
      <c r="H167" s="77">
        <v>23</v>
      </c>
      <c r="I167" s="77">
        <v>2622</v>
      </c>
    </row>
    <row r="168" spans="1:9" ht="15" customHeight="1" x14ac:dyDescent="0.25">
      <c r="A168" s="78">
        <v>45748</v>
      </c>
      <c r="B168" t="s">
        <v>378</v>
      </c>
      <c r="C168" t="s">
        <v>379</v>
      </c>
      <c r="D168" t="s">
        <v>227</v>
      </c>
      <c r="E168" t="s">
        <v>234</v>
      </c>
      <c r="F168" t="s">
        <v>232</v>
      </c>
      <c r="G168" s="77">
        <v>98</v>
      </c>
      <c r="H168" s="77">
        <v>23</v>
      </c>
      <c r="I168" s="77">
        <v>2254</v>
      </c>
    </row>
    <row r="169" spans="1:9" ht="15" customHeight="1" x14ac:dyDescent="0.25">
      <c r="A169" s="78">
        <v>45748</v>
      </c>
      <c r="B169" t="s">
        <v>378</v>
      </c>
      <c r="C169" t="s">
        <v>379</v>
      </c>
      <c r="D169" t="s">
        <v>227</v>
      </c>
      <c r="E169" t="s">
        <v>235</v>
      </c>
      <c r="F169" t="s">
        <v>230</v>
      </c>
      <c r="G169" s="77">
        <v>66</v>
      </c>
      <c r="H169" s="77">
        <v>42</v>
      </c>
      <c r="I169" s="77">
        <v>2772</v>
      </c>
    </row>
    <row r="170" spans="1:9" ht="15" customHeight="1" x14ac:dyDescent="0.25">
      <c r="A170" s="78">
        <v>45748</v>
      </c>
      <c r="B170" t="s">
        <v>393</v>
      </c>
      <c r="C170" t="s">
        <v>394</v>
      </c>
      <c r="D170" t="s">
        <v>227</v>
      </c>
      <c r="E170" t="s">
        <v>236</v>
      </c>
      <c r="F170" t="s">
        <v>232</v>
      </c>
      <c r="G170" s="77">
        <v>102</v>
      </c>
      <c r="H170" s="77">
        <v>23</v>
      </c>
      <c r="I170" s="77">
        <v>2346</v>
      </c>
    </row>
    <row r="171" spans="1:9" ht="15" customHeight="1" x14ac:dyDescent="0.25">
      <c r="A171" s="78">
        <v>45748</v>
      </c>
      <c r="B171" t="s">
        <v>393</v>
      </c>
      <c r="C171" t="s">
        <v>394</v>
      </c>
      <c r="D171" t="s">
        <v>227</v>
      </c>
      <c r="E171" t="s">
        <v>235</v>
      </c>
      <c r="F171" t="s">
        <v>230</v>
      </c>
      <c r="G171" s="77">
        <v>94</v>
      </c>
      <c r="H171" s="77">
        <v>42</v>
      </c>
      <c r="I171" s="77">
        <v>3948</v>
      </c>
    </row>
    <row r="172" spans="1:9" ht="15" customHeight="1" x14ac:dyDescent="0.25">
      <c r="A172" s="78">
        <v>45748</v>
      </c>
      <c r="B172" t="s">
        <v>393</v>
      </c>
      <c r="C172" t="s">
        <v>394</v>
      </c>
      <c r="D172" t="s">
        <v>227</v>
      </c>
      <c r="E172" t="s">
        <v>234</v>
      </c>
      <c r="F172" t="s">
        <v>231</v>
      </c>
      <c r="G172" s="77">
        <v>122</v>
      </c>
      <c r="H172" s="77">
        <v>28</v>
      </c>
      <c r="I172" s="77">
        <v>3416</v>
      </c>
    </row>
    <row r="173" spans="1:9" ht="15" customHeight="1" x14ac:dyDescent="0.25">
      <c r="A173" s="78">
        <v>45778</v>
      </c>
      <c r="B173" t="s">
        <v>390</v>
      </c>
      <c r="C173" t="s">
        <v>391</v>
      </c>
      <c r="D173" t="s">
        <v>221</v>
      </c>
      <c r="E173" t="s">
        <v>235</v>
      </c>
      <c r="F173" t="s">
        <v>231</v>
      </c>
      <c r="G173" s="77">
        <v>117</v>
      </c>
      <c r="H173" s="77">
        <v>28</v>
      </c>
      <c r="I173" s="77">
        <v>3276</v>
      </c>
    </row>
    <row r="174" spans="1:9" ht="15" customHeight="1" x14ac:dyDescent="0.25">
      <c r="A174" s="78">
        <v>45778</v>
      </c>
      <c r="B174" t="s">
        <v>390</v>
      </c>
      <c r="C174" t="s">
        <v>391</v>
      </c>
      <c r="D174" t="s">
        <v>221</v>
      </c>
      <c r="E174" t="s">
        <v>236</v>
      </c>
      <c r="F174" t="s">
        <v>230</v>
      </c>
      <c r="G174" s="77">
        <v>91</v>
      </c>
      <c r="H174" s="77">
        <v>42</v>
      </c>
      <c r="I174" s="77">
        <v>3822</v>
      </c>
    </row>
    <row r="175" spans="1:9" ht="15" customHeight="1" x14ac:dyDescent="0.25">
      <c r="A175" s="78">
        <v>45778</v>
      </c>
      <c r="B175" t="s">
        <v>390</v>
      </c>
      <c r="C175" t="s">
        <v>391</v>
      </c>
      <c r="D175" t="s">
        <v>221</v>
      </c>
      <c r="E175" t="s">
        <v>235</v>
      </c>
      <c r="F175" t="s">
        <v>232</v>
      </c>
      <c r="G175" s="77">
        <v>58</v>
      </c>
      <c r="H175" s="77">
        <v>23</v>
      </c>
      <c r="I175" s="77">
        <v>1334</v>
      </c>
    </row>
    <row r="176" spans="1:9" ht="15" customHeight="1" x14ac:dyDescent="0.25">
      <c r="A176" s="78">
        <v>45778</v>
      </c>
      <c r="B176" t="s">
        <v>401</v>
      </c>
      <c r="C176" t="s">
        <v>402</v>
      </c>
      <c r="D176" t="s">
        <v>221</v>
      </c>
      <c r="E176" t="s">
        <v>234</v>
      </c>
      <c r="F176" t="s">
        <v>231</v>
      </c>
      <c r="G176" s="77">
        <v>67</v>
      </c>
      <c r="H176" s="77">
        <v>28</v>
      </c>
      <c r="I176" s="77">
        <v>1876</v>
      </c>
    </row>
    <row r="177" spans="1:9" ht="15" customHeight="1" x14ac:dyDescent="0.25">
      <c r="A177" s="78">
        <v>45778</v>
      </c>
      <c r="B177" t="s">
        <v>401</v>
      </c>
      <c r="C177" t="s">
        <v>402</v>
      </c>
      <c r="D177" t="s">
        <v>221</v>
      </c>
      <c r="E177" t="s">
        <v>235</v>
      </c>
      <c r="F177" t="s">
        <v>230</v>
      </c>
      <c r="G177" s="77">
        <v>70</v>
      </c>
      <c r="H177" s="77">
        <v>42</v>
      </c>
      <c r="I177" s="77">
        <v>2940</v>
      </c>
    </row>
    <row r="178" spans="1:9" ht="15" customHeight="1" x14ac:dyDescent="0.25">
      <c r="A178" s="78">
        <v>45778</v>
      </c>
      <c r="B178" t="s">
        <v>401</v>
      </c>
      <c r="C178" t="s">
        <v>402</v>
      </c>
      <c r="D178" t="s">
        <v>221</v>
      </c>
      <c r="E178" t="s">
        <v>236</v>
      </c>
      <c r="F178" t="s">
        <v>232</v>
      </c>
      <c r="G178" s="77">
        <v>78</v>
      </c>
      <c r="H178" s="77">
        <v>23</v>
      </c>
      <c r="I178" s="77">
        <v>1794</v>
      </c>
    </row>
    <row r="179" spans="1:9" ht="15" customHeight="1" x14ac:dyDescent="0.25">
      <c r="A179" s="78">
        <v>45778</v>
      </c>
      <c r="B179" t="s">
        <v>431</v>
      </c>
      <c r="C179" t="s">
        <v>432</v>
      </c>
      <c r="D179" t="s">
        <v>221</v>
      </c>
      <c r="E179" t="s">
        <v>234</v>
      </c>
      <c r="F179" t="s">
        <v>231</v>
      </c>
      <c r="G179" s="77">
        <v>99</v>
      </c>
      <c r="H179" s="77">
        <v>28</v>
      </c>
      <c r="I179" s="77">
        <v>2772</v>
      </c>
    </row>
    <row r="180" spans="1:9" ht="15" customHeight="1" x14ac:dyDescent="0.25">
      <c r="A180" s="78">
        <v>45778</v>
      </c>
      <c r="B180" t="s">
        <v>431</v>
      </c>
      <c r="C180" t="s">
        <v>432</v>
      </c>
      <c r="D180" t="s">
        <v>221</v>
      </c>
      <c r="E180" t="s">
        <v>236</v>
      </c>
      <c r="F180" t="s">
        <v>230</v>
      </c>
      <c r="G180" s="77">
        <v>115</v>
      </c>
      <c r="H180" s="77">
        <v>42</v>
      </c>
      <c r="I180" s="77">
        <v>4830</v>
      </c>
    </row>
    <row r="181" spans="1:9" ht="15" customHeight="1" x14ac:dyDescent="0.25">
      <c r="A181" s="78">
        <v>45778</v>
      </c>
      <c r="B181" t="s">
        <v>366</v>
      </c>
      <c r="C181" t="s">
        <v>367</v>
      </c>
      <c r="D181" t="s">
        <v>221</v>
      </c>
      <c r="E181" t="s">
        <v>234</v>
      </c>
      <c r="F181" t="s">
        <v>232</v>
      </c>
      <c r="G181" s="77">
        <v>88</v>
      </c>
      <c r="H181" s="77">
        <v>23</v>
      </c>
      <c r="I181" s="77">
        <v>2024</v>
      </c>
    </row>
    <row r="182" spans="1:9" ht="15" customHeight="1" x14ac:dyDescent="0.25">
      <c r="A182" s="78">
        <v>45778</v>
      </c>
      <c r="B182" t="s">
        <v>366</v>
      </c>
      <c r="C182" t="s">
        <v>367</v>
      </c>
      <c r="D182" t="s">
        <v>221</v>
      </c>
      <c r="E182" t="s">
        <v>236</v>
      </c>
      <c r="F182" t="s">
        <v>230</v>
      </c>
      <c r="G182" s="77">
        <v>90</v>
      </c>
      <c r="H182" s="77">
        <v>42</v>
      </c>
      <c r="I182" s="77">
        <v>3780</v>
      </c>
    </row>
    <row r="183" spans="1:9" ht="15" customHeight="1" x14ac:dyDescent="0.25">
      <c r="A183" s="78">
        <v>45778</v>
      </c>
      <c r="B183" t="s">
        <v>362</v>
      </c>
      <c r="C183" t="s">
        <v>363</v>
      </c>
      <c r="D183" t="s">
        <v>221</v>
      </c>
      <c r="E183" t="s">
        <v>235</v>
      </c>
      <c r="F183" t="s">
        <v>230</v>
      </c>
      <c r="G183" s="77">
        <v>95</v>
      </c>
      <c r="H183" s="77">
        <v>42</v>
      </c>
      <c r="I183" s="77">
        <v>3990</v>
      </c>
    </row>
    <row r="184" spans="1:9" ht="15" customHeight="1" x14ac:dyDescent="0.25">
      <c r="A184" s="78">
        <v>45778</v>
      </c>
      <c r="B184" t="s">
        <v>362</v>
      </c>
      <c r="C184" t="s">
        <v>363</v>
      </c>
      <c r="D184" t="s">
        <v>221</v>
      </c>
      <c r="E184" t="s">
        <v>235</v>
      </c>
      <c r="F184" t="s">
        <v>232</v>
      </c>
      <c r="G184" s="77">
        <v>71</v>
      </c>
      <c r="H184" s="77">
        <v>23</v>
      </c>
      <c r="I184" s="77">
        <v>1633</v>
      </c>
    </row>
    <row r="185" spans="1:9" ht="15" customHeight="1" x14ac:dyDescent="0.25">
      <c r="A185" s="78">
        <v>45778</v>
      </c>
      <c r="B185" t="s">
        <v>335</v>
      </c>
      <c r="C185" t="s">
        <v>336</v>
      </c>
      <c r="D185" t="s">
        <v>223</v>
      </c>
      <c r="E185" t="s">
        <v>236</v>
      </c>
      <c r="F185" t="s">
        <v>231</v>
      </c>
      <c r="G185" s="77">
        <v>57</v>
      </c>
      <c r="H185" s="77">
        <v>28</v>
      </c>
      <c r="I185" s="77">
        <v>1596</v>
      </c>
    </row>
    <row r="186" spans="1:9" ht="15" customHeight="1" x14ac:dyDescent="0.25">
      <c r="A186" s="78">
        <v>45778</v>
      </c>
      <c r="B186" t="s">
        <v>335</v>
      </c>
      <c r="C186" t="s">
        <v>336</v>
      </c>
      <c r="D186" t="s">
        <v>223</v>
      </c>
      <c r="E186" t="s">
        <v>236</v>
      </c>
      <c r="F186" t="s">
        <v>232</v>
      </c>
      <c r="G186" s="77">
        <v>28</v>
      </c>
      <c r="H186" s="77">
        <v>23</v>
      </c>
      <c r="I186" s="77">
        <v>644</v>
      </c>
    </row>
    <row r="187" spans="1:9" ht="15" customHeight="1" x14ac:dyDescent="0.25">
      <c r="A187" s="78">
        <v>45778</v>
      </c>
      <c r="B187" t="s">
        <v>386</v>
      </c>
      <c r="C187" t="s">
        <v>387</v>
      </c>
      <c r="D187" t="s">
        <v>223</v>
      </c>
      <c r="E187" t="s">
        <v>236</v>
      </c>
      <c r="F187" t="s">
        <v>232</v>
      </c>
      <c r="G187" s="77">
        <v>65</v>
      </c>
      <c r="H187" s="77">
        <v>23</v>
      </c>
      <c r="I187" s="77">
        <v>1495</v>
      </c>
    </row>
    <row r="188" spans="1:9" ht="15" customHeight="1" x14ac:dyDescent="0.25">
      <c r="A188" s="78">
        <v>45778</v>
      </c>
      <c r="B188" t="s">
        <v>386</v>
      </c>
      <c r="C188" t="s">
        <v>387</v>
      </c>
      <c r="D188" t="s">
        <v>223</v>
      </c>
      <c r="E188" t="s">
        <v>234</v>
      </c>
      <c r="F188" t="s">
        <v>231</v>
      </c>
      <c r="G188" s="77">
        <v>106</v>
      </c>
      <c r="H188" s="77">
        <v>28</v>
      </c>
      <c r="I188" s="77">
        <v>2968</v>
      </c>
    </row>
    <row r="189" spans="1:9" ht="15" customHeight="1" x14ac:dyDescent="0.25">
      <c r="A189" s="78">
        <v>45778</v>
      </c>
      <c r="B189" t="s">
        <v>386</v>
      </c>
      <c r="C189" t="s">
        <v>387</v>
      </c>
      <c r="D189" t="s">
        <v>223</v>
      </c>
      <c r="E189" t="s">
        <v>235</v>
      </c>
      <c r="F189" t="s">
        <v>230</v>
      </c>
      <c r="G189" s="77">
        <v>65</v>
      </c>
      <c r="H189" s="77">
        <v>42</v>
      </c>
      <c r="I189" s="77">
        <v>2730</v>
      </c>
    </row>
    <row r="190" spans="1:9" ht="15" customHeight="1" x14ac:dyDescent="0.25">
      <c r="A190" s="78">
        <v>45778</v>
      </c>
      <c r="B190" t="s">
        <v>341</v>
      </c>
      <c r="C190" t="s">
        <v>342</v>
      </c>
      <c r="D190" t="s">
        <v>223</v>
      </c>
      <c r="E190" t="s">
        <v>236</v>
      </c>
      <c r="F190" t="s">
        <v>232</v>
      </c>
      <c r="G190" s="77">
        <v>81</v>
      </c>
      <c r="H190" s="77">
        <v>23</v>
      </c>
      <c r="I190" s="77">
        <v>1863</v>
      </c>
    </row>
    <row r="191" spans="1:9" ht="15" customHeight="1" x14ac:dyDescent="0.25">
      <c r="A191" s="78">
        <v>45778</v>
      </c>
      <c r="B191" t="s">
        <v>347</v>
      </c>
      <c r="C191" t="s">
        <v>348</v>
      </c>
      <c r="D191" t="s">
        <v>223</v>
      </c>
      <c r="E191" t="s">
        <v>235</v>
      </c>
      <c r="F191" t="s">
        <v>230</v>
      </c>
      <c r="G191" s="77">
        <v>106</v>
      </c>
      <c r="H191" s="77">
        <v>42</v>
      </c>
      <c r="I191" s="77">
        <v>4452</v>
      </c>
    </row>
    <row r="192" spans="1:9" ht="15" customHeight="1" x14ac:dyDescent="0.25">
      <c r="A192" s="78">
        <v>45778</v>
      </c>
      <c r="B192" t="s">
        <v>347</v>
      </c>
      <c r="C192" t="s">
        <v>348</v>
      </c>
      <c r="D192" t="s">
        <v>223</v>
      </c>
      <c r="E192" t="s">
        <v>235</v>
      </c>
      <c r="F192" t="s">
        <v>232</v>
      </c>
      <c r="G192" s="77">
        <v>108</v>
      </c>
      <c r="H192" s="77">
        <v>23</v>
      </c>
      <c r="I192" s="77">
        <v>2484</v>
      </c>
    </row>
    <row r="193" spans="1:9" ht="15" customHeight="1" x14ac:dyDescent="0.25">
      <c r="A193" s="78">
        <v>45778</v>
      </c>
      <c r="B193" t="s">
        <v>347</v>
      </c>
      <c r="C193" t="s">
        <v>348</v>
      </c>
      <c r="D193" t="s">
        <v>223</v>
      </c>
      <c r="E193" t="s">
        <v>234</v>
      </c>
      <c r="F193" t="s">
        <v>231</v>
      </c>
      <c r="G193" s="77">
        <v>52</v>
      </c>
      <c r="H193" s="77">
        <v>28</v>
      </c>
      <c r="I193" s="77">
        <v>1456</v>
      </c>
    </row>
    <row r="194" spans="1:9" ht="15" customHeight="1" x14ac:dyDescent="0.25">
      <c r="A194" s="78">
        <v>45778</v>
      </c>
      <c r="B194" t="s">
        <v>409</v>
      </c>
      <c r="C194" t="s">
        <v>410</v>
      </c>
      <c r="D194" t="s">
        <v>223</v>
      </c>
      <c r="E194" t="s">
        <v>234</v>
      </c>
      <c r="F194" t="s">
        <v>230</v>
      </c>
      <c r="G194" s="77">
        <v>124</v>
      </c>
      <c r="H194" s="77">
        <v>42</v>
      </c>
      <c r="I194" s="77">
        <v>5208</v>
      </c>
    </row>
    <row r="195" spans="1:9" ht="15" customHeight="1" x14ac:dyDescent="0.25">
      <c r="A195" s="78">
        <v>45778</v>
      </c>
      <c r="B195" t="s">
        <v>488</v>
      </c>
      <c r="C195" t="s">
        <v>489</v>
      </c>
      <c r="D195" t="s">
        <v>225</v>
      </c>
      <c r="E195" t="s">
        <v>234</v>
      </c>
      <c r="F195" t="s">
        <v>230</v>
      </c>
      <c r="G195" s="77">
        <v>129</v>
      </c>
      <c r="H195" s="77">
        <v>42</v>
      </c>
      <c r="I195" s="77">
        <v>5418</v>
      </c>
    </row>
    <row r="196" spans="1:9" ht="15" customHeight="1" x14ac:dyDescent="0.25">
      <c r="A196" s="78">
        <v>45778</v>
      </c>
      <c r="B196" t="s">
        <v>406</v>
      </c>
      <c r="C196" t="s">
        <v>407</v>
      </c>
      <c r="D196" t="s">
        <v>225</v>
      </c>
      <c r="E196" t="s">
        <v>234</v>
      </c>
      <c r="F196" t="s">
        <v>232</v>
      </c>
      <c r="G196" s="77">
        <v>50</v>
      </c>
      <c r="H196" s="77">
        <v>23</v>
      </c>
      <c r="I196" s="77">
        <v>1150</v>
      </c>
    </row>
    <row r="197" spans="1:9" ht="15" customHeight="1" x14ac:dyDescent="0.25">
      <c r="A197" s="78">
        <v>45778</v>
      </c>
      <c r="B197" t="s">
        <v>406</v>
      </c>
      <c r="C197" t="s">
        <v>407</v>
      </c>
      <c r="D197" t="s">
        <v>225</v>
      </c>
      <c r="E197" t="s">
        <v>235</v>
      </c>
      <c r="F197" t="s">
        <v>230</v>
      </c>
      <c r="G197" s="77">
        <v>61</v>
      </c>
      <c r="H197" s="77">
        <v>42</v>
      </c>
      <c r="I197" s="77">
        <v>2562</v>
      </c>
    </row>
    <row r="198" spans="1:9" ht="15" customHeight="1" x14ac:dyDescent="0.25">
      <c r="A198" s="78">
        <v>45778</v>
      </c>
      <c r="B198" t="s">
        <v>358</v>
      </c>
      <c r="C198" t="s">
        <v>359</v>
      </c>
      <c r="D198" t="s">
        <v>225</v>
      </c>
      <c r="E198" t="s">
        <v>236</v>
      </c>
      <c r="F198" t="s">
        <v>232</v>
      </c>
      <c r="G198" s="77">
        <v>131</v>
      </c>
      <c r="H198" s="77">
        <v>23</v>
      </c>
      <c r="I198" s="77">
        <v>3013</v>
      </c>
    </row>
    <row r="199" spans="1:9" ht="15" customHeight="1" x14ac:dyDescent="0.25">
      <c r="A199" s="78">
        <v>45778</v>
      </c>
      <c r="B199" t="s">
        <v>383</v>
      </c>
      <c r="C199" t="s">
        <v>384</v>
      </c>
      <c r="D199" t="s">
        <v>225</v>
      </c>
      <c r="E199" t="s">
        <v>236</v>
      </c>
      <c r="F199" t="s">
        <v>230</v>
      </c>
      <c r="G199" s="77">
        <v>84</v>
      </c>
      <c r="H199" s="77">
        <v>42</v>
      </c>
      <c r="I199" s="77">
        <v>3528</v>
      </c>
    </row>
    <row r="200" spans="1:9" ht="15" customHeight="1" x14ac:dyDescent="0.25">
      <c r="A200" s="78">
        <v>45778</v>
      </c>
      <c r="B200" t="s">
        <v>373</v>
      </c>
      <c r="C200" t="s">
        <v>374</v>
      </c>
      <c r="D200" t="s">
        <v>225</v>
      </c>
      <c r="E200" t="s">
        <v>234</v>
      </c>
      <c r="F200" t="s">
        <v>230</v>
      </c>
      <c r="G200" s="77">
        <v>12</v>
      </c>
      <c r="H200" s="77">
        <v>42</v>
      </c>
      <c r="I200" s="77">
        <v>504</v>
      </c>
    </row>
    <row r="201" spans="1:9" ht="15" customHeight="1" x14ac:dyDescent="0.25">
      <c r="A201" s="78">
        <v>45778</v>
      </c>
      <c r="B201" t="s">
        <v>354</v>
      </c>
      <c r="C201" t="s">
        <v>355</v>
      </c>
      <c r="D201" t="s">
        <v>227</v>
      </c>
      <c r="E201" t="s">
        <v>234</v>
      </c>
      <c r="F201" t="s">
        <v>231</v>
      </c>
      <c r="G201" s="77">
        <v>41</v>
      </c>
      <c r="H201" s="77">
        <v>28</v>
      </c>
      <c r="I201" s="77">
        <v>1148</v>
      </c>
    </row>
    <row r="202" spans="1:9" ht="15" customHeight="1" x14ac:dyDescent="0.25">
      <c r="A202" s="78">
        <v>45778</v>
      </c>
      <c r="B202" t="s">
        <v>354</v>
      </c>
      <c r="C202" t="s">
        <v>355</v>
      </c>
      <c r="D202" t="s">
        <v>227</v>
      </c>
      <c r="E202" t="s">
        <v>234</v>
      </c>
      <c r="F202" t="s">
        <v>232</v>
      </c>
      <c r="G202" s="77">
        <v>81</v>
      </c>
      <c r="H202" s="77">
        <v>23</v>
      </c>
      <c r="I202" s="77">
        <v>1863</v>
      </c>
    </row>
    <row r="203" spans="1:9" ht="15" customHeight="1" x14ac:dyDescent="0.25">
      <c r="A203" s="78">
        <v>45778</v>
      </c>
      <c r="B203" t="s">
        <v>354</v>
      </c>
      <c r="C203" t="s">
        <v>355</v>
      </c>
      <c r="D203" t="s">
        <v>227</v>
      </c>
      <c r="E203" t="s">
        <v>234</v>
      </c>
      <c r="F203" t="s">
        <v>230</v>
      </c>
      <c r="G203" s="77">
        <v>49</v>
      </c>
      <c r="H203" s="77">
        <v>42</v>
      </c>
      <c r="I203" s="77">
        <v>2058</v>
      </c>
    </row>
    <row r="204" spans="1:9" ht="15" customHeight="1" x14ac:dyDescent="0.25">
      <c r="A204" s="78">
        <v>45778</v>
      </c>
      <c r="B204" t="s">
        <v>370</v>
      </c>
      <c r="C204" t="s">
        <v>371</v>
      </c>
      <c r="D204" t="s">
        <v>227</v>
      </c>
      <c r="E204" t="s">
        <v>236</v>
      </c>
      <c r="F204" t="s">
        <v>232</v>
      </c>
      <c r="G204" s="77">
        <v>75</v>
      </c>
      <c r="H204" s="77">
        <v>23</v>
      </c>
      <c r="I204" s="77">
        <v>1725</v>
      </c>
    </row>
    <row r="205" spans="1:9" ht="15" customHeight="1" x14ac:dyDescent="0.25">
      <c r="A205" s="78">
        <v>45778</v>
      </c>
      <c r="B205" t="s">
        <v>398</v>
      </c>
      <c r="C205" t="s">
        <v>399</v>
      </c>
      <c r="D205" t="s">
        <v>227</v>
      </c>
      <c r="E205" t="s">
        <v>234</v>
      </c>
      <c r="F205" t="s">
        <v>232</v>
      </c>
      <c r="G205" s="77">
        <v>91</v>
      </c>
      <c r="H205" s="77">
        <v>23</v>
      </c>
      <c r="I205" s="77">
        <v>2093</v>
      </c>
    </row>
    <row r="206" spans="1:9" ht="15" customHeight="1" x14ac:dyDescent="0.25">
      <c r="A206" s="78">
        <v>45778</v>
      </c>
      <c r="B206" t="s">
        <v>398</v>
      </c>
      <c r="C206" t="s">
        <v>399</v>
      </c>
      <c r="D206" t="s">
        <v>227</v>
      </c>
      <c r="E206" t="s">
        <v>235</v>
      </c>
      <c r="F206" t="s">
        <v>231</v>
      </c>
      <c r="G206" s="77">
        <v>141</v>
      </c>
      <c r="H206" s="77">
        <v>28</v>
      </c>
      <c r="I206" s="77">
        <v>3948</v>
      </c>
    </row>
    <row r="207" spans="1:9" ht="15" customHeight="1" x14ac:dyDescent="0.25">
      <c r="A207" s="78">
        <v>45778</v>
      </c>
      <c r="B207" t="s">
        <v>378</v>
      </c>
      <c r="C207" t="s">
        <v>379</v>
      </c>
      <c r="D207" t="s">
        <v>227</v>
      </c>
      <c r="E207" t="s">
        <v>235</v>
      </c>
      <c r="F207" t="s">
        <v>230</v>
      </c>
      <c r="G207" s="77">
        <v>79</v>
      </c>
      <c r="H207" s="77">
        <v>42</v>
      </c>
      <c r="I207" s="77">
        <v>3318</v>
      </c>
    </row>
    <row r="208" spans="1:9" ht="15" customHeight="1" x14ac:dyDescent="0.25">
      <c r="A208" s="78">
        <v>45778</v>
      </c>
      <c r="B208" t="s">
        <v>393</v>
      </c>
      <c r="C208" t="s">
        <v>394</v>
      </c>
      <c r="D208" t="s">
        <v>227</v>
      </c>
      <c r="E208" t="s">
        <v>236</v>
      </c>
      <c r="F208" t="s">
        <v>230</v>
      </c>
      <c r="G208" s="77">
        <v>127</v>
      </c>
      <c r="H208" s="77">
        <v>42</v>
      </c>
      <c r="I208" s="77">
        <v>5334</v>
      </c>
    </row>
    <row r="209" spans="1:9" ht="15" customHeight="1" x14ac:dyDescent="0.25">
      <c r="A209" s="78">
        <v>45778</v>
      </c>
      <c r="B209" t="s">
        <v>393</v>
      </c>
      <c r="C209" t="s">
        <v>394</v>
      </c>
      <c r="D209" t="s">
        <v>227</v>
      </c>
      <c r="E209" t="s">
        <v>236</v>
      </c>
      <c r="F209" t="s">
        <v>232</v>
      </c>
      <c r="G209" s="77">
        <v>140</v>
      </c>
      <c r="H209" s="77">
        <v>23</v>
      </c>
      <c r="I209" s="77">
        <v>3220</v>
      </c>
    </row>
    <row r="210" spans="1:9" ht="15" customHeight="1" x14ac:dyDescent="0.25">
      <c r="A210" s="78">
        <v>45809</v>
      </c>
      <c r="B210" t="s">
        <v>390</v>
      </c>
      <c r="C210" t="s">
        <v>391</v>
      </c>
      <c r="D210" t="s">
        <v>221</v>
      </c>
      <c r="E210" t="s">
        <v>234</v>
      </c>
      <c r="F210" t="s">
        <v>230</v>
      </c>
      <c r="G210" s="77">
        <v>140</v>
      </c>
      <c r="H210" s="77">
        <v>42</v>
      </c>
      <c r="I210" s="77">
        <v>5880</v>
      </c>
    </row>
    <row r="211" spans="1:9" ht="15" customHeight="1" x14ac:dyDescent="0.25">
      <c r="A211" s="78">
        <v>45809</v>
      </c>
      <c r="B211" t="s">
        <v>390</v>
      </c>
      <c r="C211" t="s">
        <v>391</v>
      </c>
      <c r="D211" t="s">
        <v>221</v>
      </c>
      <c r="E211" t="s">
        <v>235</v>
      </c>
      <c r="F211" t="s">
        <v>232</v>
      </c>
      <c r="G211" s="77">
        <v>99</v>
      </c>
      <c r="H211" s="77">
        <v>23</v>
      </c>
      <c r="I211" s="77">
        <v>2277</v>
      </c>
    </row>
    <row r="212" spans="1:9" ht="15" customHeight="1" x14ac:dyDescent="0.25">
      <c r="A212" s="78">
        <v>45809</v>
      </c>
      <c r="B212" t="s">
        <v>390</v>
      </c>
      <c r="C212" t="s">
        <v>391</v>
      </c>
      <c r="D212" t="s">
        <v>221</v>
      </c>
      <c r="E212" t="s">
        <v>234</v>
      </c>
      <c r="F212" t="s">
        <v>231</v>
      </c>
      <c r="G212" s="77">
        <v>21</v>
      </c>
      <c r="H212" s="77">
        <v>28</v>
      </c>
      <c r="I212" s="77">
        <v>588</v>
      </c>
    </row>
    <row r="213" spans="1:9" ht="15" customHeight="1" x14ac:dyDescent="0.25">
      <c r="A213" s="78">
        <v>45809</v>
      </c>
      <c r="B213" t="s">
        <v>401</v>
      </c>
      <c r="C213" t="s">
        <v>402</v>
      </c>
      <c r="D213" t="s">
        <v>221</v>
      </c>
      <c r="E213" t="s">
        <v>236</v>
      </c>
      <c r="F213" t="s">
        <v>232</v>
      </c>
      <c r="G213" s="77">
        <v>106</v>
      </c>
      <c r="H213" s="77">
        <v>23</v>
      </c>
      <c r="I213" s="77">
        <v>2438</v>
      </c>
    </row>
    <row r="214" spans="1:9" ht="15" customHeight="1" x14ac:dyDescent="0.25">
      <c r="A214" s="78">
        <v>45809</v>
      </c>
      <c r="B214" t="s">
        <v>401</v>
      </c>
      <c r="C214" t="s">
        <v>402</v>
      </c>
      <c r="D214" t="s">
        <v>221</v>
      </c>
      <c r="E214" t="s">
        <v>236</v>
      </c>
      <c r="F214" t="s">
        <v>231</v>
      </c>
      <c r="G214" s="77">
        <v>126</v>
      </c>
      <c r="H214" s="77">
        <v>28</v>
      </c>
      <c r="I214" s="77">
        <v>3528</v>
      </c>
    </row>
    <row r="215" spans="1:9" ht="15" customHeight="1" x14ac:dyDescent="0.25">
      <c r="A215" s="78">
        <v>45809</v>
      </c>
      <c r="B215" t="s">
        <v>431</v>
      </c>
      <c r="C215" t="s">
        <v>432</v>
      </c>
      <c r="D215" t="s">
        <v>221</v>
      </c>
      <c r="E215" t="s">
        <v>235</v>
      </c>
      <c r="F215" t="s">
        <v>230</v>
      </c>
      <c r="G215" s="77">
        <v>87</v>
      </c>
      <c r="H215" s="77">
        <v>42</v>
      </c>
      <c r="I215" s="77">
        <v>3654</v>
      </c>
    </row>
    <row r="216" spans="1:9" ht="15" customHeight="1" x14ac:dyDescent="0.25">
      <c r="A216" s="78">
        <v>45809</v>
      </c>
      <c r="B216" t="s">
        <v>431</v>
      </c>
      <c r="C216" t="s">
        <v>432</v>
      </c>
      <c r="D216" t="s">
        <v>221</v>
      </c>
      <c r="E216" t="s">
        <v>234</v>
      </c>
      <c r="F216" t="s">
        <v>231</v>
      </c>
      <c r="G216" s="77">
        <v>151</v>
      </c>
      <c r="H216" s="77">
        <v>28</v>
      </c>
      <c r="I216" s="77">
        <v>4228</v>
      </c>
    </row>
    <row r="217" spans="1:9" ht="15" customHeight="1" x14ac:dyDescent="0.25">
      <c r="A217" s="78">
        <v>45809</v>
      </c>
      <c r="B217" t="s">
        <v>431</v>
      </c>
      <c r="C217" t="s">
        <v>432</v>
      </c>
      <c r="D217" t="s">
        <v>221</v>
      </c>
      <c r="E217" t="s">
        <v>236</v>
      </c>
      <c r="F217" t="s">
        <v>232</v>
      </c>
      <c r="G217" s="77">
        <v>120</v>
      </c>
      <c r="H217" s="77">
        <v>23</v>
      </c>
      <c r="I217" s="77">
        <v>2760</v>
      </c>
    </row>
    <row r="218" spans="1:9" ht="15" customHeight="1" x14ac:dyDescent="0.25">
      <c r="A218" s="78">
        <v>45809</v>
      </c>
      <c r="B218" t="s">
        <v>366</v>
      </c>
      <c r="C218" t="s">
        <v>367</v>
      </c>
      <c r="D218" t="s">
        <v>221</v>
      </c>
      <c r="E218" t="s">
        <v>234</v>
      </c>
      <c r="F218" t="s">
        <v>230</v>
      </c>
      <c r="G218" s="77">
        <v>109</v>
      </c>
      <c r="H218" s="77">
        <v>42</v>
      </c>
      <c r="I218" s="77">
        <v>4578</v>
      </c>
    </row>
    <row r="219" spans="1:9" ht="15" customHeight="1" x14ac:dyDescent="0.25">
      <c r="A219" s="78">
        <v>45809</v>
      </c>
      <c r="B219" t="s">
        <v>366</v>
      </c>
      <c r="C219" t="s">
        <v>367</v>
      </c>
      <c r="D219" t="s">
        <v>221</v>
      </c>
      <c r="E219" t="s">
        <v>236</v>
      </c>
      <c r="F219" t="s">
        <v>232</v>
      </c>
      <c r="G219" s="77">
        <v>128</v>
      </c>
      <c r="H219" s="77">
        <v>23</v>
      </c>
      <c r="I219" s="77">
        <v>2944</v>
      </c>
    </row>
    <row r="220" spans="1:9" ht="15" customHeight="1" x14ac:dyDescent="0.25">
      <c r="A220" s="78">
        <v>45809</v>
      </c>
      <c r="B220" t="s">
        <v>362</v>
      </c>
      <c r="C220" t="s">
        <v>363</v>
      </c>
      <c r="D220" t="s">
        <v>221</v>
      </c>
      <c r="E220" t="s">
        <v>234</v>
      </c>
      <c r="F220" t="s">
        <v>230</v>
      </c>
      <c r="G220" s="77">
        <v>101</v>
      </c>
      <c r="H220" s="77">
        <v>42</v>
      </c>
      <c r="I220" s="77">
        <v>4242</v>
      </c>
    </row>
    <row r="221" spans="1:9" ht="15" customHeight="1" x14ac:dyDescent="0.25">
      <c r="A221" s="78">
        <v>45809</v>
      </c>
      <c r="B221" t="s">
        <v>362</v>
      </c>
      <c r="C221" t="s">
        <v>363</v>
      </c>
      <c r="D221" t="s">
        <v>221</v>
      </c>
      <c r="E221" t="s">
        <v>234</v>
      </c>
      <c r="F221" t="s">
        <v>231</v>
      </c>
      <c r="G221" s="77">
        <v>10</v>
      </c>
      <c r="H221" s="77">
        <v>28</v>
      </c>
      <c r="I221" s="77">
        <v>280</v>
      </c>
    </row>
    <row r="222" spans="1:9" ht="15" customHeight="1" x14ac:dyDescent="0.25">
      <c r="A222" s="78">
        <v>45809</v>
      </c>
      <c r="B222" t="s">
        <v>362</v>
      </c>
      <c r="C222" t="s">
        <v>363</v>
      </c>
      <c r="D222" t="s">
        <v>221</v>
      </c>
      <c r="E222" t="s">
        <v>235</v>
      </c>
      <c r="F222" t="s">
        <v>232</v>
      </c>
      <c r="G222" s="77">
        <v>72</v>
      </c>
      <c r="H222" s="77">
        <v>23</v>
      </c>
      <c r="I222" s="77">
        <v>1656</v>
      </c>
    </row>
    <row r="223" spans="1:9" ht="15" customHeight="1" x14ac:dyDescent="0.25">
      <c r="A223" s="78">
        <v>45809</v>
      </c>
      <c r="B223" t="s">
        <v>335</v>
      </c>
      <c r="C223" t="s">
        <v>336</v>
      </c>
      <c r="D223" t="s">
        <v>223</v>
      </c>
      <c r="E223" t="s">
        <v>236</v>
      </c>
      <c r="F223" t="s">
        <v>230</v>
      </c>
      <c r="G223" s="77">
        <v>131</v>
      </c>
      <c r="H223" s="77">
        <v>42</v>
      </c>
      <c r="I223" s="77">
        <v>5502</v>
      </c>
    </row>
    <row r="224" spans="1:9" ht="15" customHeight="1" x14ac:dyDescent="0.25">
      <c r="A224" s="78">
        <v>45809</v>
      </c>
      <c r="B224" t="s">
        <v>386</v>
      </c>
      <c r="C224" t="s">
        <v>387</v>
      </c>
      <c r="D224" t="s">
        <v>223</v>
      </c>
      <c r="E224" t="s">
        <v>236</v>
      </c>
      <c r="F224" t="s">
        <v>231</v>
      </c>
      <c r="G224" s="77">
        <v>61</v>
      </c>
      <c r="H224" s="77">
        <v>28</v>
      </c>
      <c r="I224" s="77">
        <v>1708</v>
      </c>
    </row>
    <row r="225" spans="1:9" ht="15" customHeight="1" x14ac:dyDescent="0.25">
      <c r="A225" s="78">
        <v>45809</v>
      </c>
      <c r="B225" t="s">
        <v>386</v>
      </c>
      <c r="C225" t="s">
        <v>387</v>
      </c>
      <c r="D225" t="s">
        <v>223</v>
      </c>
      <c r="E225" t="s">
        <v>236</v>
      </c>
      <c r="F225" t="s">
        <v>230</v>
      </c>
      <c r="G225" s="77">
        <v>82</v>
      </c>
      <c r="H225" s="77">
        <v>42</v>
      </c>
      <c r="I225" s="77">
        <v>3444</v>
      </c>
    </row>
    <row r="226" spans="1:9" ht="15" customHeight="1" x14ac:dyDescent="0.25">
      <c r="A226" s="78">
        <v>45809</v>
      </c>
      <c r="B226" t="s">
        <v>341</v>
      </c>
      <c r="C226" t="s">
        <v>342</v>
      </c>
      <c r="D226" t="s">
        <v>223</v>
      </c>
      <c r="E226" t="s">
        <v>236</v>
      </c>
      <c r="F226" t="s">
        <v>231</v>
      </c>
      <c r="G226" s="77">
        <v>53</v>
      </c>
      <c r="H226" s="77">
        <v>28</v>
      </c>
      <c r="I226" s="77">
        <v>1484</v>
      </c>
    </row>
    <row r="227" spans="1:9" ht="15" customHeight="1" x14ac:dyDescent="0.25">
      <c r="A227" s="78">
        <v>45809</v>
      </c>
      <c r="B227" t="s">
        <v>341</v>
      </c>
      <c r="C227" t="s">
        <v>342</v>
      </c>
      <c r="D227" t="s">
        <v>223</v>
      </c>
      <c r="E227" t="s">
        <v>236</v>
      </c>
      <c r="F227" t="s">
        <v>230</v>
      </c>
      <c r="G227" s="77">
        <v>152</v>
      </c>
      <c r="H227" s="77">
        <v>42</v>
      </c>
      <c r="I227" s="77">
        <v>6384</v>
      </c>
    </row>
    <row r="228" spans="1:9" ht="15" customHeight="1" x14ac:dyDescent="0.25">
      <c r="A228" s="78">
        <v>45809</v>
      </c>
      <c r="B228" t="s">
        <v>347</v>
      </c>
      <c r="C228" t="s">
        <v>348</v>
      </c>
      <c r="D228" t="s">
        <v>223</v>
      </c>
      <c r="E228" t="s">
        <v>236</v>
      </c>
      <c r="F228" t="s">
        <v>230</v>
      </c>
      <c r="G228" s="77">
        <v>148</v>
      </c>
      <c r="H228" s="77">
        <v>42</v>
      </c>
      <c r="I228" s="77">
        <v>6216</v>
      </c>
    </row>
    <row r="229" spans="1:9" ht="15" customHeight="1" x14ac:dyDescent="0.25">
      <c r="A229" s="78">
        <v>45809</v>
      </c>
      <c r="B229" t="s">
        <v>347</v>
      </c>
      <c r="C229" t="s">
        <v>348</v>
      </c>
      <c r="D229" t="s">
        <v>223</v>
      </c>
      <c r="E229" t="s">
        <v>236</v>
      </c>
      <c r="F229" t="s">
        <v>231</v>
      </c>
      <c r="G229" s="77">
        <v>59</v>
      </c>
      <c r="H229" s="77">
        <v>28</v>
      </c>
      <c r="I229" s="77">
        <v>1652</v>
      </c>
    </row>
    <row r="230" spans="1:9" ht="15" customHeight="1" x14ac:dyDescent="0.25">
      <c r="A230" s="78">
        <v>45809</v>
      </c>
      <c r="B230" t="s">
        <v>409</v>
      </c>
      <c r="C230" t="s">
        <v>410</v>
      </c>
      <c r="D230" t="s">
        <v>223</v>
      </c>
      <c r="E230" t="s">
        <v>234</v>
      </c>
      <c r="F230" t="s">
        <v>232</v>
      </c>
      <c r="G230" s="77">
        <v>95</v>
      </c>
      <c r="H230" s="77">
        <v>23</v>
      </c>
      <c r="I230" s="77">
        <v>2185</v>
      </c>
    </row>
    <row r="231" spans="1:9" ht="15" customHeight="1" x14ac:dyDescent="0.25">
      <c r="A231" s="78">
        <v>45809</v>
      </c>
      <c r="B231" t="s">
        <v>409</v>
      </c>
      <c r="C231" t="s">
        <v>410</v>
      </c>
      <c r="D231" t="s">
        <v>223</v>
      </c>
      <c r="E231" t="s">
        <v>236</v>
      </c>
      <c r="F231" t="s">
        <v>231</v>
      </c>
      <c r="G231" s="77">
        <v>66</v>
      </c>
      <c r="H231" s="77">
        <v>28</v>
      </c>
      <c r="I231" s="77">
        <v>1848</v>
      </c>
    </row>
    <row r="232" spans="1:9" ht="15" customHeight="1" x14ac:dyDescent="0.25">
      <c r="A232" s="78">
        <v>45809</v>
      </c>
      <c r="B232" t="s">
        <v>488</v>
      </c>
      <c r="C232" t="s">
        <v>489</v>
      </c>
      <c r="D232" t="s">
        <v>225</v>
      </c>
      <c r="E232" t="s">
        <v>236</v>
      </c>
      <c r="F232" t="s">
        <v>232</v>
      </c>
      <c r="G232" s="77">
        <v>111</v>
      </c>
      <c r="H232" s="77">
        <v>23</v>
      </c>
      <c r="I232" s="77">
        <v>2553</v>
      </c>
    </row>
    <row r="233" spans="1:9" ht="15" customHeight="1" x14ac:dyDescent="0.25">
      <c r="A233" s="78">
        <v>45809</v>
      </c>
      <c r="B233" t="s">
        <v>406</v>
      </c>
      <c r="C233" t="s">
        <v>407</v>
      </c>
      <c r="D233" t="s">
        <v>225</v>
      </c>
      <c r="E233" t="s">
        <v>235</v>
      </c>
      <c r="F233" t="s">
        <v>230</v>
      </c>
      <c r="G233" s="77">
        <v>107</v>
      </c>
      <c r="H233" s="77">
        <v>42</v>
      </c>
      <c r="I233" s="77">
        <v>4494</v>
      </c>
    </row>
    <row r="234" spans="1:9" ht="15" customHeight="1" x14ac:dyDescent="0.25">
      <c r="A234" s="78">
        <v>45809</v>
      </c>
      <c r="B234" t="s">
        <v>406</v>
      </c>
      <c r="C234" t="s">
        <v>407</v>
      </c>
      <c r="D234" t="s">
        <v>225</v>
      </c>
      <c r="E234" t="s">
        <v>235</v>
      </c>
      <c r="F234" t="s">
        <v>232</v>
      </c>
      <c r="G234" s="77">
        <v>118</v>
      </c>
      <c r="H234" s="77">
        <v>23</v>
      </c>
      <c r="I234" s="77">
        <v>2714</v>
      </c>
    </row>
    <row r="235" spans="1:9" ht="15" customHeight="1" x14ac:dyDescent="0.25">
      <c r="A235" s="78">
        <v>45809</v>
      </c>
      <c r="B235" t="s">
        <v>358</v>
      </c>
      <c r="C235" t="s">
        <v>359</v>
      </c>
      <c r="D235" t="s">
        <v>225</v>
      </c>
      <c r="E235" t="s">
        <v>235</v>
      </c>
      <c r="F235" t="s">
        <v>232</v>
      </c>
      <c r="G235" s="77">
        <v>101</v>
      </c>
      <c r="H235" s="77">
        <v>23</v>
      </c>
      <c r="I235" s="77">
        <v>2323</v>
      </c>
    </row>
    <row r="236" spans="1:9" ht="15" customHeight="1" x14ac:dyDescent="0.25">
      <c r="A236" s="78">
        <v>45809</v>
      </c>
      <c r="B236" t="s">
        <v>383</v>
      </c>
      <c r="C236" t="s">
        <v>384</v>
      </c>
      <c r="D236" t="s">
        <v>225</v>
      </c>
      <c r="E236" t="s">
        <v>236</v>
      </c>
      <c r="F236" t="s">
        <v>230</v>
      </c>
      <c r="G236" s="77">
        <v>192</v>
      </c>
      <c r="H236" s="77">
        <v>42</v>
      </c>
      <c r="I236" s="77">
        <v>8064</v>
      </c>
    </row>
    <row r="237" spans="1:9" ht="15" customHeight="1" x14ac:dyDescent="0.25">
      <c r="A237" s="78">
        <v>45809</v>
      </c>
      <c r="B237" t="s">
        <v>383</v>
      </c>
      <c r="C237" t="s">
        <v>384</v>
      </c>
      <c r="D237" t="s">
        <v>225</v>
      </c>
      <c r="E237" t="s">
        <v>236</v>
      </c>
      <c r="F237" t="s">
        <v>232</v>
      </c>
      <c r="G237" s="77">
        <v>54</v>
      </c>
      <c r="H237" s="77">
        <v>23</v>
      </c>
      <c r="I237" s="77">
        <v>1242</v>
      </c>
    </row>
    <row r="238" spans="1:9" ht="15" customHeight="1" x14ac:dyDescent="0.25">
      <c r="A238" s="78">
        <v>45809</v>
      </c>
      <c r="B238" t="s">
        <v>373</v>
      </c>
      <c r="C238" t="s">
        <v>374</v>
      </c>
      <c r="D238" t="s">
        <v>225</v>
      </c>
      <c r="E238" t="s">
        <v>235</v>
      </c>
      <c r="F238" t="s">
        <v>232</v>
      </c>
      <c r="G238" s="77">
        <v>30</v>
      </c>
      <c r="H238" s="77">
        <v>23</v>
      </c>
      <c r="I238" s="77">
        <v>690</v>
      </c>
    </row>
    <row r="239" spans="1:9" ht="15" customHeight="1" x14ac:dyDescent="0.25">
      <c r="A239" s="78">
        <v>45809</v>
      </c>
      <c r="B239" t="s">
        <v>354</v>
      </c>
      <c r="C239" t="s">
        <v>355</v>
      </c>
      <c r="D239" t="s">
        <v>227</v>
      </c>
      <c r="E239" t="s">
        <v>235</v>
      </c>
      <c r="F239" t="s">
        <v>231</v>
      </c>
      <c r="G239" s="77">
        <v>76</v>
      </c>
      <c r="H239" s="77">
        <v>28</v>
      </c>
      <c r="I239" s="77">
        <v>2128</v>
      </c>
    </row>
    <row r="240" spans="1:9" ht="15" customHeight="1" x14ac:dyDescent="0.25">
      <c r="A240" s="78">
        <v>45809</v>
      </c>
      <c r="B240" t="s">
        <v>370</v>
      </c>
      <c r="C240" t="s">
        <v>371</v>
      </c>
      <c r="D240" t="s">
        <v>227</v>
      </c>
      <c r="E240" t="s">
        <v>235</v>
      </c>
      <c r="F240" t="s">
        <v>230</v>
      </c>
      <c r="G240" s="77">
        <v>35</v>
      </c>
      <c r="H240" s="77">
        <v>42</v>
      </c>
      <c r="I240" s="77">
        <v>1470</v>
      </c>
    </row>
    <row r="241" spans="1:9" ht="15" customHeight="1" x14ac:dyDescent="0.25">
      <c r="A241" s="78">
        <v>45809</v>
      </c>
      <c r="B241" t="s">
        <v>370</v>
      </c>
      <c r="C241" t="s">
        <v>371</v>
      </c>
      <c r="D241" t="s">
        <v>227</v>
      </c>
      <c r="E241" t="s">
        <v>235</v>
      </c>
      <c r="F241" t="s">
        <v>232</v>
      </c>
      <c r="G241" s="77">
        <v>37</v>
      </c>
      <c r="H241" s="77">
        <v>23</v>
      </c>
      <c r="I241" s="77">
        <v>851</v>
      </c>
    </row>
    <row r="242" spans="1:9" ht="15" customHeight="1" x14ac:dyDescent="0.25">
      <c r="A242" s="78">
        <v>45809</v>
      </c>
      <c r="B242" t="s">
        <v>398</v>
      </c>
      <c r="C242" t="s">
        <v>399</v>
      </c>
      <c r="D242" t="s">
        <v>227</v>
      </c>
      <c r="E242" t="s">
        <v>235</v>
      </c>
      <c r="F242" t="s">
        <v>230</v>
      </c>
      <c r="G242" s="77">
        <v>54</v>
      </c>
      <c r="H242" s="77">
        <v>42</v>
      </c>
      <c r="I242" s="77">
        <v>2268</v>
      </c>
    </row>
    <row r="243" spans="1:9" ht="15" customHeight="1" x14ac:dyDescent="0.25">
      <c r="A243" s="78">
        <v>45809</v>
      </c>
      <c r="B243" t="s">
        <v>398</v>
      </c>
      <c r="C243" t="s">
        <v>399</v>
      </c>
      <c r="D243" t="s">
        <v>227</v>
      </c>
      <c r="E243" t="s">
        <v>236</v>
      </c>
      <c r="F243" t="s">
        <v>231</v>
      </c>
      <c r="G243" s="77">
        <v>57</v>
      </c>
      <c r="H243" s="77">
        <v>28</v>
      </c>
      <c r="I243" s="77">
        <v>1596</v>
      </c>
    </row>
    <row r="244" spans="1:9" ht="15" customHeight="1" x14ac:dyDescent="0.25">
      <c r="A244" s="78">
        <v>45809</v>
      </c>
      <c r="B244" t="s">
        <v>378</v>
      </c>
      <c r="C244" t="s">
        <v>379</v>
      </c>
      <c r="D244" t="s">
        <v>227</v>
      </c>
      <c r="E244" t="s">
        <v>236</v>
      </c>
      <c r="F244" t="s">
        <v>231</v>
      </c>
      <c r="G244" s="77">
        <v>56</v>
      </c>
      <c r="H244" s="77">
        <v>28</v>
      </c>
      <c r="I244" s="77">
        <v>1568</v>
      </c>
    </row>
    <row r="245" spans="1:9" ht="15" customHeight="1" x14ac:dyDescent="0.25">
      <c r="A245" s="78">
        <v>45809</v>
      </c>
      <c r="B245" t="s">
        <v>393</v>
      </c>
      <c r="C245" t="s">
        <v>394</v>
      </c>
      <c r="D245" t="s">
        <v>227</v>
      </c>
      <c r="E245" t="s">
        <v>236</v>
      </c>
      <c r="F245" t="s">
        <v>231</v>
      </c>
      <c r="G245" s="77">
        <v>108</v>
      </c>
      <c r="H245" s="77">
        <v>28</v>
      </c>
      <c r="I245" s="77">
        <v>3024</v>
      </c>
    </row>
    <row r="246" spans="1:9" ht="15" customHeight="1" x14ac:dyDescent="0.25">
      <c r="A246" s="78">
        <v>45809</v>
      </c>
      <c r="B246" t="s">
        <v>393</v>
      </c>
      <c r="C246" t="s">
        <v>394</v>
      </c>
      <c r="D246" t="s">
        <v>227</v>
      </c>
      <c r="E246" t="s">
        <v>235</v>
      </c>
      <c r="F246" t="s">
        <v>232</v>
      </c>
      <c r="G246" s="77">
        <v>72</v>
      </c>
      <c r="H246" s="77">
        <v>23</v>
      </c>
      <c r="I246" s="77">
        <v>1656</v>
      </c>
    </row>
    <row r="247" spans="1:9" ht="15" customHeight="1" x14ac:dyDescent="0.25">
      <c r="A247" s="78">
        <v>45839</v>
      </c>
      <c r="B247" t="s">
        <v>390</v>
      </c>
      <c r="C247" t="s">
        <v>391</v>
      </c>
      <c r="D247" t="s">
        <v>221</v>
      </c>
      <c r="E247" t="s">
        <v>236</v>
      </c>
      <c r="F247" t="s">
        <v>230</v>
      </c>
      <c r="G247" s="77">
        <v>83</v>
      </c>
      <c r="H247" s="77">
        <v>42</v>
      </c>
      <c r="I247" s="77">
        <v>3486</v>
      </c>
    </row>
    <row r="248" spans="1:9" ht="15" customHeight="1" x14ac:dyDescent="0.25">
      <c r="A248" s="78">
        <v>45839</v>
      </c>
      <c r="B248" t="s">
        <v>390</v>
      </c>
      <c r="C248" t="s">
        <v>391</v>
      </c>
      <c r="D248" t="s">
        <v>221</v>
      </c>
      <c r="E248" t="s">
        <v>236</v>
      </c>
      <c r="F248" t="s">
        <v>231</v>
      </c>
      <c r="G248" s="77">
        <v>121</v>
      </c>
      <c r="H248" s="77">
        <v>28</v>
      </c>
      <c r="I248" s="77">
        <v>3388</v>
      </c>
    </row>
    <row r="249" spans="1:9" ht="15" customHeight="1" x14ac:dyDescent="0.25">
      <c r="A249" s="78">
        <v>45839</v>
      </c>
      <c r="B249" t="s">
        <v>401</v>
      </c>
      <c r="C249" t="s">
        <v>402</v>
      </c>
      <c r="D249" t="s">
        <v>221</v>
      </c>
      <c r="E249" t="s">
        <v>235</v>
      </c>
      <c r="F249" t="s">
        <v>230</v>
      </c>
      <c r="G249" s="77">
        <v>63</v>
      </c>
      <c r="H249" s="77">
        <v>42</v>
      </c>
      <c r="I249" s="77">
        <v>2646</v>
      </c>
    </row>
    <row r="250" spans="1:9" ht="15" customHeight="1" x14ac:dyDescent="0.25">
      <c r="A250" s="78">
        <v>45839</v>
      </c>
      <c r="B250" t="s">
        <v>401</v>
      </c>
      <c r="C250" t="s">
        <v>402</v>
      </c>
      <c r="D250" t="s">
        <v>221</v>
      </c>
      <c r="E250" t="s">
        <v>234</v>
      </c>
      <c r="F250" t="s">
        <v>231</v>
      </c>
      <c r="G250" s="77">
        <v>80</v>
      </c>
      <c r="H250" s="77">
        <v>28</v>
      </c>
      <c r="I250" s="77">
        <v>2240</v>
      </c>
    </row>
    <row r="251" spans="1:9" ht="15" customHeight="1" x14ac:dyDescent="0.25">
      <c r="A251" s="78">
        <v>45839</v>
      </c>
      <c r="B251" t="s">
        <v>401</v>
      </c>
      <c r="C251" t="s">
        <v>402</v>
      </c>
      <c r="D251" t="s">
        <v>221</v>
      </c>
      <c r="E251" t="s">
        <v>236</v>
      </c>
      <c r="F251" t="s">
        <v>232</v>
      </c>
      <c r="G251" s="77">
        <v>102</v>
      </c>
      <c r="H251" s="77">
        <v>23</v>
      </c>
      <c r="I251" s="77">
        <v>2346</v>
      </c>
    </row>
    <row r="252" spans="1:9" ht="15" customHeight="1" x14ac:dyDescent="0.25">
      <c r="A252" s="78">
        <v>45839</v>
      </c>
      <c r="B252" t="s">
        <v>431</v>
      </c>
      <c r="C252" t="s">
        <v>432</v>
      </c>
      <c r="D252" t="s">
        <v>221</v>
      </c>
      <c r="E252" t="s">
        <v>234</v>
      </c>
      <c r="F252" t="s">
        <v>230</v>
      </c>
      <c r="G252" s="77">
        <v>22</v>
      </c>
      <c r="H252" s="77">
        <v>42</v>
      </c>
      <c r="I252" s="77">
        <v>924</v>
      </c>
    </row>
    <row r="253" spans="1:9" ht="15" customHeight="1" x14ac:dyDescent="0.25">
      <c r="A253" s="78">
        <v>45839</v>
      </c>
      <c r="B253" t="s">
        <v>366</v>
      </c>
      <c r="C253" t="s">
        <v>367</v>
      </c>
      <c r="D253" t="s">
        <v>221</v>
      </c>
      <c r="E253" t="s">
        <v>235</v>
      </c>
      <c r="F253" t="s">
        <v>230</v>
      </c>
      <c r="G253" s="77">
        <v>10</v>
      </c>
      <c r="H253" s="77">
        <v>42</v>
      </c>
      <c r="I253" s="77">
        <v>420</v>
      </c>
    </row>
    <row r="254" spans="1:9" ht="15" customHeight="1" x14ac:dyDescent="0.25">
      <c r="A254" s="78">
        <v>45839</v>
      </c>
      <c r="B254" t="s">
        <v>366</v>
      </c>
      <c r="C254" t="s">
        <v>367</v>
      </c>
      <c r="D254" t="s">
        <v>221</v>
      </c>
      <c r="E254" t="s">
        <v>236</v>
      </c>
      <c r="F254" t="s">
        <v>231</v>
      </c>
      <c r="G254" s="77">
        <v>102</v>
      </c>
      <c r="H254" s="77">
        <v>28</v>
      </c>
      <c r="I254" s="77">
        <v>2856</v>
      </c>
    </row>
    <row r="255" spans="1:9" ht="15" customHeight="1" x14ac:dyDescent="0.25">
      <c r="A255" s="78">
        <v>45839</v>
      </c>
      <c r="B255" t="s">
        <v>366</v>
      </c>
      <c r="C255" t="s">
        <v>367</v>
      </c>
      <c r="D255" t="s">
        <v>221</v>
      </c>
      <c r="E255" t="s">
        <v>235</v>
      </c>
      <c r="F255" t="s">
        <v>232</v>
      </c>
      <c r="G255" s="77">
        <v>107</v>
      </c>
      <c r="H255" s="77">
        <v>23</v>
      </c>
      <c r="I255" s="77">
        <v>2461</v>
      </c>
    </row>
    <row r="256" spans="1:9" ht="15" customHeight="1" x14ac:dyDescent="0.25">
      <c r="A256" s="78">
        <v>45839</v>
      </c>
      <c r="B256" t="s">
        <v>362</v>
      </c>
      <c r="C256" t="s">
        <v>363</v>
      </c>
      <c r="D256" t="s">
        <v>221</v>
      </c>
      <c r="E256" t="s">
        <v>236</v>
      </c>
      <c r="F256" t="s">
        <v>230</v>
      </c>
      <c r="G256" s="77">
        <v>162</v>
      </c>
      <c r="H256" s="77">
        <v>42</v>
      </c>
      <c r="I256" s="77">
        <v>6804</v>
      </c>
    </row>
    <row r="257" spans="1:9" ht="15" customHeight="1" x14ac:dyDescent="0.25">
      <c r="A257" s="78">
        <v>45839</v>
      </c>
      <c r="B257" t="s">
        <v>335</v>
      </c>
      <c r="C257" t="s">
        <v>336</v>
      </c>
      <c r="D257" t="s">
        <v>223</v>
      </c>
      <c r="E257" t="s">
        <v>234</v>
      </c>
      <c r="F257" t="s">
        <v>231</v>
      </c>
      <c r="G257" s="77">
        <v>95</v>
      </c>
      <c r="H257" s="77">
        <v>28</v>
      </c>
      <c r="I257" s="77">
        <v>2660</v>
      </c>
    </row>
    <row r="258" spans="1:9" ht="15" customHeight="1" x14ac:dyDescent="0.25">
      <c r="A258" s="78">
        <v>45839</v>
      </c>
      <c r="B258" t="s">
        <v>335</v>
      </c>
      <c r="C258" t="s">
        <v>336</v>
      </c>
      <c r="D258" t="s">
        <v>223</v>
      </c>
      <c r="E258" t="s">
        <v>235</v>
      </c>
      <c r="F258" t="s">
        <v>232</v>
      </c>
      <c r="G258" s="77">
        <v>118</v>
      </c>
      <c r="H258" s="77">
        <v>23</v>
      </c>
      <c r="I258" s="77">
        <v>2714</v>
      </c>
    </row>
    <row r="259" spans="1:9" ht="15" customHeight="1" x14ac:dyDescent="0.25">
      <c r="A259" s="78">
        <v>45839</v>
      </c>
      <c r="B259" t="s">
        <v>335</v>
      </c>
      <c r="C259" t="s">
        <v>336</v>
      </c>
      <c r="D259" t="s">
        <v>223</v>
      </c>
      <c r="E259" t="s">
        <v>235</v>
      </c>
      <c r="F259" t="s">
        <v>230</v>
      </c>
      <c r="G259" s="77">
        <v>83</v>
      </c>
      <c r="H259" s="77">
        <v>42</v>
      </c>
      <c r="I259" s="77">
        <v>3486</v>
      </c>
    </row>
    <row r="260" spans="1:9" ht="15" customHeight="1" x14ac:dyDescent="0.25">
      <c r="A260" s="78">
        <v>45839</v>
      </c>
      <c r="B260" t="s">
        <v>386</v>
      </c>
      <c r="C260" t="s">
        <v>387</v>
      </c>
      <c r="D260" t="s">
        <v>223</v>
      </c>
      <c r="E260" t="s">
        <v>236</v>
      </c>
      <c r="F260" t="s">
        <v>232</v>
      </c>
      <c r="G260" s="77">
        <v>100</v>
      </c>
      <c r="H260" s="77">
        <v>23</v>
      </c>
      <c r="I260" s="77">
        <v>2300</v>
      </c>
    </row>
    <row r="261" spans="1:9" ht="15" customHeight="1" x14ac:dyDescent="0.25">
      <c r="A261" s="78">
        <v>45839</v>
      </c>
      <c r="B261" t="s">
        <v>386</v>
      </c>
      <c r="C261" t="s">
        <v>387</v>
      </c>
      <c r="D261" t="s">
        <v>223</v>
      </c>
      <c r="E261" t="s">
        <v>235</v>
      </c>
      <c r="F261" t="s">
        <v>231</v>
      </c>
      <c r="G261" s="77">
        <v>148</v>
      </c>
      <c r="H261" s="77">
        <v>28</v>
      </c>
      <c r="I261" s="77">
        <v>4144</v>
      </c>
    </row>
    <row r="262" spans="1:9" ht="15" customHeight="1" x14ac:dyDescent="0.25">
      <c r="A262" s="78">
        <v>45839</v>
      </c>
      <c r="B262" t="s">
        <v>386</v>
      </c>
      <c r="C262" t="s">
        <v>387</v>
      </c>
      <c r="D262" t="s">
        <v>223</v>
      </c>
      <c r="E262" t="s">
        <v>235</v>
      </c>
      <c r="F262" t="s">
        <v>230</v>
      </c>
      <c r="G262" s="77">
        <v>15</v>
      </c>
      <c r="H262" s="77">
        <v>42</v>
      </c>
      <c r="I262" s="77">
        <v>630</v>
      </c>
    </row>
    <row r="263" spans="1:9" ht="15" customHeight="1" x14ac:dyDescent="0.25">
      <c r="A263" s="78">
        <v>45839</v>
      </c>
      <c r="B263" t="s">
        <v>341</v>
      </c>
      <c r="C263" t="s">
        <v>342</v>
      </c>
      <c r="D263" t="s">
        <v>223</v>
      </c>
      <c r="E263" t="s">
        <v>235</v>
      </c>
      <c r="F263" t="s">
        <v>232</v>
      </c>
      <c r="G263" s="77">
        <v>104</v>
      </c>
      <c r="H263" s="77">
        <v>23</v>
      </c>
      <c r="I263" s="77">
        <v>2392</v>
      </c>
    </row>
    <row r="264" spans="1:9" ht="15" customHeight="1" x14ac:dyDescent="0.25">
      <c r="A264" s="78">
        <v>45839</v>
      </c>
      <c r="B264" t="s">
        <v>347</v>
      </c>
      <c r="C264" t="s">
        <v>348</v>
      </c>
      <c r="D264" t="s">
        <v>223</v>
      </c>
      <c r="E264" t="s">
        <v>236</v>
      </c>
      <c r="F264" t="s">
        <v>232</v>
      </c>
      <c r="G264" s="77">
        <v>164</v>
      </c>
      <c r="H264" s="77">
        <v>23</v>
      </c>
      <c r="I264" s="77">
        <v>3772</v>
      </c>
    </row>
    <row r="265" spans="1:9" ht="15" customHeight="1" x14ac:dyDescent="0.25">
      <c r="A265" s="78">
        <v>45839</v>
      </c>
      <c r="B265" t="s">
        <v>347</v>
      </c>
      <c r="C265" t="s">
        <v>348</v>
      </c>
      <c r="D265" t="s">
        <v>223</v>
      </c>
      <c r="E265" t="s">
        <v>235</v>
      </c>
      <c r="F265" t="s">
        <v>231</v>
      </c>
      <c r="G265" s="77">
        <v>99</v>
      </c>
      <c r="H265" s="77">
        <v>28</v>
      </c>
      <c r="I265" s="77">
        <v>2772</v>
      </c>
    </row>
    <row r="266" spans="1:9" ht="15" customHeight="1" x14ac:dyDescent="0.25">
      <c r="A266" s="78">
        <v>45839</v>
      </c>
      <c r="B266" t="s">
        <v>347</v>
      </c>
      <c r="C266" t="s">
        <v>348</v>
      </c>
      <c r="D266" t="s">
        <v>223</v>
      </c>
      <c r="E266" t="s">
        <v>235</v>
      </c>
      <c r="F266" t="s">
        <v>230</v>
      </c>
      <c r="G266" s="77">
        <v>147</v>
      </c>
      <c r="H266" s="77">
        <v>42</v>
      </c>
      <c r="I266" s="77">
        <v>6174</v>
      </c>
    </row>
    <row r="267" spans="1:9" ht="15" customHeight="1" x14ac:dyDescent="0.25">
      <c r="A267" s="78">
        <v>45839</v>
      </c>
      <c r="B267" t="s">
        <v>409</v>
      </c>
      <c r="C267" t="s">
        <v>410</v>
      </c>
      <c r="D267" t="s">
        <v>223</v>
      </c>
      <c r="E267" t="s">
        <v>235</v>
      </c>
      <c r="F267" t="s">
        <v>231</v>
      </c>
      <c r="G267" s="77">
        <v>67</v>
      </c>
      <c r="H267" s="77">
        <v>28</v>
      </c>
      <c r="I267" s="77">
        <v>1876</v>
      </c>
    </row>
    <row r="268" spans="1:9" ht="15" customHeight="1" x14ac:dyDescent="0.25">
      <c r="A268" s="78">
        <v>45839</v>
      </c>
      <c r="B268" t="s">
        <v>409</v>
      </c>
      <c r="C268" t="s">
        <v>410</v>
      </c>
      <c r="D268" t="s">
        <v>223</v>
      </c>
      <c r="E268" t="s">
        <v>236</v>
      </c>
      <c r="F268" t="s">
        <v>232</v>
      </c>
      <c r="G268" s="77">
        <v>88</v>
      </c>
      <c r="H268" s="77">
        <v>23</v>
      </c>
      <c r="I268" s="77">
        <v>2024</v>
      </c>
    </row>
    <row r="269" spans="1:9" ht="15" customHeight="1" x14ac:dyDescent="0.25">
      <c r="A269" s="78">
        <v>45839</v>
      </c>
      <c r="B269" t="s">
        <v>488</v>
      </c>
      <c r="C269" t="s">
        <v>489</v>
      </c>
      <c r="D269" t="s">
        <v>225</v>
      </c>
      <c r="E269" t="s">
        <v>234</v>
      </c>
      <c r="F269" t="s">
        <v>230</v>
      </c>
      <c r="G269" s="77">
        <v>91</v>
      </c>
      <c r="H269" s="77">
        <v>42</v>
      </c>
      <c r="I269" s="77">
        <v>3822</v>
      </c>
    </row>
    <row r="270" spans="1:9" ht="15" customHeight="1" x14ac:dyDescent="0.25">
      <c r="A270" s="78">
        <v>45839</v>
      </c>
      <c r="B270" t="s">
        <v>406</v>
      </c>
      <c r="C270" t="s">
        <v>407</v>
      </c>
      <c r="D270" t="s">
        <v>225</v>
      </c>
      <c r="E270" t="s">
        <v>236</v>
      </c>
      <c r="F270" t="s">
        <v>232</v>
      </c>
      <c r="G270" s="77">
        <v>12</v>
      </c>
      <c r="H270" s="77">
        <v>23</v>
      </c>
      <c r="I270" s="77">
        <v>276</v>
      </c>
    </row>
    <row r="271" spans="1:9" ht="15" customHeight="1" x14ac:dyDescent="0.25">
      <c r="A271" s="78">
        <v>45839</v>
      </c>
      <c r="B271" t="s">
        <v>406</v>
      </c>
      <c r="C271" t="s">
        <v>407</v>
      </c>
      <c r="D271" t="s">
        <v>225</v>
      </c>
      <c r="E271" t="s">
        <v>236</v>
      </c>
      <c r="F271" t="s">
        <v>231</v>
      </c>
      <c r="G271" s="77">
        <v>49</v>
      </c>
      <c r="H271" s="77">
        <v>28</v>
      </c>
      <c r="I271" s="77">
        <v>1372</v>
      </c>
    </row>
    <row r="272" spans="1:9" ht="15" customHeight="1" x14ac:dyDescent="0.25">
      <c r="A272" s="78">
        <v>45839</v>
      </c>
      <c r="B272" t="s">
        <v>358</v>
      </c>
      <c r="C272" t="s">
        <v>359</v>
      </c>
      <c r="D272" t="s">
        <v>225</v>
      </c>
      <c r="E272" t="s">
        <v>236</v>
      </c>
      <c r="F272" t="s">
        <v>230</v>
      </c>
      <c r="G272" s="77">
        <v>51</v>
      </c>
      <c r="H272" s="77">
        <v>42</v>
      </c>
      <c r="I272" s="77">
        <v>2142</v>
      </c>
    </row>
    <row r="273" spans="1:9" ht="15" customHeight="1" x14ac:dyDescent="0.25">
      <c r="A273" s="78">
        <v>45839</v>
      </c>
      <c r="B273" t="s">
        <v>358</v>
      </c>
      <c r="C273" t="s">
        <v>359</v>
      </c>
      <c r="D273" t="s">
        <v>225</v>
      </c>
      <c r="E273" t="s">
        <v>235</v>
      </c>
      <c r="F273" t="s">
        <v>232</v>
      </c>
      <c r="G273" s="77">
        <v>118</v>
      </c>
      <c r="H273" s="77">
        <v>23</v>
      </c>
      <c r="I273" s="77">
        <v>2714</v>
      </c>
    </row>
    <row r="274" spans="1:9" ht="15" customHeight="1" x14ac:dyDescent="0.25">
      <c r="A274" s="78">
        <v>45839</v>
      </c>
      <c r="B274" t="s">
        <v>383</v>
      </c>
      <c r="C274" t="s">
        <v>384</v>
      </c>
      <c r="D274" t="s">
        <v>225</v>
      </c>
      <c r="E274" t="s">
        <v>236</v>
      </c>
      <c r="F274" t="s">
        <v>230</v>
      </c>
      <c r="G274" s="77">
        <v>120</v>
      </c>
      <c r="H274" s="77">
        <v>42</v>
      </c>
      <c r="I274" s="77">
        <v>5040</v>
      </c>
    </row>
    <row r="275" spans="1:9" ht="15" customHeight="1" x14ac:dyDescent="0.25">
      <c r="A275" s="78">
        <v>45839</v>
      </c>
      <c r="B275" t="s">
        <v>383</v>
      </c>
      <c r="C275" t="s">
        <v>384</v>
      </c>
      <c r="D275" t="s">
        <v>225</v>
      </c>
      <c r="E275" t="s">
        <v>234</v>
      </c>
      <c r="F275" t="s">
        <v>232</v>
      </c>
      <c r="G275" s="77">
        <v>101</v>
      </c>
      <c r="H275" s="77">
        <v>23</v>
      </c>
      <c r="I275" s="77">
        <v>2323</v>
      </c>
    </row>
    <row r="276" spans="1:9" ht="15" customHeight="1" x14ac:dyDescent="0.25">
      <c r="A276" s="78">
        <v>45839</v>
      </c>
      <c r="B276" t="s">
        <v>373</v>
      </c>
      <c r="C276" t="s">
        <v>374</v>
      </c>
      <c r="D276" t="s">
        <v>225</v>
      </c>
      <c r="E276" t="s">
        <v>234</v>
      </c>
      <c r="F276" t="s">
        <v>232</v>
      </c>
      <c r="G276" s="77">
        <v>118</v>
      </c>
      <c r="H276" s="77">
        <v>23</v>
      </c>
      <c r="I276" s="77">
        <v>2714</v>
      </c>
    </row>
    <row r="277" spans="1:9" ht="15" customHeight="1" x14ac:dyDescent="0.25">
      <c r="A277" s="78">
        <v>45839</v>
      </c>
      <c r="B277" t="s">
        <v>354</v>
      </c>
      <c r="C277" t="s">
        <v>355</v>
      </c>
      <c r="D277" t="s">
        <v>227</v>
      </c>
      <c r="E277" t="s">
        <v>234</v>
      </c>
      <c r="F277" t="s">
        <v>230</v>
      </c>
      <c r="G277" s="77">
        <v>84</v>
      </c>
      <c r="H277" s="77">
        <v>42</v>
      </c>
      <c r="I277" s="77">
        <v>3528</v>
      </c>
    </row>
    <row r="278" spans="1:9" ht="15" customHeight="1" x14ac:dyDescent="0.25">
      <c r="A278" s="78">
        <v>45839</v>
      </c>
      <c r="B278" t="s">
        <v>354</v>
      </c>
      <c r="C278" t="s">
        <v>355</v>
      </c>
      <c r="D278" t="s">
        <v>227</v>
      </c>
      <c r="E278" t="s">
        <v>236</v>
      </c>
      <c r="F278" t="s">
        <v>231</v>
      </c>
      <c r="G278" s="77">
        <v>132</v>
      </c>
      <c r="H278" s="77">
        <v>28</v>
      </c>
      <c r="I278" s="77">
        <v>3696</v>
      </c>
    </row>
    <row r="279" spans="1:9" ht="15" customHeight="1" x14ac:dyDescent="0.25">
      <c r="A279" s="78">
        <v>45839</v>
      </c>
      <c r="B279" t="s">
        <v>370</v>
      </c>
      <c r="C279" t="s">
        <v>371</v>
      </c>
      <c r="D279" t="s">
        <v>227</v>
      </c>
      <c r="E279" t="s">
        <v>234</v>
      </c>
      <c r="F279" t="s">
        <v>231</v>
      </c>
      <c r="G279" s="77">
        <v>90</v>
      </c>
      <c r="H279" s="77">
        <v>28</v>
      </c>
      <c r="I279" s="77">
        <v>2520</v>
      </c>
    </row>
    <row r="280" spans="1:9" ht="15" customHeight="1" x14ac:dyDescent="0.25">
      <c r="A280" s="78">
        <v>45839</v>
      </c>
      <c r="B280" t="s">
        <v>370</v>
      </c>
      <c r="C280" t="s">
        <v>371</v>
      </c>
      <c r="D280" t="s">
        <v>227</v>
      </c>
      <c r="E280" t="s">
        <v>235</v>
      </c>
      <c r="F280" t="s">
        <v>230</v>
      </c>
      <c r="G280" s="77">
        <v>92</v>
      </c>
      <c r="H280" s="77">
        <v>42</v>
      </c>
      <c r="I280" s="77">
        <v>3864</v>
      </c>
    </row>
    <row r="281" spans="1:9" ht="15" customHeight="1" x14ac:dyDescent="0.25">
      <c r="A281" s="78">
        <v>45839</v>
      </c>
      <c r="B281" t="s">
        <v>398</v>
      </c>
      <c r="C281" t="s">
        <v>399</v>
      </c>
      <c r="D281" t="s">
        <v>227</v>
      </c>
      <c r="E281" t="s">
        <v>234</v>
      </c>
      <c r="F281" t="s">
        <v>232</v>
      </c>
      <c r="G281" s="77">
        <v>80</v>
      </c>
      <c r="H281" s="77">
        <v>23</v>
      </c>
      <c r="I281" s="77">
        <v>1840</v>
      </c>
    </row>
    <row r="282" spans="1:9" ht="15" customHeight="1" x14ac:dyDescent="0.25">
      <c r="A282" s="78">
        <v>45839</v>
      </c>
      <c r="B282" t="s">
        <v>398</v>
      </c>
      <c r="C282" t="s">
        <v>399</v>
      </c>
      <c r="D282" t="s">
        <v>227</v>
      </c>
      <c r="E282" t="s">
        <v>235</v>
      </c>
      <c r="F282" t="s">
        <v>231</v>
      </c>
      <c r="G282" s="77">
        <v>113</v>
      </c>
      <c r="H282" s="77">
        <v>28</v>
      </c>
      <c r="I282" s="77">
        <v>3164</v>
      </c>
    </row>
    <row r="283" spans="1:9" ht="15" customHeight="1" x14ac:dyDescent="0.25">
      <c r="A283" s="78">
        <v>45839</v>
      </c>
      <c r="B283" t="s">
        <v>378</v>
      </c>
      <c r="C283" t="s">
        <v>379</v>
      </c>
      <c r="D283" t="s">
        <v>227</v>
      </c>
      <c r="E283" t="s">
        <v>236</v>
      </c>
      <c r="F283" t="s">
        <v>232</v>
      </c>
      <c r="G283" s="77">
        <v>75</v>
      </c>
      <c r="H283" s="77">
        <v>23</v>
      </c>
      <c r="I283" s="77">
        <v>1725</v>
      </c>
    </row>
    <row r="284" spans="1:9" ht="15" customHeight="1" x14ac:dyDescent="0.25">
      <c r="A284" s="78">
        <v>45839</v>
      </c>
      <c r="B284" t="s">
        <v>378</v>
      </c>
      <c r="C284" t="s">
        <v>379</v>
      </c>
      <c r="D284" t="s">
        <v>227</v>
      </c>
      <c r="E284" t="s">
        <v>236</v>
      </c>
      <c r="F284" t="s">
        <v>230</v>
      </c>
      <c r="G284" s="77">
        <v>124</v>
      </c>
      <c r="H284" s="77">
        <v>42</v>
      </c>
      <c r="I284" s="77">
        <v>5208</v>
      </c>
    </row>
    <row r="285" spans="1:9" ht="15" customHeight="1" x14ac:dyDescent="0.25">
      <c r="A285" s="78">
        <v>45839</v>
      </c>
      <c r="B285" t="s">
        <v>378</v>
      </c>
      <c r="C285" t="s">
        <v>379</v>
      </c>
      <c r="D285" t="s">
        <v>227</v>
      </c>
      <c r="E285" t="s">
        <v>235</v>
      </c>
      <c r="F285" t="s">
        <v>231</v>
      </c>
      <c r="G285" s="77">
        <v>50</v>
      </c>
      <c r="H285" s="77">
        <v>28</v>
      </c>
      <c r="I285" s="77">
        <v>1400</v>
      </c>
    </row>
    <row r="286" spans="1:9" ht="15" customHeight="1" x14ac:dyDescent="0.25">
      <c r="A286" s="78">
        <v>45839</v>
      </c>
      <c r="B286" t="s">
        <v>393</v>
      </c>
      <c r="C286" t="s">
        <v>394</v>
      </c>
      <c r="D286" t="s">
        <v>227</v>
      </c>
      <c r="E286" t="s">
        <v>236</v>
      </c>
      <c r="F286" t="s">
        <v>232</v>
      </c>
      <c r="G286" s="77">
        <v>51</v>
      </c>
      <c r="H286" s="77">
        <v>23</v>
      </c>
      <c r="I286" s="77">
        <v>1173</v>
      </c>
    </row>
    <row r="287" spans="1:9" ht="15" customHeight="1" x14ac:dyDescent="0.25">
      <c r="A287" s="78">
        <v>45839</v>
      </c>
      <c r="B287" t="s">
        <v>393</v>
      </c>
      <c r="C287" t="s">
        <v>394</v>
      </c>
      <c r="D287" t="s">
        <v>227</v>
      </c>
      <c r="E287" t="s">
        <v>235</v>
      </c>
      <c r="F287" t="s">
        <v>230</v>
      </c>
      <c r="G287" s="77">
        <v>114</v>
      </c>
      <c r="H287" s="77">
        <v>42</v>
      </c>
      <c r="I287" s="77">
        <v>4788</v>
      </c>
    </row>
    <row r="288" spans="1:9" ht="15" customHeight="1" x14ac:dyDescent="0.25">
      <c r="A288" s="78">
        <v>45839</v>
      </c>
      <c r="B288" t="s">
        <v>393</v>
      </c>
      <c r="C288" t="s">
        <v>394</v>
      </c>
      <c r="D288" t="s">
        <v>227</v>
      </c>
      <c r="E288" t="s">
        <v>236</v>
      </c>
      <c r="F288" t="s">
        <v>231</v>
      </c>
      <c r="G288" s="77">
        <v>86</v>
      </c>
      <c r="H288" s="77">
        <v>28</v>
      </c>
      <c r="I288" s="77">
        <v>2408</v>
      </c>
    </row>
    <row r="289" spans="1:9" ht="15" customHeight="1" x14ac:dyDescent="0.25">
      <c r="A289" s="78">
        <v>45870</v>
      </c>
      <c r="B289" t="s">
        <v>390</v>
      </c>
      <c r="C289" t="s">
        <v>391</v>
      </c>
      <c r="D289" t="s">
        <v>221</v>
      </c>
      <c r="E289" t="s">
        <v>235</v>
      </c>
      <c r="F289" t="s">
        <v>232</v>
      </c>
      <c r="G289" s="77">
        <v>74</v>
      </c>
      <c r="H289" s="77">
        <v>23</v>
      </c>
      <c r="I289" s="77">
        <v>1702</v>
      </c>
    </row>
    <row r="290" spans="1:9" ht="15" customHeight="1" x14ac:dyDescent="0.25">
      <c r="A290" s="78">
        <v>45870</v>
      </c>
      <c r="B290" t="s">
        <v>390</v>
      </c>
      <c r="C290" t="s">
        <v>391</v>
      </c>
      <c r="D290" t="s">
        <v>221</v>
      </c>
      <c r="E290" t="s">
        <v>235</v>
      </c>
      <c r="F290" t="s">
        <v>230</v>
      </c>
      <c r="G290" s="77">
        <v>121</v>
      </c>
      <c r="H290" s="77">
        <v>42</v>
      </c>
      <c r="I290" s="77">
        <v>5082</v>
      </c>
    </row>
    <row r="291" spans="1:9" ht="15" customHeight="1" x14ac:dyDescent="0.25">
      <c r="A291" s="78">
        <v>45870</v>
      </c>
      <c r="B291" t="s">
        <v>401</v>
      </c>
      <c r="C291" t="s">
        <v>402</v>
      </c>
      <c r="D291" t="s">
        <v>221</v>
      </c>
      <c r="E291" t="s">
        <v>235</v>
      </c>
      <c r="F291" t="s">
        <v>231</v>
      </c>
      <c r="G291" s="77">
        <v>68</v>
      </c>
      <c r="H291" s="77">
        <v>28</v>
      </c>
      <c r="I291" s="77">
        <v>1904</v>
      </c>
    </row>
    <row r="292" spans="1:9" ht="15" customHeight="1" x14ac:dyDescent="0.25">
      <c r="A292" s="78">
        <v>45870</v>
      </c>
      <c r="B292" t="s">
        <v>401</v>
      </c>
      <c r="C292" t="s">
        <v>402</v>
      </c>
      <c r="D292" t="s">
        <v>221</v>
      </c>
      <c r="E292" t="s">
        <v>234</v>
      </c>
      <c r="F292" t="s">
        <v>232</v>
      </c>
      <c r="G292" s="77">
        <v>82</v>
      </c>
      <c r="H292" s="77">
        <v>23</v>
      </c>
      <c r="I292" s="77">
        <v>1886</v>
      </c>
    </row>
    <row r="293" spans="1:9" ht="15" customHeight="1" x14ac:dyDescent="0.25">
      <c r="A293" s="78">
        <v>45870</v>
      </c>
      <c r="B293" t="s">
        <v>431</v>
      </c>
      <c r="C293" t="s">
        <v>432</v>
      </c>
      <c r="D293" t="s">
        <v>221</v>
      </c>
      <c r="E293" t="s">
        <v>235</v>
      </c>
      <c r="F293" t="s">
        <v>231</v>
      </c>
      <c r="G293" s="77">
        <v>138</v>
      </c>
      <c r="H293" s="77">
        <v>28</v>
      </c>
      <c r="I293" s="77">
        <v>3864</v>
      </c>
    </row>
    <row r="294" spans="1:9" ht="15" customHeight="1" x14ac:dyDescent="0.25">
      <c r="A294" s="78">
        <v>45870</v>
      </c>
      <c r="B294" t="s">
        <v>431</v>
      </c>
      <c r="C294" t="s">
        <v>432</v>
      </c>
      <c r="D294" t="s">
        <v>221</v>
      </c>
      <c r="E294" t="s">
        <v>234</v>
      </c>
      <c r="F294" t="s">
        <v>232</v>
      </c>
      <c r="G294" s="77">
        <v>143</v>
      </c>
      <c r="H294" s="77">
        <v>23</v>
      </c>
      <c r="I294" s="77">
        <v>3289</v>
      </c>
    </row>
    <row r="295" spans="1:9" ht="15" customHeight="1" x14ac:dyDescent="0.25">
      <c r="A295" s="78">
        <v>45870</v>
      </c>
      <c r="B295" t="s">
        <v>431</v>
      </c>
      <c r="C295" t="s">
        <v>432</v>
      </c>
      <c r="D295" t="s">
        <v>221</v>
      </c>
      <c r="E295" t="s">
        <v>235</v>
      </c>
      <c r="F295" t="s">
        <v>230</v>
      </c>
      <c r="G295" s="77">
        <v>145</v>
      </c>
      <c r="H295" s="77">
        <v>42</v>
      </c>
      <c r="I295" s="77">
        <v>6090</v>
      </c>
    </row>
    <row r="296" spans="1:9" ht="15" customHeight="1" x14ac:dyDescent="0.25">
      <c r="A296" s="78">
        <v>45870</v>
      </c>
      <c r="B296" t="s">
        <v>366</v>
      </c>
      <c r="C296" t="s">
        <v>367</v>
      </c>
      <c r="D296" t="s">
        <v>221</v>
      </c>
      <c r="E296" t="s">
        <v>236</v>
      </c>
      <c r="F296" t="s">
        <v>232</v>
      </c>
      <c r="G296" s="77">
        <v>80</v>
      </c>
      <c r="H296" s="77">
        <v>23</v>
      </c>
      <c r="I296" s="77">
        <v>1840</v>
      </c>
    </row>
    <row r="297" spans="1:9" ht="15" customHeight="1" x14ac:dyDescent="0.25">
      <c r="A297" s="78">
        <v>45870</v>
      </c>
      <c r="B297" t="s">
        <v>362</v>
      </c>
      <c r="C297" t="s">
        <v>363</v>
      </c>
      <c r="D297" t="s">
        <v>221</v>
      </c>
      <c r="E297" t="s">
        <v>235</v>
      </c>
      <c r="F297" t="s">
        <v>231</v>
      </c>
      <c r="G297" s="77">
        <v>133</v>
      </c>
      <c r="H297" s="77">
        <v>28</v>
      </c>
      <c r="I297" s="77">
        <v>3724</v>
      </c>
    </row>
    <row r="298" spans="1:9" ht="15" customHeight="1" x14ac:dyDescent="0.25">
      <c r="A298" s="78">
        <v>45870</v>
      </c>
      <c r="B298" t="s">
        <v>362</v>
      </c>
      <c r="C298" t="s">
        <v>363</v>
      </c>
      <c r="D298" t="s">
        <v>221</v>
      </c>
      <c r="E298" t="s">
        <v>235</v>
      </c>
      <c r="F298" t="s">
        <v>232</v>
      </c>
      <c r="G298" s="77">
        <v>56</v>
      </c>
      <c r="H298" s="77">
        <v>23</v>
      </c>
      <c r="I298" s="77">
        <v>1288</v>
      </c>
    </row>
    <row r="299" spans="1:9" ht="15" customHeight="1" x14ac:dyDescent="0.25">
      <c r="A299" s="78">
        <v>45870</v>
      </c>
      <c r="B299" t="s">
        <v>362</v>
      </c>
      <c r="C299" t="s">
        <v>363</v>
      </c>
      <c r="D299" t="s">
        <v>221</v>
      </c>
      <c r="E299" t="s">
        <v>236</v>
      </c>
      <c r="F299" t="s">
        <v>230</v>
      </c>
      <c r="G299" s="77">
        <v>58</v>
      </c>
      <c r="H299" s="77">
        <v>42</v>
      </c>
      <c r="I299" s="77">
        <v>2436</v>
      </c>
    </row>
    <row r="300" spans="1:9" ht="15" customHeight="1" x14ac:dyDescent="0.25">
      <c r="A300" s="78">
        <v>45870</v>
      </c>
      <c r="B300" t="s">
        <v>335</v>
      </c>
      <c r="C300" t="s">
        <v>336</v>
      </c>
      <c r="D300" t="s">
        <v>223</v>
      </c>
      <c r="E300" t="s">
        <v>236</v>
      </c>
      <c r="F300" t="s">
        <v>230</v>
      </c>
      <c r="G300" s="77">
        <v>10</v>
      </c>
      <c r="H300" s="77">
        <v>42</v>
      </c>
      <c r="I300" s="77">
        <v>420</v>
      </c>
    </row>
    <row r="301" spans="1:9" ht="15" customHeight="1" x14ac:dyDescent="0.25">
      <c r="A301" s="78">
        <v>45870</v>
      </c>
      <c r="B301" t="s">
        <v>335</v>
      </c>
      <c r="C301" t="s">
        <v>336</v>
      </c>
      <c r="D301" t="s">
        <v>223</v>
      </c>
      <c r="E301" t="s">
        <v>234</v>
      </c>
      <c r="F301" t="s">
        <v>232</v>
      </c>
      <c r="G301" s="77">
        <v>148</v>
      </c>
      <c r="H301" s="77">
        <v>23</v>
      </c>
      <c r="I301" s="77">
        <v>3404</v>
      </c>
    </row>
    <row r="302" spans="1:9" ht="15" customHeight="1" x14ac:dyDescent="0.25">
      <c r="A302" s="78">
        <v>45870</v>
      </c>
      <c r="B302" t="s">
        <v>386</v>
      </c>
      <c r="C302" t="s">
        <v>387</v>
      </c>
      <c r="D302" t="s">
        <v>223</v>
      </c>
      <c r="E302" t="s">
        <v>236</v>
      </c>
      <c r="F302" t="s">
        <v>231</v>
      </c>
      <c r="G302" s="77">
        <v>59</v>
      </c>
      <c r="H302" s="77">
        <v>28</v>
      </c>
      <c r="I302" s="77">
        <v>1652</v>
      </c>
    </row>
    <row r="303" spans="1:9" ht="15" customHeight="1" x14ac:dyDescent="0.25">
      <c r="A303" s="78">
        <v>45870</v>
      </c>
      <c r="B303" t="s">
        <v>341</v>
      </c>
      <c r="C303" t="s">
        <v>342</v>
      </c>
      <c r="D303" t="s">
        <v>223</v>
      </c>
      <c r="E303" t="s">
        <v>235</v>
      </c>
      <c r="F303" t="s">
        <v>232</v>
      </c>
      <c r="G303" s="77">
        <v>85</v>
      </c>
      <c r="H303" s="77">
        <v>23</v>
      </c>
      <c r="I303" s="77">
        <v>1955</v>
      </c>
    </row>
    <row r="304" spans="1:9" ht="15" customHeight="1" x14ac:dyDescent="0.25">
      <c r="A304" s="78">
        <v>45870</v>
      </c>
      <c r="B304" t="s">
        <v>347</v>
      </c>
      <c r="C304" t="s">
        <v>348</v>
      </c>
      <c r="D304" t="s">
        <v>223</v>
      </c>
      <c r="E304" t="s">
        <v>236</v>
      </c>
      <c r="F304" t="s">
        <v>231</v>
      </c>
      <c r="G304" s="77">
        <v>58</v>
      </c>
      <c r="H304" s="77">
        <v>28</v>
      </c>
      <c r="I304" s="77">
        <v>1624</v>
      </c>
    </row>
    <row r="305" spans="1:9" ht="15" customHeight="1" x14ac:dyDescent="0.25">
      <c r="A305" s="78">
        <v>45870</v>
      </c>
      <c r="B305" t="s">
        <v>347</v>
      </c>
      <c r="C305" t="s">
        <v>348</v>
      </c>
      <c r="D305" t="s">
        <v>223</v>
      </c>
      <c r="E305" t="s">
        <v>235</v>
      </c>
      <c r="F305" t="s">
        <v>230</v>
      </c>
      <c r="G305" s="77">
        <v>114</v>
      </c>
      <c r="H305" s="77">
        <v>42</v>
      </c>
      <c r="I305" s="77">
        <v>4788</v>
      </c>
    </row>
    <row r="306" spans="1:9" ht="15" customHeight="1" x14ac:dyDescent="0.25">
      <c r="A306" s="78">
        <v>45870</v>
      </c>
      <c r="B306" t="s">
        <v>409</v>
      </c>
      <c r="C306" t="s">
        <v>410</v>
      </c>
      <c r="D306" t="s">
        <v>223</v>
      </c>
      <c r="E306" t="s">
        <v>236</v>
      </c>
      <c r="F306" t="s">
        <v>231</v>
      </c>
      <c r="G306" s="77">
        <v>76</v>
      </c>
      <c r="H306" s="77">
        <v>28</v>
      </c>
      <c r="I306" s="77">
        <v>2128</v>
      </c>
    </row>
    <row r="307" spans="1:9" ht="15" customHeight="1" x14ac:dyDescent="0.25">
      <c r="A307" s="78">
        <v>45870</v>
      </c>
      <c r="B307" t="s">
        <v>409</v>
      </c>
      <c r="C307" t="s">
        <v>410</v>
      </c>
      <c r="D307" t="s">
        <v>223</v>
      </c>
      <c r="E307" t="s">
        <v>234</v>
      </c>
      <c r="F307" t="s">
        <v>232</v>
      </c>
      <c r="G307" s="77">
        <v>44</v>
      </c>
      <c r="H307" s="77">
        <v>23</v>
      </c>
      <c r="I307" s="77">
        <v>1012</v>
      </c>
    </row>
    <row r="308" spans="1:9" ht="15" customHeight="1" x14ac:dyDescent="0.25">
      <c r="A308" s="78">
        <v>45870</v>
      </c>
      <c r="B308" t="s">
        <v>409</v>
      </c>
      <c r="C308" t="s">
        <v>410</v>
      </c>
      <c r="D308" t="s">
        <v>223</v>
      </c>
      <c r="E308" t="s">
        <v>234</v>
      </c>
      <c r="F308" t="s">
        <v>230</v>
      </c>
      <c r="G308" s="77">
        <v>105</v>
      </c>
      <c r="H308" s="77">
        <v>42</v>
      </c>
      <c r="I308" s="77">
        <v>4410</v>
      </c>
    </row>
    <row r="309" spans="1:9" ht="15" customHeight="1" x14ac:dyDescent="0.25">
      <c r="A309" s="78">
        <v>45870</v>
      </c>
      <c r="B309" t="s">
        <v>488</v>
      </c>
      <c r="C309" t="s">
        <v>489</v>
      </c>
      <c r="D309" t="s">
        <v>225</v>
      </c>
      <c r="E309" t="s">
        <v>236</v>
      </c>
      <c r="F309" t="s">
        <v>232</v>
      </c>
      <c r="G309" s="77">
        <v>39</v>
      </c>
      <c r="H309" s="77">
        <v>23</v>
      </c>
      <c r="I309" s="77">
        <v>897</v>
      </c>
    </row>
    <row r="310" spans="1:9" ht="15" customHeight="1" x14ac:dyDescent="0.25">
      <c r="A310" s="78">
        <v>45870</v>
      </c>
      <c r="B310" t="s">
        <v>488</v>
      </c>
      <c r="C310" t="s">
        <v>489</v>
      </c>
      <c r="D310" t="s">
        <v>225</v>
      </c>
      <c r="E310" t="s">
        <v>236</v>
      </c>
      <c r="F310" t="s">
        <v>230</v>
      </c>
      <c r="G310" s="77">
        <v>60</v>
      </c>
      <c r="H310" s="77">
        <v>42</v>
      </c>
      <c r="I310" s="77">
        <v>2520</v>
      </c>
    </row>
    <row r="311" spans="1:9" ht="15" customHeight="1" x14ac:dyDescent="0.25">
      <c r="A311" s="78">
        <v>45870</v>
      </c>
      <c r="B311" t="s">
        <v>406</v>
      </c>
      <c r="C311" t="s">
        <v>407</v>
      </c>
      <c r="D311" t="s">
        <v>225</v>
      </c>
      <c r="E311" t="s">
        <v>235</v>
      </c>
      <c r="F311" t="s">
        <v>231</v>
      </c>
      <c r="G311" s="77">
        <v>16</v>
      </c>
      <c r="H311" s="77">
        <v>28</v>
      </c>
      <c r="I311" s="77">
        <v>448</v>
      </c>
    </row>
    <row r="312" spans="1:9" ht="15" customHeight="1" x14ac:dyDescent="0.25">
      <c r="A312" s="78">
        <v>45870</v>
      </c>
      <c r="B312" t="s">
        <v>406</v>
      </c>
      <c r="C312" t="s">
        <v>407</v>
      </c>
      <c r="D312" t="s">
        <v>225</v>
      </c>
      <c r="E312" t="s">
        <v>235</v>
      </c>
      <c r="F312" t="s">
        <v>230</v>
      </c>
      <c r="G312" s="77">
        <v>40</v>
      </c>
      <c r="H312" s="77">
        <v>42</v>
      </c>
      <c r="I312" s="77">
        <v>1680</v>
      </c>
    </row>
    <row r="313" spans="1:9" ht="15" customHeight="1" x14ac:dyDescent="0.25">
      <c r="A313" s="78">
        <v>45870</v>
      </c>
      <c r="B313" t="s">
        <v>358</v>
      </c>
      <c r="C313" t="s">
        <v>359</v>
      </c>
      <c r="D313" t="s">
        <v>225</v>
      </c>
      <c r="E313" t="s">
        <v>235</v>
      </c>
      <c r="F313" t="s">
        <v>230</v>
      </c>
      <c r="G313" s="77">
        <v>96</v>
      </c>
      <c r="H313" s="77">
        <v>42</v>
      </c>
      <c r="I313" s="77">
        <v>4032</v>
      </c>
    </row>
    <row r="314" spans="1:9" ht="15" customHeight="1" x14ac:dyDescent="0.25">
      <c r="A314" s="78">
        <v>45870</v>
      </c>
      <c r="B314" t="s">
        <v>358</v>
      </c>
      <c r="C314" t="s">
        <v>359</v>
      </c>
      <c r="D314" t="s">
        <v>225</v>
      </c>
      <c r="E314" t="s">
        <v>236</v>
      </c>
      <c r="F314" t="s">
        <v>232</v>
      </c>
      <c r="G314" s="77">
        <v>21</v>
      </c>
      <c r="H314" s="77">
        <v>23</v>
      </c>
      <c r="I314" s="77">
        <v>483</v>
      </c>
    </row>
    <row r="315" spans="1:9" ht="15" customHeight="1" x14ac:dyDescent="0.25">
      <c r="A315" s="78">
        <v>45870</v>
      </c>
      <c r="B315" t="s">
        <v>383</v>
      </c>
      <c r="C315" t="s">
        <v>384</v>
      </c>
      <c r="D315" t="s">
        <v>225</v>
      </c>
      <c r="E315" t="s">
        <v>236</v>
      </c>
      <c r="F315" t="s">
        <v>230</v>
      </c>
      <c r="G315" s="77">
        <v>38</v>
      </c>
      <c r="H315" s="77">
        <v>42</v>
      </c>
      <c r="I315" s="77">
        <v>1596</v>
      </c>
    </row>
    <row r="316" spans="1:9" ht="15" customHeight="1" x14ac:dyDescent="0.25">
      <c r="A316" s="78">
        <v>45870</v>
      </c>
      <c r="B316" t="s">
        <v>383</v>
      </c>
      <c r="C316" t="s">
        <v>384</v>
      </c>
      <c r="D316" t="s">
        <v>225</v>
      </c>
      <c r="E316" t="s">
        <v>234</v>
      </c>
      <c r="F316" t="s">
        <v>231</v>
      </c>
      <c r="G316" s="77">
        <v>89</v>
      </c>
      <c r="H316" s="77">
        <v>28</v>
      </c>
      <c r="I316" s="77">
        <v>2492</v>
      </c>
    </row>
    <row r="317" spans="1:9" ht="15" customHeight="1" x14ac:dyDescent="0.25">
      <c r="A317" s="78">
        <v>45870</v>
      </c>
      <c r="B317" t="s">
        <v>373</v>
      </c>
      <c r="C317" t="s">
        <v>374</v>
      </c>
      <c r="D317" t="s">
        <v>225</v>
      </c>
      <c r="E317" t="s">
        <v>234</v>
      </c>
      <c r="F317" t="s">
        <v>231</v>
      </c>
      <c r="G317" s="77">
        <v>70</v>
      </c>
      <c r="H317" s="77">
        <v>28</v>
      </c>
      <c r="I317" s="77">
        <v>1960</v>
      </c>
    </row>
    <row r="318" spans="1:9" ht="15" customHeight="1" x14ac:dyDescent="0.25">
      <c r="A318" s="78">
        <v>45870</v>
      </c>
      <c r="B318" t="s">
        <v>373</v>
      </c>
      <c r="C318" t="s">
        <v>374</v>
      </c>
      <c r="D318" t="s">
        <v>225</v>
      </c>
      <c r="E318" t="s">
        <v>236</v>
      </c>
      <c r="F318" t="s">
        <v>232</v>
      </c>
      <c r="G318" s="77">
        <v>159</v>
      </c>
      <c r="H318" s="77">
        <v>23</v>
      </c>
      <c r="I318" s="77">
        <v>3657</v>
      </c>
    </row>
    <row r="319" spans="1:9" ht="15" customHeight="1" x14ac:dyDescent="0.25">
      <c r="A319" s="78">
        <v>45870</v>
      </c>
      <c r="B319" t="s">
        <v>373</v>
      </c>
      <c r="C319" t="s">
        <v>374</v>
      </c>
      <c r="D319" t="s">
        <v>225</v>
      </c>
      <c r="E319" t="s">
        <v>236</v>
      </c>
      <c r="F319" t="s">
        <v>230</v>
      </c>
      <c r="G319" s="77">
        <v>154</v>
      </c>
      <c r="H319" s="77">
        <v>42</v>
      </c>
      <c r="I319" s="77">
        <v>6468</v>
      </c>
    </row>
    <row r="320" spans="1:9" ht="15" customHeight="1" x14ac:dyDescent="0.25">
      <c r="A320" s="78">
        <v>45870</v>
      </c>
      <c r="B320" t="s">
        <v>354</v>
      </c>
      <c r="C320" t="s">
        <v>355</v>
      </c>
      <c r="D320" t="s">
        <v>227</v>
      </c>
      <c r="E320" t="s">
        <v>236</v>
      </c>
      <c r="F320" t="s">
        <v>232</v>
      </c>
      <c r="G320" s="77">
        <v>59</v>
      </c>
      <c r="H320" s="77">
        <v>23</v>
      </c>
      <c r="I320" s="77">
        <v>1357</v>
      </c>
    </row>
    <row r="321" spans="1:9" ht="15" customHeight="1" x14ac:dyDescent="0.25">
      <c r="A321" s="78">
        <v>45870</v>
      </c>
      <c r="B321" t="s">
        <v>354</v>
      </c>
      <c r="C321" t="s">
        <v>355</v>
      </c>
      <c r="D321" t="s">
        <v>227</v>
      </c>
      <c r="E321" t="s">
        <v>235</v>
      </c>
      <c r="F321" t="s">
        <v>231</v>
      </c>
      <c r="G321" s="77">
        <v>109</v>
      </c>
      <c r="H321" s="77">
        <v>28</v>
      </c>
      <c r="I321" s="77">
        <v>3052</v>
      </c>
    </row>
    <row r="322" spans="1:9" ht="15" customHeight="1" x14ac:dyDescent="0.25">
      <c r="A322" s="78">
        <v>45870</v>
      </c>
      <c r="B322" t="s">
        <v>370</v>
      </c>
      <c r="C322" t="s">
        <v>371</v>
      </c>
      <c r="D322" t="s">
        <v>227</v>
      </c>
      <c r="E322" t="s">
        <v>235</v>
      </c>
      <c r="F322" t="s">
        <v>232</v>
      </c>
      <c r="G322" s="77">
        <v>116</v>
      </c>
      <c r="H322" s="77">
        <v>23</v>
      </c>
      <c r="I322" s="77">
        <v>2668</v>
      </c>
    </row>
    <row r="323" spans="1:9" ht="15" customHeight="1" x14ac:dyDescent="0.25">
      <c r="A323" s="78">
        <v>45870</v>
      </c>
      <c r="B323" t="s">
        <v>370</v>
      </c>
      <c r="C323" t="s">
        <v>371</v>
      </c>
      <c r="D323" t="s">
        <v>227</v>
      </c>
      <c r="E323" t="s">
        <v>234</v>
      </c>
      <c r="F323" t="s">
        <v>231</v>
      </c>
      <c r="G323" s="77">
        <v>69</v>
      </c>
      <c r="H323" s="77">
        <v>28</v>
      </c>
      <c r="I323" s="77">
        <v>1932</v>
      </c>
    </row>
    <row r="324" spans="1:9" ht="15" customHeight="1" x14ac:dyDescent="0.25">
      <c r="A324" s="78">
        <v>45870</v>
      </c>
      <c r="B324" t="s">
        <v>398</v>
      </c>
      <c r="C324" t="s">
        <v>399</v>
      </c>
      <c r="D324" t="s">
        <v>227</v>
      </c>
      <c r="E324" t="s">
        <v>236</v>
      </c>
      <c r="F324" t="s">
        <v>231</v>
      </c>
      <c r="G324" s="77">
        <v>37</v>
      </c>
      <c r="H324" s="77">
        <v>28</v>
      </c>
      <c r="I324" s="77">
        <v>1036</v>
      </c>
    </row>
    <row r="325" spans="1:9" ht="15" customHeight="1" x14ac:dyDescent="0.25">
      <c r="A325" s="78">
        <v>45870</v>
      </c>
      <c r="B325" t="s">
        <v>378</v>
      </c>
      <c r="C325" t="s">
        <v>379</v>
      </c>
      <c r="D325" t="s">
        <v>227</v>
      </c>
      <c r="E325" t="s">
        <v>236</v>
      </c>
      <c r="F325" t="s">
        <v>231</v>
      </c>
      <c r="G325" s="77">
        <v>89</v>
      </c>
      <c r="H325" s="77">
        <v>28</v>
      </c>
      <c r="I325" s="77">
        <v>2492</v>
      </c>
    </row>
    <row r="326" spans="1:9" ht="15" customHeight="1" x14ac:dyDescent="0.25">
      <c r="A326" s="78">
        <v>45870</v>
      </c>
      <c r="B326" t="s">
        <v>378</v>
      </c>
      <c r="C326" t="s">
        <v>379</v>
      </c>
      <c r="D326" t="s">
        <v>227</v>
      </c>
      <c r="E326" t="s">
        <v>235</v>
      </c>
      <c r="F326" t="s">
        <v>230</v>
      </c>
      <c r="G326" s="77">
        <v>83</v>
      </c>
      <c r="H326" s="77">
        <v>42</v>
      </c>
      <c r="I326" s="77">
        <v>3486</v>
      </c>
    </row>
    <row r="327" spans="1:9" ht="15" customHeight="1" x14ac:dyDescent="0.25">
      <c r="A327" s="78">
        <v>45870</v>
      </c>
      <c r="B327" t="s">
        <v>393</v>
      </c>
      <c r="C327" t="s">
        <v>394</v>
      </c>
      <c r="D327" t="s">
        <v>227</v>
      </c>
      <c r="E327" t="s">
        <v>236</v>
      </c>
      <c r="F327" t="s">
        <v>230</v>
      </c>
      <c r="G327" s="77">
        <v>74</v>
      </c>
      <c r="H327" s="77">
        <v>42</v>
      </c>
      <c r="I327" s="77">
        <v>3108</v>
      </c>
    </row>
    <row r="328" spans="1:9" ht="15" customHeight="1" x14ac:dyDescent="0.25">
      <c r="A328" s="78">
        <v>45901</v>
      </c>
      <c r="B328" t="s">
        <v>390</v>
      </c>
      <c r="C328" t="s">
        <v>391</v>
      </c>
      <c r="D328" t="s">
        <v>221</v>
      </c>
      <c r="E328" t="s">
        <v>235</v>
      </c>
      <c r="F328" t="s">
        <v>232</v>
      </c>
      <c r="G328" s="77">
        <v>105</v>
      </c>
      <c r="H328" s="77">
        <v>23</v>
      </c>
      <c r="I328" s="77">
        <v>2415</v>
      </c>
    </row>
    <row r="329" spans="1:9" ht="15" customHeight="1" x14ac:dyDescent="0.25">
      <c r="A329" s="78">
        <v>45901</v>
      </c>
      <c r="B329" t="s">
        <v>390</v>
      </c>
      <c r="C329" t="s">
        <v>391</v>
      </c>
      <c r="D329" t="s">
        <v>221</v>
      </c>
      <c r="E329" t="s">
        <v>235</v>
      </c>
      <c r="F329" t="s">
        <v>231</v>
      </c>
      <c r="G329" s="77">
        <v>63</v>
      </c>
      <c r="H329" s="77">
        <v>28</v>
      </c>
      <c r="I329" s="77">
        <v>1764</v>
      </c>
    </row>
    <row r="330" spans="1:9" ht="15" customHeight="1" x14ac:dyDescent="0.25">
      <c r="A330" s="78">
        <v>45901</v>
      </c>
      <c r="B330" t="s">
        <v>401</v>
      </c>
      <c r="C330" t="s">
        <v>402</v>
      </c>
      <c r="D330" t="s">
        <v>221</v>
      </c>
      <c r="E330" t="s">
        <v>235</v>
      </c>
      <c r="F330" t="s">
        <v>231</v>
      </c>
      <c r="G330" s="77">
        <v>49</v>
      </c>
      <c r="H330" s="77">
        <v>28</v>
      </c>
      <c r="I330" s="77">
        <v>1372</v>
      </c>
    </row>
    <row r="331" spans="1:9" ht="15" customHeight="1" x14ac:dyDescent="0.25">
      <c r="A331" s="78">
        <v>45901</v>
      </c>
      <c r="B331" t="s">
        <v>431</v>
      </c>
      <c r="C331" t="s">
        <v>432</v>
      </c>
      <c r="D331" t="s">
        <v>221</v>
      </c>
      <c r="E331" t="s">
        <v>234</v>
      </c>
      <c r="F331" t="s">
        <v>230</v>
      </c>
      <c r="G331" s="77">
        <v>93</v>
      </c>
      <c r="H331" s="77">
        <v>42</v>
      </c>
      <c r="I331" s="77">
        <v>3906</v>
      </c>
    </row>
    <row r="332" spans="1:9" ht="15" customHeight="1" x14ac:dyDescent="0.25">
      <c r="A332" s="78">
        <v>45901</v>
      </c>
      <c r="B332" t="s">
        <v>366</v>
      </c>
      <c r="C332" t="s">
        <v>367</v>
      </c>
      <c r="D332" t="s">
        <v>221</v>
      </c>
      <c r="E332" t="s">
        <v>235</v>
      </c>
      <c r="F332" t="s">
        <v>231</v>
      </c>
      <c r="G332" s="77">
        <v>103</v>
      </c>
      <c r="H332" s="77">
        <v>28</v>
      </c>
      <c r="I332" s="77">
        <v>2884</v>
      </c>
    </row>
    <row r="333" spans="1:9" ht="15" customHeight="1" x14ac:dyDescent="0.25">
      <c r="A333" s="78">
        <v>45901</v>
      </c>
      <c r="B333" t="s">
        <v>366</v>
      </c>
      <c r="C333" t="s">
        <v>367</v>
      </c>
      <c r="D333" t="s">
        <v>221</v>
      </c>
      <c r="E333" t="s">
        <v>235</v>
      </c>
      <c r="F333" t="s">
        <v>232</v>
      </c>
      <c r="G333" s="77">
        <v>48</v>
      </c>
      <c r="H333" s="77">
        <v>23</v>
      </c>
      <c r="I333" s="77">
        <v>1104</v>
      </c>
    </row>
    <row r="334" spans="1:9" ht="15" customHeight="1" x14ac:dyDescent="0.25">
      <c r="A334" s="78">
        <v>45901</v>
      </c>
      <c r="B334" t="s">
        <v>366</v>
      </c>
      <c r="C334" t="s">
        <v>367</v>
      </c>
      <c r="D334" t="s">
        <v>221</v>
      </c>
      <c r="E334" t="s">
        <v>235</v>
      </c>
      <c r="F334" t="s">
        <v>230</v>
      </c>
      <c r="G334" s="77">
        <v>122</v>
      </c>
      <c r="H334" s="77">
        <v>42</v>
      </c>
      <c r="I334" s="77">
        <v>5124</v>
      </c>
    </row>
    <row r="335" spans="1:9" ht="15" customHeight="1" x14ac:dyDescent="0.25">
      <c r="A335" s="78">
        <v>45901</v>
      </c>
      <c r="B335" t="s">
        <v>362</v>
      </c>
      <c r="C335" t="s">
        <v>363</v>
      </c>
      <c r="D335" t="s">
        <v>221</v>
      </c>
      <c r="E335" t="s">
        <v>236</v>
      </c>
      <c r="F335" t="s">
        <v>231</v>
      </c>
      <c r="G335" s="77">
        <v>28</v>
      </c>
      <c r="H335" s="77">
        <v>28</v>
      </c>
      <c r="I335" s="77">
        <v>784</v>
      </c>
    </row>
    <row r="336" spans="1:9" ht="15" customHeight="1" x14ac:dyDescent="0.25">
      <c r="A336" s="78">
        <v>45901</v>
      </c>
      <c r="B336" t="s">
        <v>362</v>
      </c>
      <c r="C336" t="s">
        <v>363</v>
      </c>
      <c r="D336" t="s">
        <v>221</v>
      </c>
      <c r="E336" t="s">
        <v>236</v>
      </c>
      <c r="F336" t="s">
        <v>230</v>
      </c>
      <c r="G336" s="77">
        <v>69</v>
      </c>
      <c r="H336" s="77">
        <v>42</v>
      </c>
      <c r="I336" s="77">
        <v>2898</v>
      </c>
    </row>
    <row r="337" spans="1:9" ht="15" customHeight="1" x14ac:dyDescent="0.25">
      <c r="A337" s="78">
        <v>45901</v>
      </c>
      <c r="B337" t="s">
        <v>335</v>
      </c>
      <c r="C337" t="s">
        <v>336</v>
      </c>
      <c r="D337" t="s">
        <v>223</v>
      </c>
      <c r="E337" t="s">
        <v>234</v>
      </c>
      <c r="F337" t="s">
        <v>231</v>
      </c>
      <c r="G337" s="77">
        <v>80</v>
      </c>
      <c r="H337" s="77">
        <v>28</v>
      </c>
      <c r="I337" s="77">
        <v>2240</v>
      </c>
    </row>
    <row r="338" spans="1:9" ht="15" customHeight="1" x14ac:dyDescent="0.25">
      <c r="A338" s="78">
        <v>45901</v>
      </c>
      <c r="B338" t="s">
        <v>335</v>
      </c>
      <c r="C338" t="s">
        <v>336</v>
      </c>
      <c r="D338" t="s">
        <v>223</v>
      </c>
      <c r="E338" t="s">
        <v>236</v>
      </c>
      <c r="F338" t="s">
        <v>230</v>
      </c>
      <c r="G338" s="77">
        <v>67</v>
      </c>
      <c r="H338" s="77">
        <v>42</v>
      </c>
      <c r="I338" s="77">
        <v>2814</v>
      </c>
    </row>
    <row r="339" spans="1:9" ht="15" customHeight="1" x14ac:dyDescent="0.25">
      <c r="A339" s="78">
        <v>45901</v>
      </c>
      <c r="B339" t="s">
        <v>386</v>
      </c>
      <c r="C339" t="s">
        <v>387</v>
      </c>
      <c r="D339" t="s">
        <v>223</v>
      </c>
      <c r="E339" t="s">
        <v>236</v>
      </c>
      <c r="F339" t="s">
        <v>231</v>
      </c>
      <c r="G339" s="77">
        <v>70</v>
      </c>
      <c r="H339" s="77">
        <v>28</v>
      </c>
      <c r="I339" s="77">
        <v>1960</v>
      </c>
    </row>
    <row r="340" spans="1:9" ht="15" customHeight="1" x14ac:dyDescent="0.25">
      <c r="A340" s="78">
        <v>45901</v>
      </c>
      <c r="B340" t="s">
        <v>341</v>
      </c>
      <c r="C340" t="s">
        <v>342</v>
      </c>
      <c r="D340" t="s">
        <v>223</v>
      </c>
      <c r="E340" t="s">
        <v>235</v>
      </c>
      <c r="F340" t="s">
        <v>231</v>
      </c>
      <c r="G340" s="77">
        <v>155</v>
      </c>
      <c r="H340" s="77">
        <v>28</v>
      </c>
      <c r="I340" s="77">
        <v>4340</v>
      </c>
    </row>
    <row r="341" spans="1:9" ht="15" customHeight="1" x14ac:dyDescent="0.25">
      <c r="A341" s="78">
        <v>45901</v>
      </c>
      <c r="B341" t="s">
        <v>341</v>
      </c>
      <c r="C341" t="s">
        <v>342</v>
      </c>
      <c r="D341" t="s">
        <v>223</v>
      </c>
      <c r="E341" t="s">
        <v>235</v>
      </c>
      <c r="F341" t="s">
        <v>230</v>
      </c>
      <c r="G341" s="77">
        <v>60</v>
      </c>
      <c r="H341" s="77">
        <v>42</v>
      </c>
      <c r="I341" s="77">
        <v>2520</v>
      </c>
    </row>
    <row r="342" spans="1:9" ht="15" customHeight="1" x14ac:dyDescent="0.25">
      <c r="A342" s="78">
        <v>45901</v>
      </c>
      <c r="B342" t="s">
        <v>341</v>
      </c>
      <c r="C342" t="s">
        <v>342</v>
      </c>
      <c r="D342" t="s">
        <v>223</v>
      </c>
      <c r="E342" t="s">
        <v>236</v>
      </c>
      <c r="F342" t="s">
        <v>232</v>
      </c>
      <c r="G342" s="77">
        <v>175</v>
      </c>
      <c r="H342" s="77">
        <v>23</v>
      </c>
      <c r="I342" s="77">
        <v>4025</v>
      </c>
    </row>
    <row r="343" spans="1:9" ht="15" customHeight="1" x14ac:dyDescent="0.25">
      <c r="A343" s="78">
        <v>45901</v>
      </c>
      <c r="B343" t="s">
        <v>347</v>
      </c>
      <c r="C343" t="s">
        <v>348</v>
      </c>
      <c r="D343" t="s">
        <v>223</v>
      </c>
      <c r="E343" t="s">
        <v>235</v>
      </c>
      <c r="F343" t="s">
        <v>230</v>
      </c>
      <c r="G343" s="77">
        <v>105</v>
      </c>
      <c r="H343" s="77">
        <v>42</v>
      </c>
      <c r="I343" s="77">
        <v>4410</v>
      </c>
    </row>
    <row r="344" spans="1:9" ht="15" customHeight="1" x14ac:dyDescent="0.25">
      <c r="A344" s="78">
        <v>45901</v>
      </c>
      <c r="B344" t="s">
        <v>347</v>
      </c>
      <c r="C344" t="s">
        <v>348</v>
      </c>
      <c r="D344" t="s">
        <v>223</v>
      </c>
      <c r="E344" t="s">
        <v>235</v>
      </c>
      <c r="F344" t="s">
        <v>232</v>
      </c>
      <c r="G344" s="77">
        <v>93</v>
      </c>
      <c r="H344" s="77">
        <v>23</v>
      </c>
      <c r="I344" s="77">
        <v>2139</v>
      </c>
    </row>
    <row r="345" spans="1:9" ht="15" customHeight="1" x14ac:dyDescent="0.25">
      <c r="A345" s="78">
        <v>45901</v>
      </c>
      <c r="B345" t="s">
        <v>347</v>
      </c>
      <c r="C345" t="s">
        <v>348</v>
      </c>
      <c r="D345" t="s">
        <v>223</v>
      </c>
      <c r="E345" t="s">
        <v>234</v>
      </c>
      <c r="F345" t="s">
        <v>231</v>
      </c>
      <c r="G345" s="77">
        <v>106</v>
      </c>
      <c r="H345" s="77">
        <v>28</v>
      </c>
      <c r="I345" s="77">
        <v>2968</v>
      </c>
    </row>
    <row r="346" spans="1:9" ht="15" customHeight="1" x14ac:dyDescent="0.25">
      <c r="A346" s="78">
        <v>45901</v>
      </c>
      <c r="B346" t="s">
        <v>409</v>
      </c>
      <c r="C346" t="s">
        <v>410</v>
      </c>
      <c r="D346" t="s">
        <v>223</v>
      </c>
      <c r="E346" t="s">
        <v>236</v>
      </c>
      <c r="F346" t="s">
        <v>232</v>
      </c>
      <c r="G346" s="77">
        <v>178</v>
      </c>
      <c r="H346" s="77">
        <v>23</v>
      </c>
      <c r="I346" s="77">
        <v>4094</v>
      </c>
    </row>
    <row r="347" spans="1:9" ht="15" customHeight="1" x14ac:dyDescent="0.25">
      <c r="A347" s="78">
        <v>45901</v>
      </c>
      <c r="B347" t="s">
        <v>409</v>
      </c>
      <c r="C347" t="s">
        <v>410</v>
      </c>
      <c r="D347" t="s">
        <v>223</v>
      </c>
      <c r="E347" t="s">
        <v>235</v>
      </c>
      <c r="F347" t="s">
        <v>230</v>
      </c>
      <c r="G347" s="77">
        <v>55</v>
      </c>
      <c r="H347" s="77">
        <v>42</v>
      </c>
      <c r="I347" s="77">
        <v>2310</v>
      </c>
    </row>
    <row r="348" spans="1:9" ht="15" customHeight="1" x14ac:dyDescent="0.25">
      <c r="A348" s="78">
        <v>45901</v>
      </c>
      <c r="B348" t="s">
        <v>488</v>
      </c>
      <c r="C348" t="s">
        <v>489</v>
      </c>
      <c r="D348" t="s">
        <v>225</v>
      </c>
      <c r="E348" t="s">
        <v>234</v>
      </c>
      <c r="F348" t="s">
        <v>231</v>
      </c>
      <c r="G348" s="77">
        <v>50</v>
      </c>
      <c r="H348" s="77">
        <v>28</v>
      </c>
      <c r="I348" s="77">
        <v>1400</v>
      </c>
    </row>
    <row r="349" spans="1:9" ht="15" customHeight="1" x14ac:dyDescent="0.25">
      <c r="A349" s="78">
        <v>45901</v>
      </c>
      <c r="B349" t="s">
        <v>488</v>
      </c>
      <c r="C349" t="s">
        <v>489</v>
      </c>
      <c r="D349" t="s">
        <v>225</v>
      </c>
      <c r="E349" t="s">
        <v>235</v>
      </c>
      <c r="F349" t="s">
        <v>230</v>
      </c>
      <c r="G349" s="77">
        <v>63</v>
      </c>
      <c r="H349" s="77">
        <v>42</v>
      </c>
      <c r="I349" s="77">
        <v>2646</v>
      </c>
    </row>
    <row r="350" spans="1:9" ht="15" customHeight="1" x14ac:dyDescent="0.25">
      <c r="A350" s="78">
        <v>45901</v>
      </c>
      <c r="B350" t="s">
        <v>488</v>
      </c>
      <c r="C350" t="s">
        <v>489</v>
      </c>
      <c r="D350" t="s">
        <v>225</v>
      </c>
      <c r="E350" t="s">
        <v>234</v>
      </c>
      <c r="F350" t="s">
        <v>232</v>
      </c>
      <c r="G350" s="77">
        <v>91</v>
      </c>
      <c r="H350" s="77">
        <v>23</v>
      </c>
      <c r="I350" s="77">
        <v>2093</v>
      </c>
    </row>
    <row r="351" spans="1:9" ht="15" customHeight="1" x14ac:dyDescent="0.25">
      <c r="A351" s="78">
        <v>45901</v>
      </c>
      <c r="B351" t="s">
        <v>406</v>
      </c>
      <c r="C351" t="s">
        <v>407</v>
      </c>
      <c r="D351" t="s">
        <v>225</v>
      </c>
      <c r="E351" t="s">
        <v>236</v>
      </c>
      <c r="F351" t="s">
        <v>232</v>
      </c>
      <c r="G351" s="77">
        <v>29</v>
      </c>
      <c r="H351" s="77">
        <v>23</v>
      </c>
      <c r="I351" s="77">
        <v>667</v>
      </c>
    </row>
    <row r="352" spans="1:9" ht="15" customHeight="1" x14ac:dyDescent="0.25">
      <c r="A352" s="78">
        <v>45901</v>
      </c>
      <c r="B352" t="s">
        <v>358</v>
      </c>
      <c r="C352" t="s">
        <v>359</v>
      </c>
      <c r="D352" t="s">
        <v>225</v>
      </c>
      <c r="E352" t="s">
        <v>236</v>
      </c>
      <c r="F352" t="s">
        <v>232</v>
      </c>
      <c r="G352" s="77">
        <v>90</v>
      </c>
      <c r="H352" s="77">
        <v>23</v>
      </c>
      <c r="I352" s="77">
        <v>2070</v>
      </c>
    </row>
    <row r="353" spans="1:9" ht="15" customHeight="1" x14ac:dyDescent="0.25">
      <c r="A353" s="78">
        <v>45901</v>
      </c>
      <c r="B353" t="s">
        <v>358</v>
      </c>
      <c r="C353" t="s">
        <v>359</v>
      </c>
      <c r="D353" t="s">
        <v>225</v>
      </c>
      <c r="E353" t="s">
        <v>236</v>
      </c>
      <c r="F353" t="s">
        <v>231</v>
      </c>
      <c r="G353" s="77">
        <v>149</v>
      </c>
      <c r="H353" s="77">
        <v>28</v>
      </c>
      <c r="I353" s="77">
        <v>4172</v>
      </c>
    </row>
    <row r="354" spans="1:9" ht="15" customHeight="1" x14ac:dyDescent="0.25">
      <c r="A354" s="78">
        <v>45901</v>
      </c>
      <c r="B354" t="s">
        <v>358</v>
      </c>
      <c r="C354" t="s">
        <v>359</v>
      </c>
      <c r="D354" t="s">
        <v>225</v>
      </c>
      <c r="E354" t="s">
        <v>235</v>
      </c>
      <c r="F354" t="s">
        <v>230</v>
      </c>
      <c r="G354" s="77">
        <v>95</v>
      </c>
      <c r="H354" s="77">
        <v>42</v>
      </c>
      <c r="I354" s="77">
        <v>3990</v>
      </c>
    </row>
    <row r="355" spans="1:9" ht="15" customHeight="1" x14ac:dyDescent="0.25">
      <c r="A355" s="78">
        <v>45901</v>
      </c>
      <c r="B355" t="s">
        <v>383</v>
      </c>
      <c r="C355" t="s">
        <v>384</v>
      </c>
      <c r="D355" t="s">
        <v>225</v>
      </c>
      <c r="E355" t="s">
        <v>235</v>
      </c>
      <c r="F355" t="s">
        <v>231</v>
      </c>
      <c r="G355" s="77">
        <v>79</v>
      </c>
      <c r="H355" s="77">
        <v>28</v>
      </c>
      <c r="I355" s="77">
        <v>2212</v>
      </c>
    </row>
    <row r="356" spans="1:9" ht="15" customHeight="1" x14ac:dyDescent="0.25">
      <c r="A356" s="78">
        <v>45901</v>
      </c>
      <c r="B356" t="s">
        <v>383</v>
      </c>
      <c r="C356" t="s">
        <v>384</v>
      </c>
      <c r="D356" t="s">
        <v>225</v>
      </c>
      <c r="E356" t="s">
        <v>234</v>
      </c>
      <c r="F356" t="s">
        <v>230</v>
      </c>
      <c r="G356" s="77">
        <v>68</v>
      </c>
      <c r="H356" s="77">
        <v>42</v>
      </c>
      <c r="I356" s="77">
        <v>2856</v>
      </c>
    </row>
    <row r="357" spans="1:9" ht="15" customHeight="1" x14ac:dyDescent="0.25">
      <c r="A357" s="78">
        <v>45901</v>
      </c>
      <c r="B357" t="s">
        <v>383</v>
      </c>
      <c r="C357" t="s">
        <v>384</v>
      </c>
      <c r="D357" t="s">
        <v>225</v>
      </c>
      <c r="E357" t="s">
        <v>235</v>
      </c>
      <c r="F357" t="s">
        <v>232</v>
      </c>
      <c r="G357" s="77">
        <v>121</v>
      </c>
      <c r="H357" s="77">
        <v>23</v>
      </c>
      <c r="I357" s="77">
        <v>2783</v>
      </c>
    </row>
    <row r="358" spans="1:9" ht="15" customHeight="1" x14ac:dyDescent="0.25">
      <c r="A358" s="78">
        <v>45901</v>
      </c>
      <c r="B358" t="s">
        <v>373</v>
      </c>
      <c r="C358" t="s">
        <v>374</v>
      </c>
      <c r="D358" t="s">
        <v>225</v>
      </c>
      <c r="E358" t="s">
        <v>235</v>
      </c>
      <c r="F358" t="s">
        <v>230</v>
      </c>
      <c r="G358" s="77">
        <v>61</v>
      </c>
      <c r="H358" s="77">
        <v>42</v>
      </c>
      <c r="I358" s="77">
        <v>2562</v>
      </c>
    </row>
    <row r="359" spans="1:9" ht="15" customHeight="1" x14ac:dyDescent="0.25">
      <c r="A359" s="78">
        <v>45901</v>
      </c>
      <c r="B359" t="s">
        <v>373</v>
      </c>
      <c r="C359" t="s">
        <v>374</v>
      </c>
      <c r="D359" t="s">
        <v>225</v>
      </c>
      <c r="E359" t="s">
        <v>236</v>
      </c>
      <c r="F359" t="s">
        <v>232</v>
      </c>
      <c r="G359" s="77">
        <v>154</v>
      </c>
      <c r="H359" s="77">
        <v>23</v>
      </c>
      <c r="I359" s="77">
        <v>3542</v>
      </c>
    </row>
    <row r="360" spans="1:9" ht="15" customHeight="1" x14ac:dyDescent="0.25">
      <c r="A360" s="78">
        <v>45901</v>
      </c>
      <c r="B360" t="s">
        <v>354</v>
      </c>
      <c r="C360" t="s">
        <v>355</v>
      </c>
      <c r="D360" t="s">
        <v>227</v>
      </c>
      <c r="E360" t="s">
        <v>236</v>
      </c>
      <c r="F360" t="s">
        <v>232</v>
      </c>
      <c r="G360" s="77">
        <v>157</v>
      </c>
      <c r="H360" s="77">
        <v>23</v>
      </c>
      <c r="I360" s="77">
        <v>3611</v>
      </c>
    </row>
    <row r="361" spans="1:9" ht="15" customHeight="1" x14ac:dyDescent="0.25">
      <c r="A361" s="78">
        <v>45901</v>
      </c>
      <c r="B361" t="s">
        <v>370</v>
      </c>
      <c r="C361" t="s">
        <v>371</v>
      </c>
      <c r="D361" t="s">
        <v>227</v>
      </c>
      <c r="E361" t="s">
        <v>235</v>
      </c>
      <c r="F361" t="s">
        <v>230</v>
      </c>
      <c r="G361" s="77">
        <v>98</v>
      </c>
      <c r="H361" s="77">
        <v>42</v>
      </c>
      <c r="I361" s="77">
        <v>4116</v>
      </c>
    </row>
    <row r="362" spans="1:9" ht="15" customHeight="1" x14ac:dyDescent="0.25">
      <c r="A362" s="78">
        <v>45901</v>
      </c>
      <c r="B362" t="s">
        <v>370</v>
      </c>
      <c r="C362" t="s">
        <v>371</v>
      </c>
      <c r="D362" t="s">
        <v>227</v>
      </c>
      <c r="E362" t="s">
        <v>236</v>
      </c>
      <c r="F362" t="s">
        <v>232</v>
      </c>
      <c r="G362" s="77">
        <v>89</v>
      </c>
      <c r="H362" s="77">
        <v>23</v>
      </c>
      <c r="I362" s="77">
        <v>2047</v>
      </c>
    </row>
    <row r="363" spans="1:9" ht="15" customHeight="1" x14ac:dyDescent="0.25">
      <c r="A363" s="78">
        <v>45901</v>
      </c>
      <c r="B363" t="s">
        <v>398</v>
      </c>
      <c r="C363" t="s">
        <v>399</v>
      </c>
      <c r="D363" t="s">
        <v>227</v>
      </c>
      <c r="E363" t="s">
        <v>235</v>
      </c>
      <c r="F363" t="s">
        <v>230</v>
      </c>
      <c r="G363" s="77">
        <v>126</v>
      </c>
      <c r="H363" s="77">
        <v>42</v>
      </c>
      <c r="I363" s="77">
        <v>5292</v>
      </c>
    </row>
    <row r="364" spans="1:9" ht="15" customHeight="1" x14ac:dyDescent="0.25">
      <c r="A364" s="78">
        <v>45901</v>
      </c>
      <c r="B364" t="s">
        <v>398</v>
      </c>
      <c r="C364" t="s">
        <v>399</v>
      </c>
      <c r="D364" t="s">
        <v>227</v>
      </c>
      <c r="E364" t="s">
        <v>234</v>
      </c>
      <c r="F364" t="s">
        <v>232</v>
      </c>
      <c r="G364" s="77">
        <v>128</v>
      </c>
      <c r="H364" s="77">
        <v>23</v>
      </c>
      <c r="I364" s="77">
        <v>2944</v>
      </c>
    </row>
    <row r="365" spans="1:9" ht="15" customHeight="1" x14ac:dyDescent="0.25">
      <c r="A365" s="78">
        <v>45901</v>
      </c>
      <c r="B365" t="s">
        <v>398</v>
      </c>
      <c r="C365" t="s">
        <v>399</v>
      </c>
      <c r="D365" t="s">
        <v>227</v>
      </c>
      <c r="E365" t="s">
        <v>235</v>
      </c>
      <c r="F365" t="s">
        <v>231</v>
      </c>
      <c r="G365" s="77">
        <v>61</v>
      </c>
      <c r="H365" s="77">
        <v>28</v>
      </c>
      <c r="I365" s="77">
        <v>1708</v>
      </c>
    </row>
    <row r="366" spans="1:9" ht="15" customHeight="1" x14ac:dyDescent="0.25">
      <c r="A366" s="78">
        <v>45901</v>
      </c>
      <c r="B366" t="s">
        <v>378</v>
      </c>
      <c r="C366" t="s">
        <v>379</v>
      </c>
      <c r="D366" t="s">
        <v>227</v>
      </c>
      <c r="E366" t="s">
        <v>235</v>
      </c>
      <c r="F366" t="s">
        <v>232</v>
      </c>
      <c r="G366" s="77">
        <v>71</v>
      </c>
      <c r="H366" s="77">
        <v>23</v>
      </c>
      <c r="I366" s="77">
        <v>1633</v>
      </c>
    </row>
    <row r="367" spans="1:9" ht="15" customHeight="1" x14ac:dyDescent="0.25">
      <c r="A367" s="78">
        <v>45901</v>
      </c>
      <c r="B367" t="s">
        <v>378</v>
      </c>
      <c r="C367" t="s">
        <v>379</v>
      </c>
      <c r="D367" t="s">
        <v>227</v>
      </c>
      <c r="E367" t="s">
        <v>235</v>
      </c>
      <c r="F367" t="s">
        <v>231</v>
      </c>
      <c r="G367" s="77">
        <v>43</v>
      </c>
      <c r="H367" s="77">
        <v>28</v>
      </c>
      <c r="I367" s="77">
        <v>1204</v>
      </c>
    </row>
    <row r="368" spans="1:9" ht="15" customHeight="1" x14ac:dyDescent="0.25">
      <c r="A368" s="78">
        <v>45901</v>
      </c>
      <c r="B368" t="s">
        <v>378</v>
      </c>
      <c r="C368" t="s">
        <v>379</v>
      </c>
      <c r="D368" t="s">
        <v>227</v>
      </c>
      <c r="E368" t="s">
        <v>235</v>
      </c>
      <c r="F368" t="s">
        <v>230</v>
      </c>
      <c r="G368" s="77">
        <v>104</v>
      </c>
      <c r="H368" s="77">
        <v>42</v>
      </c>
      <c r="I368" s="77">
        <v>4368</v>
      </c>
    </row>
    <row r="369" spans="1:9" ht="15" customHeight="1" x14ac:dyDescent="0.25">
      <c r="A369" s="78">
        <v>45901</v>
      </c>
      <c r="B369" t="s">
        <v>393</v>
      </c>
      <c r="C369" t="s">
        <v>394</v>
      </c>
      <c r="D369" t="s">
        <v>227</v>
      </c>
      <c r="E369" t="s">
        <v>234</v>
      </c>
      <c r="F369" t="s">
        <v>231</v>
      </c>
      <c r="G369" s="77">
        <v>113</v>
      </c>
      <c r="H369" s="77">
        <v>28</v>
      </c>
      <c r="I369" s="77">
        <v>3164</v>
      </c>
    </row>
    <row r="370" spans="1:9" ht="15" customHeight="1" x14ac:dyDescent="0.25">
      <c r="A370" s="78">
        <v>45901</v>
      </c>
      <c r="B370" t="s">
        <v>393</v>
      </c>
      <c r="C370" t="s">
        <v>394</v>
      </c>
      <c r="D370" t="s">
        <v>227</v>
      </c>
      <c r="E370" t="s">
        <v>236</v>
      </c>
      <c r="F370" t="s">
        <v>230</v>
      </c>
      <c r="G370" s="77">
        <v>42</v>
      </c>
      <c r="H370" s="77">
        <v>42</v>
      </c>
      <c r="I370" s="77">
        <v>1764</v>
      </c>
    </row>
    <row r="371" spans="1:9" ht="15" customHeight="1" x14ac:dyDescent="0.25">
      <c r="A371" s="78">
        <v>45901</v>
      </c>
      <c r="B371" t="s">
        <v>393</v>
      </c>
      <c r="C371" t="s">
        <v>394</v>
      </c>
      <c r="D371" t="s">
        <v>227</v>
      </c>
      <c r="E371" t="s">
        <v>235</v>
      </c>
      <c r="F371" t="s">
        <v>232</v>
      </c>
      <c r="G371" s="77">
        <v>74</v>
      </c>
      <c r="H371" s="77">
        <v>23</v>
      </c>
      <c r="I371" s="77">
        <v>1702</v>
      </c>
    </row>
    <row r="372" spans="1:9" ht="15" customHeight="1" x14ac:dyDescent="0.25">
      <c r="A372" s="78">
        <v>45931</v>
      </c>
      <c r="B372" t="s">
        <v>390</v>
      </c>
      <c r="C372" t="s">
        <v>391</v>
      </c>
      <c r="D372" t="s">
        <v>221</v>
      </c>
      <c r="E372" t="s">
        <v>236</v>
      </c>
      <c r="F372" t="s">
        <v>232</v>
      </c>
      <c r="G372" s="77">
        <v>42</v>
      </c>
      <c r="H372" s="77">
        <v>23</v>
      </c>
      <c r="I372" s="77">
        <v>966</v>
      </c>
    </row>
    <row r="373" spans="1:9" ht="15" customHeight="1" x14ac:dyDescent="0.25">
      <c r="A373" s="78">
        <v>45931</v>
      </c>
      <c r="B373" t="s">
        <v>401</v>
      </c>
      <c r="C373" t="s">
        <v>402</v>
      </c>
      <c r="D373" t="s">
        <v>221</v>
      </c>
      <c r="E373" t="s">
        <v>235</v>
      </c>
      <c r="F373" t="s">
        <v>231</v>
      </c>
      <c r="G373" s="77">
        <v>58</v>
      </c>
      <c r="H373" s="77">
        <v>28</v>
      </c>
      <c r="I373" s="77">
        <v>1624</v>
      </c>
    </row>
    <row r="374" spans="1:9" ht="15" customHeight="1" x14ac:dyDescent="0.25">
      <c r="A374" s="78">
        <v>45931</v>
      </c>
      <c r="B374" t="s">
        <v>401</v>
      </c>
      <c r="C374" t="s">
        <v>402</v>
      </c>
      <c r="D374" t="s">
        <v>221</v>
      </c>
      <c r="E374" t="s">
        <v>234</v>
      </c>
      <c r="F374" t="s">
        <v>232</v>
      </c>
      <c r="G374" s="77">
        <v>109</v>
      </c>
      <c r="H374" s="77">
        <v>23</v>
      </c>
      <c r="I374" s="77">
        <v>2507</v>
      </c>
    </row>
    <row r="375" spans="1:9" ht="15" customHeight="1" x14ac:dyDescent="0.25">
      <c r="A375" s="78">
        <v>45931</v>
      </c>
      <c r="B375" t="s">
        <v>401</v>
      </c>
      <c r="C375" t="s">
        <v>402</v>
      </c>
      <c r="D375" t="s">
        <v>221</v>
      </c>
      <c r="E375" t="s">
        <v>234</v>
      </c>
      <c r="F375" t="s">
        <v>230</v>
      </c>
      <c r="G375" s="77">
        <v>64</v>
      </c>
      <c r="H375" s="77">
        <v>42</v>
      </c>
      <c r="I375" s="77">
        <v>2688</v>
      </c>
    </row>
    <row r="376" spans="1:9" ht="15" customHeight="1" x14ac:dyDescent="0.25">
      <c r="A376" s="78">
        <v>45931</v>
      </c>
      <c r="B376" t="s">
        <v>431</v>
      </c>
      <c r="C376" t="s">
        <v>432</v>
      </c>
      <c r="D376" t="s">
        <v>221</v>
      </c>
      <c r="E376" t="s">
        <v>235</v>
      </c>
      <c r="F376" t="s">
        <v>232</v>
      </c>
      <c r="G376" s="77">
        <v>79</v>
      </c>
      <c r="H376" s="77">
        <v>23</v>
      </c>
      <c r="I376" s="77">
        <v>1817</v>
      </c>
    </row>
    <row r="377" spans="1:9" ht="15" customHeight="1" x14ac:dyDescent="0.25">
      <c r="A377" s="78">
        <v>45931</v>
      </c>
      <c r="B377" t="s">
        <v>366</v>
      </c>
      <c r="C377" t="s">
        <v>367</v>
      </c>
      <c r="D377" t="s">
        <v>221</v>
      </c>
      <c r="E377" t="s">
        <v>236</v>
      </c>
      <c r="F377" t="s">
        <v>232</v>
      </c>
      <c r="G377" s="77">
        <v>33</v>
      </c>
      <c r="H377" s="77">
        <v>23</v>
      </c>
      <c r="I377" s="77">
        <v>759</v>
      </c>
    </row>
    <row r="378" spans="1:9" ht="15" customHeight="1" x14ac:dyDescent="0.25">
      <c r="A378" s="78">
        <v>45931</v>
      </c>
      <c r="B378" t="s">
        <v>362</v>
      </c>
      <c r="C378" t="s">
        <v>363</v>
      </c>
      <c r="D378" t="s">
        <v>221</v>
      </c>
      <c r="E378" t="s">
        <v>236</v>
      </c>
      <c r="F378" t="s">
        <v>232</v>
      </c>
      <c r="G378" s="77">
        <v>96</v>
      </c>
      <c r="H378" s="77">
        <v>23</v>
      </c>
      <c r="I378" s="77">
        <v>2208</v>
      </c>
    </row>
    <row r="379" spans="1:9" ht="15" customHeight="1" x14ac:dyDescent="0.25">
      <c r="A379" s="78">
        <v>45931</v>
      </c>
      <c r="B379" t="s">
        <v>362</v>
      </c>
      <c r="C379" t="s">
        <v>363</v>
      </c>
      <c r="D379" t="s">
        <v>221</v>
      </c>
      <c r="E379" t="s">
        <v>234</v>
      </c>
      <c r="F379" t="s">
        <v>230</v>
      </c>
      <c r="G379" s="77">
        <v>88</v>
      </c>
      <c r="H379" s="77">
        <v>42</v>
      </c>
      <c r="I379" s="77">
        <v>3696</v>
      </c>
    </row>
    <row r="380" spans="1:9" ht="15" customHeight="1" x14ac:dyDescent="0.25">
      <c r="A380" s="78">
        <v>45931</v>
      </c>
      <c r="B380" t="s">
        <v>362</v>
      </c>
      <c r="C380" t="s">
        <v>363</v>
      </c>
      <c r="D380" t="s">
        <v>221</v>
      </c>
      <c r="E380" t="s">
        <v>236</v>
      </c>
      <c r="F380" t="s">
        <v>231</v>
      </c>
      <c r="G380" s="77">
        <v>64</v>
      </c>
      <c r="H380" s="77">
        <v>28</v>
      </c>
      <c r="I380" s="77">
        <v>1792</v>
      </c>
    </row>
    <row r="381" spans="1:9" ht="15" customHeight="1" x14ac:dyDescent="0.25">
      <c r="A381" s="78">
        <v>45931</v>
      </c>
      <c r="B381" t="s">
        <v>335</v>
      </c>
      <c r="C381" t="s">
        <v>336</v>
      </c>
      <c r="D381" t="s">
        <v>223</v>
      </c>
      <c r="E381" t="s">
        <v>235</v>
      </c>
      <c r="F381" t="s">
        <v>231</v>
      </c>
      <c r="G381" s="77">
        <v>83</v>
      </c>
      <c r="H381" s="77">
        <v>28</v>
      </c>
      <c r="I381" s="77">
        <v>2324</v>
      </c>
    </row>
    <row r="382" spans="1:9" ht="15" customHeight="1" x14ac:dyDescent="0.25">
      <c r="A382" s="78">
        <v>45931</v>
      </c>
      <c r="B382" t="s">
        <v>335</v>
      </c>
      <c r="C382" t="s">
        <v>336</v>
      </c>
      <c r="D382" t="s">
        <v>223</v>
      </c>
      <c r="E382" t="s">
        <v>236</v>
      </c>
      <c r="F382" t="s">
        <v>230</v>
      </c>
      <c r="G382" s="77">
        <v>96</v>
      </c>
      <c r="H382" s="77">
        <v>42</v>
      </c>
      <c r="I382" s="77">
        <v>4032</v>
      </c>
    </row>
    <row r="383" spans="1:9" ht="15" customHeight="1" x14ac:dyDescent="0.25">
      <c r="A383" s="78">
        <v>45931</v>
      </c>
      <c r="B383" t="s">
        <v>335</v>
      </c>
      <c r="C383" t="s">
        <v>336</v>
      </c>
      <c r="D383" t="s">
        <v>223</v>
      </c>
      <c r="E383" t="s">
        <v>236</v>
      </c>
      <c r="F383" t="s">
        <v>232</v>
      </c>
      <c r="G383" s="77">
        <v>61</v>
      </c>
      <c r="H383" s="77">
        <v>23</v>
      </c>
      <c r="I383" s="77">
        <v>1403</v>
      </c>
    </row>
    <row r="384" spans="1:9" ht="15" customHeight="1" x14ac:dyDescent="0.25">
      <c r="A384" s="78">
        <v>45931</v>
      </c>
      <c r="B384" t="s">
        <v>386</v>
      </c>
      <c r="C384" t="s">
        <v>387</v>
      </c>
      <c r="D384" t="s">
        <v>223</v>
      </c>
      <c r="E384" t="s">
        <v>236</v>
      </c>
      <c r="F384" t="s">
        <v>232</v>
      </c>
      <c r="G384" s="77">
        <v>38</v>
      </c>
      <c r="H384" s="77">
        <v>23</v>
      </c>
      <c r="I384" s="77">
        <v>874</v>
      </c>
    </row>
    <row r="385" spans="1:9" ht="15" customHeight="1" x14ac:dyDescent="0.25">
      <c r="A385" s="78">
        <v>45931</v>
      </c>
      <c r="B385" t="s">
        <v>386</v>
      </c>
      <c r="C385" t="s">
        <v>387</v>
      </c>
      <c r="D385" t="s">
        <v>223</v>
      </c>
      <c r="E385" t="s">
        <v>235</v>
      </c>
      <c r="F385" t="s">
        <v>231</v>
      </c>
      <c r="G385" s="77">
        <v>153</v>
      </c>
      <c r="H385" s="77">
        <v>28</v>
      </c>
      <c r="I385" s="77">
        <v>4284</v>
      </c>
    </row>
    <row r="386" spans="1:9" ht="15" customHeight="1" x14ac:dyDescent="0.25">
      <c r="A386" s="78">
        <v>45931</v>
      </c>
      <c r="B386" t="s">
        <v>386</v>
      </c>
      <c r="C386" t="s">
        <v>387</v>
      </c>
      <c r="D386" t="s">
        <v>223</v>
      </c>
      <c r="E386" t="s">
        <v>234</v>
      </c>
      <c r="F386" t="s">
        <v>230</v>
      </c>
      <c r="G386" s="77">
        <v>67</v>
      </c>
      <c r="H386" s="77">
        <v>42</v>
      </c>
      <c r="I386" s="77">
        <v>2814</v>
      </c>
    </row>
    <row r="387" spans="1:9" ht="15" customHeight="1" x14ac:dyDescent="0.25">
      <c r="A387" s="78">
        <v>45931</v>
      </c>
      <c r="B387" t="s">
        <v>341</v>
      </c>
      <c r="C387" t="s">
        <v>342</v>
      </c>
      <c r="D387" t="s">
        <v>223</v>
      </c>
      <c r="E387" t="s">
        <v>236</v>
      </c>
      <c r="F387" t="s">
        <v>230</v>
      </c>
      <c r="G387" s="77">
        <v>86</v>
      </c>
      <c r="H387" s="77">
        <v>42</v>
      </c>
      <c r="I387" s="77">
        <v>3612</v>
      </c>
    </row>
    <row r="388" spans="1:9" ht="15" customHeight="1" x14ac:dyDescent="0.25">
      <c r="A388" s="78">
        <v>45931</v>
      </c>
      <c r="B388" t="s">
        <v>341</v>
      </c>
      <c r="C388" t="s">
        <v>342</v>
      </c>
      <c r="D388" t="s">
        <v>223</v>
      </c>
      <c r="E388" t="s">
        <v>235</v>
      </c>
      <c r="F388" t="s">
        <v>232</v>
      </c>
      <c r="G388" s="77">
        <v>125</v>
      </c>
      <c r="H388" s="77">
        <v>23</v>
      </c>
      <c r="I388" s="77">
        <v>2875</v>
      </c>
    </row>
    <row r="389" spans="1:9" ht="15" customHeight="1" x14ac:dyDescent="0.25">
      <c r="A389" s="78">
        <v>45931</v>
      </c>
      <c r="B389" t="s">
        <v>347</v>
      </c>
      <c r="C389" t="s">
        <v>348</v>
      </c>
      <c r="D389" t="s">
        <v>223</v>
      </c>
      <c r="E389" t="s">
        <v>236</v>
      </c>
      <c r="F389" t="s">
        <v>232</v>
      </c>
      <c r="G389" s="77">
        <v>213</v>
      </c>
      <c r="H389" s="77">
        <v>23</v>
      </c>
      <c r="I389" s="77">
        <v>4899</v>
      </c>
    </row>
    <row r="390" spans="1:9" ht="15" customHeight="1" x14ac:dyDescent="0.25">
      <c r="A390" s="78">
        <v>45931</v>
      </c>
      <c r="B390" t="s">
        <v>347</v>
      </c>
      <c r="C390" t="s">
        <v>348</v>
      </c>
      <c r="D390" t="s">
        <v>223</v>
      </c>
      <c r="E390" t="s">
        <v>235</v>
      </c>
      <c r="F390" t="s">
        <v>230</v>
      </c>
      <c r="G390" s="77">
        <v>46</v>
      </c>
      <c r="H390" s="77">
        <v>42</v>
      </c>
      <c r="I390" s="77">
        <v>1932</v>
      </c>
    </row>
    <row r="391" spans="1:9" ht="15" customHeight="1" x14ac:dyDescent="0.25">
      <c r="A391" s="78">
        <v>45931</v>
      </c>
      <c r="B391" t="s">
        <v>347</v>
      </c>
      <c r="C391" t="s">
        <v>348</v>
      </c>
      <c r="D391" t="s">
        <v>223</v>
      </c>
      <c r="E391" t="s">
        <v>235</v>
      </c>
      <c r="F391" t="s">
        <v>231</v>
      </c>
      <c r="G391" s="77">
        <v>105</v>
      </c>
      <c r="H391" s="77">
        <v>28</v>
      </c>
      <c r="I391" s="77">
        <v>2940</v>
      </c>
    </row>
    <row r="392" spans="1:9" ht="15" customHeight="1" x14ac:dyDescent="0.25">
      <c r="A392" s="78">
        <v>45931</v>
      </c>
      <c r="B392" t="s">
        <v>409</v>
      </c>
      <c r="C392" t="s">
        <v>410</v>
      </c>
      <c r="D392" t="s">
        <v>223</v>
      </c>
      <c r="E392" t="s">
        <v>235</v>
      </c>
      <c r="F392" t="s">
        <v>232</v>
      </c>
      <c r="G392" s="77">
        <v>65</v>
      </c>
      <c r="H392" s="77">
        <v>23</v>
      </c>
      <c r="I392" s="77">
        <v>1495</v>
      </c>
    </row>
    <row r="393" spans="1:9" ht="15" customHeight="1" x14ac:dyDescent="0.25">
      <c r="A393" s="78">
        <v>45931</v>
      </c>
      <c r="B393" t="s">
        <v>409</v>
      </c>
      <c r="C393" t="s">
        <v>410</v>
      </c>
      <c r="D393" t="s">
        <v>223</v>
      </c>
      <c r="E393" t="s">
        <v>234</v>
      </c>
      <c r="F393" t="s">
        <v>231</v>
      </c>
      <c r="G393" s="77">
        <v>71</v>
      </c>
      <c r="H393" s="77">
        <v>28</v>
      </c>
      <c r="I393" s="77">
        <v>1988</v>
      </c>
    </row>
    <row r="394" spans="1:9" ht="15" customHeight="1" x14ac:dyDescent="0.25">
      <c r="A394" s="78">
        <v>45931</v>
      </c>
      <c r="B394" t="s">
        <v>488</v>
      </c>
      <c r="C394" t="s">
        <v>489</v>
      </c>
      <c r="D394" t="s">
        <v>225</v>
      </c>
      <c r="E394" t="s">
        <v>236</v>
      </c>
      <c r="F394" t="s">
        <v>231</v>
      </c>
      <c r="G394" s="77">
        <v>64</v>
      </c>
      <c r="H394" s="77">
        <v>28</v>
      </c>
      <c r="I394" s="77">
        <v>1792</v>
      </c>
    </row>
    <row r="395" spans="1:9" ht="15" customHeight="1" x14ac:dyDescent="0.25">
      <c r="A395" s="78">
        <v>45931</v>
      </c>
      <c r="B395" t="s">
        <v>406</v>
      </c>
      <c r="C395" t="s">
        <v>407</v>
      </c>
      <c r="D395" t="s">
        <v>225</v>
      </c>
      <c r="E395" t="s">
        <v>234</v>
      </c>
      <c r="F395" t="s">
        <v>231</v>
      </c>
      <c r="G395" s="77">
        <v>50</v>
      </c>
      <c r="H395" s="77">
        <v>28</v>
      </c>
      <c r="I395" s="77">
        <v>1400</v>
      </c>
    </row>
    <row r="396" spans="1:9" ht="15" customHeight="1" x14ac:dyDescent="0.25">
      <c r="A396" s="78">
        <v>45931</v>
      </c>
      <c r="B396" t="s">
        <v>406</v>
      </c>
      <c r="C396" t="s">
        <v>407</v>
      </c>
      <c r="D396" t="s">
        <v>225</v>
      </c>
      <c r="E396" t="s">
        <v>235</v>
      </c>
      <c r="F396" t="s">
        <v>232</v>
      </c>
      <c r="G396" s="77">
        <v>88</v>
      </c>
      <c r="H396" s="77">
        <v>23</v>
      </c>
      <c r="I396" s="77">
        <v>2024</v>
      </c>
    </row>
    <row r="397" spans="1:9" ht="15" customHeight="1" x14ac:dyDescent="0.25">
      <c r="A397" s="78">
        <v>45931</v>
      </c>
      <c r="B397" t="s">
        <v>358</v>
      </c>
      <c r="C397" t="s">
        <v>359</v>
      </c>
      <c r="D397" t="s">
        <v>225</v>
      </c>
      <c r="E397" t="s">
        <v>235</v>
      </c>
      <c r="F397" t="s">
        <v>231</v>
      </c>
      <c r="G397" s="77">
        <v>38</v>
      </c>
      <c r="H397" s="77">
        <v>28</v>
      </c>
      <c r="I397" s="77">
        <v>1064</v>
      </c>
    </row>
    <row r="398" spans="1:9" ht="15" customHeight="1" x14ac:dyDescent="0.25">
      <c r="A398" s="78">
        <v>45931</v>
      </c>
      <c r="B398" t="s">
        <v>358</v>
      </c>
      <c r="C398" t="s">
        <v>359</v>
      </c>
      <c r="D398" t="s">
        <v>225</v>
      </c>
      <c r="E398" t="s">
        <v>236</v>
      </c>
      <c r="F398" t="s">
        <v>230</v>
      </c>
      <c r="G398" s="77">
        <v>123</v>
      </c>
      <c r="H398" s="77">
        <v>42</v>
      </c>
      <c r="I398" s="77">
        <v>5166</v>
      </c>
    </row>
    <row r="399" spans="1:9" ht="15" customHeight="1" x14ac:dyDescent="0.25">
      <c r="A399" s="78">
        <v>45931</v>
      </c>
      <c r="B399" t="s">
        <v>358</v>
      </c>
      <c r="C399" t="s">
        <v>359</v>
      </c>
      <c r="D399" t="s">
        <v>225</v>
      </c>
      <c r="E399" t="s">
        <v>234</v>
      </c>
      <c r="F399" t="s">
        <v>232</v>
      </c>
      <c r="G399" s="77">
        <v>91</v>
      </c>
      <c r="H399" s="77">
        <v>23</v>
      </c>
      <c r="I399" s="77">
        <v>2093</v>
      </c>
    </row>
    <row r="400" spans="1:9" ht="15" customHeight="1" x14ac:dyDescent="0.25">
      <c r="A400" s="78">
        <v>45931</v>
      </c>
      <c r="B400" t="s">
        <v>383</v>
      </c>
      <c r="C400" t="s">
        <v>384</v>
      </c>
      <c r="D400" t="s">
        <v>225</v>
      </c>
      <c r="E400" t="s">
        <v>236</v>
      </c>
      <c r="F400" t="s">
        <v>232</v>
      </c>
      <c r="G400" s="77">
        <v>104</v>
      </c>
      <c r="H400" s="77">
        <v>23</v>
      </c>
      <c r="I400" s="77">
        <v>2392</v>
      </c>
    </row>
    <row r="401" spans="1:9" ht="15" customHeight="1" x14ac:dyDescent="0.25">
      <c r="A401" s="78">
        <v>45931</v>
      </c>
      <c r="B401" t="s">
        <v>383</v>
      </c>
      <c r="C401" t="s">
        <v>384</v>
      </c>
      <c r="D401" t="s">
        <v>225</v>
      </c>
      <c r="E401" t="s">
        <v>235</v>
      </c>
      <c r="F401" t="s">
        <v>231</v>
      </c>
      <c r="G401" s="77">
        <v>73</v>
      </c>
      <c r="H401" s="77">
        <v>28</v>
      </c>
      <c r="I401" s="77">
        <v>2044</v>
      </c>
    </row>
    <row r="402" spans="1:9" ht="15" customHeight="1" x14ac:dyDescent="0.25">
      <c r="A402" s="78">
        <v>45931</v>
      </c>
      <c r="B402" t="s">
        <v>373</v>
      </c>
      <c r="C402" t="s">
        <v>374</v>
      </c>
      <c r="D402" t="s">
        <v>225</v>
      </c>
      <c r="E402" t="s">
        <v>235</v>
      </c>
      <c r="F402" t="s">
        <v>230</v>
      </c>
      <c r="G402" s="77">
        <v>77</v>
      </c>
      <c r="H402" s="77">
        <v>42</v>
      </c>
      <c r="I402" s="77">
        <v>3234</v>
      </c>
    </row>
    <row r="403" spans="1:9" ht="15" customHeight="1" x14ac:dyDescent="0.25">
      <c r="A403" s="78">
        <v>45931</v>
      </c>
      <c r="B403" t="s">
        <v>373</v>
      </c>
      <c r="C403" t="s">
        <v>374</v>
      </c>
      <c r="D403" t="s">
        <v>225</v>
      </c>
      <c r="E403" t="s">
        <v>236</v>
      </c>
      <c r="F403" t="s">
        <v>231</v>
      </c>
      <c r="G403" s="77">
        <v>100</v>
      </c>
      <c r="H403" s="77">
        <v>28</v>
      </c>
      <c r="I403" s="77">
        <v>2800</v>
      </c>
    </row>
    <row r="404" spans="1:9" ht="15" customHeight="1" x14ac:dyDescent="0.25">
      <c r="A404" s="78">
        <v>45931</v>
      </c>
      <c r="B404" t="s">
        <v>373</v>
      </c>
      <c r="C404" t="s">
        <v>374</v>
      </c>
      <c r="D404" t="s">
        <v>225</v>
      </c>
      <c r="E404" t="s">
        <v>236</v>
      </c>
      <c r="F404" t="s">
        <v>232</v>
      </c>
      <c r="G404" s="77">
        <v>49</v>
      </c>
      <c r="H404" s="77">
        <v>23</v>
      </c>
      <c r="I404" s="77">
        <v>1127</v>
      </c>
    </row>
    <row r="405" spans="1:9" ht="15" customHeight="1" x14ac:dyDescent="0.25">
      <c r="A405" s="78">
        <v>45931</v>
      </c>
      <c r="B405" t="s">
        <v>354</v>
      </c>
      <c r="C405" t="s">
        <v>355</v>
      </c>
      <c r="D405" t="s">
        <v>227</v>
      </c>
      <c r="E405" t="s">
        <v>235</v>
      </c>
      <c r="F405" t="s">
        <v>232</v>
      </c>
      <c r="G405" s="77">
        <v>77</v>
      </c>
      <c r="H405" s="77">
        <v>23</v>
      </c>
      <c r="I405" s="77">
        <v>1771</v>
      </c>
    </row>
    <row r="406" spans="1:9" ht="15" customHeight="1" x14ac:dyDescent="0.25">
      <c r="A406" s="78">
        <v>45931</v>
      </c>
      <c r="B406" t="s">
        <v>354</v>
      </c>
      <c r="C406" t="s">
        <v>355</v>
      </c>
      <c r="D406" t="s">
        <v>227</v>
      </c>
      <c r="E406" t="s">
        <v>236</v>
      </c>
      <c r="F406" t="s">
        <v>231</v>
      </c>
      <c r="G406" s="77">
        <v>59</v>
      </c>
      <c r="H406" s="77">
        <v>28</v>
      </c>
      <c r="I406" s="77">
        <v>1652</v>
      </c>
    </row>
    <row r="407" spans="1:9" ht="15" customHeight="1" x14ac:dyDescent="0.25">
      <c r="A407" s="78">
        <v>45931</v>
      </c>
      <c r="B407" t="s">
        <v>354</v>
      </c>
      <c r="C407" t="s">
        <v>355</v>
      </c>
      <c r="D407" t="s">
        <v>227</v>
      </c>
      <c r="E407" t="s">
        <v>236</v>
      </c>
      <c r="F407" t="s">
        <v>230</v>
      </c>
      <c r="G407" s="77">
        <v>58</v>
      </c>
      <c r="H407" s="77">
        <v>42</v>
      </c>
      <c r="I407" s="77">
        <v>2436</v>
      </c>
    </row>
    <row r="408" spans="1:9" ht="15" customHeight="1" x14ac:dyDescent="0.25">
      <c r="A408" s="78">
        <v>45931</v>
      </c>
      <c r="B408" t="s">
        <v>370</v>
      </c>
      <c r="C408" t="s">
        <v>371</v>
      </c>
      <c r="D408" t="s">
        <v>227</v>
      </c>
      <c r="E408" t="s">
        <v>235</v>
      </c>
      <c r="F408" t="s">
        <v>232</v>
      </c>
      <c r="G408" s="77">
        <v>16</v>
      </c>
      <c r="H408" s="77">
        <v>23</v>
      </c>
      <c r="I408" s="77">
        <v>368</v>
      </c>
    </row>
    <row r="409" spans="1:9" ht="15" customHeight="1" x14ac:dyDescent="0.25">
      <c r="A409" s="78">
        <v>45931</v>
      </c>
      <c r="B409" t="s">
        <v>370</v>
      </c>
      <c r="C409" t="s">
        <v>371</v>
      </c>
      <c r="D409" t="s">
        <v>227</v>
      </c>
      <c r="E409" t="s">
        <v>234</v>
      </c>
      <c r="F409" t="s">
        <v>231</v>
      </c>
      <c r="G409" s="77">
        <v>136</v>
      </c>
      <c r="H409" s="77">
        <v>28</v>
      </c>
      <c r="I409" s="77">
        <v>3808</v>
      </c>
    </row>
    <row r="410" spans="1:9" ht="15" customHeight="1" x14ac:dyDescent="0.25">
      <c r="A410" s="78">
        <v>45931</v>
      </c>
      <c r="B410" t="s">
        <v>398</v>
      </c>
      <c r="C410" t="s">
        <v>399</v>
      </c>
      <c r="D410" t="s">
        <v>227</v>
      </c>
      <c r="E410" t="s">
        <v>234</v>
      </c>
      <c r="F410" t="s">
        <v>232</v>
      </c>
      <c r="G410" s="77">
        <v>65</v>
      </c>
      <c r="H410" s="77">
        <v>23</v>
      </c>
      <c r="I410" s="77">
        <v>1495</v>
      </c>
    </row>
    <row r="411" spans="1:9" ht="15" customHeight="1" x14ac:dyDescent="0.25">
      <c r="A411" s="78">
        <v>45931</v>
      </c>
      <c r="B411" t="s">
        <v>378</v>
      </c>
      <c r="C411" t="s">
        <v>379</v>
      </c>
      <c r="D411" t="s">
        <v>227</v>
      </c>
      <c r="E411" t="s">
        <v>234</v>
      </c>
      <c r="F411" t="s">
        <v>230</v>
      </c>
      <c r="G411" s="77">
        <v>130</v>
      </c>
      <c r="H411" s="77">
        <v>42</v>
      </c>
      <c r="I411" s="77">
        <v>5460</v>
      </c>
    </row>
    <row r="412" spans="1:9" ht="15" customHeight="1" x14ac:dyDescent="0.25">
      <c r="A412" s="78">
        <v>45931</v>
      </c>
      <c r="B412" t="s">
        <v>393</v>
      </c>
      <c r="C412" t="s">
        <v>394</v>
      </c>
      <c r="D412" t="s">
        <v>227</v>
      </c>
      <c r="E412" t="s">
        <v>234</v>
      </c>
      <c r="F412" t="s">
        <v>230</v>
      </c>
      <c r="G412" s="77">
        <v>127</v>
      </c>
      <c r="H412" s="77">
        <v>42</v>
      </c>
      <c r="I412" s="77">
        <v>5334</v>
      </c>
    </row>
    <row r="413" spans="1:9" ht="15" customHeight="1" x14ac:dyDescent="0.25">
      <c r="A413" s="78">
        <v>45931</v>
      </c>
      <c r="B413" t="s">
        <v>393</v>
      </c>
      <c r="C413" t="s">
        <v>394</v>
      </c>
      <c r="D413" t="s">
        <v>227</v>
      </c>
      <c r="E413" t="s">
        <v>235</v>
      </c>
      <c r="F413" t="s">
        <v>231</v>
      </c>
      <c r="G413" s="77">
        <v>44</v>
      </c>
      <c r="H413" s="77">
        <v>28</v>
      </c>
      <c r="I413" s="77">
        <v>1232</v>
      </c>
    </row>
    <row r="414" spans="1:9" ht="15" customHeight="1" x14ac:dyDescent="0.25">
      <c r="A414" s="78">
        <v>45931</v>
      </c>
      <c r="B414" t="s">
        <v>393</v>
      </c>
      <c r="C414" t="s">
        <v>394</v>
      </c>
      <c r="D414" t="s">
        <v>227</v>
      </c>
      <c r="E414" t="s">
        <v>235</v>
      </c>
      <c r="F414" t="s">
        <v>232</v>
      </c>
      <c r="G414" s="77">
        <v>51</v>
      </c>
      <c r="H414" s="77">
        <v>23</v>
      </c>
      <c r="I414" s="77">
        <v>1173</v>
      </c>
    </row>
    <row r="415" spans="1:9" ht="15" customHeight="1" x14ac:dyDescent="0.25">
      <c r="A415" s="78">
        <v>45962</v>
      </c>
      <c r="B415" t="s">
        <v>390</v>
      </c>
      <c r="C415" t="s">
        <v>391</v>
      </c>
      <c r="D415" t="s">
        <v>221</v>
      </c>
      <c r="E415" t="s">
        <v>235</v>
      </c>
      <c r="F415" t="s">
        <v>230</v>
      </c>
      <c r="G415" s="77">
        <v>179</v>
      </c>
      <c r="H415" s="77">
        <v>42</v>
      </c>
      <c r="I415" s="77">
        <v>7518</v>
      </c>
    </row>
    <row r="416" spans="1:9" ht="15" customHeight="1" x14ac:dyDescent="0.25">
      <c r="A416" s="78">
        <v>45962</v>
      </c>
      <c r="B416" t="s">
        <v>401</v>
      </c>
      <c r="C416" t="s">
        <v>402</v>
      </c>
      <c r="D416" t="s">
        <v>221</v>
      </c>
      <c r="E416" t="s">
        <v>234</v>
      </c>
      <c r="F416" t="s">
        <v>232</v>
      </c>
      <c r="G416" s="77">
        <v>151</v>
      </c>
      <c r="H416" s="77">
        <v>23</v>
      </c>
      <c r="I416" s="77">
        <v>3473</v>
      </c>
    </row>
    <row r="417" spans="1:9" ht="15" customHeight="1" x14ac:dyDescent="0.25">
      <c r="A417" s="78">
        <v>45962</v>
      </c>
      <c r="B417" t="s">
        <v>401</v>
      </c>
      <c r="C417" t="s">
        <v>402</v>
      </c>
      <c r="D417" t="s">
        <v>221</v>
      </c>
      <c r="E417" t="s">
        <v>235</v>
      </c>
      <c r="F417" t="s">
        <v>231</v>
      </c>
      <c r="G417" s="77">
        <v>88</v>
      </c>
      <c r="H417" s="77">
        <v>28</v>
      </c>
      <c r="I417" s="77">
        <v>2464</v>
      </c>
    </row>
    <row r="418" spans="1:9" ht="15" customHeight="1" x14ac:dyDescent="0.25">
      <c r="A418" s="78">
        <v>45962</v>
      </c>
      <c r="B418" t="s">
        <v>401</v>
      </c>
      <c r="C418" t="s">
        <v>402</v>
      </c>
      <c r="D418" t="s">
        <v>221</v>
      </c>
      <c r="E418" t="s">
        <v>234</v>
      </c>
      <c r="F418" t="s">
        <v>230</v>
      </c>
      <c r="G418" s="77">
        <v>99</v>
      </c>
      <c r="H418" s="77">
        <v>42</v>
      </c>
      <c r="I418" s="77">
        <v>4158</v>
      </c>
    </row>
    <row r="419" spans="1:9" ht="15" customHeight="1" x14ac:dyDescent="0.25">
      <c r="A419" s="78">
        <v>45962</v>
      </c>
      <c r="B419" t="s">
        <v>431</v>
      </c>
      <c r="C419" t="s">
        <v>432</v>
      </c>
      <c r="D419" t="s">
        <v>221</v>
      </c>
      <c r="E419" t="s">
        <v>236</v>
      </c>
      <c r="F419" t="s">
        <v>230</v>
      </c>
      <c r="G419" s="77">
        <v>67</v>
      </c>
      <c r="H419" s="77">
        <v>42</v>
      </c>
      <c r="I419" s="77">
        <v>2814</v>
      </c>
    </row>
    <row r="420" spans="1:9" ht="15" customHeight="1" x14ac:dyDescent="0.25">
      <c r="A420" s="78">
        <v>45962</v>
      </c>
      <c r="B420" t="s">
        <v>366</v>
      </c>
      <c r="C420" t="s">
        <v>367</v>
      </c>
      <c r="D420" t="s">
        <v>221</v>
      </c>
      <c r="E420" t="s">
        <v>235</v>
      </c>
      <c r="F420" t="s">
        <v>230</v>
      </c>
      <c r="G420" s="77">
        <v>105</v>
      </c>
      <c r="H420" s="77">
        <v>42</v>
      </c>
      <c r="I420" s="77">
        <v>4410</v>
      </c>
    </row>
    <row r="421" spans="1:9" ht="15" customHeight="1" x14ac:dyDescent="0.25">
      <c r="A421" s="78">
        <v>45962</v>
      </c>
      <c r="B421" t="s">
        <v>362</v>
      </c>
      <c r="C421" t="s">
        <v>363</v>
      </c>
      <c r="D421" t="s">
        <v>221</v>
      </c>
      <c r="E421" t="s">
        <v>235</v>
      </c>
      <c r="F421" t="s">
        <v>230</v>
      </c>
      <c r="G421" s="77">
        <v>64</v>
      </c>
      <c r="H421" s="77">
        <v>42</v>
      </c>
      <c r="I421" s="77">
        <v>2688</v>
      </c>
    </row>
    <row r="422" spans="1:9" ht="15" customHeight="1" x14ac:dyDescent="0.25">
      <c r="A422" s="78">
        <v>45962</v>
      </c>
      <c r="B422" t="s">
        <v>362</v>
      </c>
      <c r="C422" t="s">
        <v>363</v>
      </c>
      <c r="D422" t="s">
        <v>221</v>
      </c>
      <c r="E422" t="s">
        <v>236</v>
      </c>
      <c r="F422" t="s">
        <v>231</v>
      </c>
      <c r="G422" s="77">
        <v>18</v>
      </c>
      <c r="H422" s="77">
        <v>28</v>
      </c>
      <c r="I422" s="77">
        <v>504</v>
      </c>
    </row>
    <row r="423" spans="1:9" ht="15" customHeight="1" x14ac:dyDescent="0.25">
      <c r="A423" s="78">
        <v>45962</v>
      </c>
      <c r="B423" t="s">
        <v>362</v>
      </c>
      <c r="C423" t="s">
        <v>363</v>
      </c>
      <c r="D423" t="s">
        <v>221</v>
      </c>
      <c r="E423" t="s">
        <v>236</v>
      </c>
      <c r="F423" t="s">
        <v>232</v>
      </c>
      <c r="G423" s="77">
        <v>43</v>
      </c>
      <c r="H423" s="77">
        <v>23</v>
      </c>
      <c r="I423" s="77">
        <v>989</v>
      </c>
    </row>
    <row r="424" spans="1:9" ht="15" customHeight="1" x14ac:dyDescent="0.25">
      <c r="A424" s="78">
        <v>45962</v>
      </c>
      <c r="B424" t="s">
        <v>335</v>
      </c>
      <c r="C424" t="s">
        <v>336</v>
      </c>
      <c r="D424" t="s">
        <v>223</v>
      </c>
      <c r="E424" t="s">
        <v>236</v>
      </c>
      <c r="F424" t="s">
        <v>230</v>
      </c>
      <c r="G424" s="77">
        <v>90</v>
      </c>
      <c r="H424" s="77">
        <v>42</v>
      </c>
      <c r="I424" s="77">
        <v>3780</v>
      </c>
    </row>
    <row r="425" spans="1:9" ht="15" customHeight="1" x14ac:dyDescent="0.25">
      <c r="A425" s="78">
        <v>45962</v>
      </c>
      <c r="B425" t="s">
        <v>386</v>
      </c>
      <c r="C425" t="s">
        <v>387</v>
      </c>
      <c r="D425" t="s">
        <v>223</v>
      </c>
      <c r="E425" t="s">
        <v>236</v>
      </c>
      <c r="F425" t="s">
        <v>232</v>
      </c>
      <c r="G425" s="77">
        <v>50</v>
      </c>
      <c r="H425" s="77">
        <v>23</v>
      </c>
      <c r="I425" s="77">
        <v>1150</v>
      </c>
    </row>
    <row r="426" spans="1:9" ht="15" customHeight="1" x14ac:dyDescent="0.25">
      <c r="A426" s="78">
        <v>45962</v>
      </c>
      <c r="B426" t="s">
        <v>386</v>
      </c>
      <c r="C426" t="s">
        <v>387</v>
      </c>
      <c r="D426" t="s">
        <v>223</v>
      </c>
      <c r="E426" t="s">
        <v>235</v>
      </c>
      <c r="F426" t="s">
        <v>230</v>
      </c>
      <c r="G426" s="77">
        <v>87</v>
      </c>
      <c r="H426" s="77">
        <v>42</v>
      </c>
      <c r="I426" s="77">
        <v>3654</v>
      </c>
    </row>
    <row r="427" spans="1:9" ht="15" customHeight="1" x14ac:dyDescent="0.25">
      <c r="A427" s="78">
        <v>45962</v>
      </c>
      <c r="B427" t="s">
        <v>386</v>
      </c>
      <c r="C427" t="s">
        <v>387</v>
      </c>
      <c r="D427" t="s">
        <v>223</v>
      </c>
      <c r="E427" t="s">
        <v>234</v>
      </c>
      <c r="F427" t="s">
        <v>231</v>
      </c>
      <c r="G427" s="77">
        <v>52</v>
      </c>
      <c r="H427" s="77">
        <v>28</v>
      </c>
      <c r="I427" s="77">
        <v>1456</v>
      </c>
    </row>
    <row r="428" spans="1:9" ht="15" customHeight="1" x14ac:dyDescent="0.25">
      <c r="A428" s="78">
        <v>45962</v>
      </c>
      <c r="B428" t="s">
        <v>341</v>
      </c>
      <c r="C428" t="s">
        <v>342</v>
      </c>
      <c r="D428" t="s">
        <v>223</v>
      </c>
      <c r="E428" t="s">
        <v>235</v>
      </c>
      <c r="F428" t="s">
        <v>232</v>
      </c>
      <c r="G428" s="77">
        <v>62</v>
      </c>
      <c r="H428" s="77">
        <v>23</v>
      </c>
      <c r="I428" s="77">
        <v>1426</v>
      </c>
    </row>
    <row r="429" spans="1:9" ht="15" customHeight="1" x14ac:dyDescent="0.25">
      <c r="A429" s="78">
        <v>45962</v>
      </c>
      <c r="B429" t="s">
        <v>347</v>
      </c>
      <c r="C429" t="s">
        <v>348</v>
      </c>
      <c r="D429" t="s">
        <v>223</v>
      </c>
      <c r="E429" t="s">
        <v>234</v>
      </c>
      <c r="F429" t="s">
        <v>231</v>
      </c>
      <c r="G429" s="77">
        <v>119</v>
      </c>
      <c r="H429" s="77">
        <v>28</v>
      </c>
      <c r="I429" s="77">
        <v>3332</v>
      </c>
    </row>
    <row r="430" spans="1:9" ht="15" customHeight="1" x14ac:dyDescent="0.25">
      <c r="A430" s="78">
        <v>45962</v>
      </c>
      <c r="B430" t="s">
        <v>347</v>
      </c>
      <c r="C430" t="s">
        <v>348</v>
      </c>
      <c r="D430" t="s">
        <v>223</v>
      </c>
      <c r="E430" t="s">
        <v>234</v>
      </c>
      <c r="F430" t="s">
        <v>232</v>
      </c>
      <c r="G430" s="77">
        <v>98</v>
      </c>
      <c r="H430" s="77">
        <v>23</v>
      </c>
      <c r="I430" s="77">
        <v>2254</v>
      </c>
    </row>
    <row r="431" spans="1:9" ht="15" customHeight="1" x14ac:dyDescent="0.25">
      <c r="A431" s="78">
        <v>45962</v>
      </c>
      <c r="B431" t="s">
        <v>409</v>
      </c>
      <c r="C431" t="s">
        <v>410</v>
      </c>
      <c r="D431" t="s">
        <v>223</v>
      </c>
      <c r="E431" t="s">
        <v>235</v>
      </c>
      <c r="F431" t="s">
        <v>232</v>
      </c>
      <c r="G431" s="77">
        <v>89</v>
      </c>
      <c r="H431" s="77">
        <v>23</v>
      </c>
      <c r="I431" s="77">
        <v>2047</v>
      </c>
    </row>
    <row r="432" spans="1:9" ht="15" customHeight="1" x14ac:dyDescent="0.25">
      <c r="A432" s="78">
        <v>45962</v>
      </c>
      <c r="B432" t="s">
        <v>409</v>
      </c>
      <c r="C432" t="s">
        <v>410</v>
      </c>
      <c r="D432" t="s">
        <v>223</v>
      </c>
      <c r="E432" t="s">
        <v>236</v>
      </c>
      <c r="F432" t="s">
        <v>231</v>
      </c>
      <c r="G432" s="77">
        <v>120</v>
      </c>
      <c r="H432" s="77">
        <v>28</v>
      </c>
      <c r="I432" s="77">
        <v>3360</v>
      </c>
    </row>
    <row r="433" spans="1:9" ht="15" customHeight="1" x14ac:dyDescent="0.25">
      <c r="A433" s="78">
        <v>45962</v>
      </c>
      <c r="B433" t="s">
        <v>488</v>
      </c>
      <c r="C433" t="s">
        <v>489</v>
      </c>
      <c r="D433" t="s">
        <v>225</v>
      </c>
      <c r="E433" t="s">
        <v>235</v>
      </c>
      <c r="F433" t="s">
        <v>230</v>
      </c>
      <c r="G433" s="77">
        <v>106</v>
      </c>
      <c r="H433" s="77">
        <v>42</v>
      </c>
      <c r="I433" s="77">
        <v>4452</v>
      </c>
    </row>
    <row r="434" spans="1:9" ht="15" customHeight="1" x14ac:dyDescent="0.25">
      <c r="A434" s="78">
        <v>45962</v>
      </c>
      <c r="B434" t="s">
        <v>488</v>
      </c>
      <c r="C434" t="s">
        <v>489</v>
      </c>
      <c r="D434" t="s">
        <v>225</v>
      </c>
      <c r="E434" t="s">
        <v>235</v>
      </c>
      <c r="F434" t="s">
        <v>232</v>
      </c>
      <c r="G434" s="77">
        <v>140</v>
      </c>
      <c r="H434" s="77">
        <v>23</v>
      </c>
      <c r="I434" s="77">
        <v>3220</v>
      </c>
    </row>
    <row r="435" spans="1:9" ht="15" customHeight="1" x14ac:dyDescent="0.25">
      <c r="A435" s="78">
        <v>45962</v>
      </c>
      <c r="B435" t="s">
        <v>488</v>
      </c>
      <c r="C435" t="s">
        <v>489</v>
      </c>
      <c r="D435" t="s">
        <v>225</v>
      </c>
      <c r="E435" t="s">
        <v>235</v>
      </c>
      <c r="F435" t="s">
        <v>231</v>
      </c>
      <c r="G435" s="77">
        <v>73</v>
      </c>
      <c r="H435" s="77">
        <v>28</v>
      </c>
      <c r="I435" s="77">
        <v>2044</v>
      </c>
    </row>
    <row r="436" spans="1:9" ht="15" customHeight="1" x14ac:dyDescent="0.25">
      <c r="A436" s="78">
        <v>45962</v>
      </c>
      <c r="B436" t="s">
        <v>406</v>
      </c>
      <c r="C436" t="s">
        <v>407</v>
      </c>
      <c r="D436" t="s">
        <v>225</v>
      </c>
      <c r="E436" t="s">
        <v>236</v>
      </c>
      <c r="F436" t="s">
        <v>230</v>
      </c>
      <c r="G436" s="77">
        <v>74</v>
      </c>
      <c r="H436" s="77">
        <v>42</v>
      </c>
      <c r="I436" s="77">
        <v>3108</v>
      </c>
    </row>
    <row r="437" spans="1:9" ht="15" customHeight="1" x14ac:dyDescent="0.25">
      <c r="A437" s="78">
        <v>45962</v>
      </c>
      <c r="B437" t="s">
        <v>406</v>
      </c>
      <c r="C437" t="s">
        <v>407</v>
      </c>
      <c r="D437" t="s">
        <v>225</v>
      </c>
      <c r="E437" t="s">
        <v>236</v>
      </c>
      <c r="F437" t="s">
        <v>231</v>
      </c>
      <c r="G437" s="77">
        <v>44</v>
      </c>
      <c r="H437" s="77">
        <v>28</v>
      </c>
      <c r="I437" s="77">
        <v>1232</v>
      </c>
    </row>
    <row r="438" spans="1:9" ht="15" customHeight="1" x14ac:dyDescent="0.25">
      <c r="A438" s="78">
        <v>45962</v>
      </c>
      <c r="B438" t="s">
        <v>406</v>
      </c>
      <c r="C438" t="s">
        <v>407</v>
      </c>
      <c r="D438" t="s">
        <v>225</v>
      </c>
      <c r="E438" t="s">
        <v>234</v>
      </c>
      <c r="F438" t="s">
        <v>232</v>
      </c>
      <c r="G438" s="77">
        <v>74</v>
      </c>
      <c r="H438" s="77">
        <v>23</v>
      </c>
      <c r="I438" s="77">
        <v>1702</v>
      </c>
    </row>
    <row r="439" spans="1:9" ht="15" customHeight="1" x14ac:dyDescent="0.25">
      <c r="A439" s="78">
        <v>45962</v>
      </c>
      <c r="B439" t="s">
        <v>358</v>
      </c>
      <c r="C439" t="s">
        <v>359</v>
      </c>
      <c r="D439" t="s">
        <v>225</v>
      </c>
      <c r="E439" t="s">
        <v>236</v>
      </c>
      <c r="F439" t="s">
        <v>230</v>
      </c>
      <c r="G439" s="77">
        <v>123</v>
      </c>
      <c r="H439" s="77">
        <v>42</v>
      </c>
      <c r="I439" s="77">
        <v>5166</v>
      </c>
    </row>
    <row r="440" spans="1:9" ht="15" customHeight="1" x14ac:dyDescent="0.25">
      <c r="A440" s="78">
        <v>45962</v>
      </c>
      <c r="B440" t="s">
        <v>358</v>
      </c>
      <c r="C440" t="s">
        <v>359</v>
      </c>
      <c r="D440" t="s">
        <v>225</v>
      </c>
      <c r="E440" t="s">
        <v>235</v>
      </c>
      <c r="F440" t="s">
        <v>231</v>
      </c>
      <c r="G440" s="77">
        <v>135</v>
      </c>
      <c r="H440" s="77">
        <v>28</v>
      </c>
      <c r="I440" s="77">
        <v>3780</v>
      </c>
    </row>
    <row r="441" spans="1:9" ht="15" customHeight="1" x14ac:dyDescent="0.25">
      <c r="A441" s="78">
        <v>45962</v>
      </c>
      <c r="B441" t="s">
        <v>383</v>
      </c>
      <c r="C441" t="s">
        <v>384</v>
      </c>
      <c r="D441" t="s">
        <v>225</v>
      </c>
      <c r="E441" t="s">
        <v>234</v>
      </c>
      <c r="F441" t="s">
        <v>230</v>
      </c>
      <c r="G441" s="77">
        <v>123</v>
      </c>
      <c r="H441" s="77">
        <v>42</v>
      </c>
      <c r="I441" s="77">
        <v>5166</v>
      </c>
    </row>
    <row r="442" spans="1:9" ht="15" customHeight="1" x14ac:dyDescent="0.25">
      <c r="A442" s="78">
        <v>45962</v>
      </c>
      <c r="B442" t="s">
        <v>383</v>
      </c>
      <c r="C442" t="s">
        <v>384</v>
      </c>
      <c r="D442" t="s">
        <v>225</v>
      </c>
      <c r="E442" t="s">
        <v>234</v>
      </c>
      <c r="F442" t="s">
        <v>231</v>
      </c>
      <c r="G442" s="77">
        <v>27</v>
      </c>
      <c r="H442" s="77">
        <v>28</v>
      </c>
      <c r="I442" s="77">
        <v>756</v>
      </c>
    </row>
    <row r="443" spans="1:9" ht="15" customHeight="1" x14ac:dyDescent="0.25">
      <c r="A443" s="78">
        <v>45962</v>
      </c>
      <c r="B443" t="s">
        <v>373</v>
      </c>
      <c r="C443" t="s">
        <v>374</v>
      </c>
      <c r="D443" t="s">
        <v>225</v>
      </c>
      <c r="E443" t="s">
        <v>234</v>
      </c>
      <c r="F443" t="s">
        <v>232</v>
      </c>
      <c r="G443" s="77">
        <v>127</v>
      </c>
      <c r="H443" s="77">
        <v>23</v>
      </c>
      <c r="I443" s="77">
        <v>2921</v>
      </c>
    </row>
    <row r="444" spans="1:9" ht="15" customHeight="1" x14ac:dyDescent="0.25">
      <c r="A444" s="78">
        <v>45962</v>
      </c>
      <c r="B444" t="s">
        <v>373</v>
      </c>
      <c r="C444" t="s">
        <v>374</v>
      </c>
      <c r="D444" t="s">
        <v>225</v>
      </c>
      <c r="E444" t="s">
        <v>234</v>
      </c>
      <c r="F444" t="s">
        <v>231</v>
      </c>
      <c r="G444" s="77">
        <v>25</v>
      </c>
      <c r="H444" s="77">
        <v>28</v>
      </c>
      <c r="I444" s="77">
        <v>700</v>
      </c>
    </row>
    <row r="445" spans="1:9" ht="15" customHeight="1" x14ac:dyDescent="0.25">
      <c r="A445" s="78">
        <v>45962</v>
      </c>
      <c r="B445" t="s">
        <v>354</v>
      </c>
      <c r="C445" t="s">
        <v>355</v>
      </c>
      <c r="D445" t="s">
        <v>227</v>
      </c>
      <c r="E445" t="s">
        <v>234</v>
      </c>
      <c r="F445" t="s">
        <v>232</v>
      </c>
      <c r="G445" s="77">
        <v>121</v>
      </c>
      <c r="H445" s="77">
        <v>23</v>
      </c>
      <c r="I445" s="77">
        <v>2783</v>
      </c>
    </row>
    <row r="446" spans="1:9" ht="15" customHeight="1" x14ac:dyDescent="0.25">
      <c r="A446" s="78">
        <v>45962</v>
      </c>
      <c r="B446" t="s">
        <v>370</v>
      </c>
      <c r="C446" t="s">
        <v>371</v>
      </c>
      <c r="D446" t="s">
        <v>227</v>
      </c>
      <c r="E446" t="s">
        <v>235</v>
      </c>
      <c r="F446" t="s">
        <v>230</v>
      </c>
      <c r="G446" s="77">
        <v>77</v>
      </c>
      <c r="H446" s="77">
        <v>42</v>
      </c>
      <c r="I446" s="77">
        <v>3234</v>
      </c>
    </row>
    <row r="447" spans="1:9" ht="15" customHeight="1" x14ac:dyDescent="0.25">
      <c r="A447" s="78">
        <v>45962</v>
      </c>
      <c r="B447" t="s">
        <v>370</v>
      </c>
      <c r="C447" t="s">
        <v>371</v>
      </c>
      <c r="D447" t="s">
        <v>227</v>
      </c>
      <c r="E447" t="s">
        <v>235</v>
      </c>
      <c r="F447" t="s">
        <v>232</v>
      </c>
      <c r="G447" s="77">
        <v>114</v>
      </c>
      <c r="H447" s="77">
        <v>23</v>
      </c>
      <c r="I447" s="77">
        <v>2622</v>
      </c>
    </row>
    <row r="448" spans="1:9" ht="15" customHeight="1" x14ac:dyDescent="0.25">
      <c r="A448" s="78">
        <v>45962</v>
      </c>
      <c r="B448" t="s">
        <v>398</v>
      </c>
      <c r="C448" t="s">
        <v>399</v>
      </c>
      <c r="D448" t="s">
        <v>227</v>
      </c>
      <c r="E448" t="s">
        <v>235</v>
      </c>
      <c r="F448" t="s">
        <v>232</v>
      </c>
      <c r="G448" s="77">
        <v>43</v>
      </c>
      <c r="H448" s="77">
        <v>23</v>
      </c>
      <c r="I448" s="77">
        <v>989</v>
      </c>
    </row>
    <row r="449" spans="1:9" ht="15" customHeight="1" x14ac:dyDescent="0.25">
      <c r="A449" s="78">
        <v>45962</v>
      </c>
      <c r="B449" t="s">
        <v>398</v>
      </c>
      <c r="C449" t="s">
        <v>399</v>
      </c>
      <c r="D449" t="s">
        <v>227</v>
      </c>
      <c r="E449" t="s">
        <v>235</v>
      </c>
      <c r="F449" t="s">
        <v>231</v>
      </c>
      <c r="G449" s="77">
        <v>130</v>
      </c>
      <c r="H449" s="77">
        <v>28</v>
      </c>
      <c r="I449" s="77">
        <v>3640</v>
      </c>
    </row>
    <row r="450" spans="1:9" ht="15" customHeight="1" x14ac:dyDescent="0.25">
      <c r="A450" s="78">
        <v>45962</v>
      </c>
      <c r="B450" t="s">
        <v>398</v>
      </c>
      <c r="C450" t="s">
        <v>399</v>
      </c>
      <c r="D450" t="s">
        <v>227</v>
      </c>
      <c r="E450" t="s">
        <v>235</v>
      </c>
      <c r="F450" t="s">
        <v>230</v>
      </c>
      <c r="G450" s="77">
        <v>38</v>
      </c>
      <c r="H450" s="77">
        <v>42</v>
      </c>
      <c r="I450" s="77">
        <v>1596</v>
      </c>
    </row>
    <row r="451" spans="1:9" ht="15" customHeight="1" x14ac:dyDescent="0.25">
      <c r="A451" s="78">
        <v>45962</v>
      </c>
      <c r="B451" t="s">
        <v>378</v>
      </c>
      <c r="C451" t="s">
        <v>379</v>
      </c>
      <c r="D451" t="s">
        <v>227</v>
      </c>
      <c r="E451" t="s">
        <v>234</v>
      </c>
      <c r="F451" t="s">
        <v>230</v>
      </c>
      <c r="G451" s="77">
        <v>66</v>
      </c>
      <c r="H451" s="77">
        <v>42</v>
      </c>
      <c r="I451" s="77">
        <v>2772</v>
      </c>
    </row>
    <row r="452" spans="1:9" ht="15" customHeight="1" x14ac:dyDescent="0.25">
      <c r="A452" s="78">
        <v>45962</v>
      </c>
      <c r="B452" t="s">
        <v>378</v>
      </c>
      <c r="C452" t="s">
        <v>379</v>
      </c>
      <c r="D452" t="s">
        <v>227</v>
      </c>
      <c r="E452" t="s">
        <v>234</v>
      </c>
      <c r="F452" t="s">
        <v>232</v>
      </c>
      <c r="G452" s="77">
        <v>55</v>
      </c>
      <c r="H452" s="77">
        <v>23</v>
      </c>
      <c r="I452" s="77">
        <v>1265</v>
      </c>
    </row>
    <row r="453" spans="1:9" ht="15" customHeight="1" x14ac:dyDescent="0.25">
      <c r="A453" s="78">
        <v>45962</v>
      </c>
      <c r="B453" t="s">
        <v>378</v>
      </c>
      <c r="C453" t="s">
        <v>379</v>
      </c>
      <c r="D453" t="s">
        <v>227</v>
      </c>
      <c r="E453" t="s">
        <v>234</v>
      </c>
      <c r="F453" t="s">
        <v>231</v>
      </c>
      <c r="G453" s="77">
        <v>28</v>
      </c>
      <c r="H453" s="77">
        <v>28</v>
      </c>
      <c r="I453" s="77">
        <v>784</v>
      </c>
    </row>
    <row r="454" spans="1:9" ht="15" customHeight="1" x14ac:dyDescent="0.25">
      <c r="A454" s="78">
        <v>45962</v>
      </c>
      <c r="B454" t="s">
        <v>393</v>
      </c>
      <c r="C454" t="s">
        <v>394</v>
      </c>
      <c r="D454" t="s">
        <v>227</v>
      </c>
      <c r="E454" t="s">
        <v>235</v>
      </c>
      <c r="F454" t="s">
        <v>230</v>
      </c>
      <c r="G454" s="77">
        <v>93</v>
      </c>
      <c r="H454" s="77">
        <v>42</v>
      </c>
      <c r="I454" s="77">
        <v>3906</v>
      </c>
    </row>
    <row r="455" spans="1:9" ht="15" customHeight="1" x14ac:dyDescent="0.25">
      <c r="A455" s="78">
        <v>45992</v>
      </c>
      <c r="B455" t="s">
        <v>390</v>
      </c>
      <c r="C455" t="s">
        <v>391</v>
      </c>
      <c r="D455" t="s">
        <v>221</v>
      </c>
      <c r="E455" t="s">
        <v>236</v>
      </c>
      <c r="F455" t="s">
        <v>231</v>
      </c>
      <c r="G455" s="77">
        <v>153</v>
      </c>
      <c r="H455" s="77">
        <v>28</v>
      </c>
      <c r="I455" s="77">
        <v>4284</v>
      </c>
    </row>
    <row r="456" spans="1:9" ht="15" customHeight="1" x14ac:dyDescent="0.25">
      <c r="A456" s="78">
        <v>45992</v>
      </c>
      <c r="B456" t="s">
        <v>390</v>
      </c>
      <c r="C456" t="s">
        <v>391</v>
      </c>
      <c r="D456" t="s">
        <v>221</v>
      </c>
      <c r="E456" t="s">
        <v>235</v>
      </c>
      <c r="F456" t="s">
        <v>232</v>
      </c>
      <c r="G456" s="77">
        <v>183</v>
      </c>
      <c r="H456" s="77">
        <v>23</v>
      </c>
      <c r="I456" s="77">
        <v>4209</v>
      </c>
    </row>
    <row r="457" spans="1:9" ht="15" customHeight="1" x14ac:dyDescent="0.25">
      <c r="A457" s="78">
        <v>45992</v>
      </c>
      <c r="B457" t="s">
        <v>401</v>
      </c>
      <c r="C457" t="s">
        <v>402</v>
      </c>
      <c r="D457" t="s">
        <v>221</v>
      </c>
      <c r="E457" t="s">
        <v>235</v>
      </c>
      <c r="F457" t="s">
        <v>232</v>
      </c>
      <c r="G457" s="77">
        <v>93</v>
      </c>
      <c r="H457" s="77">
        <v>23</v>
      </c>
      <c r="I457" s="77">
        <v>2139</v>
      </c>
    </row>
    <row r="458" spans="1:9" ht="15" customHeight="1" x14ac:dyDescent="0.25">
      <c r="A458" s="78">
        <v>45992</v>
      </c>
      <c r="B458" t="s">
        <v>401</v>
      </c>
      <c r="C458" t="s">
        <v>402</v>
      </c>
      <c r="D458" t="s">
        <v>221</v>
      </c>
      <c r="E458" t="s">
        <v>235</v>
      </c>
      <c r="F458" t="s">
        <v>230</v>
      </c>
      <c r="G458" s="77">
        <v>129</v>
      </c>
      <c r="H458" s="77">
        <v>42</v>
      </c>
      <c r="I458" s="77">
        <v>5418</v>
      </c>
    </row>
    <row r="459" spans="1:9" ht="15" customHeight="1" x14ac:dyDescent="0.25">
      <c r="A459" s="78">
        <v>45992</v>
      </c>
      <c r="B459" t="s">
        <v>401</v>
      </c>
      <c r="C459" t="s">
        <v>402</v>
      </c>
      <c r="D459" t="s">
        <v>221</v>
      </c>
      <c r="E459" t="s">
        <v>236</v>
      </c>
      <c r="F459" t="s">
        <v>231</v>
      </c>
      <c r="G459" s="77">
        <v>98</v>
      </c>
      <c r="H459" s="77">
        <v>28</v>
      </c>
      <c r="I459" s="77">
        <v>2744</v>
      </c>
    </row>
    <row r="460" spans="1:9" ht="15" customHeight="1" x14ac:dyDescent="0.25">
      <c r="A460" s="78">
        <v>45992</v>
      </c>
      <c r="B460" t="s">
        <v>431</v>
      </c>
      <c r="C460" t="s">
        <v>432</v>
      </c>
      <c r="D460" t="s">
        <v>221</v>
      </c>
      <c r="E460" t="s">
        <v>235</v>
      </c>
      <c r="F460" t="s">
        <v>231</v>
      </c>
      <c r="G460" s="77">
        <v>107</v>
      </c>
      <c r="H460" s="77">
        <v>28</v>
      </c>
      <c r="I460" s="77">
        <v>2996</v>
      </c>
    </row>
    <row r="461" spans="1:9" ht="15" customHeight="1" x14ac:dyDescent="0.25">
      <c r="A461" s="78">
        <v>45992</v>
      </c>
      <c r="B461" t="s">
        <v>366</v>
      </c>
      <c r="C461" t="s">
        <v>367</v>
      </c>
      <c r="D461" t="s">
        <v>221</v>
      </c>
      <c r="E461" t="s">
        <v>234</v>
      </c>
      <c r="F461" t="s">
        <v>231</v>
      </c>
      <c r="G461" s="77">
        <v>78</v>
      </c>
      <c r="H461" s="77">
        <v>28</v>
      </c>
      <c r="I461" s="77">
        <v>2184</v>
      </c>
    </row>
    <row r="462" spans="1:9" ht="15" customHeight="1" x14ac:dyDescent="0.25">
      <c r="A462" s="78">
        <v>45992</v>
      </c>
      <c r="B462" t="s">
        <v>366</v>
      </c>
      <c r="C462" t="s">
        <v>367</v>
      </c>
      <c r="D462" t="s">
        <v>221</v>
      </c>
      <c r="E462" t="s">
        <v>235</v>
      </c>
      <c r="F462" t="s">
        <v>232</v>
      </c>
      <c r="G462" s="77">
        <v>96</v>
      </c>
      <c r="H462" s="77">
        <v>23</v>
      </c>
      <c r="I462" s="77">
        <v>2208</v>
      </c>
    </row>
    <row r="463" spans="1:9" ht="15" customHeight="1" x14ac:dyDescent="0.25">
      <c r="A463" s="78">
        <v>45992</v>
      </c>
      <c r="B463" t="s">
        <v>362</v>
      </c>
      <c r="C463" t="s">
        <v>363</v>
      </c>
      <c r="D463" t="s">
        <v>221</v>
      </c>
      <c r="E463" t="s">
        <v>235</v>
      </c>
      <c r="F463" t="s">
        <v>231</v>
      </c>
      <c r="G463" s="77">
        <v>108</v>
      </c>
      <c r="H463" s="77">
        <v>28</v>
      </c>
      <c r="I463" s="77">
        <v>3024</v>
      </c>
    </row>
    <row r="464" spans="1:9" ht="15" customHeight="1" x14ac:dyDescent="0.25">
      <c r="A464" s="78">
        <v>45992</v>
      </c>
      <c r="B464" t="s">
        <v>335</v>
      </c>
      <c r="C464" t="s">
        <v>336</v>
      </c>
      <c r="D464" t="s">
        <v>223</v>
      </c>
      <c r="E464" t="s">
        <v>235</v>
      </c>
      <c r="F464" t="s">
        <v>230</v>
      </c>
      <c r="G464" s="77">
        <v>69</v>
      </c>
      <c r="H464" s="77">
        <v>42</v>
      </c>
      <c r="I464" s="77">
        <v>2898</v>
      </c>
    </row>
    <row r="465" spans="1:9" ht="15" customHeight="1" x14ac:dyDescent="0.25">
      <c r="A465" s="78">
        <v>45992</v>
      </c>
      <c r="B465" t="s">
        <v>335</v>
      </c>
      <c r="C465" t="s">
        <v>336</v>
      </c>
      <c r="D465" t="s">
        <v>223</v>
      </c>
      <c r="E465" t="s">
        <v>235</v>
      </c>
      <c r="F465" t="s">
        <v>232</v>
      </c>
      <c r="G465" s="77">
        <v>87</v>
      </c>
      <c r="H465" s="77">
        <v>23</v>
      </c>
      <c r="I465" s="77">
        <v>2001</v>
      </c>
    </row>
    <row r="466" spans="1:9" ht="15" customHeight="1" x14ac:dyDescent="0.25">
      <c r="A466" s="78">
        <v>45992</v>
      </c>
      <c r="B466" t="s">
        <v>386</v>
      </c>
      <c r="C466" t="s">
        <v>387</v>
      </c>
      <c r="D466" t="s">
        <v>223</v>
      </c>
      <c r="E466" t="s">
        <v>234</v>
      </c>
      <c r="F466" t="s">
        <v>231</v>
      </c>
      <c r="G466" s="77">
        <v>87</v>
      </c>
      <c r="H466" s="77">
        <v>28</v>
      </c>
      <c r="I466" s="77">
        <v>2436</v>
      </c>
    </row>
    <row r="467" spans="1:9" ht="15" customHeight="1" x14ac:dyDescent="0.25">
      <c r="A467" s="78">
        <v>45992</v>
      </c>
      <c r="B467" t="s">
        <v>386</v>
      </c>
      <c r="C467" t="s">
        <v>387</v>
      </c>
      <c r="D467" t="s">
        <v>223</v>
      </c>
      <c r="E467" t="s">
        <v>235</v>
      </c>
      <c r="F467" t="s">
        <v>232</v>
      </c>
      <c r="G467" s="77">
        <v>118</v>
      </c>
      <c r="H467" s="77">
        <v>23</v>
      </c>
      <c r="I467" s="77">
        <v>2714</v>
      </c>
    </row>
    <row r="468" spans="1:9" ht="15" customHeight="1" x14ac:dyDescent="0.25">
      <c r="A468" s="78">
        <v>45992</v>
      </c>
      <c r="B468" t="s">
        <v>341</v>
      </c>
      <c r="C468" t="s">
        <v>342</v>
      </c>
      <c r="D468" t="s">
        <v>223</v>
      </c>
      <c r="E468" t="s">
        <v>234</v>
      </c>
      <c r="F468" t="s">
        <v>230</v>
      </c>
      <c r="G468" s="77">
        <v>52</v>
      </c>
      <c r="H468" s="77">
        <v>42</v>
      </c>
      <c r="I468" s="77">
        <v>2184</v>
      </c>
    </row>
    <row r="469" spans="1:9" ht="15" customHeight="1" x14ac:dyDescent="0.25">
      <c r="A469" s="78">
        <v>45992</v>
      </c>
      <c r="B469" t="s">
        <v>347</v>
      </c>
      <c r="C469" t="s">
        <v>348</v>
      </c>
      <c r="D469" t="s">
        <v>223</v>
      </c>
      <c r="E469" t="s">
        <v>235</v>
      </c>
      <c r="F469" t="s">
        <v>230</v>
      </c>
      <c r="G469" s="77">
        <v>88</v>
      </c>
      <c r="H469" s="77">
        <v>42</v>
      </c>
      <c r="I469" s="77">
        <v>3696</v>
      </c>
    </row>
    <row r="470" spans="1:9" ht="15" customHeight="1" x14ac:dyDescent="0.25">
      <c r="A470" s="78">
        <v>45992</v>
      </c>
      <c r="B470" t="s">
        <v>347</v>
      </c>
      <c r="C470" t="s">
        <v>348</v>
      </c>
      <c r="D470" t="s">
        <v>223</v>
      </c>
      <c r="E470" t="s">
        <v>234</v>
      </c>
      <c r="F470" t="s">
        <v>231</v>
      </c>
      <c r="G470" s="77">
        <v>156</v>
      </c>
      <c r="H470" s="77">
        <v>28</v>
      </c>
      <c r="I470" s="77">
        <v>4368</v>
      </c>
    </row>
    <row r="471" spans="1:9" ht="15" customHeight="1" x14ac:dyDescent="0.25">
      <c r="A471" s="78">
        <v>45992</v>
      </c>
      <c r="B471" t="s">
        <v>347</v>
      </c>
      <c r="C471" t="s">
        <v>348</v>
      </c>
      <c r="D471" t="s">
        <v>223</v>
      </c>
      <c r="E471" t="s">
        <v>235</v>
      </c>
      <c r="F471" t="s">
        <v>232</v>
      </c>
      <c r="G471" s="77">
        <v>130</v>
      </c>
      <c r="H471" s="77">
        <v>23</v>
      </c>
      <c r="I471" s="77">
        <v>2990</v>
      </c>
    </row>
    <row r="472" spans="1:9" ht="15" customHeight="1" x14ac:dyDescent="0.25">
      <c r="A472" s="78">
        <v>45992</v>
      </c>
      <c r="B472" t="s">
        <v>409</v>
      </c>
      <c r="C472" t="s">
        <v>410</v>
      </c>
      <c r="D472" t="s">
        <v>223</v>
      </c>
      <c r="E472" t="s">
        <v>235</v>
      </c>
      <c r="F472" t="s">
        <v>231</v>
      </c>
      <c r="G472" s="77">
        <v>137</v>
      </c>
      <c r="H472" s="77">
        <v>28</v>
      </c>
      <c r="I472" s="77">
        <v>3836</v>
      </c>
    </row>
    <row r="473" spans="1:9" ht="15" customHeight="1" x14ac:dyDescent="0.25">
      <c r="A473" s="78">
        <v>45992</v>
      </c>
      <c r="B473" t="s">
        <v>488</v>
      </c>
      <c r="C473" t="s">
        <v>489</v>
      </c>
      <c r="D473" t="s">
        <v>225</v>
      </c>
      <c r="E473" t="s">
        <v>236</v>
      </c>
      <c r="F473" t="s">
        <v>232</v>
      </c>
      <c r="G473" s="77">
        <v>90</v>
      </c>
      <c r="H473" s="77">
        <v>23</v>
      </c>
      <c r="I473" s="77">
        <v>2070</v>
      </c>
    </row>
    <row r="474" spans="1:9" ht="15" customHeight="1" x14ac:dyDescent="0.25">
      <c r="A474" s="78">
        <v>45992</v>
      </c>
      <c r="B474" t="s">
        <v>406</v>
      </c>
      <c r="C474" t="s">
        <v>407</v>
      </c>
      <c r="D474" t="s">
        <v>225</v>
      </c>
      <c r="E474" t="s">
        <v>236</v>
      </c>
      <c r="F474" t="s">
        <v>232</v>
      </c>
      <c r="G474" s="77">
        <v>101</v>
      </c>
      <c r="H474" s="77">
        <v>23</v>
      </c>
      <c r="I474" s="77">
        <v>2323</v>
      </c>
    </row>
    <row r="475" spans="1:9" ht="15" customHeight="1" x14ac:dyDescent="0.25">
      <c r="A475" s="78">
        <v>45992</v>
      </c>
      <c r="B475" t="s">
        <v>406</v>
      </c>
      <c r="C475" t="s">
        <v>407</v>
      </c>
      <c r="D475" t="s">
        <v>225</v>
      </c>
      <c r="E475" t="s">
        <v>236</v>
      </c>
      <c r="F475" t="s">
        <v>230</v>
      </c>
      <c r="G475" s="77">
        <v>125</v>
      </c>
      <c r="H475" s="77">
        <v>42</v>
      </c>
      <c r="I475" s="77">
        <v>5250</v>
      </c>
    </row>
    <row r="476" spans="1:9" ht="15" customHeight="1" x14ac:dyDescent="0.25">
      <c r="A476" s="78">
        <v>45992</v>
      </c>
      <c r="B476" t="s">
        <v>358</v>
      </c>
      <c r="C476" t="s">
        <v>359</v>
      </c>
      <c r="D476" t="s">
        <v>225</v>
      </c>
      <c r="E476" t="s">
        <v>236</v>
      </c>
      <c r="F476" t="s">
        <v>230</v>
      </c>
      <c r="G476" s="77">
        <v>144</v>
      </c>
      <c r="H476" s="77">
        <v>42</v>
      </c>
      <c r="I476" s="77">
        <v>6048</v>
      </c>
    </row>
    <row r="477" spans="1:9" ht="15" customHeight="1" x14ac:dyDescent="0.25">
      <c r="A477" s="78">
        <v>45992</v>
      </c>
      <c r="B477" t="s">
        <v>358</v>
      </c>
      <c r="C477" t="s">
        <v>359</v>
      </c>
      <c r="D477" t="s">
        <v>225</v>
      </c>
      <c r="E477" t="s">
        <v>234</v>
      </c>
      <c r="F477" t="s">
        <v>231</v>
      </c>
      <c r="G477" s="77">
        <v>21</v>
      </c>
      <c r="H477" s="77">
        <v>28</v>
      </c>
      <c r="I477" s="77">
        <v>588</v>
      </c>
    </row>
    <row r="478" spans="1:9" ht="15" customHeight="1" x14ac:dyDescent="0.25">
      <c r="A478" s="78">
        <v>45992</v>
      </c>
      <c r="B478" t="s">
        <v>358</v>
      </c>
      <c r="C478" t="s">
        <v>359</v>
      </c>
      <c r="D478" t="s">
        <v>225</v>
      </c>
      <c r="E478" t="s">
        <v>236</v>
      </c>
      <c r="F478" t="s">
        <v>232</v>
      </c>
      <c r="G478" s="77">
        <v>43</v>
      </c>
      <c r="H478" s="77">
        <v>23</v>
      </c>
      <c r="I478" s="77">
        <v>989</v>
      </c>
    </row>
    <row r="479" spans="1:9" ht="15" customHeight="1" x14ac:dyDescent="0.25">
      <c r="A479" s="78">
        <v>45992</v>
      </c>
      <c r="B479" t="s">
        <v>383</v>
      </c>
      <c r="C479" t="s">
        <v>384</v>
      </c>
      <c r="D479" t="s">
        <v>225</v>
      </c>
      <c r="E479" t="s">
        <v>235</v>
      </c>
      <c r="F479" t="s">
        <v>230</v>
      </c>
      <c r="G479" s="77">
        <v>135</v>
      </c>
      <c r="H479" s="77">
        <v>42</v>
      </c>
      <c r="I479" s="77">
        <v>5670</v>
      </c>
    </row>
    <row r="480" spans="1:9" ht="15" customHeight="1" x14ac:dyDescent="0.25">
      <c r="A480" s="78">
        <v>45992</v>
      </c>
      <c r="B480" t="s">
        <v>383</v>
      </c>
      <c r="C480" t="s">
        <v>384</v>
      </c>
      <c r="D480" t="s">
        <v>225</v>
      </c>
      <c r="E480" t="s">
        <v>235</v>
      </c>
      <c r="F480" t="s">
        <v>232</v>
      </c>
      <c r="G480" s="77">
        <v>80</v>
      </c>
      <c r="H480" s="77">
        <v>23</v>
      </c>
      <c r="I480" s="77">
        <v>1840</v>
      </c>
    </row>
    <row r="481" spans="1:9" ht="15" customHeight="1" x14ac:dyDescent="0.25">
      <c r="A481" s="78">
        <v>45992</v>
      </c>
      <c r="B481" t="s">
        <v>373</v>
      </c>
      <c r="C481" t="s">
        <v>374</v>
      </c>
      <c r="D481" t="s">
        <v>225</v>
      </c>
      <c r="E481" t="s">
        <v>236</v>
      </c>
      <c r="F481" t="s">
        <v>232</v>
      </c>
      <c r="G481" s="77">
        <v>66</v>
      </c>
      <c r="H481" s="77">
        <v>23</v>
      </c>
      <c r="I481" s="77">
        <v>1518</v>
      </c>
    </row>
    <row r="482" spans="1:9" ht="15" customHeight="1" x14ac:dyDescent="0.25">
      <c r="A482" s="78">
        <v>45992</v>
      </c>
      <c r="B482" t="s">
        <v>373</v>
      </c>
      <c r="C482" t="s">
        <v>374</v>
      </c>
      <c r="D482" t="s">
        <v>225</v>
      </c>
      <c r="E482" t="s">
        <v>235</v>
      </c>
      <c r="F482" t="s">
        <v>230</v>
      </c>
      <c r="G482" s="77">
        <v>46</v>
      </c>
      <c r="H482" s="77">
        <v>42</v>
      </c>
      <c r="I482" s="77">
        <v>1932</v>
      </c>
    </row>
    <row r="483" spans="1:9" ht="15" customHeight="1" x14ac:dyDescent="0.25">
      <c r="A483" s="78">
        <v>45992</v>
      </c>
      <c r="B483" t="s">
        <v>373</v>
      </c>
      <c r="C483" t="s">
        <v>374</v>
      </c>
      <c r="D483" t="s">
        <v>225</v>
      </c>
      <c r="E483" t="s">
        <v>236</v>
      </c>
      <c r="F483" t="s">
        <v>231</v>
      </c>
      <c r="G483" s="77">
        <v>70</v>
      </c>
      <c r="H483" s="77">
        <v>28</v>
      </c>
      <c r="I483" s="77">
        <v>1960</v>
      </c>
    </row>
    <row r="484" spans="1:9" ht="15" customHeight="1" x14ac:dyDescent="0.25">
      <c r="A484" s="78">
        <v>45992</v>
      </c>
      <c r="B484" t="s">
        <v>354</v>
      </c>
      <c r="C484" t="s">
        <v>355</v>
      </c>
      <c r="D484" t="s">
        <v>227</v>
      </c>
      <c r="E484" t="s">
        <v>234</v>
      </c>
      <c r="F484" t="s">
        <v>232</v>
      </c>
      <c r="G484" s="77">
        <v>40</v>
      </c>
      <c r="H484" s="77">
        <v>23</v>
      </c>
      <c r="I484" s="77">
        <v>920</v>
      </c>
    </row>
    <row r="485" spans="1:9" ht="15" customHeight="1" x14ac:dyDescent="0.25">
      <c r="A485" s="78">
        <v>45992</v>
      </c>
      <c r="B485" t="s">
        <v>354</v>
      </c>
      <c r="C485" t="s">
        <v>355</v>
      </c>
      <c r="D485" t="s">
        <v>227</v>
      </c>
      <c r="E485" t="s">
        <v>234</v>
      </c>
      <c r="F485" t="s">
        <v>230</v>
      </c>
      <c r="G485" s="77">
        <v>163</v>
      </c>
      <c r="H485" s="77">
        <v>42</v>
      </c>
      <c r="I485" s="77">
        <v>6846</v>
      </c>
    </row>
    <row r="486" spans="1:9" ht="15" customHeight="1" x14ac:dyDescent="0.25">
      <c r="A486" s="78">
        <v>45992</v>
      </c>
      <c r="B486" t="s">
        <v>370</v>
      </c>
      <c r="C486" t="s">
        <v>371</v>
      </c>
      <c r="D486" t="s">
        <v>227</v>
      </c>
      <c r="E486" t="s">
        <v>235</v>
      </c>
      <c r="F486" t="s">
        <v>230</v>
      </c>
      <c r="G486" s="77">
        <v>89</v>
      </c>
      <c r="H486" s="77">
        <v>42</v>
      </c>
      <c r="I486" s="77">
        <v>3738</v>
      </c>
    </row>
    <row r="487" spans="1:9" ht="15" customHeight="1" x14ac:dyDescent="0.25">
      <c r="A487" s="78">
        <v>45992</v>
      </c>
      <c r="B487" t="s">
        <v>370</v>
      </c>
      <c r="C487" t="s">
        <v>371</v>
      </c>
      <c r="D487" t="s">
        <v>227</v>
      </c>
      <c r="E487" t="s">
        <v>234</v>
      </c>
      <c r="F487" t="s">
        <v>232</v>
      </c>
      <c r="G487" s="77">
        <v>87</v>
      </c>
      <c r="H487" s="77">
        <v>23</v>
      </c>
      <c r="I487" s="77">
        <v>2001</v>
      </c>
    </row>
    <row r="488" spans="1:9" ht="15" customHeight="1" x14ac:dyDescent="0.25">
      <c r="A488" s="78">
        <v>45992</v>
      </c>
      <c r="B488" t="s">
        <v>398</v>
      </c>
      <c r="C488" t="s">
        <v>399</v>
      </c>
      <c r="D488" t="s">
        <v>227</v>
      </c>
      <c r="E488" t="s">
        <v>236</v>
      </c>
      <c r="F488" t="s">
        <v>232</v>
      </c>
      <c r="G488" s="77">
        <v>110</v>
      </c>
      <c r="H488" s="77">
        <v>23</v>
      </c>
      <c r="I488" s="77">
        <v>2530</v>
      </c>
    </row>
    <row r="489" spans="1:9" ht="15" customHeight="1" x14ac:dyDescent="0.25">
      <c r="A489" s="78">
        <v>45992</v>
      </c>
      <c r="B489" t="s">
        <v>398</v>
      </c>
      <c r="C489" t="s">
        <v>399</v>
      </c>
      <c r="D489" t="s">
        <v>227</v>
      </c>
      <c r="E489" t="s">
        <v>234</v>
      </c>
      <c r="F489" t="s">
        <v>231</v>
      </c>
      <c r="G489" s="77">
        <v>123</v>
      </c>
      <c r="H489" s="77">
        <v>28</v>
      </c>
      <c r="I489" s="77">
        <v>3444</v>
      </c>
    </row>
    <row r="490" spans="1:9" ht="15" customHeight="1" x14ac:dyDescent="0.25">
      <c r="A490" s="78">
        <v>45992</v>
      </c>
      <c r="B490" t="s">
        <v>398</v>
      </c>
      <c r="C490" t="s">
        <v>399</v>
      </c>
      <c r="D490" t="s">
        <v>227</v>
      </c>
      <c r="E490" t="s">
        <v>235</v>
      </c>
      <c r="F490" t="s">
        <v>230</v>
      </c>
      <c r="G490" s="77">
        <v>123</v>
      </c>
      <c r="H490" s="77">
        <v>42</v>
      </c>
      <c r="I490" s="77">
        <v>5166</v>
      </c>
    </row>
    <row r="491" spans="1:9" ht="15" customHeight="1" x14ac:dyDescent="0.25">
      <c r="A491" s="78">
        <v>45992</v>
      </c>
      <c r="B491" t="s">
        <v>378</v>
      </c>
      <c r="C491" t="s">
        <v>379</v>
      </c>
      <c r="D491" t="s">
        <v>227</v>
      </c>
      <c r="E491" t="s">
        <v>234</v>
      </c>
      <c r="F491" t="s">
        <v>232</v>
      </c>
      <c r="G491" s="77">
        <v>127</v>
      </c>
      <c r="H491" s="77">
        <v>23</v>
      </c>
      <c r="I491" s="77">
        <v>2921</v>
      </c>
    </row>
    <row r="492" spans="1:9" ht="15" customHeight="1" x14ac:dyDescent="0.25">
      <c r="A492" s="78">
        <v>45992</v>
      </c>
      <c r="B492" t="s">
        <v>393</v>
      </c>
      <c r="C492" t="s">
        <v>394</v>
      </c>
      <c r="D492" t="s">
        <v>227</v>
      </c>
      <c r="E492" t="s">
        <v>235</v>
      </c>
      <c r="F492" t="s">
        <v>230</v>
      </c>
      <c r="G492" s="77">
        <v>67</v>
      </c>
      <c r="H492" s="77">
        <v>42</v>
      </c>
      <c r="I492" s="77">
        <v>2814</v>
      </c>
    </row>
    <row r="493" spans="1:9" ht="15" customHeight="1" x14ac:dyDescent="0.25">
      <c r="A493" s="78">
        <v>45992</v>
      </c>
      <c r="B493" t="s">
        <v>393</v>
      </c>
      <c r="C493" t="s">
        <v>394</v>
      </c>
      <c r="D493" t="s">
        <v>227</v>
      </c>
      <c r="E493" t="s">
        <v>234</v>
      </c>
      <c r="F493" t="s">
        <v>231</v>
      </c>
      <c r="G493" s="77">
        <v>79</v>
      </c>
      <c r="H493" s="77">
        <v>28</v>
      </c>
      <c r="I493" s="77">
        <v>2212</v>
      </c>
    </row>
  </sheetData>
  <pageMargins left="0.7" right="0.7" top="0.75" bottom="0.75" header="0.511811023622047" footer="0.511811023622047"/>
  <pageSetup paperSize="9" orientation="portrait" horizontalDpi="300" verticalDpi="300"/>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241"/>
  <sheetViews>
    <sheetView zoomScaleNormal="100" workbookViewId="0">
      <pane ySplit="1" topLeftCell="A2" activePane="bottomLeft" state="frozen"/>
      <selection pane="bottomLeft"/>
    </sheetView>
  </sheetViews>
  <sheetFormatPr defaultColWidth="8.7109375" defaultRowHeight="15" x14ac:dyDescent="0.25"/>
  <cols>
    <col min="1" max="6" width="10.7109375" customWidth="1"/>
    <col min="7" max="7" width="13.7109375" customWidth="1"/>
    <col min="8" max="9" width="10.7109375" customWidth="1"/>
    <col min="10" max="10" width="11.7109375" customWidth="1"/>
    <col min="11" max="12" width="12.7109375" customWidth="1"/>
    <col min="13" max="13" width="10.7109375" customWidth="1"/>
    <col min="14" max="14" width="15.7109375" customWidth="1"/>
  </cols>
  <sheetData>
    <row r="1" spans="1:14" ht="15" customHeight="1" x14ac:dyDescent="0.25">
      <c r="A1" t="s">
        <v>78</v>
      </c>
      <c r="B1" t="s">
        <v>191</v>
      </c>
      <c r="C1" t="s">
        <v>320</v>
      </c>
      <c r="D1" t="s">
        <v>75</v>
      </c>
      <c r="E1" t="s">
        <v>83</v>
      </c>
      <c r="F1" t="s">
        <v>135</v>
      </c>
      <c r="G1" t="s">
        <v>129</v>
      </c>
      <c r="H1" t="s">
        <v>133</v>
      </c>
      <c r="I1" t="s">
        <v>131</v>
      </c>
      <c r="J1" t="s">
        <v>2373</v>
      </c>
      <c r="K1" t="s">
        <v>2374</v>
      </c>
      <c r="L1" t="s">
        <v>2375</v>
      </c>
      <c r="M1" t="s">
        <v>85</v>
      </c>
      <c r="N1" t="s">
        <v>2376</v>
      </c>
    </row>
    <row r="2" spans="1:14" ht="15" customHeight="1" x14ac:dyDescent="0.25">
      <c r="A2" s="78">
        <v>45658</v>
      </c>
      <c r="B2" t="s">
        <v>390</v>
      </c>
      <c r="C2" t="s">
        <v>391</v>
      </c>
      <c r="D2" t="s">
        <v>221</v>
      </c>
      <c r="E2" s="124">
        <v>474619.09</v>
      </c>
      <c r="F2" s="124">
        <v>233960.25333333301</v>
      </c>
      <c r="G2" s="126">
        <v>29957.93</v>
      </c>
      <c r="H2" s="126">
        <v>2618.0500000000002</v>
      </c>
      <c r="I2" s="77">
        <v>10926</v>
      </c>
      <c r="J2" s="124">
        <v>35029.32</v>
      </c>
      <c r="K2" s="124">
        <v>300615.21000000002</v>
      </c>
      <c r="L2" s="124">
        <v>312491.55333333299</v>
      </c>
      <c r="M2" s="124">
        <v>162127.536666667</v>
      </c>
      <c r="N2" s="76">
        <v>0.34159506029702003</v>
      </c>
    </row>
    <row r="3" spans="1:14" ht="15" customHeight="1" x14ac:dyDescent="0.25">
      <c r="A3" s="78">
        <v>45658</v>
      </c>
      <c r="B3" t="s">
        <v>401</v>
      </c>
      <c r="C3" t="s">
        <v>402</v>
      </c>
      <c r="D3" t="s">
        <v>221</v>
      </c>
      <c r="E3" s="124">
        <v>322229.82</v>
      </c>
      <c r="F3" s="124">
        <v>162668.406666667</v>
      </c>
      <c r="G3" s="126">
        <v>46147.12</v>
      </c>
      <c r="H3" s="126">
        <v>2313.88</v>
      </c>
      <c r="I3" s="77">
        <v>8327</v>
      </c>
      <c r="J3" s="124">
        <v>18848.64</v>
      </c>
      <c r="K3" s="124">
        <v>237293.33</v>
      </c>
      <c r="L3" s="124">
        <v>238305.04666666701</v>
      </c>
      <c r="M3" s="124">
        <v>83924.773333333302</v>
      </c>
      <c r="N3" s="76">
        <v>0.26045005187084602</v>
      </c>
    </row>
    <row r="4" spans="1:14" ht="15" customHeight="1" x14ac:dyDescent="0.25">
      <c r="A4" s="78">
        <v>45658</v>
      </c>
      <c r="B4" t="s">
        <v>431</v>
      </c>
      <c r="C4" t="s">
        <v>432</v>
      </c>
      <c r="D4" t="s">
        <v>221</v>
      </c>
      <c r="E4" s="124">
        <v>443270.86</v>
      </c>
      <c r="F4" s="124">
        <v>209015.64666666699</v>
      </c>
      <c r="G4" s="126">
        <v>56737.51</v>
      </c>
      <c r="H4" s="126">
        <v>4026.14</v>
      </c>
      <c r="I4" s="77">
        <v>10572</v>
      </c>
      <c r="J4" s="124">
        <v>30594.89</v>
      </c>
      <c r="K4" s="124">
        <v>321242.96999999997</v>
      </c>
      <c r="L4" s="124">
        <v>310946.186666667</v>
      </c>
      <c r="M4" s="124">
        <v>132324.67333333299</v>
      </c>
      <c r="N4" s="76">
        <v>0.298518773224419</v>
      </c>
    </row>
    <row r="5" spans="1:14" ht="15" customHeight="1" x14ac:dyDescent="0.25">
      <c r="A5" s="78">
        <v>45658</v>
      </c>
      <c r="B5" t="s">
        <v>366</v>
      </c>
      <c r="C5" t="s">
        <v>367</v>
      </c>
      <c r="D5" t="s">
        <v>221</v>
      </c>
      <c r="E5" s="124">
        <v>225588.97</v>
      </c>
      <c r="F5" s="124">
        <v>126464.86333333301</v>
      </c>
      <c r="G5" s="126">
        <v>19671.36</v>
      </c>
      <c r="H5" s="126">
        <v>2389.81</v>
      </c>
      <c r="I5" s="77">
        <v>5978</v>
      </c>
      <c r="J5" s="124">
        <v>17476.53</v>
      </c>
      <c r="K5" s="124">
        <v>168715.6</v>
      </c>
      <c r="L5" s="124">
        <v>171980.563333333</v>
      </c>
      <c r="M5" s="124">
        <v>53608.406666666699</v>
      </c>
      <c r="N5" s="76">
        <v>0.23763753461291401</v>
      </c>
    </row>
    <row r="6" spans="1:14" ht="15" customHeight="1" x14ac:dyDescent="0.25">
      <c r="A6" s="78">
        <v>45658</v>
      </c>
      <c r="B6" t="s">
        <v>362</v>
      </c>
      <c r="C6" t="s">
        <v>363</v>
      </c>
      <c r="D6" t="s">
        <v>221</v>
      </c>
      <c r="E6" s="124">
        <v>480577.57</v>
      </c>
      <c r="F6" s="124">
        <v>198889.36333333299</v>
      </c>
      <c r="G6" s="126">
        <v>114638.36</v>
      </c>
      <c r="H6" s="126">
        <v>2136.15</v>
      </c>
      <c r="I6" s="77">
        <v>1820</v>
      </c>
      <c r="J6" s="124">
        <v>37508.21</v>
      </c>
      <c r="K6" s="124">
        <v>356469.83</v>
      </c>
      <c r="L6" s="124">
        <v>354992.08333333302</v>
      </c>
      <c r="M6" s="124">
        <v>125585.486666667</v>
      </c>
      <c r="N6" s="76">
        <v>0.26132198942756901</v>
      </c>
    </row>
    <row r="7" spans="1:14" ht="15" customHeight="1" x14ac:dyDescent="0.25">
      <c r="A7" s="78">
        <v>45658</v>
      </c>
      <c r="B7" t="s">
        <v>335</v>
      </c>
      <c r="C7" t="s">
        <v>336</v>
      </c>
      <c r="D7" t="s">
        <v>223</v>
      </c>
      <c r="E7" s="124">
        <v>253082.63</v>
      </c>
      <c r="F7" s="124">
        <v>105935.066666667</v>
      </c>
      <c r="G7" s="126">
        <v>39216.379999999997</v>
      </c>
      <c r="H7" s="126">
        <v>2082.71</v>
      </c>
      <c r="I7" s="77">
        <v>4172</v>
      </c>
      <c r="J7" s="124">
        <v>18193.509999999998</v>
      </c>
      <c r="K7" s="124">
        <v>172312.36</v>
      </c>
      <c r="L7" s="124">
        <v>169599.66666666701</v>
      </c>
      <c r="M7" s="124">
        <v>83482.963333333406</v>
      </c>
      <c r="N7" s="76">
        <v>0.32986445309712997</v>
      </c>
    </row>
    <row r="8" spans="1:14" ht="15" customHeight="1" x14ac:dyDescent="0.25">
      <c r="A8" s="78">
        <v>45658</v>
      </c>
      <c r="B8" t="s">
        <v>386</v>
      </c>
      <c r="C8" t="s">
        <v>387</v>
      </c>
      <c r="D8" t="s">
        <v>223</v>
      </c>
      <c r="E8" s="124">
        <v>459390.76</v>
      </c>
      <c r="F8" s="124">
        <v>194379.623333333</v>
      </c>
      <c r="G8" s="126">
        <v>80306.320000000007</v>
      </c>
      <c r="H8" s="126">
        <v>2365.0700000000002</v>
      </c>
      <c r="I8" s="77">
        <v>2890</v>
      </c>
      <c r="J8" s="124">
        <v>34864.61</v>
      </c>
      <c r="K8" s="124">
        <v>316673.53000000003</v>
      </c>
      <c r="L8" s="124">
        <v>314805.623333333</v>
      </c>
      <c r="M8" s="124">
        <v>144585.13666666701</v>
      </c>
      <c r="N8" s="76">
        <v>0.31473235697354202</v>
      </c>
    </row>
    <row r="9" spans="1:14" ht="15" customHeight="1" x14ac:dyDescent="0.25">
      <c r="A9" s="78">
        <v>45658</v>
      </c>
      <c r="B9" t="s">
        <v>341</v>
      </c>
      <c r="C9" t="s">
        <v>342</v>
      </c>
      <c r="D9" t="s">
        <v>223</v>
      </c>
      <c r="E9" s="124">
        <v>408256.15</v>
      </c>
      <c r="F9" s="124">
        <v>187881.8</v>
      </c>
      <c r="G9" s="126">
        <v>70155.570000000007</v>
      </c>
      <c r="H9" s="126">
        <v>3437.69</v>
      </c>
      <c r="I9" s="77">
        <v>4479</v>
      </c>
      <c r="J9" s="124">
        <v>30631.99</v>
      </c>
      <c r="K9" s="124">
        <v>301514.81</v>
      </c>
      <c r="L9" s="124">
        <v>296586.05</v>
      </c>
      <c r="M9" s="124">
        <v>111670.1</v>
      </c>
      <c r="N9" s="76">
        <v>0.27352949857583297</v>
      </c>
    </row>
    <row r="10" spans="1:14" ht="15" customHeight="1" x14ac:dyDescent="0.25">
      <c r="A10" s="78">
        <v>45658</v>
      </c>
      <c r="B10" t="s">
        <v>347</v>
      </c>
      <c r="C10" t="s">
        <v>348</v>
      </c>
      <c r="D10" t="s">
        <v>223</v>
      </c>
      <c r="E10" s="124">
        <v>257222.08</v>
      </c>
      <c r="F10" s="124">
        <v>107740.256666667</v>
      </c>
      <c r="G10" s="126">
        <v>46215.75</v>
      </c>
      <c r="H10" s="126">
        <v>5176.84</v>
      </c>
      <c r="I10" s="77">
        <v>8384</v>
      </c>
      <c r="J10" s="124">
        <v>15475.41</v>
      </c>
      <c r="K10" s="124">
        <v>179413.25</v>
      </c>
      <c r="L10" s="124">
        <v>182992.256666667</v>
      </c>
      <c r="M10" s="124">
        <v>74229.823333333305</v>
      </c>
      <c r="N10" s="76">
        <v>0.28858262608456198</v>
      </c>
    </row>
    <row r="11" spans="1:14" ht="15" customHeight="1" x14ac:dyDescent="0.25">
      <c r="A11" s="78">
        <v>45658</v>
      </c>
      <c r="B11" t="s">
        <v>409</v>
      </c>
      <c r="C11" t="s">
        <v>410</v>
      </c>
      <c r="D11" t="s">
        <v>223</v>
      </c>
      <c r="E11" s="124">
        <v>336788.75</v>
      </c>
      <c r="F11" s="124">
        <v>171773.51333333299</v>
      </c>
      <c r="G11" s="126">
        <v>23581.27</v>
      </c>
      <c r="H11" s="126">
        <v>4097.03</v>
      </c>
      <c r="I11" s="77">
        <v>9165</v>
      </c>
      <c r="J11" s="124">
        <v>18906.29</v>
      </c>
      <c r="K11" s="124">
        <v>229154.82</v>
      </c>
      <c r="L11" s="124">
        <v>227523.10333333301</v>
      </c>
      <c r="M11" s="124">
        <v>109265.646666667</v>
      </c>
      <c r="N11" s="76">
        <v>0.32443377834522902</v>
      </c>
    </row>
    <row r="12" spans="1:14" ht="15" customHeight="1" x14ac:dyDescent="0.25">
      <c r="A12" s="78">
        <v>45658</v>
      </c>
      <c r="B12" t="s">
        <v>488</v>
      </c>
      <c r="C12" t="s">
        <v>489</v>
      </c>
      <c r="D12" t="s">
        <v>225</v>
      </c>
      <c r="E12" s="124">
        <v>275996.19</v>
      </c>
      <c r="F12" s="124">
        <v>107439.8</v>
      </c>
      <c r="G12" s="126">
        <v>49352.19</v>
      </c>
      <c r="H12" s="126">
        <v>5448.97</v>
      </c>
      <c r="I12" s="77">
        <v>7647</v>
      </c>
      <c r="J12" s="124">
        <v>20130.61</v>
      </c>
      <c r="K12" s="124">
        <v>189971.53</v>
      </c>
      <c r="L12" s="124">
        <v>190018.57</v>
      </c>
      <c r="M12" s="124">
        <v>85977.62</v>
      </c>
      <c r="N12" s="76">
        <v>0.31151741623679702</v>
      </c>
    </row>
    <row r="13" spans="1:14" ht="15" customHeight="1" x14ac:dyDescent="0.25">
      <c r="A13" s="78">
        <v>45658</v>
      </c>
      <c r="B13" t="s">
        <v>406</v>
      </c>
      <c r="C13" t="s">
        <v>407</v>
      </c>
      <c r="D13" t="s">
        <v>225</v>
      </c>
      <c r="E13" s="124">
        <v>323384.21000000002</v>
      </c>
      <c r="F13" s="124">
        <v>148083.26666666701</v>
      </c>
      <c r="G13" s="126">
        <v>34609.06</v>
      </c>
      <c r="H13" s="126">
        <v>2439.87</v>
      </c>
      <c r="I13" s="77">
        <v>5498</v>
      </c>
      <c r="J13" s="124">
        <v>25385.59</v>
      </c>
      <c r="K13" s="124">
        <v>216520.19</v>
      </c>
      <c r="L13" s="124">
        <v>216015.786666667</v>
      </c>
      <c r="M13" s="124">
        <v>107368.423333333</v>
      </c>
      <c r="N13" s="76">
        <v>0.33201504592117598</v>
      </c>
    </row>
    <row r="14" spans="1:14" ht="15" customHeight="1" x14ac:dyDescent="0.25">
      <c r="A14" s="78">
        <v>45658</v>
      </c>
      <c r="B14" t="s">
        <v>358</v>
      </c>
      <c r="C14" t="s">
        <v>359</v>
      </c>
      <c r="D14" t="s">
        <v>225</v>
      </c>
      <c r="E14" s="124">
        <v>304742.86</v>
      </c>
      <c r="F14" s="124">
        <v>124718.6</v>
      </c>
      <c r="G14" s="126">
        <v>55216.89</v>
      </c>
      <c r="H14" s="126">
        <v>5503.6</v>
      </c>
      <c r="I14" s="77">
        <v>7063</v>
      </c>
      <c r="J14" s="124">
        <v>18805.810000000001</v>
      </c>
      <c r="K14" s="124">
        <v>203956.39</v>
      </c>
      <c r="L14" s="124">
        <v>211307.9</v>
      </c>
      <c r="M14" s="124">
        <v>93434.96</v>
      </c>
      <c r="N14" s="76">
        <v>0.30660262228949398</v>
      </c>
    </row>
    <row r="15" spans="1:14" ht="15" customHeight="1" x14ac:dyDescent="0.25">
      <c r="A15" s="78">
        <v>45658</v>
      </c>
      <c r="B15" t="s">
        <v>383</v>
      </c>
      <c r="C15" t="s">
        <v>384</v>
      </c>
      <c r="D15" t="s">
        <v>225</v>
      </c>
      <c r="E15" s="124">
        <v>305780.56</v>
      </c>
      <c r="F15" s="124">
        <v>125991.86</v>
      </c>
      <c r="G15" s="126">
        <v>57625.21</v>
      </c>
      <c r="H15" s="126">
        <v>4045.84</v>
      </c>
      <c r="I15" s="77">
        <v>6474</v>
      </c>
      <c r="J15" s="124">
        <v>20845.22</v>
      </c>
      <c r="K15" s="124">
        <v>208451.45</v>
      </c>
      <c r="L15" s="124">
        <v>214982.13</v>
      </c>
      <c r="M15" s="124">
        <v>90798.43</v>
      </c>
      <c r="N15" s="76">
        <v>0.29693983816368202</v>
      </c>
    </row>
    <row r="16" spans="1:14" ht="15" customHeight="1" x14ac:dyDescent="0.25">
      <c r="A16" s="78">
        <v>45658</v>
      </c>
      <c r="B16" t="s">
        <v>373</v>
      </c>
      <c r="C16" t="s">
        <v>374</v>
      </c>
      <c r="D16" t="s">
        <v>225</v>
      </c>
      <c r="E16" s="124">
        <v>360398.87</v>
      </c>
      <c r="F16" s="124">
        <v>158653.906666667</v>
      </c>
      <c r="G16" s="126">
        <v>65459.24</v>
      </c>
      <c r="H16" s="126">
        <v>2145.48</v>
      </c>
      <c r="I16" s="77">
        <v>4480</v>
      </c>
      <c r="J16" s="124">
        <v>26341.41</v>
      </c>
      <c r="K16" s="124">
        <v>262219.71999999997</v>
      </c>
      <c r="L16" s="124">
        <v>257080.036666667</v>
      </c>
      <c r="M16" s="124">
        <v>103318.83333333299</v>
      </c>
      <c r="N16" s="76">
        <v>0.28667912675012902</v>
      </c>
    </row>
    <row r="17" spans="1:14" ht="15" customHeight="1" x14ac:dyDescent="0.25">
      <c r="A17" s="78">
        <v>45658</v>
      </c>
      <c r="B17" t="s">
        <v>354</v>
      </c>
      <c r="C17" t="s">
        <v>355</v>
      </c>
      <c r="D17" t="s">
        <v>227</v>
      </c>
      <c r="E17" s="124">
        <v>291973.08</v>
      </c>
      <c r="F17" s="124">
        <v>120008.08</v>
      </c>
      <c r="G17" s="126">
        <v>72383.83</v>
      </c>
      <c r="H17" s="126">
        <v>3580.65</v>
      </c>
      <c r="I17" s="77">
        <v>1633</v>
      </c>
      <c r="J17" s="124">
        <v>24012.53</v>
      </c>
      <c r="K17" s="124">
        <v>229693</v>
      </c>
      <c r="L17" s="124">
        <v>221618.09</v>
      </c>
      <c r="M17" s="124">
        <v>70354.990000000005</v>
      </c>
      <c r="N17" s="76">
        <v>0.240963961472065</v>
      </c>
    </row>
    <row r="18" spans="1:14" ht="15" customHeight="1" x14ac:dyDescent="0.25">
      <c r="A18" s="78">
        <v>45658</v>
      </c>
      <c r="B18" t="s">
        <v>370</v>
      </c>
      <c r="C18" t="s">
        <v>371</v>
      </c>
      <c r="D18" t="s">
        <v>227</v>
      </c>
      <c r="E18" s="124">
        <v>201201.32</v>
      </c>
      <c r="F18" s="124">
        <v>82462.046666666705</v>
      </c>
      <c r="G18" s="126">
        <v>46251.9</v>
      </c>
      <c r="H18" s="126">
        <v>5071.3599999999997</v>
      </c>
      <c r="I18" s="77">
        <v>1242</v>
      </c>
      <c r="J18" s="124">
        <v>13993.28</v>
      </c>
      <c r="K18" s="124">
        <v>154415.67999999999</v>
      </c>
      <c r="L18" s="124">
        <v>149020.58666666699</v>
      </c>
      <c r="M18" s="124">
        <v>52180.733333333403</v>
      </c>
      <c r="N18" s="76">
        <v>0.259345879705627</v>
      </c>
    </row>
    <row r="19" spans="1:14" ht="15" customHeight="1" x14ac:dyDescent="0.25">
      <c r="A19" s="78">
        <v>45658</v>
      </c>
      <c r="B19" t="s">
        <v>398</v>
      </c>
      <c r="C19" t="s">
        <v>399</v>
      </c>
      <c r="D19" t="s">
        <v>227</v>
      </c>
      <c r="E19" s="124">
        <v>284831.13</v>
      </c>
      <c r="F19" s="124">
        <v>139224.43</v>
      </c>
      <c r="G19" s="126">
        <v>35418.92</v>
      </c>
      <c r="H19" s="126">
        <v>3243.53</v>
      </c>
      <c r="I19" s="77">
        <v>2277</v>
      </c>
      <c r="J19" s="124">
        <v>20545.02</v>
      </c>
      <c r="K19" s="124">
        <v>196666.49</v>
      </c>
      <c r="L19" s="124">
        <v>200708.9</v>
      </c>
      <c r="M19" s="124">
        <v>84122.23</v>
      </c>
      <c r="N19" s="76">
        <v>0.29534071644486298</v>
      </c>
    </row>
    <row r="20" spans="1:14" ht="15" customHeight="1" x14ac:dyDescent="0.25">
      <c r="A20" s="78">
        <v>45658</v>
      </c>
      <c r="B20" t="s">
        <v>378</v>
      </c>
      <c r="C20" t="s">
        <v>379</v>
      </c>
      <c r="D20" t="s">
        <v>227</v>
      </c>
      <c r="E20" s="124">
        <v>559247.42000000004</v>
      </c>
      <c r="F20" s="124">
        <v>151573.78333333301</v>
      </c>
      <c r="G20" s="126">
        <v>179125.04</v>
      </c>
      <c r="H20" s="126">
        <v>3030.36</v>
      </c>
      <c r="I20" s="77">
        <v>280</v>
      </c>
      <c r="J20" s="124">
        <v>43546.28</v>
      </c>
      <c r="K20" s="124">
        <v>375649.37</v>
      </c>
      <c r="L20" s="124">
        <v>377555.46333333303</v>
      </c>
      <c r="M20" s="124">
        <v>181691.95666666701</v>
      </c>
      <c r="N20" s="76">
        <v>0.32488653531323702</v>
      </c>
    </row>
    <row r="21" spans="1:14" ht="15" customHeight="1" x14ac:dyDescent="0.25">
      <c r="A21" s="78">
        <v>45658</v>
      </c>
      <c r="B21" t="s">
        <v>393</v>
      </c>
      <c r="C21" t="s">
        <v>394</v>
      </c>
      <c r="D21" t="s">
        <v>227</v>
      </c>
      <c r="E21" s="124">
        <v>290662.90999999997</v>
      </c>
      <c r="F21" s="124">
        <v>177234.67</v>
      </c>
      <c r="G21" s="126">
        <v>5931.72</v>
      </c>
      <c r="H21" s="126">
        <v>5584.87</v>
      </c>
      <c r="I21" s="77">
        <v>4130</v>
      </c>
      <c r="J21" s="124">
        <v>21993.45</v>
      </c>
      <c r="K21" s="124">
        <v>215139.23</v>
      </c>
      <c r="L21" s="124">
        <v>214874.71</v>
      </c>
      <c r="M21" s="124">
        <v>75788.2</v>
      </c>
      <c r="N21" s="76">
        <v>0.26074259010205297</v>
      </c>
    </row>
    <row r="22" spans="1:14" ht="15" customHeight="1" x14ac:dyDescent="0.25">
      <c r="A22" s="78">
        <v>45689</v>
      </c>
      <c r="B22" t="s">
        <v>390</v>
      </c>
      <c r="C22" t="s">
        <v>391</v>
      </c>
      <c r="D22" t="s">
        <v>221</v>
      </c>
      <c r="E22" s="124">
        <v>351203.43</v>
      </c>
      <c r="F22" s="124">
        <v>155986.98333333299</v>
      </c>
      <c r="G22" s="126">
        <v>50576.98</v>
      </c>
      <c r="H22" s="126">
        <v>4832</v>
      </c>
      <c r="I22" s="77">
        <v>6802</v>
      </c>
      <c r="J22" s="124">
        <v>22362.240000000002</v>
      </c>
      <c r="K22" s="124">
        <v>241877.75</v>
      </c>
      <c r="L22" s="124">
        <v>240560.20333333299</v>
      </c>
      <c r="M22" s="124">
        <v>110643.226666667</v>
      </c>
      <c r="N22" s="76">
        <v>0.31504027926682499</v>
      </c>
    </row>
    <row r="23" spans="1:14" ht="15" customHeight="1" x14ac:dyDescent="0.25">
      <c r="A23" s="78">
        <v>45689</v>
      </c>
      <c r="B23" t="s">
        <v>401</v>
      </c>
      <c r="C23" t="s">
        <v>402</v>
      </c>
      <c r="D23" t="s">
        <v>221</v>
      </c>
      <c r="E23" s="124">
        <v>359737.03</v>
      </c>
      <c r="F23" s="124">
        <v>178414.94333333301</v>
      </c>
      <c r="G23" s="126">
        <v>58187.33</v>
      </c>
      <c r="H23" s="126">
        <v>4629.9799999999996</v>
      </c>
      <c r="I23" s="77">
        <v>1708</v>
      </c>
      <c r="J23" s="124">
        <v>26374.62</v>
      </c>
      <c r="K23" s="124">
        <v>275929.53999999998</v>
      </c>
      <c r="L23" s="124">
        <v>269314.873333333</v>
      </c>
      <c r="M23" s="124">
        <v>90422.156666666706</v>
      </c>
      <c r="N23" s="76">
        <v>0.25135626617773199</v>
      </c>
    </row>
    <row r="24" spans="1:14" ht="15" customHeight="1" x14ac:dyDescent="0.25">
      <c r="A24" s="78">
        <v>45689</v>
      </c>
      <c r="B24" t="s">
        <v>431</v>
      </c>
      <c r="C24" t="s">
        <v>432</v>
      </c>
      <c r="D24" t="s">
        <v>221</v>
      </c>
      <c r="E24" s="124">
        <v>337699.18</v>
      </c>
      <c r="F24" s="124">
        <v>132360.12</v>
      </c>
      <c r="G24" s="126">
        <v>87404.68</v>
      </c>
      <c r="H24" s="126">
        <v>2855.6</v>
      </c>
      <c r="I24" s="77">
        <v>7406</v>
      </c>
      <c r="J24" s="124">
        <v>26906.65</v>
      </c>
      <c r="K24" s="124">
        <v>252084.49</v>
      </c>
      <c r="L24" s="124">
        <v>256933.05</v>
      </c>
      <c r="M24" s="124">
        <v>80766.13</v>
      </c>
      <c r="N24" s="76">
        <v>0.239165904992722</v>
      </c>
    </row>
    <row r="25" spans="1:14" ht="15" customHeight="1" x14ac:dyDescent="0.25">
      <c r="A25" s="78">
        <v>45689</v>
      </c>
      <c r="B25" t="s">
        <v>366</v>
      </c>
      <c r="C25" t="s">
        <v>367</v>
      </c>
      <c r="D25" t="s">
        <v>221</v>
      </c>
      <c r="E25" s="124">
        <v>397540.99</v>
      </c>
      <c r="F25" s="124">
        <v>188115.57666666701</v>
      </c>
      <c r="G25" s="126">
        <v>33281.51</v>
      </c>
      <c r="H25" s="126">
        <v>3648.79</v>
      </c>
      <c r="I25" s="77">
        <v>10391</v>
      </c>
      <c r="J25" s="124">
        <v>31979.65</v>
      </c>
      <c r="K25" s="124">
        <v>277166.63</v>
      </c>
      <c r="L25" s="124">
        <v>267416.52666666702</v>
      </c>
      <c r="M25" s="124">
        <v>130124.463333333</v>
      </c>
      <c r="N25" s="76">
        <v>0.32732338703823599</v>
      </c>
    </row>
    <row r="26" spans="1:14" ht="15" customHeight="1" x14ac:dyDescent="0.25">
      <c r="A26" s="78">
        <v>45689</v>
      </c>
      <c r="B26" t="s">
        <v>362</v>
      </c>
      <c r="C26" t="s">
        <v>363</v>
      </c>
      <c r="D26" t="s">
        <v>221</v>
      </c>
      <c r="E26" s="124">
        <v>285523.55</v>
      </c>
      <c r="F26" s="124">
        <v>143334.73666666701</v>
      </c>
      <c r="G26" s="126">
        <v>39452.870000000003</v>
      </c>
      <c r="H26" s="126">
        <v>3768.39</v>
      </c>
      <c r="I26" s="77">
        <v>5369</v>
      </c>
      <c r="J26" s="124">
        <v>17539.79</v>
      </c>
      <c r="K26" s="124">
        <v>201940.49</v>
      </c>
      <c r="L26" s="124">
        <v>209464.786666667</v>
      </c>
      <c r="M26" s="124">
        <v>76058.763333333307</v>
      </c>
      <c r="N26" s="76">
        <v>0.26638350263343702</v>
      </c>
    </row>
    <row r="27" spans="1:14" ht="15" customHeight="1" x14ac:dyDescent="0.25">
      <c r="A27" s="78">
        <v>45689</v>
      </c>
      <c r="B27" t="s">
        <v>335</v>
      </c>
      <c r="C27" t="s">
        <v>336</v>
      </c>
      <c r="D27" t="s">
        <v>223</v>
      </c>
      <c r="E27" s="124">
        <v>395483.58</v>
      </c>
      <c r="F27" s="124">
        <v>193280.96666666699</v>
      </c>
      <c r="G27" s="126">
        <v>50791.67</v>
      </c>
      <c r="H27" s="126">
        <v>3511.7</v>
      </c>
      <c r="I27" s="77">
        <v>3612</v>
      </c>
      <c r="J27" s="124">
        <v>32478.02</v>
      </c>
      <c r="K27" s="124">
        <v>291486.77</v>
      </c>
      <c r="L27" s="124">
        <v>283674.35666666698</v>
      </c>
      <c r="M27" s="124">
        <v>111809.22333333299</v>
      </c>
      <c r="N27" s="76">
        <v>0.28271520990412102</v>
      </c>
    </row>
    <row r="28" spans="1:14" ht="15" customHeight="1" x14ac:dyDescent="0.25">
      <c r="A28" s="78">
        <v>45689</v>
      </c>
      <c r="B28" t="s">
        <v>386</v>
      </c>
      <c r="C28" t="s">
        <v>387</v>
      </c>
      <c r="D28" t="s">
        <v>223</v>
      </c>
      <c r="E28" s="124">
        <v>363859.27</v>
      </c>
      <c r="F28" s="124">
        <v>170371.29</v>
      </c>
      <c r="G28" s="126">
        <v>61831.81</v>
      </c>
      <c r="H28" s="126">
        <v>2024.09</v>
      </c>
      <c r="I28" s="77">
        <v>11867</v>
      </c>
      <c r="J28" s="124">
        <v>24495.83</v>
      </c>
      <c r="K28" s="124">
        <v>277972.31</v>
      </c>
      <c r="L28" s="124">
        <v>270590.02</v>
      </c>
      <c r="M28" s="124">
        <v>93269.25</v>
      </c>
      <c r="N28" s="76">
        <v>0.25633330710524399</v>
      </c>
    </row>
    <row r="29" spans="1:14" ht="15" customHeight="1" x14ac:dyDescent="0.25">
      <c r="A29" s="78">
        <v>45689</v>
      </c>
      <c r="B29" t="s">
        <v>341</v>
      </c>
      <c r="C29" t="s">
        <v>342</v>
      </c>
      <c r="D29" t="s">
        <v>223</v>
      </c>
      <c r="E29" s="124">
        <v>344400.33</v>
      </c>
      <c r="F29" s="124">
        <v>182556.536666667</v>
      </c>
      <c r="G29" s="126">
        <v>22552.03</v>
      </c>
      <c r="H29" s="126">
        <v>3069.05</v>
      </c>
      <c r="I29" s="77">
        <v>3318</v>
      </c>
      <c r="J29" s="124">
        <v>25753.54</v>
      </c>
      <c r="K29" s="124">
        <v>239732.2</v>
      </c>
      <c r="L29" s="124">
        <v>237249.156666667</v>
      </c>
      <c r="M29" s="124">
        <v>107151.173333333</v>
      </c>
      <c r="N29" s="76">
        <v>0.31112389855530398</v>
      </c>
    </row>
    <row r="30" spans="1:14" ht="15" customHeight="1" x14ac:dyDescent="0.25">
      <c r="A30" s="78">
        <v>45689</v>
      </c>
      <c r="B30" t="s">
        <v>347</v>
      </c>
      <c r="C30" t="s">
        <v>348</v>
      </c>
      <c r="D30" t="s">
        <v>223</v>
      </c>
      <c r="E30" s="124">
        <v>462655.1</v>
      </c>
      <c r="F30" s="124">
        <v>223542.49666666699</v>
      </c>
      <c r="G30" s="126">
        <v>50717.33</v>
      </c>
      <c r="H30" s="126">
        <v>4125.71</v>
      </c>
      <c r="I30" s="77">
        <v>5745</v>
      </c>
      <c r="J30" s="124">
        <v>29047.68</v>
      </c>
      <c r="K30" s="124">
        <v>321937.67</v>
      </c>
      <c r="L30" s="124">
        <v>313178.21666666702</v>
      </c>
      <c r="M30" s="124">
        <v>149476.88333333301</v>
      </c>
      <c r="N30" s="76">
        <v>0.32308491429864999</v>
      </c>
    </row>
    <row r="31" spans="1:14" ht="15" customHeight="1" x14ac:dyDescent="0.25">
      <c r="A31" s="78">
        <v>45689</v>
      </c>
      <c r="B31" t="s">
        <v>409</v>
      </c>
      <c r="C31" t="s">
        <v>410</v>
      </c>
      <c r="D31" t="s">
        <v>223</v>
      </c>
      <c r="E31" s="124">
        <v>288783.43</v>
      </c>
      <c r="F31" s="124">
        <v>93107.503333333298</v>
      </c>
      <c r="G31" s="126">
        <v>69749.06</v>
      </c>
      <c r="H31" s="126">
        <v>4422.75</v>
      </c>
      <c r="I31" s="77">
        <v>3243</v>
      </c>
      <c r="J31" s="124">
        <v>20611.18</v>
      </c>
      <c r="K31" s="124">
        <v>198369.65</v>
      </c>
      <c r="L31" s="124">
        <v>191133.493333333</v>
      </c>
      <c r="M31" s="124">
        <v>97649.936666666705</v>
      </c>
      <c r="N31" s="76">
        <v>0.33814245043999502</v>
      </c>
    </row>
    <row r="32" spans="1:14" ht="15" customHeight="1" x14ac:dyDescent="0.25">
      <c r="A32" s="78">
        <v>45689</v>
      </c>
      <c r="B32" t="s">
        <v>488</v>
      </c>
      <c r="C32" t="s">
        <v>489</v>
      </c>
      <c r="D32" t="s">
        <v>225</v>
      </c>
      <c r="E32" s="124">
        <v>260889.87</v>
      </c>
      <c r="F32" s="124">
        <v>140156.01999999999</v>
      </c>
      <c r="G32" s="126">
        <v>30810.93</v>
      </c>
      <c r="H32" s="126">
        <v>2458.3000000000002</v>
      </c>
      <c r="I32" s="77">
        <v>3738</v>
      </c>
      <c r="J32" s="124">
        <v>17239.939999999999</v>
      </c>
      <c r="K32" s="124">
        <v>197541.9</v>
      </c>
      <c r="L32" s="124">
        <v>194403.19</v>
      </c>
      <c r="M32" s="124">
        <v>66486.679999999993</v>
      </c>
      <c r="N32" s="76">
        <v>0.25484577074610099</v>
      </c>
    </row>
    <row r="33" spans="1:14" ht="15" customHeight="1" x14ac:dyDescent="0.25">
      <c r="A33" s="78">
        <v>45689</v>
      </c>
      <c r="B33" t="s">
        <v>406</v>
      </c>
      <c r="C33" t="s">
        <v>407</v>
      </c>
      <c r="D33" t="s">
        <v>225</v>
      </c>
      <c r="E33" s="124">
        <v>373620.11</v>
      </c>
      <c r="F33" s="124">
        <v>108861.21666666699</v>
      </c>
      <c r="G33" s="126">
        <v>110044.66</v>
      </c>
      <c r="H33" s="126">
        <v>2223.44</v>
      </c>
      <c r="I33" s="77">
        <v>10056</v>
      </c>
      <c r="J33" s="124">
        <v>26298.62</v>
      </c>
      <c r="K33" s="124">
        <v>257575.74</v>
      </c>
      <c r="L33" s="124">
        <v>257483.936666667</v>
      </c>
      <c r="M33" s="124">
        <v>116136.173333333</v>
      </c>
      <c r="N33" s="76">
        <v>0.31084026321102798</v>
      </c>
    </row>
    <row r="34" spans="1:14" ht="15" customHeight="1" x14ac:dyDescent="0.25">
      <c r="A34" s="78">
        <v>45689</v>
      </c>
      <c r="B34" t="s">
        <v>358</v>
      </c>
      <c r="C34" t="s">
        <v>359</v>
      </c>
      <c r="D34" t="s">
        <v>225</v>
      </c>
      <c r="E34" s="124">
        <v>558321.97</v>
      </c>
      <c r="F34" s="124">
        <v>194811.85666666701</v>
      </c>
      <c r="G34" s="126">
        <v>124209.37</v>
      </c>
      <c r="H34" s="126">
        <v>3223.03</v>
      </c>
      <c r="I34" s="77">
        <v>2716</v>
      </c>
      <c r="J34" s="124">
        <v>40501.449999999997</v>
      </c>
      <c r="K34" s="124">
        <v>377180.82</v>
      </c>
      <c r="L34" s="124">
        <v>365461.70666666701</v>
      </c>
      <c r="M34" s="124">
        <v>192860.26333333299</v>
      </c>
      <c r="N34" s="76">
        <v>0.34542839740541298</v>
      </c>
    </row>
    <row r="35" spans="1:14" ht="15" customHeight="1" x14ac:dyDescent="0.25">
      <c r="A35" s="78">
        <v>45689</v>
      </c>
      <c r="B35" t="s">
        <v>383</v>
      </c>
      <c r="C35" t="s">
        <v>384</v>
      </c>
      <c r="D35" t="s">
        <v>225</v>
      </c>
      <c r="E35" s="124">
        <v>393025.84</v>
      </c>
      <c r="F35" s="124">
        <v>162027.376666667</v>
      </c>
      <c r="G35" s="126">
        <v>59107.53</v>
      </c>
      <c r="H35" s="126">
        <v>3757.23</v>
      </c>
      <c r="I35" s="77">
        <v>7350</v>
      </c>
      <c r="J35" s="124">
        <v>22600.959999999999</v>
      </c>
      <c r="K35" s="124">
        <v>253710.71</v>
      </c>
      <c r="L35" s="124">
        <v>254843.096666667</v>
      </c>
      <c r="M35" s="124">
        <v>138182.743333333</v>
      </c>
      <c r="N35" s="76">
        <v>0.35158691686361698</v>
      </c>
    </row>
    <row r="36" spans="1:14" ht="15" customHeight="1" x14ac:dyDescent="0.25">
      <c r="A36" s="78">
        <v>45689</v>
      </c>
      <c r="B36" t="s">
        <v>373</v>
      </c>
      <c r="C36" t="s">
        <v>374</v>
      </c>
      <c r="D36" t="s">
        <v>225</v>
      </c>
      <c r="E36" s="124">
        <v>272079.81</v>
      </c>
      <c r="F36" s="124">
        <v>140552.24666666699</v>
      </c>
      <c r="G36" s="126">
        <v>32889.410000000003</v>
      </c>
      <c r="H36" s="126">
        <v>5774.73</v>
      </c>
      <c r="I36" s="77">
        <v>7645</v>
      </c>
      <c r="J36" s="124">
        <v>21790.44</v>
      </c>
      <c r="K36" s="124">
        <v>208712.75</v>
      </c>
      <c r="L36" s="124">
        <v>208651.82666666701</v>
      </c>
      <c r="M36" s="124">
        <v>63427.983333333301</v>
      </c>
      <c r="N36" s="76">
        <v>0.23312271253546299</v>
      </c>
    </row>
    <row r="37" spans="1:14" ht="15" customHeight="1" x14ac:dyDescent="0.25">
      <c r="A37" s="78">
        <v>45689</v>
      </c>
      <c r="B37" t="s">
        <v>354</v>
      </c>
      <c r="C37" t="s">
        <v>355</v>
      </c>
      <c r="D37" t="s">
        <v>227</v>
      </c>
      <c r="E37" s="124">
        <v>354382.57</v>
      </c>
      <c r="F37" s="124">
        <v>168776.98</v>
      </c>
      <c r="G37" s="126">
        <v>45500.12</v>
      </c>
      <c r="H37" s="126">
        <v>3358.99</v>
      </c>
      <c r="I37" s="77">
        <v>2660</v>
      </c>
      <c r="J37" s="124">
        <v>22571.69</v>
      </c>
      <c r="K37" s="124">
        <v>246005.37</v>
      </c>
      <c r="L37" s="124">
        <v>242867.78</v>
      </c>
      <c r="M37" s="124">
        <v>111514.79</v>
      </c>
      <c r="N37" s="76">
        <v>0.31467346150799702</v>
      </c>
    </row>
    <row r="38" spans="1:14" ht="15" customHeight="1" x14ac:dyDescent="0.25">
      <c r="A38" s="78">
        <v>45689</v>
      </c>
      <c r="B38" t="s">
        <v>370</v>
      </c>
      <c r="C38" t="s">
        <v>371</v>
      </c>
      <c r="D38" t="s">
        <v>227</v>
      </c>
      <c r="E38" s="124">
        <v>314082.92</v>
      </c>
      <c r="F38" s="124">
        <v>172559.37</v>
      </c>
      <c r="G38" s="126">
        <v>30160.17</v>
      </c>
      <c r="H38" s="126">
        <v>4926.7</v>
      </c>
      <c r="I38" s="77">
        <v>7738</v>
      </c>
      <c r="J38" s="124">
        <v>25004.28</v>
      </c>
      <c r="K38" s="124">
        <v>232130.87</v>
      </c>
      <c r="L38" s="124">
        <v>240388.52</v>
      </c>
      <c r="M38" s="124">
        <v>73694.399999999994</v>
      </c>
      <c r="N38" s="76">
        <v>0.234633580202324</v>
      </c>
    </row>
    <row r="39" spans="1:14" ht="15" customHeight="1" x14ac:dyDescent="0.25">
      <c r="A39" s="78">
        <v>45689</v>
      </c>
      <c r="B39" t="s">
        <v>398</v>
      </c>
      <c r="C39" t="s">
        <v>399</v>
      </c>
      <c r="D39" t="s">
        <v>227</v>
      </c>
      <c r="E39" s="124">
        <v>476779.3</v>
      </c>
      <c r="F39" s="124">
        <v>269461.23333333299</v>
      </c>
      <c r="G39" s="126">
        <v>18460.07</v>
      </c>
      <c r="H39" s="126">
        <v>3566.86</v>
      </c>
      <c r="I39" s="77">
        <v>6949</v>
      </c>
      <c r="J39" s="124">
        <v>31929.93</v>
      </c>
      <c r="K39" s="124">
        <v>324024.99</v>
      </c>
      <c r="L39" s="124">
        <v>330367.09333333297</v>
      </c>
      <c r="M39" s="124">
        <v>146412.20666666701</v>
      </c>
      <c r="N39" s="76">
        <v>0.30708591305592903</v>
      </c>
    </row>
    <row r="40" spans="1:14" ht="15" customHeight="1" x14ac:dyDescent="0.25">
      <c r="A40" s="78">
        <v>45689</v>
      </c>
      <c r="B40" t="s">
        <v>378</v>
      </c>
      <c r="C40" t="s">
        <v>379</v>
      </c>
      <c r="D40" t="s">
        <v>227</v>
      </c>
      <c r="E40" s="124">
        <v>488956.01</v>
      </c>
      <c r="F40" s="124">
        <v>234469.10666666701</v>
      </c>
      <c r="G40" s="126">
        <v>61111.41</v>
      </c>
      <c r="H40" s="126">
        <v>4166.32</v>
      </c>
      <c r="I40" s="77">
        <v>6909</v>
      </c>
      <c r="J40" s="124">
        <v>29250.080000000002</v>
      </c>
      <c r="K40" s="124">
        <v>325700.90000000002</v>
      </c>
      <c r="L40" s="124">
        <v>335905.91666666698</v>
      </c>
      <c r="M40" s="124">
        <v>153050.093333333</v>
      </c>
      <c r="N40" s="76">
        <v>0.31301403439817299</v>
      </c>
    </row>
    <row r="41" spans="1:14" ht="15" customHeight="1" x14ac:dyDescent="0.25">
      <c r="A41" s="78">
        <v>45689</v>
      </c>
      <c r="B41" t="s">
        <v>393</v>
      </c>
      <c r="C41" t="s">
        <v>394</v>
      </c>
      <c r="D41" t="s">
        <v>227</v>
      </c>
      <c r="E41" s="124">
        <v>397565.47</v>
      </c>
      <c r="F41" s="124">
        <v>195071.79666666701</v>
      </c>
      <c r="G41" s="126">
        <v>26617.63</v>
      </c>
      <c r="H41" s="126">
        <v>5200.74</v>
      </c>
      <c r="I41" s="77">
        <v>6199</v>
      </c>
      <c r="J41" s="124">
        <v>32402.87</v>
      </c>
      <c r="K41" s="124">
        <v>265958.15999999997</v>
      </c>
      <c r="L41" s="124">
        <v>265492.03666666697</v>
      </c>
      <c r="M41" s="124">
        <v>132073.433333333</v>
      </c>
      <c r="N41" s="76">
        <v>0.33220549393621501</v>
      </c>
    </row>
    <row r="42" spans="1:14" ht="15" customHeight="1" x14ac:dyDescent="0.25">
      <c r="A42" s="78">
        <v>45717</v>
      </c>
      <c r="B42" t="s">
        <v>390</v>
      </c>
      <c r="C42" t="s">
        <v>391</v>
      </c>
      <c r="D42" t="s">
        <v>221</v>
      </c>
      <c r="E42" s="124">
        <v>291212.40000000002</v>
      </c>
      <c r="F42" s="124">
        <v>110484.61</v>
      </c>
      <c r="G42" s="126">
        <v>57946.44</v>
      </c>
      <c r="H42" s="126">
        <v>2276.5300000000002</v>
      </c>
      <c r="I42" s="77">
        <v>5880</v>
      </c>
      <c r="J42" s="124">
        <v>18053.46</v>
      </c>
      <c r="K42" s="124">
        <v>202159.73</v>
      </c>
      <c r="L42" s="124">
        <v>194641.04</v>
      </c>
      <c r="M42" s="124">
        <v>96571.36</v>
      </c>
      <c r="N42" s="76">
        <v>0.331618296473639</v>
      </c>
    </row>
    <row r="43" spans="1:14" ht="15" customHeight="1" x14ac:dyDescent="0.25">
      <c r="A43" s="78">
        <v>45717</v>
      </c>
      <c r="B43" t="s">
        <v>401</v>
      </c>
      <c r="C43" t="s">
        <v>402</v>
      </c>
      <c r="D43" t="s">
        <v>221</v>
      </c>
      <c r="E43" s="124">
        <v>400910.01</v>
      </c>
      <c r="F43" s="124">
        <v>192893.53333333301</v>
      </c>
      <c r="G43" s="126">
        <v>37350.660000000003</v>
      </c>
      <c r="H43" s="126">
        <v>2012.88</v>
      </c>
      <c r="I43" s="77">
        <v>1840</v>
      </c>
      <c r="J43" s="124">
        <v>26545.85</v>
      </c>
      <c r="K43" s="124">
        <v>269661.31</v>
      </c>
      <c r="L43" s="124">
        <v>260642.92333333299</v>
      </c>
      <c r="M43" s="124">
        <v>140267.08666666699</v>
      </c>
      <c r="N43" s="76">
        <v>0.34987174968932999</v>
      </c>
    </row>
    <row r="44" spans="1:14" ht="15" customHeight="1" x14ac:dyDescent="0.25">
      <c r="A44" s="78">
        <v>45717</v>
      </c>
      <c r="B44" t="s">
        <v>431</v>
      </c>
      <c r="C44" t="s">
        <v>432</v>
      </c>
      <c r="D44" t="s">
        <v>221</v>
      </c>
      <c r="E44" s="124">
        <v>278175.87</v>
      </c>
      <c r="F44" s="124">
        <v>116533.66</v>
      </c>
      <c r="G44" s="126">
        <v>51327.17</v>
      </c>
      <c r="H44" s="126">
        <v>4005.23</v>
      </c>
      <c r="I44" s="77">
        <v>2478</v>
      </c>
      <c r="J44" s="124">
        <v>15814.7</v>
      </c>
      <c r="K44" s="124">
        <v>182943.27</v>
      </c>
      <c r="L44" s="124">
        <v>190158.76</v>
      </c>
      <c r="M44" s="124">
        <v>88017.11</v>
      </c>
      <c r="N44" s="76">
        <v>0.31640814136754603</v>
      </c>
    </row>
    <row r="45" spans="1:14" ht="15" customHeight="1" x14ac:dyDescent="0.25">
      <c r="A45" s="78">
        <v>45717</v>
      </c>
      <c r="B45" t="s">
        <v>366</v>
      </c>
      <c r="C45" t="s">
        <v>367</v>
      </c>
      <c r="D45" t="s">
        <v>221</v>
      </c>
      <c r="E45" s="124">
        <v>268184.90999999997</v>
      </c>
      <c r="F45" s="124">
        <v>129373.2</v>
      </c>
      <c r="G45" s="126">
        <v>31278.92</v>
      </c>
      <c r="H45" s="126">
        <v>5124.8999999999996</v>
      </c>
      <c r="I45" s="77">
        <v>2277</v>
      </c>
      <c r="J45" s="124">
        <v>18119.55</v>
      </c>
      <c r="K45" s="124">
        <v>183495.62</v>
      </c>
      <c r="L45" s="124">
        <v>186173.57</v>
      </c>
      <c r="M45" s="124">
        <v>82011.34</v>
      </c>
      <c r="N45" s="76">
        <v>0.30580147108202299</v>
      </c>
    </row>
    <row r="46" spans="1:14" ht="15" customHeight="1" x14ac:dyDescent="0.25">
      <c r="A46" s="78">
        <v>45717</v>
      </c>
      <c r="B46" t="s">
        <v>362</v>
      </c>
      <c r="C46" t="s">
        <v>363</v>
      </c>
      <c r="D46" t="s">
        <v>221</v>
      </c>
      <c r="E46" s="124">
        <v>453023.57</v>
      </c>
      <c r="F46" s="124">
        <v>215201.92666666699</v>
      </c>
      <c r="G46" s="126">
        <v>58458.07</v>
      </c>
      <c r="H46" s="126">
        <v>2386.38</v>
      </c>
      <c r="I46" s="77">
        <v>1886</v>
      </c>
      <c r="J46" s="124">
        <v>36180.42</v>
      </c>
      <c r="K46" s="124">
        <v>306067.24</v>
      </c>
      <c r="L46" s="124">
        <v>314112.79666666698</v>
      </c>
      <c r="M46" s="124">
        <v>138910.773333333</v>
      </c>
      <c r="N46" s="76">
        <v>0.30663034449473198</v>
      </c>
    </row>
    <row r="47" spans="1:14" ht="15" customHeight="1" x14ac:dyDescent="0.25">
      <c r="A47" s="78">
        <v>45717</v>
      </c>
      <c r="B47" t="s">
        <v>335</v>
      </c>
      <c r="C47" t="s">
        <v>336</v>
      </c>
      <c r="D47" t="s">
        <v>223</v>
      </c>
      <c r="E47" s="124">
        <v>440414.93</v>
      </c>
      <c r="F47" s="124">
        <v>218610.26</v>
      </c>
      <c r="G47" s="126">
        <v>64322.09</v>
      </c>
      <c r="H47" s="126">
        <v>2952.65</v>
      </c>
      <c r="I47" s="77">
        <v>7528</v>
      </c>
      <c r="J47" s="124">
        <v>31667.1</v>
      </c>
      <c r="K47" s="124">
        <v>319867.26</v>
      </c>
      <c r="L47" s="124">
        <v>325080.09999999998</v>
      </c>
      <c r="M47" s="124">
        <v>115334.83</v>
      </c>
      <c r="N47" s="76">
        <v>0.26187765705399701</v>
      </c>
    </row>
    <row r="48" spans="1:14" ht="15" customHeight="1" x14ac:dyDescent="0.25">
      <c r="A48" s="78">
        <v>45717</v>
      </c>
      <c r="B48" t="s">
        <v>386</v>
      </c>
      <c r="C48" t="s">
        <v>387</v>
      </c>
      <c r="D48" t="s">
        <v>223</v>
      </c>
      <c r="E48" s="124">
        <v>252980.12</v>
      </c>
      <c r="F48" s="124">
        <v>106549.233333333</v>
      </c>
      <c r="G48" s="126">
        <v>44227.64</v>
      </c>
      <c r="H48" s="126">
        <v>5313.22</v>
      </c>
      <c r="I48" s="77">
        <v>6194</v>
      </c>
      <c r="J48" s="124">
        <v>19716.84</v>
      </c>
      <c r="K48" s="124">
        <v>184446.79</v>
      </c>
      <c r="L48" s="124">
        <v>182000.933333333</v>
      </c>
      <c r="M48" s="124">
        <v>70979.186666666705</v>
      </c>
      <c r="N48" s="76">
        <v>0.28057219146969598</v>
      </c>
    </row>
    <row r="49" spans="1:14" ht="15" customHeight="1" x14ac:dyDescent="0.25">
      <c r="A49" s="78">
        <v>45717</v>
      </c>
      <c r="B49" t="s">
        <v>341</v>
      </c>
      <c r="C49" t="s">
        <v>342</v>
      </c>
      <c r="D49" t="s">
        <v>223</v>
      </c>
      <c r="E49" s="124">
        <v>398203.09</v>
      </c>
      <c r="F49" s="124">
        <v>145621.53333333301</v>
      </c>
      <c r="G49" s="126">
        <v>76587.73</v>
      </c>
      <c r="H49" s="126">
        <v>4632.34</v>
      </c>
      <c r="I49" s="77">
        <v>7090</v>
      </c>
      <c r="J49" s="124">
        <v>28004.41</v>
      </c>
      <c r="K49" s="124">
        <v>261929.4</v>
      </c>
      <c r="L49" s="124">
        <v>261936.01333333299</v>
      </c>
      <c r="M49" s="124">
        <v>136267.07666666701</v>
      </c>
      <c r="N49" s="76">
        <v>0.34220497050052201</v>
      </c>
    </row>
    <row r="50" spans="1:14" ht="15" customHeight="1" x14ac:dyDescent="0.25">
      <c r="A50" s="78">
        <v>45717</v>
      </c>
      <c r="B50" t="s">
        <v>347</v>
      </c>
      <c r="C50" t="s">
        <v>348</v>
      </c>
      <c r="D50" t="s">
        <v>223</v>
      </c>
      <c r="E50" s="124">
        <v>432805.38</v>
      </c>
      <c r="F50" s="124">
        <v>225566.72</v>
      </c>
      <c r="G50" s="126">
        <v>21847.98</v>
      </c>
      <c r="H50" s="126">
        <v>2982.72</v>
      </c>
      <c r="I50" s="77">
        <v>8670</v>
      </c>
      <c r="J50" s="124">
        <v>27315.42</v>
      </c>
      <c r="K50" s="124">
        <v>278715.78999999998</v>
      </c>
      <c r="L50" s="124">
        <v>286382.84000000003</v>
      </c>
      <c r="M50" s="124">
        <v>146422.54</v>
      </c>
      <c r="N50" s="76">
        <v>0.33831035094804102</v>
      </c>
    </row>
    <row r="51" spans="1:14" ht="15" customHeight="1" x14ac:dyDescent="0.25">
      <c r="A51" s="78">
        <v>45717</v>
      </c>
      <c r="B51" t="s">
        <v>409</v>
      </c>
      <c r="C51" t="s">
        <v>410</v>
      </c>
      <c r="D51" t="s">
        <v>223</v>
      </c>
      <c r="E51" s="124">
        <v>513792.71</v>
      </c>
      <c r="F51" s="124">
        <v>169901.28333333301</v>
      </c>
      <c r="G51" s="126">
        <v>136761.76999999999</v>
      </c>
      <c r="H51" s="126">
        <v>3438.75</v>
      </c>
      <c r="I51" s="77">
        <v>4913</v>
      </c>
      <c r="J51" s="124">
        <v>36885.519999999997</v>
      </c>
      <c r="K51" s="124">
        <v>352032.26</v>
      </c>
      <c r="L51" s="124">
        <v>351900.32333333301</v>
      </c>
      <c r="M51" s="124">
        <v>161892.38666666701</v>
      </c>
      <c r="N51" s="76">
        <v>0.315092805942433</v>
      </c>
    </row>
    <row r="52" spans="1:14" ht="15" customHeight="1" x14ac:dyDescent="0.25">
      <c r="A52" s="78">
        <v>45717</v>
      </c>
      <c r="B52" t="s">
        <v>488</v>
      </c>
      <c r="C52" t="s">
        <v>489</v>
      </c>
      <c r="D52" t="s">
        <v>225</v>
      </c>
      <c r="E52" s="124">
        <v>428183.98</v>
      </c>
      <c r="F52" s="124">
        <v>161454.67666666699</v>
      </c>
      <c r="G52" s="126">
        <v>100140.99</v>
      </c>
      <c r="H52" s="126">
        <v>4638.72</v>
      </c>
      <c r="I52" s="77">
        <v>5610</v>
      </c>
      <c r="J52" s="124">
        <v>33211.96</v>
      </c>
      <c r="K52" s="124">
        <v>306974.44</v>
      </c>
      <c r="L52" s="124">
        <v>305056.34666666703</v>
      </c>
      <c r="M52" s="124">
        <v>123127.633333333</v>
      </c>
      <c r="N52" s="76">
        <v>0.28755777676066602</v>
      </c>
    </row>
    <row r="53" spans="1:14" ht="15" customHeight="1" x14ac:dyDescent="0.25">
      <c r="A53" s="78">
        <v>45717</v>
      </c>
      <c r="B53" t="s">
        <v>406</v>
      </c>
      <c r="C53" t="s">
        <v>407</v>
      </c>
      <c r="D53" t="s">
        <v>225</v>
      </c>
      <c r="E53" s="124">
        <v>451346.05</v>
      </c>
      <c r="F53" s="124">
        <v>172037.69666666701</v>
      </c>
      <c r="G53" s="126">
        <v>77058.600000000006</v>
      </c>
      <c r="H53" s="126">
        <v>5354.41</v>
      </c>
      <c r="I53" s="77">
        <v>7999</v>
      </c>
      <c r="J53" s="124">
        <v>37419.5</v>
      </c>
      <c r="K53" s="124">
        <v>299320.7</v>
      </c>
      <c r="L53" s="124">
        <v>299869.20666666701</v>
      </c>
      <c r="M53" s="124">
        <v>151476.843333333</v>
      </c>
      <c r="N53" s="76">
        <v>0.33561131937087602</v>
      </c>
    </row>
    <row r="54" spans="1:14" ht="15" customHeight="1" x14ac:dyDescent="0.25">
      <c r="A54" s="78">
        <v>45717</v>
      </c>
      <c r="B54" t="s">
        <v>358</v>
      </c>
      <c r="C54" t="s">
        <v>359</v>
      </c>
      <c r="D54" t="s">
        <v>225</v>
      </c>
      <c r="E54" s="124">
        <v>286903.15999999997</v>
      </c>
      <c r="F54" s="124">
        <v>100708.653333333</v>
      </c>
      <c r="G54" s="126">
        <v>70695.56</v>
      </c>
      <c r="H54" s="126">
        <v>2082.6799999999998</v>
      </c>
      <c r="I54" s="77">
        <v>3444</v>
      </c>
      <c r="J54" s="124">
        <v>18078.93</v>
      </c>
      <c r="K54" s="124">
        <v>196395.82</v>
      </c>
      <c r="L54" s="124">
        <v>195009.82333333301</v>
      </c>
      <c r="M54" s="124">
        <v>91893.336666666597</v>
      </c>
      <c r="N54" s="76">
        <v>0.32029391613067898</v>
      </c>
    </row>
    <row r="55" spans="1:14" ht="15" customHeight="1" x14ac:dyDescent="0.25">
      <c r="A55" s="78">
        <v>45717</v>
      </c>
      <c r="B55" t="s">
        <v>383</v>
      </c>
      <c r="C55" t="s">
        <v>384</v>
      </c>
      <c r="D55" t="s">
        <v>225</v>
      </c>
      <c r="E55" s="124">
        <v>370141.81</v>
      </c>
      <c r="F55" s="124">
        <v>161890.51333333299</v>
      </c>
      <c r="G55" s="126">
        <v>68547.850000000006</v>
      </c>
      <c r="H55" s="126">
        <v>3076.2</v>
      </c>
      <c r="I55" s="77">
        <v>11301</v>
      </c>
      <c r="J55" s="124">
        <v>21667.15</v>
      </c>
      <c r="K55" s="124">
        <v>275110.82</v>
      </c>
      <c r="L55" s="124">
        <v>266482.71333333303</v>
      </c>
      <c r="M55" s="124">
        <v>103659.096666667</v>
      </c>
      <c r="N55" s="76">
        <v>0.280052384967444</v>
      </c>
    </row>
    <row r="56" spans="1:14" ht="15" customHeight="1" x14ac:dyDescent="0.25">
      <c r="A56" s="78">
        <v>45717</v>
      </c>
      <c r="B56" t="s">
        <v>373</v>
      </c>
      <c r="C56" t="s">
        <v>374</v>
      </c>
      <c r="D56" t="s">
        <v>225</v>
      </c>
      <c r="E56" s="124">
        <v>272476.34000000003</v>
      </c>
      <c r="F56" s="124">
        <v>115822.12</v>
      </c>
      <c r="G56" s="126">
        <v>62611.98</v>
      </c>
      <c r="H56" s="126">
        <v>2698.25</v>
      </c>
      <c r="I56" s="77">
        <v>3738</v>
      </c>
      <c r="J56" s="124">
        <v>19735.25</v>
      </c>
      <c r="K56" s="124">
        <v>198262.71</v>
      </c>
      <c r="L56" s="124">
        <v>204605.6</v>
      </c>
      <c r="M56" s="124">
        <v>67870.740000000005</v>
      </c>
      <c r="N56" s="76">
        <v>0.24908856306569599</v>
      </c>
    </row>
    <row r="57" spans="1:14" ht="15" customHeight="1" x14ac:dyDescent="0.25">
      <c r="A57" s="78">
        <v>45717</v>
      </c>
      <c r="B57" t="s">
        <v>354</v>
      </c>
      <c r="C57" t="s">
        <v>355</v>
      </c>
      <c r="D57" t="s">
        <v>227</v>
      </c>
      <c r="E57" s="124">
        <v>329573.05</v>
      </c>
      <c r="F57" s="124">
        <v>123358.076666667</v>
      </c>
      <c r="G57" s="126">
        <v>75932.55</v>
      </c>
      <c r="H57" s="126">
        <v>3714.73</v>
      </c>
      <c r="I57" s="77">
        <v>7540</v>
      </c>
      <c r="J57" s="124">
        <v>23014.31</v>
      </c>
      <c r="K57" s="124">
        <v>234528.43</v>
      </c>
      <c r="L57" s="124">
        <v>233559.66666666701</v>
      </c>
      <c r="M57" s="124">
        <v>96013.383333333302</v>
      </c>
      <c r="N57" s="76">
        <v>0.29132656123834599</v>
      </c>
    </row>
    <row r="58" spans="1:14" ht="15" customHeight="1" x14ac:dyDescent="0.25">
      <c r="A58" s="78">
        <v>45717</v>
      </c>
      <c r="B58" t="s">
        <v>370</v>
      </c>
      <c r="C58" t="s">
        <v>371</v>
      </c>
      <c r="D58" t="s">
        <v>227</v>
      </c>
      <c r="E58" s="124">
        <v>341455.13</v>
      </c>
      <c r="F58" s="124">
        <v>146779.94</v>
      </c>
      <c r="G58" s="126">
        <v>70387.41</v>
      </c>
      <c r="H58" s="126">
        <v>3985.9</v>
      </c>
      <c r="I58" s="77">
        <v>3934</v>
      </c>
      <c r="J58" s="124">
        <v>23773.88</v>
      </c>
      <c r="K58" s="124">
        <v>252329.11</v>
      </c>
      <c r="L58" s="124">
        <v>248861.13</v>
      </c>
      <c r="M58" s="124">
        <v>92594</v>
      </c>
      <c r="N58" s="76">
        <v>0.27117472213699101</v>
      </c>
    </row>
    <row r="59" spans="1:14" ht="15" customHeight="1" x14ac:dyDescent="0.25">
      <c r="A59" s="78">
        <v>45717</v>
      </c>
      <c r="B59" t="s">
        <v>398</v>
      </c>
      <c r="C59" t="s">
        <v>399</v>
      </c>
      <c r="D59" t="s">
        <v>227</v>
      </c>
      <c r="E59" s="124">
        <v>257115.53</v>
      </c>
      <c r="F59" s="124">
        <v>106408.33333333299</v>
      </c>
      <c r="G59" s="126">
        <v>38264.46</v>
      </c>
      <c r="H59" s="126">
        <v>3962.45</v>
      </c>
      <c r="I59" s="77">
        <v>5484</v>
      </c>
      <c r="J59" s="124">
        <v>18408.53</v>
      </c>
      <c r="K59" s="124">
        <v>168720.16</v>
      </c>
      <c r="L59" s="124">
        <v>172527.773333333</v>
      </c>
      <c r="M59" s="124">
        <v>84587.756666666697</v>
      </c>
      <c r="N59" s="76">
        <v>0.32898734925372503</v>
      </c>
    </row>
    <row r="60" spans="1:14" ht="15" customHeight="1" x14ac:dyDescent="0.25">
      <c r="A60" s="78">
        <v>45717</v>
      </c>
      <c r="B60" t="s">
        <v>378</v>
      </c>
      <c r="C60" t="s">
        <v>379</v>
      </c>
      <c r="D60" t="s">
        <v>227</v>
      </c>
      <c r="E60" s="124">
        <v>463853.34</v>
      </c>
      <c r="F60" s="124">
        <v>212527.30333333299</v>
      </c>
      <c r="G60" s="126">
        <v>61643.71</v>
      </c>
      <c r="H60" s="126">
        <v>5312.94</v>
      </c>
      <c r="I60" s="77">
        <v>2464</v>
      </c>
      <c r="J60" s="124">
        <v>30438.65</v>
      </c>
      <c r="K60" s="124">
        <v>319359.84000000003</v>
      </c>
      <c r="L60" s="124">
        <v>312386.60333333298</v>
      </c>
      <c r="M60" s="124">
        <v>151466.73666666701</v>
      </c>
      <c r="N60" s="76">
        <v>0.32654014449193502</v>
      </c>
    </row>
    <row r="61" spans="1:14" ht="15" customHeight="1" x14ac:dyDescent="0.25">
      <c r="A61" s="78">
        <v>45717</v>
      </c>
      <c r="B61" t="s">
        <v>393</v>
      </c>
      <c r="C61" t="s">
        <v>394</v>
      </c>
      <c r="D61" t="s">
        <v>227</v>
      </c>
      <c r="E61" s="124">
        <v>414831.94</v>
      </c>
      <c r="F61" s="124">
        <v>173523.523333333</v>
      </c>
      <c r="G61" s="126">
        <v>82137.03</v>
      </c>
      <c r="H61" s="126">
        <v>4529.83</v>
      </c>
      <c r="I61" s="77">
        <v>3318</v>
      </c>
      <c r="J61" s="124">
        <v>32745.14</v>
      </c>
      <c r="K61" s="124">
        <v>303477.64</v>
      </c>
      <c r="L61" s="124">
        <v>296253.52333333303</v>
      </c>
      <c r="M61" s="124">
        <v>118578.41666666701</v>
      </c>
      <c r="N61" s="76">
        <v>0.285846882153449</v>
      </c>
    </row>
    <row r="62" spans="1:14" ht="15" customHeight="1" x14ac:dyDescent="0.25">
      <c r="A62" s="78">
        <v>45748</v>
      </c>
      <c r="B62" t="s">
        <v>390</v>
      </c>
      <c r="C62" t="s">
        <v>391</v>
      </c>
      <c r="D62" t="s">
        <v>221</v>
      </c>
      <c r="E62" s="124">
        <v>329750.40000000002</v>
      </c>
      <c r="F62" s="124">
        <v>121133.586666667</v>
      </c>
      <c r="G62" s="126">
        <v>68284.87</v>
      </c>
      <c r="H62" s="126">
        <v>3582.81</v>
      </c>
      <c r="I62" s="77">
        <v>9187</v>
      </c>
      <c r="J62" s="124">
        <v>22075.06</v>
      </c>
      <c r="K62" s="124">
        <v>220546.83</v>
      </c>
      <c r="L62" s="124">
        <v>224263.32666666701</v>
      </c>
      <c r="M62" s="124">
        <v>105487.073333333</v>
      </c>
      <c r="N62" s="76">
        <v>0.31989975852442698</v>
      </c>
    </row>
    <row r="63" spans="1:14" ht="15" customHeight="1" x14ac:dyDescent="0.25">
      <c r="A63" s="78">
        <v>45748</v>
      </c>
      <c r="B63" t="s">
        <v>401</v>
      </c>
      <c r="C63" t="s">
        <v>402</v>
      </c>
      <c r="D63" t="s">
        <v>221</v>
      </c>
      <c r="E63" s="124">
        <v>265453.58</v>
      </c>
      <c r="F63" s="124">
        <v>137696.92333333299</v>
      </c>
      <c r="G63" s="126">
        <v>32233.38</v>
      </c>
      <c r="H63" s="126">
        <v>4761.25</v>
      </c>
      <c r="I63" s="77">
        <v>6853</v>
      </c>
      <c r="J63" s="124">
        <v>19415.91</v>
      </c>
      <c r="K63" s="124">
        <v>199700.56</v>
      </c>
      <c r="L63" s="124">
        <v>200960.463333333</v>
      </c>
      <c r="M63" s="124">
        <v>64493.116666666698</v>
      </c>
      <c r="N63" s="76">
        <v>0.24295440531134199</v>
      </c>
    </row>
    <row r="64" spans="1:14" ht="15" customHeight="1" x14ac:dyDescent="0.25">
      <c r="A64" s="78">
        <v>45748</v>
      </c>
      <c r="B64" t="s">
        <v>431</v>
      </c>
      <c r="C64" t="s">
        <v>432</v>
      </c>
      <c r="D64" t="s">
        <v>221</v>
      </c>
      <c r="E64" s="124">
        <v>299705.71999999997</v>
      </c>
      <c r="F64" s="124">
        <v>112291.343333333</v>
      </c>
      <c r="G64" s="126">
        <v>66468.11</v>
      </c>
      <c r="H64" s="126">
        <v>2358.5</v>
      </c>
      <c r="I64" s="77">
        <v>3577</v>
      </c>
      <c r="J64" s="124">
        <v>23992.22</v>
      </c>
      <c r="K64" s="124">
        <v>206622.25</v>
      </c>
      <c r="L64" s="124">
        <v>208687.17333333299</v>
      </c>
      <c r="M64" s="124">
        <v>91018.546666666705</v>
      </c>
      <c r="N64" s="76">
        <v>0.30369305819944498</v>
      </c>
    </row>
    <row r="65" spans="1:14" ht="15" customHeight="1" x14ac:dyDescent="0.25">
      <c r="A65" s="78">
        <v>45748</v>
      </c>
      <c r="B65" t="s">
        <v>366</v>
      </c>
      <c r="C65" t="s">
        <v>367</v>
      </c>
      <c r="D65" t="s">
        <v>221</v>
      </c>
      <c r="E65" s="124">
        <v>334383.13</v>
      </c>
      <c r="F65" s="124">
        <v>195498.273333333</v>
      </c>
      <c r="G65" s="126">
        <v>6670.14</v>
      </c>
      <c r="H65" s="126">
        <v>2174.34</v>
      </c>
      <c r="I65" s="77">
        <v>4956</v>
      </c>
      <c r="J65" s="124">
        <v>25617.31</v>
      </c>
      <c r="K65" s="124">
        <v>243101.6</v>
      </c>
      <c r="L65" s="124">
        <v>234916.063333333</v>
      </c>
      <c r="M65" s="124">
        <v>99467.066666666695</v>
      </c>
      <c r="N65" s="76">
        <v>0.29746436869188497</v>
      </c>
    </row>
    <row r="66" spans="1:14" ht="15" customHeight="1" x14ac:dyDescent="0.25">
      <c r="A66" s="78">
        <v>45748</v>
      </c>
      <c r="B66" t="s">
        <v>362</v>
      </c>
      <c r="C66" t="s">
        <v>363</v>
      </c>
      <c r="D66" t="s">
        <v>221</v>
      </c>
      <c r="E66" s="124">
        <v>433912.36</v>
      </c>
      <c r="F66" s="124">
        <v>202028.97</v>
      </c>
      <c r="G66" s="126">
        <v>65986.100000000006</v>
      </c>
      <c r="H66" s="126">
        <v>4757.53</v>
      </c>
      <c r="I66" s="77">
        <v>4326</v>
      </c>
      <c r="J66" s="124">
        <v>27323.18</v>
      </c>
      <c r="K66" s="124">
        <v>304706.73</v>
      </c>
      <c r="L66" s="124">
        <v>304421.78000000003</v>
      </c>
      <c r="M66" s="124">
        <v>129490.58</v>
      </c>
      <c r="N66" s="76">
        <v>0.29842565443399699</v>
      </c>
    </row>
    <row r="67" spans="1:14" ht="15" customHeight="1" x14ac:dyDescent="0.25">
      <c r="A67" s="78">
        <v>45748</v>
      </c>
      <c r="B67" t="s">
        <v>335</v>
      </c>
      <c r="C67" t="s">
        <v>336</v>
      </c>
      <c r="D67" t="s">
        <v>223</v>
      </c>
      <c r="E67" s="124">
        <v>490275.57</v>
      </c>
      <c r="F67" s="124">
        <v>215047.813333333</v>
      </c>
      <c r="G67" s="126">
        <v>101847.6</v>
      </c>
      <c r="H67" s="126">
        <v>5269.58</v>
      </c>
      <c r="I67" s="77">
        <v>6668</v>
      </c>
      <c r="J67" s="124">
        <v>33494.839999999997</v>
      </c>
      <c r="K67" s="124">
        <v>352268.14</v>
      </c>
      <c r="L67" s="124">
        <v>362327.83333333302</v>
      </c>
      <c r="M67" s="124">
        <v>127947.736666667</v>
      </c>
      <c r="N67" s="76">
        <v>0.26097106300170497</v>
      </c>
    </row>
    <row r="68" spans="1:14" ht="15" customHeight="1" x14ac:dyDescent="0.25">
      <c r="A68" s="78">
        <v>45748</v>
      </c>
      <c r="B68" t="s">
        <v>386</v>
      </c>
      <c r="C68" t="s">
        <v>387</v>
      </c>
      <c r="D68" t="s">
        <v>223</v>
      </c>
      <c r="E68" s="124">
        <v>400686.66</v>
      </c>
      <c r="F68" s="124">
        <v>176907.69</v>
      </c>
      <c r="G68" s="126">
        <v>72641.5</v>
      </c>
      <c r="H68" s="126">
        <v>2979.43</v>
      </c>
      <c r="I68" s="77">
        <v>7444</v>
      </c>
      <c r="J68" s="124">
        <v>26676.94</v>
      </c>
      <c r="K68" s="124">
        <v>278848.27</v>
      </c>
      <c r="L68" s="124">
        <v>286649.56</v>
      </c>
      <c r="M68" s="124">
        <v>114037.1</v>
      </c>
      <c r="N68" s="76">
        <v>0.28460418422714701</v>
      </c>
    </row>
    <row r="69" spans="1:14" ht="15" customHeight="1" x14ac:dyDescent="0.25">
      <c r="A69" s="78">
        <v>45748</v>
      </c>
      <c r="B69" t="s">
        <v>341</v>
      </c>
      <c r="C69" t="s">
        <v>342</v>
      </c>
      <c r="D69" t="s">
        <v>223</v>
      </c>
      <c r="E69" s="124">
        <v>412735.8</v>
      </c>
      <c r="F69" s="124">
        <v>135715.51999999999</v>
      </c>
      <c r="G69" s="126">
        <v>96137.57</v>
      </c>
      <c r="H69" s="126">
        <v>2560.14</v>
      </c>
      <c r="I69" s="77">
        <v>8084</v>
      </c>
      <c r="J69" s="124">
        <v>29882.04</v>
      </c>
      <c r="K69" s="124">
        <v>266782.59999999998</v>
      </c>
      <c r="L69" s="124">
        <v>272379.27</v>
      </c>
      <c r="M69" s="124">
        <v>140356.53</v>
      </c>
      <c r="N69" s="76">
        <v>0.34006386167616198</v>
      </c>
    </row>
    <row r="70" spans="1:14" ht="15" customHeight="1" x14ac:dyDescent="0.25">
      <c r="A70" s="78">
        <v>45748</v>
      </c>
      <c r="B70" t="s">
        <v>347</v>
      </c>
      <c r="C70" t="s">
        <v>348</v>
      </c>
      <c r="D70" t="s">
        <v>223</v>
      </c>
      <c r="E70" s="124">
        <v>404644.76</v>
      </c>
      <c r="F70" s="124">
        <v>172992.44</v>
      </c>
      <c r="G70" s="126">
        <v>62160.78</v>
      </c>
      <c r="H70" s="126">
        <v>5480.92</v>
      </c>
      <c r="I70" s="77">
        <v>9118</v>
      </c>
      <c r="J70" s="124">
        <v>25596.42</v>
      </c>
      <c r="K70" s="124">
        <v>276377.52</v>
      </c>
      <c r="L70" s="124">
        <v>275348.56</v>
      </c>
      <c r="M70" s="124">
        <v>129296.2</v>
      </c>
      <c r="N70" s="76">
        <v>0.31953014787588002</v>
      </c>
    </row>
    <row r="71" spans="1:14" ht="15" customHeight="1" x14ac:dyDescent="0.25">
      <c r="A71" s="78">
        <v>45748</v>
      </c>
      <c r="B71" t="s">
        <v>409</v>
      </c>
      <c r="C71" t="s">
        <v>410</v>
      </c>
      <c r="D71" t="s">
        <v>223</v>
      </c>
      <c r="E71" s="124">
        <v>298128.25</v>
      </c>
      <c r="F71" s="124">
        <v>159938.006666667</v>
      </c>
      <c r="G71" s="126">
        <v>32490.7</v>
      </c>
      <c r="H71" s="126">
        <v>4656.84</v>
      </c>
      <c r="I71" s="77">
        <v>8507</v>
      </c>
      <c r="J71" s="124">
        <v>25051.67</v>
      </c>
      <c r="K71" s="124">
        <v>239134.77</v>
      </c>
      <c r="L71" s="124">
        <v>230644.21666666699</v>
      </c>
      <c r="M71" s="124">
        <v>67484.033333333296</v>
      </c>
      <c r="N71" s="76">
        <v>0.22635906974039999</v>
      </c>
    </row>
    <row r="72" spans="1:14" ht="15" customHeight="1" x14ac:dyDescent="0.25">
      <c r="A72" s="78">
        <v>45748</v>
      </c>
      <c r="B72" t="s">
        <v>488</v>
      </c>
      <c r="C72" t="s">
        <v>489</v>
      </c>
      <c r="D72" t="s">
        <v>225</v>
      </c>
      <c r="E72" s="124">
        <v>460374.02</v>
      </c>
      <c r="F72" s="124">
        <v>222189.686666667</v>
      </c>
      <c r="G72" s="126">
        <v>47088.67</v>
      </c>
      <c r="H72" s="126">
        <v>3928.36</v>
      </c>
      <c r="I72" s="77">
        <v>4087</v>
      </c>
      <c r="J72" s="124">
        <v>28993.23</v>
      </c>
      <c r="K72" s="124">
        <v>303839.84999999998</v>
      </c>
      <c r="L72" s="124">
        <v>306286.94666666701</v>
      </c>
      <c r="M72" s="124">
        <v>154087.07333333301</v>
      </c>
      <c r="N72" s="76">
        <v>0.33469975854270301</v>
      </c>
    </row>
    <row r="73" spans="1:14" ht="15" customHeight="1" x14ac:dyDescent="0.25">
      <c r="A73" s="78">
        <v>45748</v>
      </c>
      <c r="B73" t="s">
        <v>406</v>
      </c>
      <c r="C73" t="s">
        <v>407</v>
      </c>
      <c r="D73" t="s">
        <v>225</v>
      </c>
      <c r="E73" s="124">
        <v>502240.77</v>
      </c>
      <c r="F73" s="124">
        <v>150303.01</v>
      </c>
      <c r="G73" s="126">
        <v>146659.70000000001</v>
      </c>
      <c r="H73" s="126">
        <v>2411.8000000000002</v>
      </c>
      <c r="I73" s="77">
        <v>7224</v>
      </c>
      <c r="J73" s="124">
        <v>31057.85</v>
      </c>
      <c r="K73" s="124">
        <v>325259.99</v>
      </c>
      <c r="L73" s="124">
        <v>337656.36</v>
      </c>
      <c r="M73" s="124">
        <v>164584.41</v>
      </c>
      <c r="N73" s="76">
        <v>0.32770021836339602</v>
      </c>
    </row>
    <row r="74" spans="1:14" ht="15" customHeight="1" x14ac:dyDescent="0.25">
      <c r="A74" s="78">
        <v>45748</v>
      </c>
      <c r="B74" t="s">
        <v>358</v>
      </c>
      <c r="C74" t="s">
        <v>359</v>
      </c>
      <c r="D74" t="s">
        <v>225</v>
      </c>
      <c r="E74" s="124">
        <v>314487.96999999997</v>
      </c>
      <c r="F74" s="124">
        <v>154973.59</v>
      </c>
      <c r="G74" s="126">
        <v>35777.919999999998</v>
      </c>
      <c r="H74" s="126">
        <v>3959.79</v>
      </c>
      <c r="I74" s="77">
        <v>5894</v>
      </c>
      <c r="J74" s="124">
        <v>26590.080000000002</v>
      </c>
      <c r="K74" s="124">
        <v>225290.37</v>
      </c>
      <c r="L74" s="124">
        <v>227195.38</v>
      </c>
      <c r="M74" s="124">
        <v>87292.59</v>
      </c>
      <c r="N74" s="76">
        <v>0.27757052201392601</v>
      </c>
    </row>
    <row r="75" spans="1:14" ht="15" customHeight="1" x14ac:dyDescent="0.25">
      <c r="A75" s="78">
        <v>45748</v>
      </c>
      <c r="B75" t="s">
        <v>383</v>
      </c>
      <c r="C75" t="s">
        <v>384</v>
      </c>
      <c r="D75" t="s">
        <v>225</v>
      </c>
      <c r="E75" s="124">
        <v>314644.33</v>
      </c>
      <c r="F75" s="124">
        <v>174624.68</v>
      </c>
      <c r="G75" s="126">
        <v>24276.92</v>
      </c>
      <c r="H75" s="126">
        <v>5539.07</v>
      </c>
      <c r="I75" s="77">
        <v>6608</v>
      </c>
      <c r="J75" s="124">
        <v>26626.99</v>
      </c>
      <c r="K75" s="124">
        <v>238193.02</v>
      </c>
      <c r="L75" s="124">
        <v>237675.66</v>
      </c>
      <c r="M75" s="124">
        <v>76968.67</v>
      </c>
      <c r="N75" s="76">
        <v>0.244621188629078</v>
      </c>
    </row>
    <row r="76" spans="1:14" ht="15" customHeight="1" x14ac:dyDescent="0.25">
      <c r="A76" s="78">
        <v>45748</v>
      </c>
      <c r="B76" t="s">
        <v>373</v>
      </c>
      <c r="C76" t="s">
        <v>374</v>
      </c>
      <c r="D76" t="s">
        <v>225</v>
      </c>
      <c r="E76" s="124">
        <v>371597.81</v>
      </c>
      <c r="F76" s="124">
        <v>199281.156666667</v>
      </c>
      <c r="G76" s="126">
        <v>22201.39</v>
      </c>
      <c r="H76" s="126">
        <v>5630.21</v>
      </c>
      <c r="I76" s="77">
        <v>3332</v>
      </c>
      <c r="J76" s="124">
        <v>21197.61</v>
      </c>
      <c r="K76" s="124">
        <v>242020.67</v>
      </c>
      <c r="L76" s="124">
        <v>251642.36666666699</v>
      </c>
      <c r="M76" s="124">
        <v>119955.44333333299</v>
      </c>
      <c r="N76" s="76">
        <v>0.322809876983218</v>
      </c>
    </row>
    <row r="77" spans="1:14" ht="15" customHeight="1" x14ac:dyDescent="0.25">
      <c r="A77" s="78">
        <v>45748</v>
      </c>
      <c r="B77" t="s">
        <v>354</v>
      </c>
      <c r="C77" t="s">
        <v>355</v>
      </c>
      <c r="D77" t="s">
        <v>227</v>
      </c>
      <c r="E77" s="124">
        <v>412577.32</v>
      </c>
      <c r="F77" s="124">
        <v>158829.286666667</v>
      </c>
      <c r="G77" s="126">
        <v>75843.600000000006</v>
      </c>
      <c r="H77" s="126">
        <v>4508.3500000000004</v>
      </c>
      <c r="I77" s="77">
        <v>7146</v>
      </c>
      <c r="J77" s="124">
        <v>23795.58</v>
      </c>
      <c r="K77" s="124">
        <v>260913.86</v>
      </c>
      <c r="L77" s="124">
        <v>270122.816666667</v>
      </c>
      <c r="M77" s="124">
        <v>142454.50333333301</v>
      </c>
      <c r="N77" s="76">
        <v>0.34527953047281801</v>
      </c>
    </row>
    <row r="78" spans="1:14" ht="15" customHeight="1" x14ac:dyDescent="0.25">
      <c r="A78" s="78">
        <v>45748</v>
      </c>
      <c r="B78" t="s">
        <v>370</v>
      </c>
      <c r="C78" t="s">
        <v>371</v>
      </c>
      <c r="D78" t="s">
        <v>227</v>
      </c>
      <c r="E78" s="124">
        <v>527963.09</v>
      </c>
      <c r="F78" s="124">
        <v>170086.42</v>
      </c>
      <c r="G78" s="126">
        <v>127574.94</v>
      </c>
      <c r="H78" s="126">
        <v>4202.0600000000004</v>
      </c>
      <c r="I78" s="77">
        <v>5154</v>
      </c>
      <c r="J78" s="124">
        <v>30826.91</v>
      </c>
      <c r="K78" s="124">
        <v>348548.85</v>
      </c>
      <c r="L78" s="124">
        <v>337844.33</v>
      </c>
      <c r="M78" s="124">
        <v>190118.76</v>
      </c>
      <c r="N78" s="76">
        <v>0.36009858189139698</v>
      </c>
    </row>
    <row r="79" spans="1:14" ht="15" customHeight="1" x14ac:dyDescent="0.25">
      <c r="A79" s="78">
        <v>45748</v>
      </c>
      <c r="B79" t="s">
        <v>398</v>
      </c>
      <c r="C79" t="s">
        <v>399</v>
      </c>
      <c r="D79" t="s">
        <v>227</v>
      </c>
      <c r="E79" s="124">
        <v>300923.05</v>
      </c>
      <c r="F79" s="124">
        <v>122258.9</v>
      </c>
      <c r="G79" s="126">
        <v>40527.24</v>
      </c>
      <c r="H79" s="126">
        <v>3083.98</v>
      </c>
      <c r="I79" s="77">
        <v>9244</v>
      </c>
      <c r="J79" s="124">
        <v>18792.21</v>
      </c>
      <c r="K79" s="124">
        <v>196406.65</v>
      </c>
      <c r="L79" s="124">
        <v>193906.33</v>
      </c>
      <c r="M79" s="124">
        <v>107016.72</v>
      </c>
      <c r="N79" s="76">
        <v>0.35562819132665302</v>
      </c>
    </row>
    <row r="80" spans="1:14" ht="15" customHeight="1" x14ac:dyDescent="0.25">
      <c r="A80" s="78">
        <v>45748</v>
      </c>
      <c r="B80" t="s">
        <v>378</v>
      </c>
      <c r="C80" t="s">
        <v>379</v>
      </c>
      <c r="D80" t="s">
        <v>227</v>
      </c>
      <c r="E80" s="124">
        <v>340853.5</v>
      </c>
      <c r="F80" s="124">
        <v>149760.89333333299</v>
      </c>
      <c r="G80" s="126">
        <v>39677.83</v>
      </c>
      <c r="H80" s="126">
        <v>4106.91</v>
      </c>
      <c r="I80" s="77">
        <v>5026</v>
      </c>
      <c r="J80" s="124">
        <v>25292.32</v>
      </c>
      <c r="K80" s="124">
        <v>217832.97</v>
      </c>
      <c r="L80" s="124">
        <v>223863.95333333299</v>
      </c>
      <c r="M80" s="124">
        <v>116989.546666667</v>
      </c>
      <c r="N80" s="76">
        <v>0.343225305495372</v>
      </c>
    </row>
    <row r="81" spans="1:14" ht="15" customHeight="1" x14ac:dyDescent="0.25">
      <c r="A81" s="78">
        <v>45748</v>
      </c>
      <c r="B81" t="s">
        <v>393</v>
      </c>
      <c r="C81" t="s">
        <v>394</v>
      </c>
      <c r="D81" t="s">
        <v>227</v>
      </c>
      <c r="E81" s="124">
        <v>443514.12</v>
      </c>
      <c r="F81" s="124">
        <v>175488.89666666699</v>
      </c>
      <c r="G81" s="126">
        <v>77664.87</v>
      </c>
      <c r="H81" s="126">
        <v>2459.02</v>
      </c>
      <c r="I81" s="77">
        <v>9710</v>
      </c>
      <c r="J81" s="124">
        <v>27115.18</v>
      </c>
      <c r="K81" s="124">
        <v>290271.11</v>
      </c>
      <c r="L81" s="124">
        <v>292437.96666666702</v>
      </c>
      <c r="M81" s="124">
        <v>151076.153333333</v>
      </c>
      <c r="N81" s="76">
        <v>0.340634371084586</v>
      </c>
    </row>
    <row r="82" spans="1:14" ht="15" customHeight="1" x14ac:dyDescent="0.25">
      <c r="A82" s="78">
        <v>45778</v>
      </c>
      <c r="B82" t="s">
        <v>390</v>
      </c>
      <c r="C82" t="s">
        <v>391</v>
      </c>
      <c r="D82" t="s">
        <v>221</v>
      </c>
      <c r="E82" s="124">
        <v>382180.02</v>
      </c>
      <c r="F82" s="124">
        <v>207837.31</v>
      </c>
      <c r="G82" s="126">
        <v>33425.93</v>
      </c>
      <c r="H82" s="126">
        <v>2933.12</v>
      </c>
      <c r="I82" s="77">
        <v>8432</v>
      </c>
      <c r="J82" s="124">
        <v>26467.23</v>
      </c>
      <c r="K82" s="124">
        <v>277033.24</v>
      </c>
      <c r="L82" s="124">
        <v>279095.59000000003</v>
      </c>
      <c r="M82" s="124">
        <v>103084.43</v>
      </c>
      <c r="N82" s="76">
        <v>0.269727417984854</v>
      </c>
    </row>
    <row r="83" spans="1:14" ht="15" customHeight="1" x14ac:dyDescent="0.25">
      <c r="A83" s="78">
        <v>45778</v>
      </c>
      <c r="B83" t="s">
        <v>401</v>
      </c>
      <c r="C83" t="s">
        <v>402</v>
      </c>
      <c r="D83" t="s">
        <v>221</v>
      </c>
      <c r="E83" s="124">
        <v>287292.87</v>
      </c>
      <c r="F83" s="124">
        <v>120673.013333333</v>
      </c>
      <c r="G83" s="126">
        <v>67004.45</v>
      </c>
      <c r="H83" s="126">
        <v>3829.89</v>
      </c>
      <c r="I83" s="77">
        <v>6610</v>
      </c>
      <c r="J83" s="124">
        <v>17409.2</v>
      </c>
      <c r="K83" s="124">
        <v>211192.32000000001</v>
      </c>
      <c r="L83" s="124">
        <v>215526.55333333299</v>
      </c>
      <c r="M83" s="124">
        <v>71766.316666666695</v>
      </c>
      <c r="N83" s="76">
        <v>0.24980194136619799</v>
      </c>
    </row>
    <row r="84" spans="1:14" ht="15" customHeight="1" x14ac:dyDescent="0.25">
      <c r="A84" s="78">
        <v>45778</v>
      </c>
      <c r="B84" t="s">
        <v>431</v>
      </c>
      <c r="C84" t="s">
        <v>432</v>
      </c>
      <c r="D84" t="s">
        <v>221</v>
      </c>
      <c r="E84" s="124">
        <v>527637.25</v>
      </c>
      <c r="F84" s="124">
        <v>222170.45666666701</v>
      </c>
      <c r="G84" s="126">
        <v>76779.39</v>
      </c>
      <c r="H84" s="126">
        <v>4196.88</v>
      </c>
      <c r="I84" s="77">
        <v>7602</v>
      </c>
      <c r="J84" s="124">
        <v>34104.639999999999</v>
      </c>
      <c r="K84" s="124">
        <v>345158.04</v>
      </c>
      <c r="L84" s="124">
        <v>344853.36666666699</v>
      </c>
      <c r="M84" s="124">
        <v>182783.88333333301</v>
      </c>
      <c r="N84" s="76">
        <v>0.34641959667050298</v>
      </c>
    </row>
    <row r="85" spans="1:14" ht="15" customHeight="1" x14ac:dyDescent="0.25">
      <c r="A85" s="78">
        <v>45778</v>
      </c>
      <c r="B85" t="s">
        <v>366</v>
      </c>
      <c r="C85" t="s">
        <v>367</v>
      </c>
      <c r="D85" t="s">
        <v>221</v>
      </c>
      <c r="E85" s="124">
        <v>338295.3</v>
      </c>
      <c r="F85" s="124">
        <v>119195.9</v>
      </c>
      <c r="G85" s="126">
        <v>86616.61</v>
      </c>
      <c r="H85" s="126">
        <v>5494.94</v>
      </c>
      <c r="I85" s="77">
        <v>5804</v>
      </c>
      <c r="J85" s="124">
        <v>26519.9</v>
      </c>
      <c r="K85" s="124">
        <v>247535.92</v>
      </c>
      <c r="L85" s="124">
        <v>243631.35</v>
      </c>
      <c r="M85" s="124">
        <v>94663.95</v>
      </c>
      <c r="N85" s="76">
        <v>0.279826382453436</v>
      </c>
    </row>
    <row r="86" spans="1:14" ht="15" customHeight="1" x14ac:dyDescent="0.25">
      <c r="A86" s="78">
        <v>45778</v>
      </c>
      <c r="B86" t="s">
        <v>362</v>
      </c>
      <c r="C86" t="s">
        <v>363</v>
      </c>
      <c r="D86" t="s">
        <v>221</v>
      </c>
      <c r="E86" s="124">
        <v>454234.06</v>
      </c>
      <c r="F86" s="124">
        <v>174727.69333333301</v>
      </c>
      <c r="G86" s="126">
        <v>82290.23</v>
      </c>
      <c r="H86" s="126">
        <v>5232.7299999999996</v>
      </c>
      <c r="I86" s="77">
        <v>5623</v>
      </c>
      <c r="J86" s="124">
        <v>29892.91</v>
      </c>
      <c r="K86" s="124">
        <v>308632.62</v>
      </c>
      <c r="L86" s="124">
        <v>297766.563333333</v>
      </c>
      <c r="M86" s="124">
        <v>156467.49666666699</v>
      </c>
      <c r="N86" s="76">
        <v>0.344464474255116</v>
      </c>
    </row>
    <row r="87" spans="1:14" ht="15" customHeight="1" x14ac:dyDescent="0.25">
      <c r="A87" s="78">
        <v>45778</v>
      </c>
      <c r="B87" t="s">
        <v>335</v>
      </c>
      <c r="C87" t="s">
        <v>336</v>
      </c>
      <c r="D87" t="s">
        <v>223</v>
      </c>
      <c r="E87" s="124">
        <v>216851.37</v>
      </c>
      <c r="F87" s="124">
        <v>82215.520000000004</v>
      </c>
      <c r="G87" s="126">
        <v>44678.27</v>
      </c>
      <c r="H87" s="126">
        <v>2082.2399999999998</v>
      </c>
      <c r="I87" s="77">
        <v>2240</v>
      </c>
      <c r="J87" s="124">
        <v>15150.92</v>
      </c>
      <c r="K87" s="124">
        <v>143582.26</v>
      </c>
      <c r="L87" s="124">
        <v>146366.95000000001</v>
      </c>
      <c r="M87" s="124">
        <v>70484.42</v>
      </c>
      <c r="N87" s="76">
        <v>0.32503562232509797</v>
      </c>
    </row>
    <row r="88" spans="1:14" ht="15" customHeight="1" x14ac:dyDescent="0.25">
      <c r="A88" s="78">
        <v>45778</v>
      </c>
      <c r="B88" t="s">
        <v>386</v>
      </c>
      <c r="C88" t="s">
        <v>387</v>
      </c>
      <c r="D88" t="s">
        <v>223</v>
      </c>
      <c r="E88" s="124">
        <v>206059.13</v>
      </c>
      <c r="F88" s="124">
        <v>100372.11</v>
      </c>
      <c r="G88" s="126">
        <v>15559.25</v>
      </c>
      <c r="H88" s="126">
        <v>4356.28</v>
      </c>
      <c r="I88" s="77">
        <v>7193</v>
      </c>
      <c r="J88" s="124">
        <v>13984.72</v>
      </c>
      <c r="K88" s="124">
        <v>143166.18</v>
      </c>
      <c r="L88" s="124">
        <v>141465.35999999999</v>
      </c>
      <c r="M88" s="124">
        <v>64593.77</v>
      </c>
      <c r="N88" s="76">
        <v>0.31347201165024802</v>
      </c>
    </row>
    <row r="89" spans="1:14" ht="15" customHeight="1" x14ac:dyDescent="0.25">
      <c r="A89" s="78">
        <v>45778</v>
      </c>
      <c r="B89" t="s">
        <v>341</v>
      </c>
      <c r="C89" t="s">
        <v>342</v>
      </c>
      <c r="D89" t="s">
        <v>223</v>
      </c>
      <c r="E89" s="124">
        <v>328021.62</v>
      </c>
      <c r="F89" s="124">
        <v>91399.293333333306</v>
      </c>
      <c r="G89" s="126">
        <v>96503.3</v>
      </c>
      <c r="H89" s="126">
        <v>4822.6899999999996</v>
      </c>
      <c r="I89" s="77">
        <v>1863</v>
      </c>
      <c r="J89" s="124">
        <v>24900.26</v>
      </c>
      <c r="K89" s="124">
        <v>215513.17</v>
      </c>
      <c r="L89" s="124">
        <v>219488.54333333299</v>
      </c>
      <c r="M89" s="124">
        <v>108533.076666667</v>
      </c>
      <c r="N89" s="76">
        <v>0.33087171713458002</v>
      </c>
    </row>
    <row r="90" spans="1:14" ht="15" customHeight="1" x14ac:dyDescent="0.25">
      <c r="A90" s="78">
        <v>45778</v>
      </c>
      <c r="B90" t="s">
        <v>347</v>
      </c>
      <c r="C90" t="s">
        <v>348</v>
      </c>
      <c r="D90" t="s">
        <v>223</v>
      </c>
      <c r="E90" s="124">
        <v>224377.60000000001</v>
      </c>
      <c r="F90" s="124">
        <v>96505.513333333307</v>
      </c>
      <c r="G90" s="126">
        <v>28218.84</v>
      </c>
      <c r="H90" s="126">
        <v>1833.13</v>
      </c>
      <c r="I90" s="77">
        <v>8392</v>
      </c>
      <c r="J90" s="124">
        <v>15143.63</v>
      </c>
      <c r="K90" s="124">
        <v>154237.22</v>
      </c>
      <c r="L90" s="124">
        <v>150093.11333333299</v>
      </c>
      <c r="M90" s="124">
        <v>74284.486666666693</v>
      </c>
      <c r="N90" s="76">
        <v>0.331069084733354</v>
      </c>
    </row>
    <row r="91" spans="1:14" ht="15" customHeight="1" x14ac:dyDescent="0.25">
      <c r="A91" s="78">
        <v>45778</v>
      </c>
      <c r="B91" t="s">
        <v>409</v>
      </c>
      <c r="C91" t="s">
        <v>410</v>
      </c>
      <c r="D91" t="s">
        <v>223</v>
      </c>
      <c r="E91" s="124">
        <v>287438.68</v>
      </c>
      <c r="F91" s="124">
        <v>148813.84</v>
      </c>
      <c r="G91" s="126">
        <v>25712.07</v>
      </c>
      <c r="H91" s="126">
        <v>2545.5</v>
      </c>
      <c r="I91" s="77">
        <v>5208</v>
      </c>
      <c r="J91" s="124">
        <v>22193.16</v>
      </c>
      <c r="K91" s="124">
        <v>210959.68</v>
      </c>
      <c r="L91" s="124">
        <v>204472.57</v>
      </c>
      <c r="M91" s="124">
        <v>82966.11</v>
      </c>
      <c r="N91" s="76">
        <v>0.28863933691874699</v>
      </c>
    </row>
    <row r="92" spans="1:14" ht="15" customHeight="1" x14ac:dyDescent="0.25">
      <c r="A92" s="78">
        <v>45778</v>
      </c>
      <c r="B92" t="s">
        <v>488</v>
      </c>
      <c r="C92" t="s">
        <v>489</v>
      </c>
      <c r="D92" t="s">
        <v>225</v>
      </c>
      <c r="E92" s="124">
        <v>266529.05</v>
      </c>
      <c r="F92" s="124">
        <v>121139.676666667</v>
      </c>
      <c r="G92" s="126">
        <v>27796.13</v>
      </c>
      <c r="H92" s="126">
        <v>2292.84</v>
      </c>
      <c r="I92" s="77">
        <v>5418</v>
      </c>
      <c r="J92" s="124">
        <v>15181.5</v>
      </c>
      <c r="K92" s="124">
        <v>172045.16</v>
      </c>
      <c r="L92" s="124">
        <v>171828.14666666699</v>
      </c>
      <c r="M92" s="124">
        <v>94700.903333333306</v>
      </c>
      <c r="N92" s="76">
        <v>0.35531175057027897</v>
      </c>
    </row>
    <row r="93" spans="1:14" ht="15" customHeight="1" x14ac:dyDescent="0.25">
      <c r="A93" s="78">
        <v>45778</v>
      </c>
      <c r="B93" t="s">
        <v>406</v>
      </c>
      <c r="C93" t="s">
        <v>407</v>
      </c>
      <c r="D93" t="s">
        <v>225</v>
      </c>
      <c r="E93" s="124">
        <v>389049.96</v>
      </c>
      <c r="F93" s="124">
        <v>190803.28333333301</v>
      </c>
      <c r="G93" s="126">
        <v>37250.129999999997</v>
      </c>
      <c r="H93" s="126">
        <v>5597.3</v>
      </c>
      <c r="I93" s="77">
        <v>3712</v>
      </c>
      <c r="J93" s="124">
        <v>28337</v>
      </c>
      <c r="K93" s="124">
        <v>267256.39</v>
      </c>
      <c r="L93" s="124">
        <v>265699.71333333303</v>
      </c>
      <c r="M93" s="124">
        <v>123350.24666666699</v>
      </c>
      <c r="N93" s="76">
        <v>0.31705502981330902</v>
      </c>
    </row>
    <row r="94" spans="1:14" ht="15" customHeight="1" x14ac:dyDescent="0.25">
      <c r="A94" s="78">
        <v>45778</v>
      </c>
      <c r="B94" t="s">
        <v>358</v>
      </c>
      <c r="C94" t="s">
        <v>359</v>
      </c>
      <c r="D94" t="s">
        <v>225</v>
      </c>
      <c r="E94" s="124">
        <v>224493.95</v>
      </c>
      <c r="F94" s="124">
        <v>111460.9</v>
      </c>
      <c r="G94" s="126">
        <v>23391.29</v>
      </c>
      <c r="H94" s="126">
        <v>2655.39</v>
      </c>
      <c r="I94" s="77">
        <v>3013</v>
      </c>
      <c r="J94" s="124">
        <v>12628.89</v>
      </c>
      <c r="K94" s="124">
        <v>153652.31</v>
      </c>
      <c r="L94" s="124">
        <v>153149.47</v>
      </c>
      <c r="M94" s="124">
        <v>71344.479999999996</v>
      </c>
      <c r="N94" s="76">
        <v>0.31780134832141299</v>
      </c>
    </row>
    <row r="95" spans="1:14" ht="15" customHeight="1" x14ac:dyDescent="0.25">
      <c r="A95" s="78">
        <v>45778</v>
      </c>
      <c r="B95" t="s">
        <v>383</v>
      </c>
      <c r="C95" t="s">
        <v>384</v>
      </c>
      <c r="D95" t="s">
        <v>225</v>
      </c>
      <c r="E95" s="124">
        <v>416861.6</v>
      </c>
      <c r="F95" s="124">
        <v>195410.19666666701</v>
      </c>
      <c r="G95" s="126">
        <v>43213.91</v>
      </c>
      <c r="H95" s="126">
        <v>3778.23</v>
      </c>
      <c r="I95" s="77">
        <v>3528</v>
      </c>
      <c r="J95" s="124">
        <v>22963.05</v>
      </c>
      <c r="K95" s="124">
        <v>266757.40000000002</v>
      </c>
      <c r="L95" s="124">
        <v>268893.38666666701</v>
      </c>
      <c r="M95" s="124">
        <v>147968.213333333</v>
      </c>
      <c r="N95" s="76">
        <v>0.35495764861367302</v>
      </c>
    </row>
    <row r="96" spans="1:14" ht="15" customHeight="1" x14ac:dyDescent="0.25">
      <c r="A96" s="78">
        <v>45778</v>
      </c>
      <c r="B96" t="s">
        <v>373</v>
      </c>
      <c r="C96" t="s">
        <v>374</v>
      </c>
      <c r="D96" t="s">
        <v>225</v>
      </c>
      <c r="E96" s="124">
        <v>291945.57</v>
      </c>
      <c r="F96" s="124">
        <v>140972.89333333299</v>
      </c>
      <c r="G96" s="126">
        <v>29759.38</v>
      </c>
      <c r="H96" s="126">
        <v>3059.74</v>
      </c>
      <c r="I96" s="77">
        <v>504</v>
      </c>
      <c r="J96" s="124">
        <v>17331</v>
      </c>
      <c r="K96" s="124">
        <v>188124.05</v>
      </c>
      <c r="L96" s="124">
        <v>191627.01333333299</v>
      </c>
      <c r="M96" s="124">
        <v>100318.55666666701</v>
      </c>
      <c r="N96" s="76">
        <v>0.34362075323378499</v>
      </c>
    </row>
    <row r="97" spans="1:14" ht="15" customHeight="1" x14ac:dyDescent="0.25">
      <c r="A97" s="78">
        <v>45778</v>
      </c>
      <c r="B97" t="s">
        <v>354</v>
      </c>
      <c r="C97" t="s">
        <v>355</v>
      </c>
      <c r="D97" t="s">
        <v>227</v>
      </c>
      <c r="E97" s="124">
        <v>262639.59999999998</v>
      </c>
      <c r="F97" s="124">
        <v>120192.576666667</v>
      </c>
      <c r="G97" s="126">
        <v>36310.800000000003</v>
      </c>
      <c r="H97" s="126">
        <v>5759.85</v>
      </c>
      <c r="I97" s="77">
        <v>5069</v>
      </c>
      <c r="J97" s="124">
        <v>17704.79</v>
      </c>
      <c r="K97" s="124">
        <v>190185.35</v>
      </c>
      <c r="L97" s="124">
        <v>185037.01666666701</v>
      </c>
      <c r="M97" s="124">
        <v>77602.583333333299</v>
      </c>
      <c r="N97" s="76">
        <v>0.29547175419599098</v>
      </c>
    </row>
    <row r="98" spans="1:14" ht="15" customHeight="1" x14ac:dyDescent="0.25">
      <c r="A98" s="78">
        <v>45778</v>
      </c>
      <c r="B98" t="s">
        <v>370</v>
      </c>
      <c r="C98" t="s">
        <v>371</v>
      </c>
      <c r="D98" t="s">
        <v>227</v>
      </c>
      <c r="E98" s="124">
        <v>316247.90000000002</v>
      </c>
      <c r="F98" s="124">
        <v>159374.683333333</v>
      </c>
      <c r="G98" s="126">
        <v>49775.17</v>
      </c>
      <c r="H98" s="126">
        <v>3060.82</v>
      </c>
      <c r="I98" s="77">
        <v>1725</v>
      </c>
      <c r="J98" s="124">
        <v>19542.29</v>
      </c>
      <c r="K98" s="124">
        <v>230236.32</v>
      </c>
      <c r="L98" s="124">
        <v>233477.963333333</v>
      </c>
      <c r="M98" s="124">
        <v>82769.936666666705</v>
      </c>
      <c r="N98" s="76">
        <v>0.26172485783041299</v>
      </c>
    </row>
    <row r="99" spans="1:14" ht="15" customHeight="1" x14ac:dyDescent="0.25">
      <c r="A99" s="78">
        <v>45778</v>
      </c>
      <c r="B99" t="s">
        <v>398</v>
      </c>
      <c r="C99" t="s">
        <v>399</v>
      </c>
      <c r="D99" t="s">
        <v>227</v>
      </c>
      <c r="E99" s="124">
        <v>327296.25</v>
      </c>
      <c r="F99" s="124">
        <v>165817.816666667</v>
      </c>
      <c r="G99" s="126">
        <v>43546.14</v>
      </c>
      <c r="H99" s="126">
        <v>2811.29</v>
      </c>
      <c r="I99" s="77">
        <v>6041</v>
      </c>
      <c r="J99" s="124">
        <v>21875.040000000001</v>
      </c>
      <c r="K99" s="124">
        <v>237719.79</v>
      </c>
      <c r="L99" s="124">
        <v>240091.286666667</v>
      </c>
      <c r="M99" s="124">
        <v>87204.963333333304</v>
      </c>
      <c r="N99" s="76">
        <v>0.26644045977713898</v>
      </c>
    </row>
    <row r="100" spans="1:14" ht="15" customHeight="1" x14ac:dyDescent="0.25">
      <c r="A100" s="78">
        <v>45778</v>
      </c>
      <c r="B100" t="s">
        <v>378</v>
      </c>
      <c r="C100" t="s">
        <v>379</v>
      </c>
      <c r="D100" t="s">
        <v>227</v>
      </c>
      <c r="E100" s="124">
        <v>415788.28</v>
      </c>
      <c r="F100" s="124">
        <v>235556.406666667</v>
      </c>
      <c r="G100" s="126">
        <v>29666.38</v>
      </c>
      <c r="H100" s="126">
        <v>4724.1899999999996</v>
      </c>
      <c r="I100" s="77">
        <v>3318</v>
      </c>
      <c r="J100" s="124">
        <v>28134.54</v>
      </c>
      <c r="K100" s="124">
        <v>305333.82</v>
      </c>
      <c r="L100" s="124">
        <v>301399.51666666701</v>
      </c>
      <c r="M100" s="124">
        <v>114388.763333333</v>
      </c>
      <c r="N100" s="76">
        <v>0.27511300542991102</v>
      </c>
    </row>
    <row r="101" spans="1:14" ht="15" customHeight="1" x14ac:dyDescent="0.25">
      <c r="A101" s="78">
        <v>45778</v>
      </c>
      <c r="B101" t="s">
        <v>393</v>
      </c>
      <c r="C101" t="s">
        <v>394</v>
      </c>
      <c r="D101" t="s">
        <v>227</v>
      </c>
      <c r="E101" s="124">
        <v>413256.37</v>
      </c>
      <c r="F101" s="124">
        <v>185488.98</v>
      </c>
      <c r="G101" s="126">
        <v>56597.03</v>
      </c>
      <c r="H101" s="126">
        <v>4977.25</v>
      </c>
      <c r="I101" s="77">
        <v>8554</v>
      </c>
      <c r="J101" s="124">
        <v>34074.699999999997</v>
      </c>
      <c r="K101" s="124">
        <v>294301.09000000003</v>
      </c>
      <c r="L101" s="124">
        <v>289691.96000000002</v>
      </c>
      <c r="M101" s="124">
        <v>123564.41</v>
      </c>
      <c r="N101" s="76">
        <v>0.299001827848413</v>
      </c>
    </row>
    <row r="102" spans="1:14" ht="15" customHeight="1" x14ac:dyDescent="0.25">
      <c r="A102" s="78">
        <v>45809</v>
      </c>
      <c r="B102" t="s">
        <v>390</v>
      </c>
      <c r="C102" t="s">
        <v>391</v>
      </c>
      <c r="D102" t="s">
        <v>221</v>
      </c>
      <c r="E102" s="124">
        <v>551261.28</v>
      </c>
      <c r="F102" s="124">
        <v>149023.52666666699</v>
      </c>
      <c r="G102" s="126">
        <v>180155.9</v>
      </c>
      <c r="H102" s="126">
        <v>5096.4799999999996</v>
      </c>
      <c r="I102" s="77">
        <v>8745</v>
      </c>
      <c r="J102" s="124">
        <v>41837.629999999997</v>
      </c>
      <c r="K102" s="124">
        <v>386384.18</v>
      </c>
      <c r="L102" s="124">
        <v>384858.53666666697</v>
      </c>
      <c r="M102" s="124">
        <v>166402.743333333</v>
      </c>
      <c r="N102" s="76">
        <v>0.30185821019995002</v>
      </c>
    </row>
    <row r="103" spans="1:14" ht="15" customHeight="1" x14ac:dyDescent="0.25">
      <c r="A103" s="78">
        <v>45809</v>
      </c>
      <c r="B103" t="s">
        <v>401</v>
      </c>
      <c r="C103" t="s">
        <v>402</v>
      </c>
      <c r="D103" t="s">
        <v>221</v>
      </c>
      <c r="E103" s="124">
        <v>573866.81000000006</v>
      </c>
      <c r="F103" s="124">
        <v>241174.29666666701</v>
      </c>
      <c r="G103" s="126">
        <v>124283.68</v>
      </c>
      <c r="H103" s="126">
        <v>2641.11</v>
      </c>
      <c r="I103" s="77">
        <v>5966</v>
      </c>
      <c r="J103" s="124">
        <v>40286.42</v>
      </c>
      <c r="K103" s="124">
        <v>416579.77</v>
      </c>
      <c r="L103" s="124">
        <v>414351.506666667</v>
      </c>
      <c r="M103" s="124">
        <v>159515.30333333299</v>
      </c>
      <c r="N103" s="76">
        <v>0.27796572402110797</v>
      </c>
    </row>
    <row r="104" spans="1:14" ht="15" customHeight="1" x14ac:dyDescent="0.25">
      <c r="A104" s="78">
        <v>45809</v>
      </c>
      <c r="B104" t="s">
        <v>431</v>
      </c>
      <c r="C104" t="s">
        <v>432</v>
      </c>
      <c r="D104" t="s">
        <v>221</v>
      </c>
      <c r="E104" s="124">
        <v>420520.81</v>
      </c>
      <c r="F104" s="124">
        <v>210666.54333333299</v>
      </c>
      <c r="G104" s="126">
        <v>33510.25</v>
      </c>
      <c r="H104" s="126">
        <v>2231.7399999999998</v>
      </c>
      <c r="I104" s="77">
        <v>10642</v>
      </c>
      <c r="J104" s="124">
        <v>34063.01</v>
      </c>
      <c r="K104" s="124">
        <v>287092.14</v>
      </c>
      <c r="L104" s="124">
        <v>291113.54333333299</v>
      </c>
      <c r="M104" s="124">
        <v>129407.266666667</v>
      </c>
      <c r="N104" s="76">
        <v>0.30773094598259398</v>
      </c>
    </row>
    <row r="105" spans="1:14" ht="15" customHeight="1" x14ac:dyDescent="0.25">
      <c r="A105" s="78">
        <v>45809</v>
      </c>
      <c r="B105" t="s">
        <v>366</v>
      </c>
      <c r="C105" t="s">
        <v>367</v>
      </c>
      <c r="D105" t="s">
        <v>221</v>
      </c>
      <c r="E105" s="124">
        <v>221738.7</v>
      </c>
      <c r="F105" s="124">
        <v>59848.773333333302</v>
      </c>
      <c r="G105" s="126">
        <v>67583.64</v>
      </c>
      <c r="H105" s="126">
        <v>2869.5</v>
      </c>
      <c r="I105" s="77">
        <v>7522</v>
      </c>
      <c r="J105" s="124">
        <v>18707.400000000001</v>
      </c>
      <c r="K105" s="124">
        <v>160332.89000000001</v>
      </c>
      <c r="L105" s="124">
        <v>156531.313333333</v>
      </c>
      <c r="M105" s="124">
        <v>65207.386666666702</v>
      </c>
      <c r="N105" s="76">
        <v>0.294073098952356</v>
      </c>
    </row>
    <row r="106" spans="1:14" ht="15" customHeight="1" x14ac:dyDescent="0.25">
      <c r="A106" s="78">
        <v>45809</v>
      </c>
      <c r="B106" t="s">
        <v>362</v>
      </c>
      <c r="C106" t="s">
        <v>363</v>
      </c>
      <c r="D106" t="s">
        <v>221</v>
      </c>
      <c r="E106" s="124">
        <v>251148.27</v>
      </c>
      <c r="F106" s="124">
        <v>135836.03333333301</v>
      </c>
      <c r="G106" s="126">
        <v>25358.29</v>
      </c>
      <c r="H106" s="126">
        <v>4257.8</v>
      </c>
      <c r="I106" s="77">
        <v>6178</v>
      </c>
      <c r="J106" s="124">
        <v>14748.31</v>
      </c>
      <c r="K106" s="124">
        <v>180932.72</v>
      </c>
      <c r="L106" s="124">
        <v>186378.433333333</v>
      </c>
      <c r="M106" s="124">
        <v>64769.836666666699</v>
      </c>
      <c r="N106" s="76">
        <v>0.25789481514910201</v>
      </c>
    </row>
    <row r="107" spans="1:14" ht="15" customHeight="1" x14ac:dyDescent="0.25">
      <c r="A107" s="78">
        <v>45809</v>
      </c>
      <c r="B107" t="s">
        <v>335</v>
      </c>
      <c r="C107" t="s">
        <v>336</v>
      </c>
      <c r="D107" t="s">
        <v>223</v>
      </c>
      <c r="E107" s="124">
        <v>256892.87</v>
      </c>
      <c r="F107" s="124">
        <v>115018.97333333299</v>
      </c>
      <c r="G107" s="126">
        <v>35961.519999999997</v>
      </c>
      <c r="H107" s="126">
        <v>2904.14</v>
      </c>
      <c r="I107" s="77">
        <v>5502</v>
      </c>
      <c r="J107" s="124">
        <v>15520.81</v>
      </c>
      <c r="K107" s="124">
        <v>179732.35</v>
      </c>
      <c r="L107" s="124">
        <v>174907.44333333301</v>
      </c>
      <c r="M107" s="124">
        <v>81985.426666666594</v>
      </c>
      <c r="N107" s="76">
        <v>0.319142476265171</v>
      </c>
    </row>
    <row r="108" spans="1:14" ht="15" customHeight="1" x14ac:dyDescent="0.25">
      <c r="A108" s="78">
        <v>45809</v>
      </c>
      <c r="B108" t="s">
        <v>386</v>
      </c>
      <c r="C108" t="s">
        <v>387</v>
      </c>
      <c r="D108" t="s">
        <v>223</v>
      </c>
      <c r="E108" s="124">
        <v>364255.16</v>
      </c>
      <c r="F108" s="124">
        <v>194193.726666667</v>
      </c>
      <c r="G108" s="126">
        <v>16976.990000000002</v>
      </c>
      <c r="H108" s="126">
        <v>2991.52</v>
      </c>
      <c r="I108" s="77">
        <v>5152</v>
      </c>
      <c r="J108" s="124">
        <v>30903.599999999999</v>
      </c>
      <c r="K108" s="124">
        <v>245141.35</v>
      </c>
      <c r="L108" s="124">
        <v>250217.83666666699</v>
      </c>
      <c r="M108" s="124">
        <v>114037.323333333</v>
      </c>
      <c r="N108" s="76">
        <v>0.31306989126340301</v>
      </c>
    </row>
    <row r="109" spans="1:14" ht="15" customHeight="1" x14ac:dyDescent="0.25">
      <c r="A109" s="78">
        <v>45809</v>
      </c>
      <c r="B109" t="s">
        <v>341</v>
      </c>
      <c r="C109" t="s">
        <v>342</v>
      </c>
      <c r="D109" t="s">
        <v>223</v>
      </c>
      <c r="E109" s="124">
        <v>396854.85</v>
      </c>
      <c r="F109" s="124">
        <v>214538.08</v>
      </c>
      <c r="G109" s="126">
        <v>6952.93</v>
      </c>
      <c r="H109" s="126">
        <v>3980.42</v>
      </c>
      <c r="I109" s="77">
        <v>7868</v>
      </c>
      <c r="J109" s="124">
        <v>32412.97</v>
      </c>
      <c r="K109" s="124">
        <v>256068.14</v>
      </c>
      <c r="L109" s="124">
        <v>265752.40000000002</v>
      </c>
      <c r="M109" s="124">
        <v>131102.45000000001</v>
      </c>
      <c r="N109" s="76">
        <v>0.33035365449105603</v>
      </c>
    </row>
    <row r="110" spans="1:14" ht="15" customHeight="1" x14ac:dyDescent="0.25">
      <c r="A110" s="78">
        <v>45809</v>
      </c>
      <c r="B110" t="s">
        <v>347</v>
      </c>
      <c r="C110" t="s">
        <v>348</v>
      </c>
      <c r="D110" t="s">
        <v>223</v>
      </c>
      <c r="E110" s="124">
        <v>401579.03</v>
      </c>
      <c r="F110" s="124">
        <v>188846.54333333299</v>
      </c>
      <c r="G110" s="126">
        <v>71419.179999999993</v>
      </c>
      <c r="H110" s="126">
        <v>3090.77</v>
      </c>
      <c r="I110" s="77">
        <v>7868</v>
      </c>
      <c r="J110" s="124">
        <v>27803.09</v>
      </c>
      <c r="K110" s="124">
        <v>297173.19</v>
      </c>
      <c r="L110" s="124">
        <v>299027.58333333302</v>
      </c>
      <c r="M110" s="124">
        <v>102551.44666666701</v>
      </c>
      <c r="N110" s="76">
        <v>0.25537052237679497</v>
      </c>
    </row>
    <row r="111" spans="1:14" ht="15" customHeight="1" x14ac:dyDescent="0.25">
      <c r="A111" s="78">
        <v>45809</v>
      </c>
      <c r="B111" t="s">
        <v>409</v>
      </c>
      <c r="C111" t="s">
        <v>410</v>
      </c>
      <c r="D111" t="s">
        <v>223</v>
      </c>
      <c r="E111" s="124">
        <v>322846.95</v>
      </c>
      <c r="F111" s="124">
        <v>177078.98</v>
      </c>
      <c r="G111" s="126">
        <v>10462.82</v>
      </c>
      <c r="H111" s="126">
        <v>4492.45</v>
      </c>
      <c r="I111" s="77">
        <v>4033</v>
      </c>
      <c r="J111" s="124">
        <v>19955.84</v>
      </c>
      <c r="K111" s="124">
        <v>217682.26</v>
      </c>
      <c r="L111" s="124">
        <v>216023.09</v>
      </c>
      <c r="M111" s="124">
        <v>106823.86</v>
      </c>
      <c r="N111" s="76">
        <v>0.33088080900253197</v>
      </c>
    </row>
    <row r="112" spans="1:14" ht="15" customHeight="1" x14ac:dyDescent="0.25">
      <c r="A112" s="78">
        <v>45809</v>
      </c>
      <c r="B112" t="s">
        <v>488</v>
      </c>
      <c r="C112" t="s">
        <v>489</v>
      </c>
      <c r="D112" t="s">
        <v>225</v>
      </c>
      <c r="E112" s="124">
        <v>478516.35</v>
      </c>
      <c r="F112" s="124">
        <v>216970.32</v>
      </c>
      <c r="G112" s="126">
        <v>65618.509999999995</v>
      </c>
      <c r="H112" s="126">
        <v>4301.3500000000004</v>
      </c>
      <c r="I112" s="77">
        <v>2553</v>
      </c>
      <c r="J112" s="124">
        <v>34289.129999999997</v>
      </c>
      <c r="K112" s="124">
        <v>321010</v>
      </c>
      <c r="L112" s="124">
        <v>323732.31</v>
      </c>
      <c r="M112" s="124">
        <v>154784.04</v>
      </c>
      <c r="N112" s="76">
        <v>0.32346656493555598</v>
      </c>
    </row>
    <row r="113" spans="1:14" ht="15" customHeight="1" x14ac:dyDescent="0.25">
      <c r="A113" s="78">
        <v>45809</v>
      </c>
      <c r="B113" t="s">
        <v>406</v>
      </c>
      <c r="C113" t="s">
        <v>407</v>
      </c>
      <c r="D113" t="s">
        <v>225</v>
      </c>
      <c r="E113" s="124">
        <v>262619.32</v>
      </c>
      <c r="F113" s="124">
        <v>120855.97</v>
      </c>
      <c r="G113" s="126">
        <v>34299.69</v>
      </c>
      <c r="H113" s="126">
        <v>5579.73</v>
      </c>
      <c r="I113" s="77">
        <v>7208</v>
      </c>
      <c r="J113" s="124">
        <v>16402.310000000001</v>
      </c>
      <c r="K113" s="124">
        <v>191363.58</v>
      </c>
      <c r="L113" s="124">
        <v>184345.7</v>
      </c>
      <c r="M113" s="124">
        <v>78273.62</v>
      </c>
      <c r="N113" s="76">
        <v>0.298049739828738</v>
      </c>
    </row>
    <row r="114" spans="1:14" ht="15" customHeight="1" x14ac:dyDescent="0.25">
      <c r="A114" s="78">
        <v>45809</v>
      </c>
      <c r="B114" t="s">
        <v>358</v>
      </c>
      <c r="C114" t="s">
        <v>359</v>
      </c>
      <c r="D114" t="s">
        <v>225</v>
      </c>
      <c r="E114" s="124">
        <v>299146.59999999998</v>
      </c>
      <c r="F114" s="124">
        <v>148747.686666667</v>
      </c>
      <c r="G114" s="126">
        <v>30701.23</v>
      </c>
      <c r="H114" s="126">
        <v>2334.5</v>
      </c>
      <c r="I114" s="77">
        <v>2323</v>
      </c>
      <c r="J114" s="124">
        <v>17350.580000000002</v>
      </c>
      <c r="K114" s="124">
        <v>202734.54</v>
      </c>
      <c r="L114" s="124">
        <v>201456.99666666699</v>
      </c>
      <c r="M114" s="124">
        <v>97689.603333333303</v>
      </c>
      <c r="N114" s="76">
        <v>0.32656096821201802</v>
      </c>
    </row>
    <row r="115" spans="1:14" ht="15" customHeight="1" x14ac:dyDescent="0.25">
      <c r="A115" s="78">
        <v>45809</v>
      </c>
      <c r="B115" t="s">
        <v>383</v>
      </c>
      <c r="C115" t="s">
        <v>384</v>
      </c>
      <c r="D115" t="s">
        <v>225</v>
      </c>
      <c r="E115" s="124">
        <v>273750.34999999998</v>
      </c>
      <c r="F115" s="124">
        <v>121724.8</v>
      </c>
      <c r="G115" s="126">
        <v>43623.12</v>
      </c>
      <c r="H115" s="126">
        <v>3283.23</v>
      </c>
      <c r="I115" s="77">
        <v>9306</v>
      </c>
      <c r="J115" s="124">
        <v>19979.62</v>
      </c>
      <c r="K115" s="124">
        <v>196000.67</v>
      </c>
      <c r="L115" s="124">
        <v>197916.77</v>
      </c>
      <c r="M115" s="124">
        <v>75833.58</v>
      </c>
      <c r="N115" s="76">
        <v>0.27701728965826</v>
      </c>
    </row>
    <row r="116" spans="1:14" ht="15" customHeight="1" x14ac:dyDescent="0.25">
      <c r="A116" s="78">
        <v>45809</v>
      </c>
      <c r="B116" t="s">
        <v>373</v>
      </c>
      <c r="C116" t="s">
        <v>374</v>
      </c>
      <c r="D116" t="s">
        <v>225</v>
      </c>
      <c r="E116" s="124">
        <v>138546.18</v>
      </c>
      <c r="F116" s="124">
        <v>76860.38</v>
      </c>
      <c r="G116" s="126">
        <v>15433.99</v>
      </c>
      <c r="H116" s="126">
        <v>2428.3000000000002</v>
      </c>
      <c r="I116" s="77">
        <v>690</v>
      </c>
      <c r="J116" s="124">
        <v>7723.01</v>
      </c>
      <c r="K116" s="124">
        <v>104423.34</v>
      </c>
      <c r="L116" s="124">
        <v>103135.67999999999</v>
      </c>
      <c r="M116" s="124">
        <v>35410.5</v>
      </c>
      <c r="N116" s="76">
        <v>0.255586260119189</v>
      </c>
    </row>
    <row r="117" spans="1:14" ht="15" customHeight="1" x14ac:dyDescent="0.25">
      <c r="A117" s="78">
        <v>45809</v>
      </c>
      <c r="B117" t="s">
        <v>354</v>
      </c>
      <c r="C117" t="s">
        <v>355</v>
      </c>
      <c r="D117" t="s">
        <v>227</v>
      </c>
      <c r="E117" s="124">
        <v>310626.07</v>
      </c>
      <c r="F117" s="124">
        <v>105989.55666666701</v>
      </c>
      <c r="G117" s="126">
        <v>80468.67</v>
      </c>
      <c r="H117" s="126">
        <v>5004.79</v>
      </c>
      <c r="I117" s="77">
        <v>2128</v>
      </c>
      <c r="J117" s="124">
        <v>24604.63</v>
      </c>
      <c r="K117" s="124">
        <v>214682.06</v>
      </c>
      <c r="L117" s="124">
        <v>218195.64666666699</v>
      </c>
      <c r="M117" s="124">
        <v>92430.423333333296</v>
      </c>
      <c r="N117" s="76">
        <v>0.29756170605169502</v>
      </c>
    </row>
    <row r="118" spans="1:14" ht="15" customHeight="1" x14ac:dyDescent="0.25">
      <c r="A118" s="78">
        <v>45809</v>
      </c>
      <c r="B118" t="s">
        <v>370</v>
      </c>
      <c r="C118" t="s">
        <v>371</v>
      </c>
      <c r="D118" t="s">
        <v>227</v>
      </c>
      <c r="E118" s="124">
        <v>452079.97</v>
      </c>
      <c r="F118" s="124">
        <v>148226.98666666701</v>
      </c>
      <c r="G118" s="126">
        <v>110275.8</v>
      </c>
      <c r="H118" s="126">
        <v>3203.96</v>
      </c>
      <c r="I118" s="77">
        <v>2321</v>
      </c>
      <c r="J118" s="124">
        <v>28257.95</v>
      </c>
      <c r="K118" s="124">
        <v>281692.28999999998</v>
      </c>
      <c r="L118" s="124">
        <v>292285.69666666701</v>
      </c>
      <c r="M118" s="124">
        <v>159794.273333333</v>
      </c>
      <c r="N118" s="76">
        <v>0.353464616743213</v>
      </c>
    </row>
    <row r="119" spans="1:14" ht="15" customHeight="1" x14ac:dyDescent="0.25">
      <c r="A119" s="78">
        <v>45809</v>
      </c>
      <c r="B119" t="s">
        <v>398</v>
      </c>
      <c r="C119" t="s">
        <v>399</v>
      </c>
      <c r="D119" t="s">
        <v>227</v>
      </c>
      <c r="E119" s="124">
        <v>379510.75</v>
      </c>
      <c r="F119" s="124">
        <v>146180.123333333</v>
      </c>
      <c r="G119" s="126">
        <v>69254.84</v>
      </c>
      <c r="H119" s="126">
        <v>4134.8999999999996</v>
      </c>
      <c r="I119" s="77">
        <v>3864</v>
      </c>
      <c r="J119" s="124">
        <v>32242.93</v>
      </c>
      <c r="K119" s="124">
        <v>259407.8</v>
      </c>
      <c r="L119" s="124">
        <v>255676.79333333299</v>
      </c>
      <c r="M119" s="124">
        <v>123833.956666667</v>
      </c>
      <c r="N119" s="76">
        <v>0.32629894322273301</v>
      </c>
    </row>
    <row r="120" spans="1:14" ht="15" customHeight="1" x14ac:dyDescent="0.25">
      <c r="A120" s="78">
        <v>45809</v>
      </c>
      <c r="B120" t="s">
        <v>378</v>
      </c>
      <c r="C120" t="s">
        <v>379</v>
      </c>
      <c r="D120" t="s">
        <v>227</v>
      </c>
      <c r="E120" s="124">
        <v>319177.65999999997</v>
      </c>
      <c r="F120" s="124">
        <v>162582.69666666701</v>
      </c>
      <c r="G120" s="126">
        <v>40705.839999999997</v>
      </c>
      <c r="H120" s="126">
        <v>4581.42</v>
      </c>
      <c r="I120" s="77">
        <v>1568</v>
      </c>
      <c r="J120" s="124">
        <v>26201.58</v>
      </c>
      <c r="K120" s="124">
        <v>242455.44</v>
      </c>
      <c r="L120" s="124">
        <v>235639.536666667</v>
      </c>
      <c r="M120" s="124">
        <v>83538.123333333293</v>
      </c>
      <c r="N120" s="76">
        <v>0.26172923046473001</v>
      </c>
    </row>
    <row r="121" spans="1:14" ht="15" customHeight="1" x14ac:dyDescent="0.25">
      <c r="A121" s="78">
        <v>45809</v>
      </c>
      <c r="B121" t="s">
        <v>393</v>
      </c>
      <c r="C121" t="s">
        <v>394</v>
      </c>
      <c r="D121" t="s">
        <v>227</v>
      </c>
      <c r="E121" s="124">
        <v>390699.85</v>
      </c>
      <c r="F121" s="124">
        <v>205231.71666666699</v>
      </c>
      <c r="G121" s="126">
        <v>29511.02</v>
      </c>
      <c r="H121" s="126">
        <v>2404.52</v>
      </c>
      <c r="I121" s="77">
        <v>4680</v>
      </c>
      <c r="J121" s="124">
        <v>26544.23</v>
      </c>
      <c r="K121" s="124">
        <v>266449.09000000003</v>
      </c>
      <c r="L121" s="124">
        <v>268371.48666666698</v>
      </c>
      <c r="M121" s="124">
        <v>122328.36333333301</v>
      </c>
      <c r="N121" s="76">
        <v>0.31310061504588099</v>
      </c>
    </row>
    <row r="122" spans="1:14" ht="15" customHeight="1" x14ac:dyDescent="0.25">
      <c r="A122" s="78">
        <v>45839</v>
      </c>
      <c r="B122" t="s">
        <v>390</v>
      </c>
      <c r="C122" t="s">
        <v>391</v>
      </c>
      <c r="D122" t="s">
        <v>221</v>
      </c>
      <c r="E122" s="124">
        <v>210666.5</v>
      </c>
      <c r="F122" s="124">
        <v>105612.683333333</v>
      </c>
      <c r="G122" s="126">
        <v>18557.46</v>
      </c>
      <c r="H122" s="126">
        <v>5907.37</v>
      </c>
      <c r="I122" s="77">
        <v>6874</v>
      </c>
      <c r="J122" s="124">
        <v>14340.94</v>
      </c>
      <c r="K122" s="124">
        <v>147199.44</v>
      </c>
      <c r="L122" s="124">
        <v>151292.45333333299</v>
      </c>
      <c r="M122" s="124">
        <v>59374.046666666698</v>
      </c>
      <c r="N122" s="76">
        <v>0.28183905208785798</v>
      </c>
    </row>
    <row r="123" spans="1:14" ht="15" customHeight="1" x14ac:dyDescent="0.25">
      <c r="A123" s="78">
        <v>45839</v>
      </c>
      <c r="B123" t="s">
        <v>401</v>
      </c>
      <c r="C123" t="s">
        <v>402</v>
      </c>
      <c r="D123" t="s">
        <v>221</v>
      </c>
      <c r="E123" s="124">
        <v>237830</v>
      </c>
      <c r="F123" s="124">
        <v>80123.326666666704</v>
      </c>
      <c r="G123" s="126">
        <v>51138.79</v>
      </c>
      <c r="H123" s="126">
        <v>3795.37</v>
      </c>
      <c r="I123" s="77">
        <v>7232</v>
      </c>
      <c r="J123" s="124">
        <v>19726.05</v>
      </c>
      <c r="K123" s="124">
        <v>159614.44</v>
      </c>
      <c r="L123" s="124">
        <v>162015.536666667</v>
      </c>
      <c r="M123" s="124">
        <v>75814.463333333406</v>
      </c>
      <c r="N123" s="76">
        <v>0.318775862310614</v>
      </c>
    </row>
    <row r="124" spans="1:14" ht="15" customHeight="1" x14ac:dyDescent="0.25">
      <c r="A124" s="78">
        <v>45839</v>
      </c>
      <c r="B124" t="s">
        <v>431</v>
      </c>
      <c r="C124" t="s">
        <v>432</v>
      </c>
      <c r="D124" t="s">
        <v>221</v>
      </c>
      <c r="E124" s="124">
        <v>190374.81</v>
      </c>
      <c r="F124" s="124">
        <v>88625.436666666705</v>
      </c>
      <c r="G124" s="126">
        <v>21499.67</v>
      </c>
      <c r="H124" s="126">
        <v>2027.05</v>
      </c>
      <c r="I124" s="77">
        <v>924</v>
      </c>
      <c r="J124" s="124">
        <v>13269.29</v>
      </c>
      <c r="K124" s="124">
        <v>125770.28</v>
      </c>
      <c r="L124" s="124">
        <v>126345.44666666701</v>
      </c>
      <c r="M124" s="124">
        <v>64029.363333333298</v>
      </c>
      <c r="N124" s="76">
        <v>0.33633316998889401</v>
      </c>
    </row>
    <row r="125" spans="1:14" ht="15" customHeight="1" x14ac:dyDescent="0.25">
      <c r="A125" s="78">
        <v>45839</v>
      </c>
      <c r="B125" t="s">
        <v>366</v>
      </c>
      <c r="C125" t="s">
        <v>367</v>
      </c>
      <c r="D125" t="s">
        <v>221</v>
      </c>
      <c r="E125" s="124">
        <v>387588.8</v>
      </c>
      <c r="F125" s="124">
        <v>119111.15</v>
      </c>
      <c r="G125" s="126">
        <v>113948.32</v>
      </c>
      <c r="H125" s="126">
        <v>4186.13</v>
      </c>
      <c r="I125" s="77">
        <v>5737</v>
      </c>
      <c r="J125" s="124">
        <v>21656.73</v>
      </c>
      <c r="K125" s="124">
        <v>263593.93</v>
      </c>
      <c r="L125" s="124">
        <v>264639.33</v>
      </c>
      <c r="M125" s="124">
        <v>122949.47</v>
      </c>
      <c r="N125" s="76">
        <v>0.317216261150993</v>
      </c>
    </row>
    <row r="126" spans="1:14" ht="15" customHeight="1" x14ac:dyDescent="0.25">
      <c r="A126" s="78">
        <v>45839</v>
      </c>
      <c r="B126" t="s">
        <v>362</v>
      </c>
      <c r="C126" t="s">
        <v>363</v>
      </c>
      <c r="D126" t="s">
        <v>221</v>
      </c>
      <c r="E126" s="124">
        <v>607256.57999999996</v>
      </c>
      <c r="F126" s="124">
        <v>256475.843333333</v>
      </c>
      <c r="G126" s="126">
        <v>90083.27</v>
      </c>
      <c r="H126" s="126">
        <v>2317.6999999999998</v>
      </c>
      <c r="I126" s="77">
        <v>6804</v>
      </c>
      <c r="J126" s="124">
        <v>47390.400000000001</v>
      </c>
      <c r="K126" s="124">
        <v>418057.65</v>
      </c>
      <c r="L126" s="124">
        <v>403071.21333333303</v>
      </c>
      <c r="M126" s="124">
        <v>204185.36666666699</v>
      </c>
      <c r="N126" s="76">
        <v>0.33624232884667399</v>
      </c>
    </row>
    <row r="127" spans="1:14" ht="15" customHeight="1" x14ac:dyDescent="0.25">
      <c r="A127" s="78">
        <v>45839</v>
      </c>
      <c r="B127" t="s">
        <v>335</v>
      </c>
      <c r="C127" t="s">
        <v>336</v>
      </c>
      <c r="D127" t="s">
        <v>223</v>
      </c>
      <c r="E127" s="124">
        <v>221864.18</v>
      </c>
      <c r="F127" s="124">
        <v>107988.456666667</v>
      </c>
      <c r="G127" s="126">
        <v>28608.55</v>
      </c>
      <c r="H127" s="126">
        <v>2263.6</v>
      </c>
      <c r="I127" s="77">
        <v>8860</v>
      </c>
      <c r="J127" s="124">
        <v>15573.24</v>
      </c>
      <c r="K127" s="124">
        <v>164712.68</v>
      </c>
      <c r="L127" s="124">
        <v>163293.846666667</v>
      </c>
      <c r="M127" s="124">
        <v>58570.333333333299</v>
      </c>
      <c r="N127" s="76">
        <v>0.26399184101432399</v>
      </c>
    </row>
    <row r="128" spans="1:14" ht="15" customHeight="1" x14ac:dyDescent="0.25">
      <c r="A128" s="78">
        <v>45839</v>
      </c>
      <c r="B128" t="s">
        <v>386</v>
      </c>
      <c r="C128" t="s">
        <v>387</v>
      </c>
      <c r="D128" t="s">
        <v>223</v>
      </c>
      <c r="E128" s="124">
        <v>424020.99</v>
      </c>
      <c r="F128" s="124">
        <v>230946.98333333299</v>
      </c>
      <c r="G128" s="126">
        <v>30121.17</v>
      </c>
      <c r="H128" s="126">
        <v>2833.98</v>
      </c>
      <c r="I128" s="77">
        <v>7074</v>
      </c>
      <c r="J128" s="124">
        <v>26406.12</v>
      </c>
      <c r="K128" s="124">
        <v>304096.68</v>
      </c>
      <c r="L128" s="124">
        <v>297382.25333333301</v>
      </c>
      <c r="M128" s="124">
        <v>126638.736666667</v>
      </c>
      <c r="N128" s="76">
        <v>0.29866148057120201</v>
      </c>
    </row>
    <row r="129" spans="1:14" ht="15" customHeight="1" x14ac:dyDescent="0.25">
      <c r="A129" s="78">
        <v>45839</v>
      </c>
      <c r="B129" t="s">
        <v>341</v>
      </c>
      <c r="C129" t="s">
        <v>342</v>
      </c>
      <c r="D129" t="s">
        <v>223</v>
      </c>
      <c r="E129" s="124">
        <v>322587.65999999997</v>
      </c>
      <c r="F129" s="124">
        <v>131237.816666667</v>
      </c>
      <c r="G129" s="126">
        <v>76261.539999999994</v>
      </c>
      <c r="H129" s="126">
        <v>2381.5100000000002</v>
      </c>
      <c r="I129" s="77">
        <v>2392</v>
      </c>
      <c r="J129" s="124">
        <v>21656.31</v>
      </c>
      <c r="K129" s="124">
        <v>231707.04</v>
      </c>
      <c r="L129" s="124">
        <v>233929.17666666699</v>
      </c>
      <c r="M129" s="124">
        <v>88658.483333333294</v>
      </c>
      <c r="N129" s="76">
        <v>0.27483532176442599</v>
      </c>
    </row>
    <row r="130" spans="1:14" ht="15" customHeight="1" x14ac:dyDescent="0.25">
      <c r="A130" s="78">
        <v>45839</v>
      </c>
      <c r="B130" t="s">
        <v>347</v>
      </c>
      <c r="C130" t="s">
        <v>348</v>
      </c>
      <c r="D130" t="s">
        <v>223</v>
      </c>
      <c r="E130" s="124">
        <v>384872.18</v>
      </c>
      <c r="F130" s="124">
        <v>206326.46</v>
      </c>
      <c r="G130" s="126">
        <v>34618.94</v>
      </c>
      <c r="H130" s="126">
        <v>5454.36</v>
      </c>
      <c r="I130" s="77">
        <v>12718</v>
      </c>
      <c r="J130" s="124">
        <v>28482.85</v>
      </c>
      <c r="K130" s="124">
        <v>293822.55</v>
      </c>
      <c r="L130" s="124">
        <v>287600.61</v>
      </c>
      <c r="M130" s="124">
        <v>97271.570000000094</v>
      </c>
      <c r="N130" s="76">
        <v>0.25273733736743498</v>
      </c>
    </row>
    <row r="131" spans="1:14" ht="15" customHeight="1" x14ac:dyDescent="0.25">
      <c r="A131" s="78">
        <v>45839</v>
      </c>
      <c r="B131" t="s">
        <v>409</v>
      </c>
      <c r="C131" t="s">
        <v>410</v>
      </c>
      <c r="D131" t="s">
        <v>223</v>
      </c>
      <c r="E131" s="124">
        <v>334834.78000000003</v>
      </c>
      <c r="F131" s="124">
        <v>181150.773333333</v>
      </c>
      <c r="G131" s="126">
        <v>29908.54</v>
      </c>
      <c r="H131" s="126">
        <v>2344.94</v>
      </c>
      <c r="I131" s="77">
        <v>3900</v>
      </c>
      <c r="J131" s="124">
        <v>21320.84</v>
      </c>
      <c r="K131" s="124">
        <v>231149.42</v>
      </c>
      <c r="L131" s="124">
        <v>238625.093333333</v>
      </c>
      <c r="M131" s="124">
        <v>96209.686666666705</v>
      </c>
      <c r="N131" s="76">
        <v>0.28733480633841801</v>
      </c>
    </row>
    <row r="132" spans="1:14" ht="15" customHeight="1" x14ac:dyDescent="0.25">
      <c r="A132" s="78">
        <v>45839</v>
      </c>
      <c r="B132" t="s">
        <v>488</v>
      </c>
      <c r="C132" t="s">
        <v>489</v>
      </c>
      <c r="D132" t="s">
        <v>225</v>
      </c>
      <c r="E132" s="124">
        <v>351844.58</v>
      </c>
      <c r="F132" s="124">
        <v>143173.27666666699</v>
      </c>
      <c r="G132" s="126">
        <v>67061.88</v>
      </c>
      <c r="H132" s="126">
        <v>3022.52</v>
      </c>
      <c r="I132" s="77">
        <v>3822</v>
      </c>
      <c r="J132" s="124">
        <v>25723.19</v>
      </c>
      <c r="K132" s="124">
        <v>239831.42</v>
      </c>
      <c r="L132" s="124">
        <v>242802.86666666699</v>
      </c>
      <c r="M132" s="124">
        <v>109041.713333333</v>
      </c>
      <c r="N132" s="76">
        <v>0.30991443248417599</v>
      </c>
    </row>
    <row r="133" spans="1:14" ht="15" customHeight="1" x14ac:dyDescent="0.25">
      <c r="A133" s="78">
        <v>45839</v>
      </c>
      <c r="B133" t="s">
        <v>406</v>
      </c>
      <c r="C133" t="s">
        <v>407</v>
      </c>
      <c r="D133" t="s">
        <v>225</v>
      </c>
      <c r="E133" s="124">
        <v>360975.73</v>
      </c>
      <c r="F133" s="124">
        <v>116657.95</v>
      </c>
      <c r="G133" s="126">
        <v>91438.25</v>
      </c>
      <c r="H133" s="126">
        <v>2613.81</v>
      </c>
      <c r="I133" s="77">
        <v>1648</v>
      </c>
      <c r="J133" s="124">
        <v>19952.82</v>
      </c>
      <c r="K133" s="124">
        <v>240337.92000000001</v>
      </c>
      <c r="L133" s="124">
        <v>232310.83</v>
      </c>
      <c r="M133" s="124">
        <v>128664.9</v>
      </c>
      <c r="N133" s="76">
        <v>0.35643642856543301</v>
      </c>
    </row>
    <row r="134" spans="1:14" ht="15" customHeight="1" x14ac:dyDescent="0.25">
      <c r="A134" s="78">
        <v>45839</v>
      </c>
      <c r="B134" t="s">
        <v>358</v>
      </c>
      <c r="C134" t="s">
        <v>359</v>
      </c>
      <c r="D134" t="s">
        <v>225</v>
      </c>
      <c r="E134" s="124">
        <v>307368.71999999997</v>
      </c>
      <c r="F134" s="124">
        <v>175140.13</v>
      </c>
      <c r="G134" s="126">
        <v>12622.74</v>
      </c>
      <c r="H134" s="126">
        <v>3797.45</v>
      </c>
      <c r="I134" s="77">
        <v>4856</v>
      </c>
      <c r="J134" s="124">
        <v>24794.59</v>
      </c>
      <c r="K134" s="124">
        <v>214458.04</v>
      </c>
      <c r="L134" s="124">
        <v>221210.91</v>
      </c>
      <c r="M134" s="124">
        <v>86157.81</v>
      </c>
      <c r="N134" s="76">
        <v>0.28030767086514202</v>
      </c>
    </row>
    <row r="135" spans="1:14" ht="15" customHeight="1" x14ac:dyDescent="0.25">
      <c r="A135" s="78">
        <v>45839</v>
      </c>
      <c r="B135" t="s">
        <v>383</v>
      </c>
      <c r="C135" t="s">
        <v>384</v>
      </c>
      <c r="D135" t="s">
        <v>225</v>
      </c>
      <c r="E135" s="124">
        <v>302351.76</v>
      </c>
      <c r="F135" s="124">
        <v>124791.99666666699</v>
      </c>
      <c r="G135" s="126">
        <v>67324.61</v>
      </c>
      <c r="H135" s="126">
        <v>3293.78</v>
      </c>
      <c r="I135" s="77">
        <v>7363</v>
      </c>
      <c r="J135" s="124">
        <v>18271.52</v>
      </c>
      <c r="K135" s="124">
        <v>225678.65</v>
      </c>
      <c r="L135" s="124">
        <v>221044.906666667</v>
      </c>
      <c r="M135" s="124">
        <v>81306.853333333303</v>
      </c>
      <c r="N135" s="76">
        <v>0.26891476779673201</v>
      </c>
    </row>
    <row r="136" spans="1:14" ht="15" customHeight="1" x14ac:dyDescent="0.25">
      <c r="A136" s="78">
        <v>45839</v>
      </c>
      <c r="B136" t="s">
        <v>373</v>
      </c>
      <c r="C136" t="s">
        <v>374</v>
      </c>
      <c r="D136" t="s">
        <v>225</v>
      </c>
      <c r="E136" s="124">
        <v>351251.8</v>
      </c>
      <c r="F136" s="124">
        <v>135569.10333333301</v>
      </c>
      <c r="G136" s="126">
        <v>81933.84</v>
      </c>
      <c r="H136" s="126">
        <v>3222.82</v>
      </c>
      <c r="I136" s="77">
        <v>2714</v>
      </c>
      <c r="J136" s="124">
        <v>29480.57</v>
      </c>
      <c r="K136" s="124">
        <v>252482.58</v>
      </c>
      <c r="L136" s="124">
        <v>252920.33333333299</v>
      </c>
      <c r="M136" s="124">
        <v>98331.466666666704</v>
      </c>
      <c r="N136" s="76">
        <v>0.27994580146398301</v>
      </c>
    </row>
    <row r="137" spans="1:14" ht="15" customHeight="1" x14ac:dyDescent="0.25">
      <c r="A137" s="78">
        <v>45839</v>
      </c>
      <c r="B137" t="s">
        <v>354</v>
      </c>
      <c r="C137" t="s">
        <v>355</v>
      </c>
      <c r="D137" t="s">
        <v>227</v>
      </c>
      <c r="E137" s="124">
        <v>426143.56</v>
      </c>
      <c r="F137" s="124">
        <v>170117.373333333</v>
      </c>
      <c r="G137" s="126">
        <v>81108.13</v>
      </c>
      <c r="H137" s="126">
        <v>3423.02</v>
      </c>
      <c r="I137" s="77">
        <v>7224</v>
      </c>
      <c r="J137" s="124">
        <v>27408.91</v>
      </c>
      <c r="K137" s="124">
        <v>280819.06</v>
      </c>
      <c r="L137" s="124">
        <v>289281.433333333</v>
      </c>
      <c r="M137" s="124">
        <v>136862.126666667</v>
      </c>
      <c r="N137" s="76">
        <v>0.32116436692523698</v>
      </c>
    </row>
    <row r="138" spans="1:14" ht="15" customHeight="1" x14ac:dyDescent="0.25">
      <c r="A138" s="78">
        <v>45839</v>
      </c>
      <c r="B138" t="s">
        <v>370</v>
      </c>
      <c r="C138" t="s">
        <v>371</v>
      </c>
      <c r="D138" t="s">
        <v>227</v>
      </c>
      <c r="E138" s="124">
        <v>311690.83</v>
      </c>
      <c r="F138" s="124">
        <v>150233.26333333299</v>
      </c>
      <c r="G138" s="126">
        <v>44102.879999999997</v>
      </c>
      <c r="H138" s="126">
        <v>2293.2600000000002</v>
      </c>
      <c r="I138" s="77">
        <v>6384</v>
      </c>
      <c r="J138" s="124">
        <v>17772.599999999999</v>
      </c>
      <c r="K138" s="124">
        <v>212444.69</v>
      </c>
      <c r="L138" s="124">
        <v>220786.00333333301</v>
      </c>
      <c r="M138" s="124">
        <v>90904.826666666704</v>
      </c>
      <c r="N138" s="76">
        <v>0.29165062913999301</v>
      </c>
    </row>
    <row r="139" spans="1:14" ht="15" customHeight="1" x14ac:dyDescent="0.25">
      <c r="A139" s="78">
        <v>45839</v>
      </c>
      <c r="B139" t="s">
        <v>398</v>
      </c>
      <c r="C139" t="s">
        <v>399</v>
      </c>
      <c r="D139" t="s">
        <v>227</v>
      </c>
      <c r="E139" s="124">
        <v>332315.87</v>
      </c>
      <c r="F139" s="124">
        <v>99956.93</v>
      </c>
      <c r="G139" s="126">
        <v>115715.25</v>
      </c>
      <c r="H139" s="126">
        <v>5181.99</v>
      </c>
      <c r="I139" s="77">
        <v>5004</v>
      </c>
      <c r="J139" s="124">
        <v>21078.1</v>
      </c>
      <c r="K139" s="124">
        <v>256487.65</v>
      </c>
      <c r="L139" s="124">
        <v>246936.27</v>
      </c>
      <c r="M139" s="124">
        <v>85379.6</v>
      </c>
      <c r="N139" s="76">
        <v>0.25692302928535998</v>
      </c>
    </row>
    <row r="140" spans="1:14" ht="15" customHeight="1" x14ac:dyDescent="0.25">
      <c r="A140" s="78">
        <v>45839</v>
      </c>
      <c r="B140" t="s">
        <v>378</v>
      </c>
      <c r="C140" t="s">
        <v>379</v>
      </c>
      <c r="D140" t="s">
        <v>227</v>
      </c>
      <c r="E140" s="124">
        <v>335817.17</v>
      </c>
      <c r="F140" s="124">
        <v>146653.346666667</v>
      </c>
      <c r="G140" s="126">
        <v>69232.179999999993</v>
      </c>
      <c r="H140" s="126">
        <v>3466.32</v>
      </c>
      <c r="I140" s="77">
        <v>8333</v>
      </c>
      <c r="J140" s="124">
        <v>27645</v>
      </c>
      <c r="K140" s="124">
        <v>262515.58</v>
      </c>
      <c r="L140" s="124">
        <v>255329.846666667</v>
      </c>
      <c r="M140" s="124">
        <v>80487.323333333305</v>
      </c>
      <c r="N140" s="76">
        <v>0.23967602172733901</v>
      </c>
    </row>
    <row r="141" spans="1:14" ht="15" customHeight="1" x14ac:dyDescent="0.25">
      <c r="A141" s="78">
        <v>45839</v>
      </c>
      <c r="B141" t="s">
        <v>393</v>
      </c>
      <c r="C141" t="s">
        <v>394</v>
      </c>
      <c r="D141" t="s">
        <v>227</v>
      </c>
      <c r="E141" s="124">
        <v>551620.5</v>
      </c>
      <c r="F141" s="124">
        <v>165375.9</v>
      </c>
      <c r="G141" s="126">
        <v>151904.41</v>
      </c>
      <c r="H141" s="126">
        <v>4637.2299999999996</v>
      </c>
      <c r="I141" s="77">
        <v>8369</v>
      </c>
      <c r="J141" s="124">
        <v>34496.160000000003</v>
      </c>
      <c r="K141" s="124">
        <v>373446.49</v>
      </c>
      <c r="L141" s="124">
        <v>364782.7</v>
      </c>
      <c r="M141" s="124">
        <v>186837.8</v>
      </c>
      <c r="N141" s="76">
        <v>0.33870713651867601</v>
      </c>
    </row>
    <row r="142" spans="1:14" ht="15" customHeight="1" x14ac:dyDescent="0.25">
      <c r="A142" s="78">
        <v>45870</v>
      </c>
      <c r="B142" t="s">
        <v>390</v>
      </c>
      <c r="C142" t="s">
        <v>391</v>
      </c>
      <c r="D142" t="s">
        <v>221</v>
      </c>
      <c r="E142" s="124">
        <v>437671.07</v>
      </c>
      <c r="F142" s="124">
        <v>227366.8</v>
      </c>
      <c r="G142" s="126">
        <v>32232.9</v>
      </c>
      <c r="H142" s="126">
        <v>3343.6</v>
      </c>
      <c r="I142" s="77">
        <v>6784</v>
      </c>
      <c r="J142" s="124">
        <v>37115.03</v>
      </c>
      <c r="K142" s="124">
        <v>294718.84999999998</v>
      </c>
      <c r="L142" s="124">
        <v>306842.33</v>
      </c>
      <c r="M142" s="124">
        <v>130828.74</v>
      </c>
      <c r="N142" s="76">
        <v>0.298920237062962</v>
      </c>
    </row>
    <row r="143" spans="1:14" ht="15" customHeight="1" x14ac:dyDescent="0.25">
      <c r="A143" s="78">
        <v>45870</v>
      </c>
      <c r="B143" t="s">
        <v>401</v>
      </c>
      <c r="C143" t="s">
        <v>402</v>
      </c>
      <c r="D143" t="s">
        <v>221</v>
      </c>
      <c r="E143" s="124">
        <v>416141.64</v>
      </c>
      <c r="F143" s="124">
        <v>177034.55666666699</v>
      </c>
      <c r="G143" s="126">
        <v>61007.9</v>
      </c>
      <c r="H143" s="126">
        <v>3795.05</v>
      </c>
      <c r="I143" s="77">
        <v>3790</v>
      </c>
      <c r="J143" s="124">
        <v>29589.96</v>
      </c>
      <c r="K143" s="124">
        <v>266594.31</v>
      </c>
      <c r="L143" s="124">
        <v>275217.46666666702</v>
      </c>
      <c r="M143" s="124">
        <v>140924.17333333299</v>
      </c>
      <c r="N143" s="76">
        <v>0.33864473003310402</v>
      </c>
    </row>
    <row r="144" spans="1:14" ht="15" customHeight="1" x14ac:dyDescent="0.25">
      <c r="A144" s="78">
        <v>45870</v>
      </c>
      <c r="B144" t="s">
        <v>431</v>
      </c>
      <c r="C144" t="s">
        <v>432</v>
      </c>
      <c r="D144" t="s">
        <v>221</v>
      </c>
      <c r="E144" s="124">
        <v>433894.31</v>
      </c>
      <c r="F144" s="124">
        <v>189490.19666666701</v>
      </c>
      <c r="G144" s="126">
        <v>62308.43</v>
      </c>
      <c r="H144" s="126">
        <v>4629.01</v>
      </c>
      <c r="I144" s="77">
        <v>13243</v>
      </c>
      <c r="J144" s="124">
        <v>36646.43</v>
      </c>
      <c r="K144" s="124">
        <v>305856.37</v>
      </c>
      <c r="L144" s="124">
        <v>306317.066666667</v>
      </c>
      <c r="M144" s="124">
        <v>127577.243333333</v>
      </c>
      <c r="N144" s="76">
        <v>0.29402838523817798</v>
      </c>
    </row>
    <row r="145" spans="1:14" ht="15" customHeight="1" x14ac:dyDescent="0.25">
      <c r="A145" s="78">
        <v>45870</v>
      </c>
      <c r="B145" t="s">
        <v>366</v>
      </c>
      <c r="C145" t="s">
        <v>367</v>
      </c>
      <c r="D145" t="s">
        <v>221</v>
      </c>
      <c r="E145" s="124">
        <v>401059.01</v>
      </c>
      <c r="F145" s="124">
        <v>180430.25333333301</v>
      </c>
      <c r="G145" s="126">
        <v>67071.13</v>
      </c>
      <c r="H145" s="126">
        <v>3928.51</v>
      </c>
      <c r="I145" s="77">
        <v>1840</v>
      </c>
      <c r="J145" s="124">
        <v>28781.95</v>
      </c>
      <c r="K145" s="124">
        <v>275189.71999999997</v>
      </c>
      <c r="L145" s="124">
        <v>282051.84333333297</v>
      </c>
      <c r="M145" s="124">
        <v>119007.16666666701</v>
      </c>
      <c r="N145" s="76">
        <v>0.29673231045642501</v>
      </c>
    </row>
    <row r="146" spans="1:14" ht="15" customHeight="1" x14ac:dyDescent="0.25">
      <c r="A146" s="78">
        <v>45870</v>
      </c>
      <c r="B146" t="s">
        <v>362</v>
      </c>
      <c r="C146" t="s">
        <v>363</v>
      </c>
      <c r="D146" t="s">
        <v>221</v>
      </c>
      <c r="E146" s="124">
        <v>303023.82</v>
      </c>
      <c r="F146" s="124">
        <v>144455.773333333</v>
      </c>
      <c r="G146" s="126">
        <v>51852.12</v>
      </c>
      <c r="H146" s="126">
        <v>2191.4299999999998</v>
      </c>
      <c r="I146" s="77">
        <v>7448</v>
      </c>
      <c r="J146" s="124">
        <v>21919.279999999999</v>
      </c>
      <c r="K146" s="124">
        <v>234838.93</v>
      </c>
      <c r="L146" s="124">
        <v>227866.60333333301</v>
      </c>
      <c r="M146" s="124">
        <v>75157.216666666704</v>
      </c>
      <c r="N146" s="76">
        <v>0.24802412122805001</v>
      </c>
    </row>
    <row r="147" spans="1:14" ht="15" customHeight="1" x14ac:dyDescent="0.25">
      <c r="A147" s="78">
        <v>45870</v>
      </c>
      <c r="B147" t="s">
        <v>335</v>
      </c>
      <c r="C147" t="s">
        <v>336</v>
      </c>
      <c r="D147" t="s">
        <v>223</v>
      </c>
      <c r="E147" s="124">
        <v>288854.65000000002</v>
      </c>
      <c r="F147" s="124">
        <v>141004.813333333</v>
      </c>
      <c r="G147" s="126">
        <v>38306.370000000003</v>
      </c>
      <c r="H147" s="126">
        <v>3613.2</v>
      </c>
      <c r="I147" s="77">
        <v>3824</v>
      </c>
      <c r="J147" s="124">
        <v>23952.33</v>
      </c>
      <c r="K147" s="124">
        <v>217397.04</v>
      </c>
      <c r="L147" s="124">
        <v>210700.713333333</v>
      </c>
      <c r="M147" s="124">
        <v>78153.936666666705</v>
      </c>
      <c r="N147" s="76">
        <v>0.27056492483907302</v>
      </c>
    </row>
    <row r="148" spans="1:14" ht="15" customHeight="1" x14ac:dyDescent="0.25">
      <c r="A148" s="78">
        <v>45870</v>
      </c>
      <c r="B148" t="s">
        <v>386</v>
      </c>
      <c r="C148" t="s">
        <v>387</v>
      </c>
      <c r="D148" t="s">
        <v>223</v>
      </c>
      <c r="E148" s="124">
        <v>493691.51</v>
      </c>
      <c r="F148" s="124">
        <v>239914.10666666701</v>
      </c>
      <c r="G148" s="126">
        <v>45615.6</v>
      </c>
      <c r="H148" s="126">
        <v>2991.89</v>
      </c>
      <c r="I148" s="77">
        <v>1652</v>
      </c>
      <c r="J148" s="124">
        <v>31199.29</v>
      </c>
      <c r="K148" s="124">
        <v>311986.48</v>
      </c>
      <c r="L148" s="124">
        <v>321372.88666666701</v>
      </c>
      <c r="M148" s="124">
        <v>172318.623333333</v>
      </c>
      <c r="N148" s="76">
        <v>0.34904109113266601</v>
      </c>
    </row>
    <row r="149" spans="1:14" ht="15" customHeight="1" x14ac:dyDescent="0.25">
      <c r="A149" s="78">
        <v>45870</v>
      </c>
      <c r="B149" t="s">
        <v>341</v>
      </c>
      <c r="C149" t="s">
        <v>342</v>
      </c>
      <c r="D149" t="s">
        <v>223</v>
      </c>
      <c r="E149" s="124">
        <v>299820.14</v>
      </c>
      <c r="F149" s="124">
        <v>144735.45000000001</v>
      </c>
      <c r="G149" s="126">
        <v>31000.53</v>
      </c>
      <c r="H149" s="126">
        <v>4688.5600000000004</v>
      </c>
      <c r="I149" s="77">
        <v>1955</v>
      </c>
      <c r="J149" s="124">
        <v>23618.59</v>
      </c>
      <c r="K149" s="124">
        <v>211811.26</v>
      </c>
      <c r="L149" s="124">
        <v>205998.13</v>
      </c>
      <c r="M149" s="124">
        <v>93822.01</v>
      </c>
      <c r="N149" s="76">
        <v>0.31292764388676497</v>
      </c>
    </row>
    <row r="150" spans="1:14" ht="15" customHeight="1" x14ac:dyDescent="0.25">
      <c r="A150" s="78">
        <v>45870</v>
      </c>
      <c r="B150" t="s">
        <v>347</v>
      </c>
      <c r="C150" t="s">
        <v>348</v>
      </c>
      <c r="D150" t="s">
        <v>223</v>
      </c>
      <c r="E150" s="124">
        <v>295332.58</v>
      </c>
      <c r="F150" s="124">
        <v>71549.743333333303</v>
      </c>
      <c r="G150" s="126">
        <v>99770.559999999998</v>
      </c>
      <c r="H150" s="126">
        <v>4299.79</v>
      </c>
      <c r="I150" s="77">
        <v>6412</v>
      </c>
      <c r="J150" s="124">
        <v>20008.68</v>
      </c>
      <c r="K150" s="124">
        <v>196339.58</v>
      </c>
      <c r="L150" s="124">
        <v>202040.773333333</v>
      </c>
      <c r="M150" s="124">
        <v>93291.8066666667</v>
      </c>
      <c r="N150" s="76">
        <v>0.315887284317452</v>
      </c>
    </row>
    <row r="151" spans="1:14" ht="15" customHeight="1" x14ac:dyDescent="0.25">
      <c r="A151" s="78">
        <v>45870</v>
      </c>
      <c r="B151" t="s">
        <v>409</v>
      </c>
      <c r="C151" t="s">
        <v>410</v>
      </c>
      <c r="D151" t="s">
        <v>223</v>
      </c>
      <c r="E151" s="124">
        <v>345257.09</v>
      </c>
      <c r="F151" s="124">
        <v>113901.02666666701</v>
      </c>
      <c r="G151" s="126">
        <v>108184.93</v>
      </c>
      <c r="H151" s="126">
        <v>3654.52</v>
      </c>
      <c r="I151" s="77">
        <v>7550</v>
      </c>
      <c r="J151" s="124">
        <v>20694.27</v>
      </c>
      <c r="K151" s="124">
        <v>247968.17</v>
      </c>
      <c r="L151" s="124">
        <v>253984.74666666699</v>
      </c>
      <c r="M151" s="124">
        <v>91272.343333333396</v>
      </c>
      <c r="N151" s="76">
        <v>0.26436051851486497</v>
      </c>
    </row>
    <row r="152" spans="1:14" ht="15" customHeight="1" x14ac:dyDescent="0.25">
      <c r="A152" s="78">
        <v>45870</v>
      </c>
      <c r="B152" t="s">
        <v>488</v>
      </c>
      <c r="C152" t="s">
        <v>489</v>
      </c>
      <c r="D152" t="s">
        <v>225</v>
      </c>
      <c r="E152" s="124">
        <v>463449.52</v>
      </c>
      <c r="F152" s="124">
        <v>196457.49666666699</v>
      </c>
      <c r="G152" s="126">
        <v>102361.9</v>
      </c>
      <c r="H152" s="126">
        <v>3100.17</v>
      </c>
      <c r="I152" s="77">
        <v>3417</v>
      </c>
      <c r="J152" s="124">
        <v>35714.57</v>
      </c>
      <c r="K152" s="124">
        <v>351541.81</v>
      </c>
      <c r="L152" s="124">
        <v>341051.13666666701</v>
      </c>
      <c r="M152" s="124">
        <v>122398.383333333</v>
      </c>
      <c r="N152" s="76">
        <v>0.26410294552324298</v>
      </c>
    </row>
    <row r="153" spans="1:14" ht="15" customHeight="1" x14ac:dyDescent="0.25">
      <c r="A153" s="78">
        <v>45870</v>
      </c>
      <c r="B153" t="s">
        <v>406</v>
      </c>
      <c r="C153" t="s">
        <v>407</v>
      </c>
      <c r="D153" t="s">
        <v>225</v>
      </c>
      <c r="E153" s="124">
        <v>278419.34000000003</v>
      </c>
      <c r="F153" s="124">
        <v>126439.486666667</v>
      </c>
      <c r="G153" s="126">
        <v>46560.26</v>
      </c>
      <c r="H153" s="126">
        <v>5384.99</v>
      </c>
      <c r="I153" s="77">
        <v>2128</v>
      </c>
      <c r="J153" s="124">
        <v>18905.37</v>
      </c>
      <c r="K153" s="124">
        <v>202551.91</v>
      </c>
      <c r="L153" s="124">
        <v>199418.10666666701</v>
      </c>
      <c r="M153" s="124">
        <v>79001.233333333395</v>
      </c>
      <c r="N153" s="76">
        <v>0.28374908630030299</v>
      </c>
    </row>
    <row r="154" spans="1:14" ht="15" customHeight="1" x14ac:dyDescent="0.25">
      <c r="A154" s="78">
        <v>45870</v>
      </c>
      <c r="B154" t="s">
        <v>358</v>
      </c>
      <c r="C154" t="s">
        <v>359</v>
      </c>
      <c r="D154" t="s">
        <v>225</v>
      </c>
      <c r="E154" s="124">
        <v>310345.37</v>
      </c>
      <c r="F154" s="124">
        <v>149844.156666667</v>
      </c>
      <c r="G154" s="126">
        <v>29998.32</v>
      </c>
      <c r="H154" s="126">
        <v>4077.35</v>
      </c>
      <c r="I154" s="77">
        <v>4515</v>
      </c>
      <c r="J154" s="124">
        <v>25135.48</v>
      </c>
      <c r="K154" s="124">
        <v>214122</v>
      </c>
      <c r="L154" s="124">
        <v>213570.30666666699</v>
      </c>
      <c r="M154" s="124">
        <v>96775.063333333295</v>
      </c>
      <c r="N154" s="76">
        <v>0.31183021461971</v>
      </c>
    </row>
    <row r="155" spans="1:14" ht="15" customHeight="1" x14ac:dyDescent="0.25">
      <c r="A155" s="78">
        <v>45870</v>
      </c>
      <c r="B155" t="s">
        <v>383</v>
      </c>
      <c r="C155" t="s">
        <v>384</v>
      </c>
      <c r="D155" t="s">
        <v>225</v>
      </c>
      <c r="E155" s="124">
        <v>379626.02</v>
      </c>
      <c r="F155" s="124">
        <v>200678.273333333</v>
      </c>
      <c r="G155" s="126">
        <v>32664.400000000001</v>
      </c>
      <c r="H155" s="126">
        <v>3674.41</v>
      </c>
      <c r="I155" s="77">
        <v>4088</v>
      </c>
      <c r="J155" s="124">
        <v>24869.54</v>
      </c>
      <c r="K155" s="124">
        <v>272762.32</v>
      </c>
      <c r="L155" s="124">
        <v>265974.623333333</v>
      </c>
      <c r="M155" s="124">
        <v>113651.396666667</v>
      </c>
      <c r="N155" s="76">
        <v>0.29937725729829301</v>
      </c>
    </row>
    <row r="156" spans="1:14" ht="15" customHeight="1" x14ac:dyDescent="0.25">
      <c r="A156" s="78">
        <v>45870</v>
      </c>
      <c r="B156" t="s">
        <v>373</v>
      </c>
      <c r="C156" t="s">
        <v>374</v>
      </c>
      <c r="D156" t="s">
        <v>225</v>
      </c>
      <c r="E156" s="124">
        <v>253122.71</v>
      </c>
      <c r="F156" s="124">
        <v>150535.70333333299</v>
      </c>
      <c r="G156" s="126">
        <v>2195.86</v>
      </c>
      <c r="H156" s="126">
        <v>4430.97</v>
      </c>
      <c r="I156" s="77">
        <v>12085</v>
      </c>
      <c r="J156" s="124">
        <v>21389.38</v>
      </c>
      <c r="K156" s="124">
        <v>197469.16</v>
      </c>
      <c r="L156" s="124">
        <v>190636.91333333301</v>
      </c>
      <c r="M156" s="124">
        <v>62485.796666666698</v>
      </c>
      <c r="N156" s="76">
        <v>0.24685970163114401</v>
      </c>
    </row>
    <row r="157" spans="1:14" ht="15" customHeight="1" x14ac:dyDescent="0.25">
      <c r="A157" s="78">
        <v>45870</v>
      </c>
      <c r="B157" t="s">
        <v>354</v>
      </c>
      <c r="C157" t="s">
        <v>355</v>
      </c>
      <c r="D157" t="s">
        <v>227</v>
      </c>
      <c r="E157" s="124">
        <v>238493.75</v>
      </c>
      <c r="F157" s="124">
        <v>146346.27666666699</v>
      </c>
      <c r="G157" s="126">
        <v>6210.68</v>
      </c>
      <c r="H157" s="126">
        <v>2326.83</v>
      </c>
      <c r="I157" s="77">
        <v>4409</v>
      </c>
      <c r="J157" s="124">
        <v>14032.38</v>
      </c>
      <c r="K157" s="124">
        <v>175706.64</v>
      </c>
      <c r="L157" s="124">
        <v>173325.16666666701</v>
      </c>
      <c r="M157" s="124">
        <v>65168.583333333299</v>
      </c>
      <c r="N157" s="76">
        <v>0.27325069664648799</v>
      </c>
    </row>
    <row r="158" spans="1:14" ht="15" customHeight="1" x14ac:dyDescent="0.25">
      <c r="A158" s="78">
        <v>45870</v>
      </c>
      <c r="B158" t="s">
        <v>370</v>
      </c>
      <c r="C158" t="s">
        <v>371</v>
      </c>
      <c r="D158" t="s">
        <v>227</v>
      </c>
      <c r="E158" s="124">
        <v>348348.46</v>
      </c>
      <c r="F158" s="124">
        <v>169946.22333333301</v>
      </c>
      <c r="G158" s="126">
        <v>34326.61</v>
      </c>
      <c r="H158" s="126">
        <v>3849.52</v>
      </c>
      <c r="I158" s="77">
        <v>4600</v>
      </c>
      <c r="J158" s="124">
        <v>21589.53</v>
      </c>
      <c r="K158" s="124">
        <v>231018.37</v>
      </c>
      <c r="L158" s="124">
        <v>234311.88333333301</v>
      </c>
      <c r="M158" s="124">
        <v>114036.576666667</v>
      </c>
      <c r="N158" s="76">
        <v>0.32736351602262498</v>
      </c>
    </row>
    <row r="159" spans="1:14" ht="15" customHeight="1" x14ac:dyDescent="0.25">
      <c r="A159" s="78">
        <v>45870</v>
      </c>
      <c r="B159" t="s">
        <v>398</v>
      </c>
      <c r="C159" t="s">
        <v>399</v>
      </c>
      <c r="D159" t="s">
        <v>227</v>
      </c>
      <c r="E159" s="124">
        <v>373852.38</v>
      </c>
      <c r="F159" s="124">
        <v>178543.403333333</v>
      </c>
      <c r="G159" s="126">
        <v>62431.5</v>
      </c>
      <c r="H159" s="126">
        <v>4208.84</v>
      </c>
      <c r="I159" s="77">
        <v>1036</v>
      </c>
      <c r="J159" s="124">
        <v>29499.75</v>
      </c>
      <c r="K159" s="124">
        <v>286305.98</v>
      </c>
      <c r="L159" s="124">
        <v>275719.493333333</v>
      </c>
      <c r="M159" s="124">
        <v>98132.886666666702</v>
      </c>
      <c r="N159" s="76">
        <v>0.26249100424789801</v>
      </c>
    </row>
    <row r="160" spans="1:14" ht="15" customHeight="1" x14ac:dyDescent="0.25">
      <c r="A160" s="78">
        <v>45870</v>
      </c>
      <c r="B160" t="s">
        <v>378</v>
      </c>
      <c r="C160" t="s">
        <v>379</v>
      </c>
      <c r="D160" t="s">
        <v>227</v>
      </c>
      <c r="E160" s="124">
        <v>390133.17</v>
      </c>
      <c r="F160" s="124">
        <v>216867.69666666701</v>
      </c>
      <c r="G160" s="126">
        <v>27935.01</v>
      </c>
      <c r="H160" s="126">
        <v>5471.84</v>
      </c>
      <c r="I160" s="77">
        <v>5978</v>
      </c>
      <c r="J160" s="124">
        <v>21825.25</v>
      </c>
      <c r="K160" s="124">
        <v>287967.86</v>
      </c>
      <c r="L160" s="124">
        <v>278077.79666666698</v>
      </c>
      <c r="M160" s="124">
        <v>112055.373333333</v>
      </c>
      <c r="N160" s="76">
        <v>0.28722339434335598</v>
      </c>
    </row>
    <row r="161" spans="1:14" ht="15" customHeight="1" x14ac:dyDescent="0.25">
      <c r="A161" s="78">
        <v>45870</v>
      </c>
      <c r="B161" t="s">
        <v>393</v>
      </c>
      <c r="C161" t="s">
        <v>394</v>
      </c>
      <c r="D161" t="s">
        <v>227</v>
      </c>
      <c r="E161" s="124">
        <v>293841.65000000002</v>
      </c>
      <c r="F161" s="124">
        <v>150903.89666666699</v>
      </c>
      <c r="G161" s="126">
        <v>36461.31</v>
      </c>
      <c r="H161" s="126">
        <v>3008.45</v>
      </c>
      <c r="I161" s="77">
        <v>3108</v>
      </c>
      <c r="J161" s="124">
        <v>21916.07</v>
      </c>
      <c r="K161" s="124">
        <v>211696.45</v>
      </c>
      <c r="L161" s="124">
        <v>215397.726666667</v>
      </c>
      <c r="M161" s="124">
        <v>78443.923333333296</v>
      </c>
      <c r="N161" s="76">
        <v>0.266959851788653</v>
      </c>
    </row>
    <row r="162" spans="1:14" ht="15" customHeight="1" x14ac:dyDescent="0.25">
      <c r="A162" s="78">
        <v>45901</v>
      </c>
      <c r="B162" t="s">
        <v>390</v>
      </c>
      <c r="C162" t="s">
        <v>391</v>
      </c>
      <c r="D162" t="s">
        <v>221</v>
      </c>
      <c r="E162" s="124">
        <v>323476.15999999997</v>
      </c>
      <c r="F162" s="124">
        <v>153550.13</v>
      </c>
      <c r="G162" s="126">
        <v>44548.85</v>
      </c>
      <c r="H162" s="126">
        <v>2953.79</v>
      </c>
      <c r="I162" s="77">
        <v>4179</v>
      </c>
      <c r="J162" s="124">
        <v>24970.1</v>
      </c>
      <c r="K162" s="124">
        <v>237013.46</v>
      </c>
      <c r="L162" s="124">
        <v>230201.87</v>
      </c>
      <c r="M162" s="124">
        <v>93274.29</v>
      </c>
      <c r="N162" s="76">
        <v>0.28834981223964101</v>
      </c>
    </row>
    <row r="163" spans="1:14" ht="15" customHeight="1" x14ac:dyDescent="0.25">
      <c r="A163" s="78">
        <v>45901</v>
      </c>
      <c r="B163" t="s">
        <v>401</v>
      </c>
      <c r="C163" t="s">
        <v>402</v>
      </c>
      <c r="D163" t="s">
        <v>221</v>
      </c>
      <c r="E163" s="124">
        <v>387244.95</v>
      </c>
      <c r="F163" s="124">
        <v>206238.4</v>
      </c>
      <c r="G163" s="126">
        <v>20673</v>
      </c>
      <c r="H163" s="126">
        <v>2454.7199999999998</v>
      </c>
      <c r="I163" s="77">
        <v>1372</v>
      </c>
      <c r="J163" s="124">
        <v>22189.57</v>
      </c>
      <c r="K163" s="124">
        <v>245642.23</v>
      </c>
      <c r="L163" s="124">
        <v>252927.69</v>
      </c>
      <c r="M163" s="124">
        <v>134317.26</v>
      </c>
      <c r="N163" s="76">
        <v>0.34685348382206199</v>
      </c>
    </row>
    <row r="164" spans="1:14" ht="15" customHeight="1" x14ac:dyDescent="0.25">
      <c r="A164" s="78">
        <v>45901</v>
      </c>
      <c r="B164" t="s">
        <v>431</v>
      </c>
      <c r="C164" t="s">
        <v>432</v>
      </c>
      <c r="D164" t="s">
        <v>221</v>
      </c>
      <c r="E164" s="124">
        <v>356440.27</v>
      </c>
      <c r="F164" s="124">
        <v>168697.876666667</v>
      </c>
      <c r="G164" s="126">
        <v>61718.13</v>
      </c>
      <c r="H164" s="126">
        <v>2947.63</v>
      </c>
      <c r="I164" s="77">
        <v>3906</v>
      </c>
      <c r="J164" s="124">
        <v>29598.67</v>
      </c>
      <c r="K164" s="124">
        <v>277216.94</v>
      </c>
      <c r="L164" s="124">
        <v>266868.30666666699</v>
      </c>
      <c r="M164" s="124">
        <v>89571.963333333304</v>
      </c>
      <c r="N164" s="76">
        <v>0.25129585760142498</v>
      </c>
    </row>
    <row r="165" spans="1:14" ht="15" customHeight="1" x14ac:dyDescent="0.25">
      <c r="A165" s="78">
        <v>45901</v>
      </c>
      <c r="B165" t="s">
        <v>366</v>
      </c>
      <c r="C165" t="s">
        <v>367</v>
      </c>
      <c r="D165" t="s">
        <v>221</v>
      </c>
      <c r="E165" s="124">
        <v>321482.12</v>
      </c>
      <c r="F165" s="124">
        <v>176847.876666667</v>
      </c>
      <c r="G165" s="126">
        <v>21974.15</v>
      </c>
      <c r="H165" s="126">
        <v>2587.36</v>
      </c>
      <c r="I165" s="77">
        <v>9112</v>
      </c>
      <c r="J165" s="124">
        <v>22863.17</v>
      </c>
      <c r="K165" s="124">
        <v>238338.84</v>
      </c>
      <c r="L165" s="124">
        <v>233384.55666666699</v>
      </c>
      <c r="M165" s="124">
        <v>88097.563333333397</v>
      </c>
      <c r="N165" s="76">
        <v>0.274035655025957</v>
      </c>
    </row>
    <row r="166" spans="1:14" ht="15" customHeight="1" x14ac:dyDescent="0.25">
      <c r="A166" s="78">
        <v>45901</v>
      </c>
      <c r="B166" t="s">
        <v>362</v>
      </c>
      <c r="C166" t="s">
        <v>363</v>
      </c>
      <c r="D166" t="s">
        <v>221</v>
      </c>
      <c r="E166" s="124">
        <v>293964.24</v>
      </c>
      <c r="F166" s="124">
        <v>137272.30666666699</v>
      </c>
      <c r="G166" s="126">
        <v>33069.43</v>
      </c>
      <c r="H166" s="126">
        <v>4421.6499999999996</v>
      </c>
      <c r="I166" s="77">
        <v>3682</v>
      </c>
      <c r="J166" s="124">
        <v>20500.36</v>
      </c>
      <c r="K166" s="124">
        <v>205949.99</v>
      </c>
      <c r="L166" s="124">
        <v>198945.74666666699</v>
      </c>
      <c r="M166" s="124">
        <v>95018.493333333405</v>
      </c>
      <c r="N166" s="76">
        <v>0.32323146969622302</v>
      </c>
    </row>
    <row r="167" spans="1:14" ht="15" customHeight="1" x14ac:dyDescent="0.25">
      <c r="A167" s="78">
        <v>45901</v>
      </c>
      <c r="B167" t="s">
        <v>335</v>
      </c>
      <c r="C167" t="s">
        <v>336</v>
      </c>
      <c r="D167" t="s">
        <v>223</v>
      </c>
      <c r="E167" s="124">
        <v>463979.36</v>
      </c>
      <c r="F167" s="124">
        <v>218644.37</v>
      </c>
      <c r="G167" s="126">
        <v>51897.02</v>
      </c>
      <c r="H167" s="126">
        <v>5940.57</v>
      </c>
      <c r="I167" s="77">
        <v>5054</v>
      </c>
      <c r="J167" s="124">
        <v>39205.64</v>
      </c>
      <c r="K167" s="124">
        <v>319477.88</v>
      </c>
      <c r="L167" s="124">
        <v>320741.59999999998</v>
      </c>
      <c r="M167" s="124">
        <v>143237.76000000001</v>
      </c>
      <c r="N167" s="76">
        <v>0.30871580149599798</v>
      </c>
    </row>
    <row r="168" spans="1:14" ht="15" customHeight="1" x14ac:dyDescent="0.25">
      <c r="A168" s="78">
        <v>45901</v>
      </c>
      <c r="B168" t="s">
        <v>386</v>
      </c>
      <c r="C168" t="s">
        <v>387</v>
      </c>
      <c r="D168" t="s">
        <v>223</v>
      </c>
      <c r="E168" s="124">
        <v>494509.72</v>
      </c>
      <c r="F168" s="124">
        <v>226728.65</v>
      </c>
      <c r="G168" s="126">
        <v>61427.24</v>
      </c>
      <c r="H168" s="126">
        <v>1920.4</v>
      </c>
      <c r="I168" s="77">
        <v>1960</v>
      </c>
      <c r="J168" s="124">
        <v>33104.620000000003</v>
      </c>
      <c r="K168" s="124">
        <v>317500.88</v>
      </c>
      <c r="L168" s="124">
        <v>325140.90999999997</v>
      </c>
      <c r="M168" s="124">
        <v>169368.81</v>
      </c>
      <c r="N168" s="76">
        <v>0.342498444722178</v>
      </c>
    </row>
    <row r="169" spans="1:14" ht="15" customHeight="1" x14ac:dyDescent="0.25">
      <c r="A169" s="78">
        <v>45901</v>
      </c>
      <c r="B169" t="s">
        <v>341</v>
      </c>
      <c r="C169" t="s">
        <v>342</v>
      </c>
      <c r="D169" t="s">
        <v>223</v>
      </c>
      <c r="E169" s="124">
        <v>418490.76</v>
      </c>
      <c r="F169" s="124">
        <v>205879.99</v>
      </c>
      <c r="G169" s="126">
        <v>38039.93</v>
      </c>
      <c r="H169" s="126">
        <v>2030.14</v>
      </c>
      <c r="I169" s="77">
        <v>10885</v>
      </c>
      <c r="J169" s="124">
        <v>31115.599999999999</v>
      </c>
      <c r="K169" s="124">
        <v>292063.02</v>
      </c>
      <c r="L169" s="124">
        <v>287950.65999999997</v>
      </c>
      <c r="M169" s="124">
        <v>130540.1</v>
      </c>
      <c r="N169" s="76">
        <v>0.31193066245954898</v>
      </c>
    </row>
    <row r="170" spans="1:14" ht="15" customHeight="1" x14ac:dyDescent="0.25">
      <c r="A170" s="78">
        <v>45901</v>
      </c>
      <c r="B170" t="s">
        <v>347</v>
      </c>
      <c r="C170" t="s">
        <v>348</v>
      </c>
      <c r="D170" t="s">
        <v>223</v>
      </c>
      <c r="E170" s="124">
        <v>296630.33</v>
      </c>
      <c r="F170" s="124">
        <v>93087.633333333302</v>
      </c>
      <c r="G170" s="126">
        <v>92231.37</v>
      </c>
      <c r="H170" s="126">
        <v>3590.01</v>
      </c>
      <c r="I170" s="77">
        <v>9517</v>
      </c>
      <c r="J170" s="124">
        <v>17825</v>
      </c>
      <c r="K170" s="124">
        <v>210916.16</v>
      </c>
      <c r="L170" s="124">
        <v>216251.01333333299</v>
      </c>
      <c r="M170" s="124">
        <v>80379.316666666695</v>
      </c>
      <c r="N170" s="76">
        <v>0.27097470668851298</v>
      </c>
    </row>
    <row r="171" spans="1:14" ht="15" customHeight="1" x14ac:dyDescent="0.25">
      <c r="A171" s="78">
        <v>45901</v>
      </c>
      <c r="B171" t="s">
        <v>409</v>
      </c>
      <c r="C171" t="s">
        <v>410</v>
      </c>
      <c r="D171" t="s">
        <v>223</v>
      </c>
      <c r="E171" s="124">
        <v>305654.99</v>
      </c>
      <c r="F171" s="124">
        <v>138908.58333333299</v>
      </c>
      <c r="G171" s="126">
        <v>34836.980000000003</v>
      </c>
      <c r="H171" s="126">
        <v>2352.48</v>
      </c>
      <c r="I171" s="77">
        <v>6404</v>
      </c>
      <c r="J171" s="124">
        <v>21752.51</v>
      </c>
      <c r="K171" s="124">
        <v>207278.88</v>
      </c>
      <c r="L171" s="124">
        <v>204254.55333333299</v>
      </c>
      <c r="M171" s="124">
        <v>101400.436666667</v>
      </c>
      <c r="N171" s="76">
        <v>0.33174801650274599</v>
      </c>
    </row>
    <row r="172" spans="1:14" ht="15" customHeight="1" x14ac:dyDescent="0.25">
      <c r="A172" s="78">
        <v>45901</v>
      </c>
      <c r="B172" t="s">
        <v>488</v>
      </c>
      <c r="C172" t="s">
        <v>489</v>
      </c>
      <c r="D172" t="s">
        <v>225</v>
      </c>
      <c r="E172" s="124">
        <v>395606.02</v>
      </c>
      <c r="F172" s="124">
        <v>190268.536666667</v>
      </c>
      <c r="G172" s="126">
        <v>37169.519999999997</v>
      </c>
      <c r="H172" s="126">
        <v>3127.82</v>
      </c>
      <c r="I172" s="77">
        <v>6139</v>
      </c>
      <c r="J172" s="124">
        <v>32412.86</v>
      </c>
      <c r="K172" s="124">
        <v>265966.48</v>
      </c>
      <c r="L172" s="124">
        <v>269117.73666666698</v>
      </c>
      <c r="M172" s="124">
        <v>126488.28333333301</v>
      </c>
      <c r="N172" s="76">
        <v>0.31973295890020398</v>
      </c>
    </row>
    <row r="173" spans="1:14" ht="15" customHeight="1" x14ac:dyDescent="0.25">
      <c r="A173" s="78">
        <v>45901</v>
      </c>
      <c r="B173" t="s">
        <v>406</v>
      </c>
      <c r="C173" t="s">
        <v>407</v>
      </c>
      <c r="D173" t="s">
        <v>225</v>
      </c>
      <c r="E173" s="124">
        <v>348017.67</v>
      </c>
      <c r="F173" s="124">
        <v>178859.22333333301</v>
      </c>
      <c r="G173" s="126">
        <v>56995.49</v>
      </c>
      <c r="H173" s="126">
        <v>2927.98</v>
      </c>
      <c r="I173" s="77">
        <v>667</v>
      </c>
      <c r="J173" s="124">
        <v>24809.16</v>
      </c>
      <c r="K173" s="124">
        <v>270626.34999999998</v>
      </c>
      <c r="L173" s="124">
        <v>264258.85333333298</v>
      </c>
      <c r="M173" s="124">
        <v>83758.816666666695</v>
      </c>
      <c r="N173" s="76">
        <v>0.24067403435769999</v>
      </c>
    </row>
    <row r="174" spans="1:14" ht="15" customHeight="1" x14ac:dyDescent="0.25">
      <c r="A174" s="78">
        <v>45901</v>
      </c>
      <c r="B174" t="s">
        <v>358</v>
      </c>
      <c r="C174" t="s">
        <v>359</v>
      </c>
      <c r="D174" t="s">
        <v>225</v>
      </c>
      <c r="E174" s="124">
        <v>311261.90000000002</v>
      </c>
      <c r="F174" s="124">
        <v>190468.14333333299</v>
      </c>
      <c r="G174" s="126">
        <v>8504.99</v>
      </c>
      <c r="H174" s="126">
        <v>2802.55</v>
      </c>
      <c r="I174" s="77">
        <v>10232</v>
      </c>
      <c r="J174" s="124">
        <v>24440.639999999999</v>
      </c>
      <c r="K174" s="124">
        <v>245193.43</v>
      </c>
      <c r="L174" s="124">
        <v>236448.32333333301</v>
      </c>
      <c r="M174" s="124">
        <v>74813.576666666704</v>
      </c>
      <c r="N174" s="76">
        <v>0.240355715449487</v>
      </c>
    </row>
    <row r="175" spans="1:14" ht="15" customHeight="1" x14ac:dyDescent="0.25">
      <c r="A175" s="78">
        <v>45901</v>
      </c>
      <c r="B175" t="s">
        <v>383</v>
      </c>
      <c r="C175" t="s">
        <v>384</v>
      </c>
      <c r="D175" t="s">
        <v>225</v>
      </c>
      <c r="E175" s="124">
        <v>293279.43</v>
      </c>
      <c r="F175" s="124">
        <v>128763.27</v>
      </c>
      <c r="G175" s="126">
        <v>34413.75</v>
      </c>
      <c r="H175" s="126">
        <v>4251.55</v>
      </c>
      <c r="I175" s="77">
        <v>7851</v>
      </c>
      <c r="J175" s="124">
        <v>18373.34</v>
      </c>
      <c r="K175" s="124">
        <v>196979.99</v>
      </c>
      <c r="L175" s="124">
        <v>193652.91</v>
      </c>
      <c r="M175" s="124">
        <v>99626.52</v>
      </c>
      <c r="N175" s="76">
        <v>0.33969828705681798</v>
      </c>
    </row>
    <row r="176" spans="1:14" ht="15" customHeight="1" x14ac:dyDescent="0.25">
      <c r="A176" s="78">
        <v>45901</v>
      </c>
      <c r="B176" t="s">
        <v>373</v>
      </c>
      <c r="C176" t="s">
        <v>374</v>
      </c>
      <c r="D176" t="s">
        <v>225</v>
      </c>
      <c r="E176" s="124">
        <v>273243.28999999998</v>
      </c>
      <c r="F176" s="124">
        <v>130860.44333333299</v>
      </c>
      <c r="G176" s="126">
        <v>42013.19</v>
      </c>
      <c r="H176" s="126">
        <v>2884.16</v>
      </c>
      <c r="I176" s="77">
        <v>6104</v>
      </c>
      <c r="J176" s="124">
        <v>18197.560000000001</v>
      </c>
      <c r="K176" s="124">
        <v>207970.98</v>
      </c>
      <c r="L176" s="124">
        <v>200059.35333333301</v>
      </c>
      <c r="M176" s="124">
        <v>73183.936666666705</v>
      </c>
      <c r="N176" s="76">
        <v>0.26783434157401098</v>
      </c>
    </row>
    <row r="177" spans="1:14" ht="15" customHeight="1" x14ac:dyDescent="0.25">
      <c r="A177" s="78">
        <v>45901</v>
      </c>
      <c r="B177" t="s">
        <v>354</v>
      </c>
      <c r="C177" t="s">
        <v>355</v>
      </c>
      <c r="D177" t="s">
        <v>227</v>
      </c>
      <c r="E177" s="124">
        <v>292678</v>
      </c>
      <c r="F177" s="124">
        <v>111358.836666667</v>
      </c>
      <c r="G177" s="126">
        <v>50393.4</v>
      </c>
      <c r="H177" s="126">
        <v>5364.93</v>
      </c>
      <c r="I177" s="77">
        <v>3611</v>
      </c>
      <c r="J177" s="124">
        <v>18950.900000000001</v>
      </c>
      <c r="K177" s="124">
        <v>190366.75</v>
      </c>
      <c r="L177" s="124">
        <v>189679.066666667</v>
      </c>
      <c r="M177" s="124">
        <v>102998.933333333</v>
      </c>
      <c r="N177" s="76">
        <v>0.35191894619114999</v>
      </c>
    </row>
    <row r="178" spans="1:14" ht="15" customHeight="1" x14ac:dyDescent="0.25">
      <c r="A178" s="78">
        <v>45901</v>
      </c>
      <c r="B178" t="s">
        <v>370</v>
      </c>
      <c r="C178" t="s">
        <v>371</v>
      </c>
      <c r="D178" t="s">
        <v>227</v>
      </c>
      <c r="E178" s="124">
        <v>228295.44</v>
      </c>
      <c r="F178" s="124">
        <v>115183.39</v>
      </c>
      <c r="G178" s="126">
        <v>10327.129999999999</v>
      </c>
      <c r="H178" s="126">
        <v>4701.18</v>
      </c>
      <c r="I178" s="77">
        <v>6163</v>
      </c>
      <c r="J178" s="124">
        <v>14383.29</v>
      </c>
      <c r="K178" s="124">
        <v>155507.4</v>
      </c>
      <c r="L178" s="124">
        <v>150757.99</v>
      </c>
      <c r="M178" s="124">
        <v>77537.45</v>
      </c>
      <c r="N178" s="76">
        <v>0.33963643776678099</v>
      </c>
    </row>
    <row r="179" spans="1:14" ht="15" customHeight="1" x14ac:dyDescent="0.25">
      <c r="A179" s="78">
        <v>45901</v>
      </c>
      <c r="B179" t="s">
        <v>398</v>
      </c>
      <c r="C179" t="s">
        <v>399</v>
      </c>
      <c r="D179" t="s">
        <v>227</v>
      </c>
      <c r="E179" s="124">
        <v>300434.96999999997</v>
      </c>
      <c r="F179" s="124">
        <v>124620.186666667</v>
      </c>
      <c r="G179" s="126">
        <v>57976.52</v>
      </c>
      <c r="H179" s="126">
        <v>2625.95</v>
      </c>
      <c r="I179" s="77">
        <v>9944</v>
      </c>
      <c r="J179" s="124">
        <v>18592.580000000002</v>
      </c>
      <c r="K179" s="124">
        <v>210434.57</v>
      </c>
      <c r="L179" s="124">
        <v>213759.23666666701</v>
      </c>
      <c r="M179" s="124">
        <v>86675.733333333294</v>
      </c>
      <c r="N179" s="76">
        <v>0.28850081378121001</v>
      </c>
    </row>
    <row r="180" spans="1:14" ht="15" customHeight="1" x14ac:dyDescent="0.25">
      <c r="A180" s="78">
        <v>45901</v>
      </c>
      <c r="B180" t="s">
        <v>378</v>
      </c>
      <c r="C180" t="s">
        <v>379</v>
      </c>
      <c r="D180" t="s">
        <v>227</v>
      </c>
      <c r="E180" s="124">
        <v>300146.23</v>
      </c>
      <c r="F180" s="124">
        <v>125305.96</v>
      </c>
      <c r="G180" s="126">
        <v>69866.69</v>
      </c>
      <c r="H180" s="126">
        <v>3250.37</v>
      </c>
      <c r="I180" s="77">
        <v>7205</v>
      </c>
      <c r="J180" s="124">
        <v>24799.58</v>
      </c>
      <c r="K180" s="124">
        <v>234114.53</v>
      </c>
      <c r="L180" s="124">
        <v>230427.6</v>
      </c>
      <c r="M180" s="124">
        <v>69718.63</v>
      </c>
      <c r="N180" s="76">
        <v>0.23228221124083401</v>
      </c>
    </row>
    <row r="181" spans="1:14" ht="15" customHeight="1" x14ac:dyDescent="0.25">
      <c r="A181" s="78">
        <v>45901</v>
      </c>
      <c r="B181" t="s">
        <v>393</v>
      </c>
      <c r="C181" t="s">
        <v>394</v>
      </c>
      <c r="D181" t="s">
        <v>227</v>
      </c>
      <c r="E181" s="124">
        <v>494798.8</v>
      </c>
      <c r="F181" s="124">
        <v>146147.89000000001</v>
      </c>
      <c r="G181" s="126">
        <v>148037.24</v>
      </c>
      <c r="H181" s="126">
        <v>4375.1499999999996</v>
      </c>
      <c r="I181" s="77">
        <v>6630</v>
      </c>
      <c r="J181" s="124">
        <v>28755.29</v>
      </c>
      <c r="K181" s="124">
        <v>322434.43</v>
      </c>
      <c r="L181" s="124">
        <v>333945.57</v>
      </c>
      <c r="M181" s="124">
        <v>160853.23000000001</v>
      </c>
      <c r="N181" s="76">
        <v>0.32508815704484301</v>
      </c>
    </row>
    <row r="182" spans="1:14" ht="15" customHeight="1" x14ac:dyDescent="0.25">
      <c r="A182" s="78">
        <v>45931</v>
      </c>
      <c r="B182" t="s">
        <v>390</v>
      </c>
      <c r="C182" t="s">
        <v>391</v>
      </c>
      <c r="D182" t="s">
        <v>221</v>
      </c>
      <c r="E182" s="124">
        <v>492289.89</v>
      </c>
      <c r="F182" s="124">
        <v>186629.22</v>
      </c>
      <c r="G182" s="126">
        <v>99969.96</v>
      </c>
      <c r="H182" s="126">
        <v>4491.26</v>
      </c>
      <c r="I182" s="77">
        <v>966</v>
      </c>
      <c r="J182" s="124">
        <v>33582.17</v>
      </c>
      <c r="K182" s="124">
        <v>325772.94</v>
      </c>
      <c r="L182" s="124">
        <v>325638.61</v>
      </c>
      <c r="M182" s="124">
        <v>166651.28</v>
      </c>
      <c r="N182" s="76">
        <v>0.33852265379652602</v>
      </c>
    </row>
    <row r="183" spans="1:14" ht="15" customHeight="1" x14ac:dyDescent="0.25">
      <c r="A183" s="78">
        <v>45931</v>
      </c>
      <c r="B183" t="s">
        <v>401</v>
      </c>
      <c r="C183" t="s">
        <v>402</v>
      </c>
      <c r="D183" t="s">
        <v>221</v>
      </c>
      <c r="E183" s="124">
        <v>354514.41</v>
      </c>
      <c r="F183" s="124">
        <v>195602.96</v>
      </c>
      <c r="G183" s="126">
        <v>14961.85</v>
      </c>
      <c r="H183" s="126">
        <v>5745.29</v>
      </c>
      <c r="I183" s="77">
        <v>6819</v>
      </c>
      <c r="J183" s="124">
        <v>20210.45</v>
      </c>
      <c r="K183" s="124">
        <v>241879.21</v>
      </c>
      <c r="L183" s="124">
        <v>243339.55</v>
      </c>
      <c r="M183" s="124">
        <v>111174.86</v>
      </c>
      <c r="N183" s="76">
        <v>0.313597577035021</v>
      </c>
    </row>
    <row r="184" spans="1:14" ht="15" customHeight="1" x14ac:dyDescent="0.25">
      <c r="A184" s="78">
        <v>45931</v>
      </c>
      <c r="B184" t="s">
        <v>431</v>
      </c>
      <c r="C184" t="s">
        <v>432</v>
      </c>
      <c r="D184" t="s">
        <v>221</v>
      </c>
      <c r="E184" s="124">
        <v>352965</v>
      </c>
      <c r="F184" s="124">
        <v>155027.70000000001</v>
      </c>
      <c r="G184" s="126">
        <v>44669.919999999998</v>
      </c>
      <c r="H184" s="126">
        <v>4055.83</v>
      </c>
      <c r="I184" s="77">
        <v>1817</v>
      </c>
      <c r="J184" s="124">
        <v>22365.85</v>
      </c>
      <c r="K184" s="124">
        <v>223457.69</v>
      </c>
      <c r="L184" s="124">
        <v>227936.3</v>
      </c>
      <c r="M184" s="124">
        <v>125028.7</v>
      </c>
      <c r="N184" s="76">
        <v>0.354224073208392</v>
      </c>
    </row>
    <row r="185" spans="1:14" ht="15" customHeight="1" x14ac:dyDescent="0.25">
      <c r="A185" s="78">
        <v>45931</v>
      </c>
      <c r="B185" t="s">
        <v>366</v>
      </c>
      <c r="C185" t="s">
        <v>367</v>
      </c>
      <c r="D185" t="s">
        <v>221</v>
      </c>
      <c r="E185" s="124">
        <v>506440.4</v>
      </c>
      <c r="F185" s="124">
        <v>192555.58</v>
      </c>
      <c r="G185" s="126">
        <v>112729.45</v>
      </c>
      <c r="H185" s="126">
        <v>4482.8100000000004</v>
      </c>
      <c r="I185" s="77">
        <v>759</v>
      </c>
      <c r="J185" s="124">
        <v>33315.64</v>
      </c>
      <c r="K185" s="124">
        <v>337292.63</v>
      </c>
      <c r="L185" s="124">
        <v>343842.48</v>
      </c>
      <c r="M185" s="124">
        <v>162597.92000000001</v>
      </c>
      <c r="N185" s="76">
        <v>0.32106032615091501</v>
      </c>
    </row>
    <row r="186" spans="1:14" ht="15" customHeight="1" x14ac:dyDescent="0.25">
      <c r="A186" s="78">
        <v>45931</v>
      </c>
      <c r="B186" t="s">
        <v>362</v>
      </c>
      <c r="C186" t="s">
        <v>363</v>
      </c>
      <c r="D186" t="s">
        <v>221</v>
      </c>
      <c r="E186" s="124">
        <v>232044.42</v>
      </c>
      <c r="F186" s="124">
        <v>102216.16666666701</v>
      </c>
      <c r="G186" s="126">
        <v>43005.72</v>
      </c>
      <c r="H186" s="126">
        <v>5534.61</v>
      </c>
      <c r="I186" s="77">
        <v>7696</v>
      </c>
      <c r="J186" s="124">
        <v>16464.04</v>
      </c>
      <c r="K186" s="124">
        <v>179386.69</v>
      </c>
      <c r="L186" s="124">
        <v>174916.536666667</v>
      </c>
      <c r="M186" s="124">
        <v>57127.883333333302</v>
      </c>
      <c r="N186" s="76">
        <v>0.24619373882523601</v>
      </c>
    </row>
    <row r="187" spans="1:14" ht="15" customHeight="1" x14ac:dyDescent="0.25">
      <c r="A187" s="78">
        <v>45931</v>
      </c>
      <c r="B187" t="s">
        <v>335</v>
      </c>
      <c r="C187" t="s">
        <v>336</v>
      </c>
      <c r="D187" t="s">
        <v>223</v>
      </c>
      <c r="E187" s="124">
        <v>350239.15</v>
      </c>
      <c r="F187" s="124">
        <v>131340.71666666699</v>
      </c>
      <c r="G187" s="126">
        <v>65997.33</v>
      </c>
      <c r="H187" s="126">
        <v>2472.7199999999998</v>
      </c>
      <c r="I187" s="77">
        <v>7759</v>
      </c>
      <c r="J187" s="124">
        <v>26496.65</v>
      </c>
      <c r="K187" s="124">
        <v>233600.37</v>
      </c>
      <c r="L187" s="124">
        <v>234066.41666666701</v>
      </c>
      <c r="M187" s="124">
        <v>116172.733333333</v>
      </c>
      <c r="N187" s="76">
        <v>0.33169545247392601</v>
      </c>
    </row>
    <row r="188" spans="1:14" ht="15" customHeight="1" x14ac:dyDescent="0.25">
      <c r="A188" s="78">
        <v>45931</v>
      </c>
      <c r="B188" t="s">
        <v>386</v>
      </c>
      <c r="C188" t="s">
        <v>387</v>
      </c>
      <c r="D188" t="s">
        <v>223</v>
      </c>
      <c r="E188" s="124">
        <v>501498.83</v>
      </c>
      <c r="F188" s="124">
        <v>175551.41666666701</v>
      </c>
      <c r="G188" s="126">
        <v>122616.94</v>
      </c>
      <c r="H188" s="126">
        <v>3948.21</v>
      </c>
      <c r="I188" s="77">
        <v>7972</v>
      </c>
      <c r="J188" s="124">
        <v>34357.730000000003</v>
      </c>
      <c r="K188" s="124">
        <v>352279.78</v>
      </c>
      <c r="L188" s="124">
        <v>344446.29666666698</v>
      </c>
      <c r="M188" s="124">
        <v>157052.53333333301</v>
      </c>
      <c r="N188" s="76">
        <v>0.31316630057408801</v>
      </c>
    </row>
    <row r="189" spans="1:14" ht="15" customHeight="1" x14ac:dyDescent="0.25">
      <c r="A189" s="78">
        <v>45931</v>
      </c>
      <c r="B189" t="s">
        <v>341</v>
      </c>
      <c r="C189" t="s">
        <v>342</v>
      </c>
      <c r="D189" t="s">
        <v>223</v>
      </c>
      <c r="E189" s="124">
        <v>456867.48</v>
      </c>
      <c r="F189" s="124">
        <v>240235.20333333299</v>
      </c>
      <c r="G189" s="126">
        <v>59693.58</v>
      </c>
      <c r="H189" s="126">
        <v>2501.52</v>
      </c>
      <c r="I189" s="77">
        <v>6487</v>
      </c>
      <c r="J189" s="124">
        <v>33924.06</v>
      </c>
      <c r="K189" s="124">
        <v>346980.44</v>
      </c>
      <c r="L189" s="124">
        <v>342841.36333333299</v>
      </c>
      <c r="M189" s="124">
        <v>114026.116666667</v>
      </c>
      <c r="N189" s="76">
        <v>0.24958247557183699</v>
      </c>
    </row>
    <row r="190" spans="1:14" ht="15" customHeight="1" x14ac:dyDescent="0.25">
      <c r="A190" s="78">
        <v>45931</v>
      </c>
      <c r="B190" t="s">
        <v>347</v>
      </c>
      <c r="C190" t="s">
        <v>348</v>
      </c>
      <c r="D190" t="s">
        <v>223</v>
      </c>
      <c r="E190" s="124">
        <v>358686.17</v>
      </c>
      <c r="F190" s="124">
        <v>112685.383333333</v>
      </c>
      <c r="G190" s="126">
        <v>85307.99</v>
      </c>
      <c r="H190" s="126">
        <v>3750.8</v>
      </c>
      <c r="I190" s="77">
        <v>9771</v>
      </c>
      <c r="J190" s="124">
        <v>27540.21</v>
      </c>
      <c r="K190" s="124">
        <v>235622.52</v>
      </c>
      <c r="L190" s="124">
        <v>239055.38333333301</v>
      </c>
      <c r="M190" s="124">
        <v>119630.786666667</v>
      </c>
      <c r="N190" s="76">
        <v>0.33352494930782201</v>
      </c>
    </row>
    <row r="191" spans="1:14" ht="15" customHeight="1" x14ac:dyDescent="0.25">
      <c r="A191" s="78">
        <v>45931</v>
      </c>
      <c r="B191" t="s">
        <v>409</v>
      </c>
      <c r="C191" t="s">
        <v>410</v>
      </c>
      <c r="D191" t="s">
        <v>223</v>
      </c>
      <c r="E191" s="124">
        <v>538091.89</v>
      </c>
      <c r="F191" s="124">
        <v>218275.32666666701</v>
      </c>
      <c r="G191" s="126">
        <v>107219.93</v>
      </c>
      <c r="H191" s="126">
        <v>2402.92</v>
      </c>
      <c r="I191" s="77">
        <v>3483</v>
      </c>
      <c r="J191" s="124">
        <v>31585.99</v>
      </c>
      <c r="K191" s="124">
        <v>364030.83</v>
      </c>
      <c r="L191" s="124">
        <v>362967.16666666698</v>
      </c>
      <c r="M191" s="124">
        <v>175124.72333333301</v>
      </c>
      <c r="N191" s="76">
        <v>0.32545505068536401</v>
      </c>
    </row>
    <row r="192" spans="1:14" ht="15" customHeight="1" x14ac:dyDescent="0.25">
      <c r="A192" s="78">
        <v>45931</v>
      </c>
      <c r="B192" t="s">
        <v>488</v>
      </c>
      <c r="C192" t="s">
        <v>489</v>
      </c>
      <c r="D192" t="s">
        <v>225</v>
      </c>
      <c r="E192" s="124">
        <v>362264.79</v>
      </c>
      <c r="F192" s="124">
        <v>165125.13333333301</v>
      </c>
      <c r="G192" s="126">
        <v>42672.23</v>
      </c>
      <c r="H192" s="126">
        <v>2349</v>
      </c>
      <c r="I192" s="77">
        <v>1792</v>
      </c>
      <c r="J192" s="124">
        <v>25494.3</v>
      </c>
      <c r="K192" s="124">
        <v>232787.66</v>
      </c>
      <c r="L192" s="124">
        <v>237432.66333333301</v>
      </c>
      <c r="M192" s="124">
        <v>124832.126666667</v>
      </c>
      <c r="N192" s="76">
        <v>0.34458807511120998</v>
      </c>
    </row>
    <row r="193" spans="1:14" ht="15" customHeight="1" x14ac:dyDescent="0.25">
      <c r="A193" s="78">
        <v>45931</v>
      </c>
      <c r="B193" t="s">
        <v>406</v>
      </c>
      <c r="C193" t="s">
        <v>407</v>
      </c>
      <c r="D193" t="s">
        <v>225</v>
      </c>
      <c r="E193" s="124">
        <v>282218.82</v>
      </c>
      <c r="F193" s="124">
        <v>126934.616666667</v>
      </c>
      <c r="G193" s="126">
        <v>44559.44</v>
      </c>
      <c r="H193" s="126">
        <v>1966.86</v>
      </c>
      <c r="I193" s="77">
        <v>3424</v>
      </c>
      <c r="J193" s="124">
        <v>18790.099999999999</v>
      </c>
      <c r="K193" s="124">
        <v>197586.35</v>
      </c>
      <c r="L193" s="124">
        <v>195675.01666666701</v>
      </c>
      <c r="M193" s="124">
        <v>86543.803333333301</v>
      </c>
      <c r="N193" s="76">
        <v>0.30665496841540701</v>
      </c>
    </row>
    <row r="194" spans="1:14" ht="15" customHeight="1" x14ac:dyDescent="0.25">
      <c r="A194" s="78">
        <v>45931</v>
      </c>
      <c r="B194" t="s">
        <v>358</v>
      </c>
      <c r="C194" t="s">
        <v>359</v>
      </c>
      <c r="D194" t="s">
        <v>225</v>
      </c>
      <c r="E194" s="124">
        <v>355315.27</v>
      </c>
      <c r="F194" s="124">
        <v>132980.506666667</v>
      </c>
      <c r="G194" s="126">
        <v>75875.61</v>
      </c>
      <c r="H194" s="126">
        <v>4007.42</v>
      </c>
      <c r="I194" s="77">
        <v>8323</v>
      </c>
      <c r="J194" s="124">
        <v>30075.72</v>
      </c>
      <c r="K194" s="124">
        <v>251818.93</v>
      </c>
      <c r="L194" s="124">
        <v>251262.256666667</v>
      </c>
      <c r="M194" s="124">
        <v>104053.013333333</v>
      </c>
      <c r="N194" s="76">
        <v>0.29284700692242499</v>
      </c>
    </row>
    <row r="195" spans="1:14" ht="15" customHeight="1" x14ac:dyDescent="0.25">
      <c r="A195" s="78">
        <v>45931</v>
      </c>
      <c r="B195" t="s">
        <v>383</v>
      </c>
      <c r="C195" t="s">
        <v>384</v>
      </c>
      <c r="D195" t="s">
        <v>225</v>
      </c>
      <c r="E195" s="124">
        <v>341157.63</v>
      </c>
      <c r="F195" s="124">
        <v>145117.88666666701</v>
      </c>
      <c r="G195" s="126">
        <v>52232.52</v>
      </c>
      <c r="H195" s="126">
        <v>3775.93</v>
      </c>
      <c r="I195" s="77">
        <v>4436</v>
      </c>
      <c r="J195" s="124">
        <v>27819.35</v>
      </c>
      <c r="K195" s="124">
        <v>238316.95</v>
      </c>
      <c r="L195" s="124">
        <v>233381.686666667</v>
      </c>
      <c r="M195" s="124">
        <v>107775.94333333299</v>
      </c>
      <c r="N195" s="76">
        <v>0.31591245176997301</v>
      </c>
    </row>
    <row r="196" spans="1:14" ht="15" customHeight="1" x14ac:dyDescent="0.25">
      <c r="A196" s="78">
        <v>45931</v>
      </c>
      <c r="B196" t="s">
        <v>373</v>
      </c>
      <c r="C196" t="s">
        <v>374</v>
      </c>
      <c r="D196" t="s">
        <v>225</v>
      </c>
      <c r="E196" s="124">
        <v>447332.46</v>
      </c>
      <c r="F196" s="124">
        <v>171539.936666667</v>
      </c>
      <c r="G196" s="126">
        <v>93545.17</v>
      </c>
      <c r="H196" s="126">
        <v>5308.86</v>
      </c>
      <c r="I196" s="77">
        <v>7161</v>
      </c>
      <c r="J196" s="124">
        <v>28710.799999999999</v>
      </c>
      <c r="K196" s="124">
        <v>318155.83</v>
      </c>
      <c r="L196" s="124">
        <v>306265.76666666701</v>
      </c>
      <c r="M196" s="124">
        <v>141066.69333333301</v>
      </c>
      <c r="N196" s="76">
        <v>0.31535089882217199</v>
      </c>
    </row>
    <row r="197" spans="1:14" ht="15" customHeight="1" x14ac:dyDescent="0.25">
      <c r="A197" s="78">
        <v>45931</v>
      </c>
      <c r="B197" t="s">
        <v>354</v>
      </c>
      <c r="C197" t="s">
        <v>355</v>
      </c>
      <c r="D197" t="s">
        <v>227</v>
      </c>
      <c r="E197" s="124">
        <v>516766.86</v>
      </c>
      <c r="F197" s="124">
        <v>238757.37</v>
      </c>
      <c r="G197" s="126">
        <v>80015.399999999994</v>
      </c>
      <c r="H197" s="126">
        <v>2449.31</v>
      </c>
      <c r="I197" s="77">
        <v>5859</v>
      </c>
      <c r="J197" s="124">
        <v>39321.99</v>
      </c>
      <c r="K197" s="124">
        <v>376296.26</v>
      </c>
      <c r="L197" s="124">
        <v>366403.07</v>
      </c>
      <c r="M197" s="124">
        <v>150363.79</v>
      </c>
      <c r="N197" s="76">
        <v>0.29097026461797498</v>
      </c>
    </row>
    <row r="198" spans="1:14" ht="15" customHeight="1" x14ac:dyDescent="0.25">
      <c r="A198" s="78">
        <v>45931</v>
      </c>
      <c r="B198" t="s">
        <v>370</v>
      </c>
      <c r="C198" t="s">
        <v>371</v>
      </c>
      <c r="D198" t="s">
        <v>227</v>
      </c>
      <c r="E198" s="124">
        <v>312681.84000000003</v>
      </c>
      <c r="F198" s="124">
        <v>148368.20000000001</v>
      </c>
      <c r="G198" s="126">
        <v>55854.23</v>
      </c>
      <c r="H198" s="126">
        <v>3122.25</v>
      </c>
      <c r="I198" s="77">
        <v>4176</v>
      </c>
      <c r="J198" s="124">
        <v>25074.7</v>
      </c>
      <c r="K198" s="124">
        <v>240021.73</v>
      </c>
      <c r="L198" s="124">
        <v>236595.38</v>
      </c>
      <c r="M198" s="124">
        <v>76086.460000000006</v>
      </c>
      <c r="N198" s="76">
        <v>0.243335078237994</v>
      </c>
    </row>
    <row r="199" spans="1:14" ht="15" customHeight="1" x14ac:dyDescent="0.25">
      <c r="A199" s="78">
        <v>45931</v>
      </c>
      <c r="B199" t="s">
        <v>398</v>
      </c>
      <c r="C199" t="s">
        <v>399</v>
      </c>
      <c r="D199" t="s">
        <v>227</v>
      </c>
      <c r="E199" s="124">
        <v>594924.5</v>
      </c>
      <c r="F199" s="124">
        <v>220063.4</v>
      </c>
      <c r="G199" s="126">
        <v>167020.63</v>
      </c>
      <c r="H199" s="126">
        <v>3199.07</v>
      </c>
      <c r="I199" s="77">
        <v>1495</v>
      </c>
      <c r="J199" s="124">
        <v>36871.360000000001</v>
      </c>
      <c r="K199" s="124">
        <v>439287.64</v>
      </c>
      <c r="L199" s="124">
        <v>428649.46</v>
      </c>
      <c r="M199" s="124">
        <v>166275.04</v>
      </c>
      <c r="N199" s="76">
        <v>0.279489313349845</v>
      </c>
    </row>
    <row r="200" spans="1:14" ht="15" customHeight="1" x14ac:dyDescent="0.25">
      <c r="A200" s="78">
        <v>45931</v>
      </c>
      <c r="B200" t="s">
        <v>378</v>
      </c>
      <c r="C200" t="s">
        <v>379</v>
      </c>
      <c r="D200" t="s">
        <v>227</v>
      </c>
      <c r="E200" s="124">
        <v>259428.88</v>
      </c>
      <c r="F200" s="124">
        <v>92927.553333333301</v>
      </c>
      <c r="G200" s="126">
        <v>50787.519999999997</v>
      </c>
      <c r="H200" s="126">
        <v>4999.2</v>
      </c>
      <c r="I200" s="77">
        <v>5460</v>
      </c>
      <c r="J200" s="124">
        <v>21946.35</v>
      </c>
      <c r="K200" s="124">
        <v>176690.51</v>
      </c>
      <c r="L200" s="124">
        <v>176120.623333333</v>
      </c>
      <c r="M200" s="124">
        <v>83308.256666666595</v>
      </c>
      <c r="N200" s="76">
        <v>0.32112175277735699</v>
      </c>
    </row>
    <row r="201" spans="1:14" ht="15" customHeight="1" x14ac:dyDescent="0.25">
      <c r="A201" s="78">
        <v>45931</v>
      </c>
      <c r="B201" t="s">
        <v>393</v>
      </c>
      <c r="C201" t="s">
        <v>394</v>
      </c>
      <c r="D201" t="s">
        <v>227</v>
      </c>
      <c r="E201" s="124">
        <v>435525.58</v>
      </c>
      <c r="F201" s="124">
        <v>172362.37</v>
      </c>
      <c r="G201" s="126">
        <v>70864</v>
      </c>
      <c r="H201" s="126">
        <v>3706.08</v>
      </c>
      <c r="I201" s="77">
        <v>7739</v>
      </c>
      <c r="J201" s="124">
        <v>33236.78</v>
      </c>
      <c r="K201" s="124">
        <v>280423.3</v>
      </c>
      <c r="L201" s="124">
        <v>287908.23</v>
      </c>
      <c r="M201" s="124">
        <v>147617.35</v>
      </c>
      <c r="N201" s="76">
        <v>0.338940711588054</v>
      </c>
    </row>
    <row r="202" spans="1:14" ht="15" customHeight="1" x14ac:dyDescent="0.25">
      <c r="A202" s="78">
        <v>45962</v>
      </c>
      <c r="B202" t="s">
        <v>390</v>
      </c>
      <c r="C202" t="s">
        <v>391</v>
      </c>
      <c r="D202" t="s">
        <v>221</v>
      </c>
      <c r="E202" s="124">
        <v>257891.78</v>
      </c>
      <c r="F202" s="124">
        <v>129763.006666667</v>
      </c>
      <c r="G202" s="126">
        <v>32972.11</v>
      </c>
      <c r="H202" s="126">
        <v>3330.22</v>
      </c>
      <c r="I202" s="77">
        <v>7518</v>
      </c>
      <c r="J202" s="124">
        <v>15760.3</v>
      </c>
      <c r="K202" s="124">
        <v>190203.21</v>
      </c>
      <c r="L202" s="124">
        <v>189343.63666666701</v>
      </c>
      <c r="M202" s="124">
        <v>68548.143333333399</v>
      </c>
      <c r="N202" s="76">
        <v>0.26580197063021299</v>
      </c>
    </row>
    <row r="203" spans="1:14" ht="15" customHeight="1" x14ac:dyDescent="0.25">
      <c r="A203" s="78">
        <v>45962</v>
      </c>
      <c r="B203" t="s">
        <v>401</v>
      </c>
      <c r="C203" t="s">
        <v>402</v>
      </c>
      <c r="D203" t="s">
        <v>221</v>
      </c>
      <c r="E203" s="124">
        <v>288091.18</v>
      </c>
      <c r="F203" s="124">
        <v>164773.51666666701</v>
      </c>
      <c r="G203" s="126">
        <v>11539.42</v>
      </c>
      <c r="H203" s="126">
        <v>4239.05</v>
      </c>
      <c r="I203" s="77">
        <v>10095</v>
      </c>
      <c r="J203" s="124">
        <v>19730.189999999999</v>
      </c>
      <c r="K203" s="124">
        <v>210738.41</v>
      </c>
      <c r="L203" s="124">
        <v>210377.17666666699</v>
      </c>
      <c r="M203" s="124">
        <v>77714.003333333298</v>
      </c>
      <c r="N203" s="76">
        <v>0.26975488570435702</v>
      </c>
    </row>
    <row r="204" spans="1:14" ht="15" customHeight="1" x14ac:dyDescent="0.25">
      <c r="A204" s="78">
        <v>45962</v>
      </c>
      <c r="B204" t="s">
        <v>431</v>
      </c>
      <c r="C204" t="s">
        <v>432</v>
      </c>
      <c r="D204" t="s">
        <v>221</v>
      </c>
      <c r="E204" s="124">
        <v>259756.58</v>
      </c>
      <c r="F204" s="124">
        <v>120788.456666667</v>
      </c>
      <c r="G204" s="126">
        <v>43645.61</v>
      </c>
      <c r="H204" s="126">
        <v>4284.04</v>
      </c>
      <c r="I204" s="77">
        <v>2814</v>
      </c>
      <c r="J204" s="124">
        <v>20461.150000000001</v>
      </c>
      <c r="K204" s="124">
        <v>186632</v>
      </c>
      <c r="L204" s="124">
        <v>191993.256666667</v>
      </c>
      <c r="M204" s="124">
        <v>67763.323333333305</v>
      </c>
      <c r="N204" s="76">
        <v>0.26087240343760798</v>
      </c>
    </row>
    <row r="205" spans="1:14" ht="15" customHeight="1" x14ac:dyDescent="0.25">
      <c r="A205" s="78">
        <v>45962</v>
      </c>
      <c r="B205" t="s">
        <v>366</v>
      </c>
      <c r="C205" t="s">
        <v>367</v>
      </c>
      <c r="D205" t="s">
        <v>221</v>
      </c>
      <c r="E205" s="124">
        <v>365699.75</v>
      </c>
      <c r="F205" s="124">
        <v>179514.87</v>
      </c>
      <c r="G205" s="126">
        <v>58785.83</v>
      </c>
      <c r="H205" s="126">
        <v>4310.79</v>
      </c>
      <c r="I205" s="77">
        <v>4410</v>
      </c>
      <c r="J205" s="124">
        <v>27201.53</v>
      </c>
      <c r="K205" s="124">
        <v>275313.45</v>
      </c>
      <c r="L205" s="124">
        <v>274223.02</v>
      </c>
      <c r="M205" s="124">
        <v>91476.73</v>
      </c>
      <c r="N205" s="76">
        <v>0.25014162574625798</v>
      </c>
    </row>
    <row r="206" spans="1:14" ht="15" customHeight="1" x14ac:dyDescent="0.25">
      <c r="A206" s="78">
        <v>45962</v>
      </c>
      <c r="B206" t="s">
        <v>362</v>
      </c>
      <c r="C206" t="s">
        <v>363</v>
      </c>
      <c r="D206" t="s">
        <v>221</v>
      </c>
      <c r="E206" s="124">
        <v>273609.92</v>
      </c>
      <c r="F206" s="124">
        <v>139893.47333333301</v>
      </c>
      <c r="G206" s="126">
        <v>39467.67</v>
      </c>
      <c r="H206" s="126">
        <v>4103.21</v>
      </c>
      <c r="I206" s="77">
        <v>4181</v>
      </c>
      <c r="J206" s="124">
        <v>22599.77</v>
      </c>
      <c r="K206" s="124">
        <v>204477.95</v>
      </c>
      <c r="L206" s="124">
        <v>210245.123333333</v>
      </c>
      <c r="M206" s="124">
        <v>63364.796666666603</v>
      </c>
      <c r="N206" s="76">
        <v>0.231588082283956</v>
      </c>
    </row>
    <row r="207" spans="1:14" ht="15" customHeight="1" x14ac:dyDescent="0.25">
      <c r="A207" s="78">
        <v>45962</v>
      </c>
      <c r="B207" t="s">
        <v>335</v>
      </c>
      <c r="C207" t="s">
        <v>336</v>
      </c>
      <c r="D207" t="s">
        <v>223</v>
      </c>
      <c r="E207" s="124">
        <v>413120.06</v>
      </c>
      <c r="F207" s="124">
        <v>152501.15</v>
      </c>
      <c r="G207" s="126">
        <v>83374.13</v>
      </c>
      <c r="H207" s="126">
        <v>5080.88</v>
      </c>
      <c r="I207" s="77">
        <v>3780</v>
      </c>
      <c r="J207" s="124">
        <v>25325.38</v>
      </c>
      <c r="K207" s="124">
        <v>262983.82</v>
      </c>
      <c r="L207" s="124">
        <v>270061.53999999998</v>
      </c>
      <c r="M207" s="124">
        <v>143058.51999999999</v>
      </c>
      <c r="N207" s="76">
        <v>0.34628800160418299</v>
      </c>
    </row>
    <row r="208" spans="1:14" ht="15" customHeight="1" x14ac:dyDescent="0.25">
      <c r="A208" s="78">
        <v>45962</v>
      </c>
      <c r="B208" t="s">
        <v>386</v>
      </c>
      <c r="C208" t="s">
        <v>387</v>
      </c>
      <c r="D208" t="s">
        <v>223</v>
      </c>
      <c r="E208" s="124">
        <v>298464.86</v>
      </c>
      <c r="F208" s="124">
        <v>140721.66666666701</v>
      </c>
      <c r="G208" s="126">
        <v>27445.87</v>
      </c>
      <c r="H208" s="126">
        <v>2800.53</v>
      </c>
      <c r="I208" s="77">
        <v>6260</v>
      </c>
      <c r="J208" s="124">
        <v>24690.39</v>
      </c>
      <c r="K208" s="124">
        <v>205338</v>
      </c>
      <c r="L208" s="124">
        <v>201918.45666666701</v>
      </c>
      <c r="M208" s="124">
        <v>96546.403333333306</v>
      </c>
      <c r="N208" s="76">
        <v>0.32347661742602901</v>
      </c>
    </row>
    <row r="209" spans="1:14" ht="15" customHeight="1" x14ac:dyDescent="0.25">
      <c r="A209" s="78">
        <v>45962</v>
      </c>
      <c r="B209" t="s">
        <v>341</v>
      </c>
      <c r="C209" t="s">
        <v>342</v>
      </c>
      <c r="D209" t="s">
        <v>223</v>
      </c>
      <c r="E209" s="124">
        <v>507316</v>
      </c>
      <c r="F209" s="124">
        <v>223789.86333333299</v>
      </c>
      <c r="G209" s="126">
        <v>87670.09</v>
      </c>
      <c r="H209" s="126">
        <v>4106.83</v>
      </c>
      <c r="I209" s="77">
        <v>1426</v>
      </c>
      <c r="J209" s="124">
        <v>31130.3</v>
      </c>
      <c r="K209" s="124">
        <v>338256.04</v>
      </c>
      <c r="L209" s="124">
        <v>348123.08333333302</v>
      </c>
      <c r="M209" s="124">
        <v>159192.91666666701</v>
      </c>
      <c r="N209" s="76">
        <v>0.31379439376378199</v>
      </c>
    </row>
    <row r="210" spans="1:14" ht="15" customHeight="1" x14ac:dyDescent="0.25">
      <c r="A210" s="78">
        <v>45962</v>
      </c>
      <c r="B210" t="s">
        <v>347</v>
      </c>
      <c r="C210" t="s">
        <v>348</v>
      </c>
      <c r="D210" t="s">
        <v>223</v>
      </c>
      <c r="E210" s="124">
        <v>249860.84</v>
      </c>
      <c r="F210" s="124">
        <v>98377.883333333302</v>
      </c>
      <c r="G210" s="126">
        <v>63831.68</v>
      </c>
      <c r="H210" s="126">
        <v>3097.23</v>
      </c>
      <c r="I210" s="77">
        <v>5586</v>
      </c>
      <c r="J210" s="124">
        <v>14619.16</v>
      </c>
      <c r="K210" s="124">
        <v>180838.75</v>
      </c>
      <c r="L210" s="124">
        <v>185511.95333333299</v>
      </c>
      <c r="M210" s="124">
        <v>64348.8866666666</v>
      </c>
      <c r="N210" s="76">
        <v>0.25753890312170002</v>
      </c>
    </row>
    <row r="211" spans="1:14" ht="15" customHeight="1" x14ac:dyDescent="0.25">
      <c r="A211" s="78">
        <v>45962</v>
      </c>
      <c r="B211" t="s">
        <v>409</v>
      </c>
      <c r="C211" t="s">
        <v>410</v>
      </c>
      <c r="D211" t="s">
        <v>223</v>
      </c>
      <c r="E211" s="124">
        <v>162893.88</v>
      </c>
      <c r="F211" s="124">
        <v>57416.863333333298</v>
      </c>
      <c r="G211" s="126">
        <v>42642.13</v>
      </c>
      <c r="H211" s="126">
        <v>3315.08</v>
      </c>
      <c r="I211" s="77">
        <v>5407</v>
      </c>
      <c r="J211" s="124">
        <v>8969.49</v>
      </c>
      <c r="K211" s="124">
        <v>113634.29</v>
      </c>
      <c r="L211" s="124">
        <v>117750.563333333</v>
      </c>
      <c r="M211" s="124">
        <v>45143.316666666702</v>
      </c>
      <c r="N211" s="76">
        <v>0.277133288658031</v>
      </c>
    </row>
    <row r="212" spans="1:14" ht="15" customHeight="1" x14ac:dyDescent="0.25">
      <c r="A212" s="78">
        <v>45962</v>
      </c>
      <c r="B212" t="s">
        <v>488</v>
      </c>
      <c r="C212" t="s">
        <v>489</v>
      </c>
      <c r="D212" t="s">
        <v>225</v>
      </c>
      <c r="E212" s="124">
        <v>314994.43</v>
      </c>
      <c r="F212" s="124">
        <v>124440.896666667</v>
      </c>
      <c r="G212" s="126">
        <v>60982.6</v>
      </c>
      <c r="H212" s="126">
        <v>2852.43</v>
      </c>
      <c r="I212" s="77">
        <v>9716</v>
      </c>
      <c r="J212" s="124">
        <v>21683.99</v>
      </c>
      <c r="K212" s="124">
        <v>217556.53</v>
      </c>
      <c r="L212" s="124">
        <v>219675.91666666701</v>
      </c>
      <c r="M212" s="124">
        <v>95318.513333333394</v>
      </c>
      <c r="N212" s="76">
        <v>0.30260380583025998</v>
      </c>
    </row>
    <row r="213" spans="1:14" ht="15" customHeight="1" x14ac:dyDescent="0.25">
      <c r="A213" s="78">
        <v>45962</v>
      </c>
      <c r="B213" t="s">
        <v>406</v>
      </c>
      <c r="C213" t="s">
        <v>407</v>
      </c>
      <c r="D213" t="s">
        <v>225</v>
      </c>
      <c r="E213" s="124">
        <v>341022.04</v>
      </c>
      <c r="F213" s="124">
        <v>171846.66666666701</v>
      </c>
      <c r="G213" s="126">
        <v>52263.199999999997</v>
      </c>
      <c r="H213" s="126">
        <v>3068.08</v>
      </c>
      <c r="I213" s="77">
        <v>6042</v>
      </c>
      <c r="J213" s="124">
        <v>19061.09</v>
      </c>
      <c r="K213" s="124">
        <v>259168.81</v>
      </c>
      <c r="L213" s="124">
        <v>252281.036666667</v>
      </c>
      <c r="M213" s="124">
        <v>88741.003333333298</v>
      </c>
      <c r="N213" s="76">
        <v>0.26022072747360597</v>
      </c>
    </row>
    <row r="214" spans="1:14" ht="15" customHeight="1" x14ac:dyDescent="0.25">
      <c r="A214" s="78">
        <v>45962</v>
      </c>
      <c r="B214" t="s">
        <v>358</v>
      </c>
      <c r="C214" t="s">
        <v>359</v>
      </c>
      <c r="D214" t="s">
        <v>225</v>
      </c>
      <c r="E214" s="124">
        <v>548461.30000000005</v>
      </c>
      <c r="F214" s="124">
        <v>214484.993333333</v>
      </c>
      <c r="G214" s="126">
        <v>114574.05</v>
      </c>
      <c r="H214" s="126">
        <v>2410.16</v>
      </c>
      <c r="I214" s="77">
        <v>8946</v>
      </c>
      <c r="J214" s="124">
        <v>44444.6</v>
      </c>
      <c r="K214" s="124">
        <v>397777.25</v>
      </c>
      <c r="L214" s="124">
        <v>384859.80333333299</v>
      </c>
      <c r="M214" s="124">
        <v>163601.49666666699</v>
      </c>
      <c r="N214" s="76">
        <v>0.29829177859343398</v>
      </c>
    </row>
    <row r="215" spans="1:14" ht="15" customHeight="1" x14ac:dyDescent="0.25">
      <c r="A215" s="78">
        <v>45962</v>
      </c>
      <c r="B215" t="s">
        <v>383</v>
      </c>
      <c r="C215" t="s">
        <v>384</v>
      </c>
      <c r="D215" t="s">
        <v>225</v>
      </c>
      <c r="E215" s="124">
        <v>403353.61</v>
      </c>
      <c r="F215" s="124">
        <v>227453.71666666699</v>
      </c>
      <c r="G215" s="126">
        <v>9145.4699999999993</v>
      </c>
      <c r="H215" s="126">
        <v>4522.99</v>
      </c>
      <c r="I215" s="77">
        <v>5922</v>
      </c>
      <c r="J215" s="124">
        <v>30834.76</v>
      </c>
      <c r="K215" s="124">
        <v>269469.27</v>
      </c>
      <c r="L215" s="124">
        <v>277878.936666667</v>
      </c>
      <c r="M215" s="124">
        <v>125474.673333333</v>
      </c>
      <c r="N215" s="76">
        <v>0.31107859263571103</v>
      </c>
    </row>
    <row r="216" spans="1:14" ht="15" customHeight="1" x14ac:dyDescent="0.25">
      <c r="A216" s="78">
        <v>45962</v>
      </c>
      <c r="B216" t="s">
        <v>373</v>
      </c>
      <c r="C216" t="s">
        <v>374</v>
      </c>
      <c r="D216" t="s">
        <v>225</v>
      </c>
      <c r="E216" s="124">
        <v>357389.1</v>
      </c>
      <c r="F216" s="124">
        <v>199007.83</v>
      </c>
      <c r="G216" s="126">
        <v>18744.09</v>
      </c>
      <c r="H216" s="126">
        <v>2290.21</v>
      </c>
      <c r="I216" s="77">
        <v>3621</v>
      </c>
      <c r="J216" s="124">
        <v>28424.9</v>
      </c>
      <c r="K216" s="124">
        <v>245823.16</v>
      </c>
      <c r="L216" s="124">
        <v>252088.03</v>
      </c>
      <c r="M216" s="124">
        <v>105301.07</v>
      </c>
      <c r="N216" s="76">
        <v>0.294639847717796</v>
      </c>
    </row>
    <row r="217" spans="1:14" ht="15" customHeight="1" x14ac:dyDescent="0.25">
      <c r="A217" s="78">
        <v>45962</v>
      </c>
      <c r="B217" t="s">
        <v>354</v>
      </c>
      <c r="C217" t="s">
        <v>355</v>
      </c>
      <c r="D217" t="s">
        <v>227</v>
      </c>
      <c r="E217" s="124">
        <v>268721.96000000002</v>
      </c>
      <c r="F217" s="124">
        <v>122396.16</v>
      </c>
      <c r="G217" s="126">
        <v>46019.38</v>
      </c>
      <c r="H217" s="126">
        <v>1768.37</v>
      </c>
      <c r="I217" s="77">
        <v>2783</v>
      </c>
      <c r="J217" s="124">
        <v>15528.96</v>
      </c>
      <c r="K217" s="124">
        <v>181886.63</v>
      </c>
      <c r="L217" s="124">
        <v>188495.87</v>
      </c>
      <c r="M217" s="124">
        <v>80226.09</v>
      </c>
      <c r="N217" s="76">
        <v>0.29854683256999198</v>
      </c>
    </row>
    <row r="218" spans="1:14" ht="15" customHeight="1" x14ac:dyDescent="0.25">
      <c r="A218" s="78">
        <v>45962</v>
      </c>
      <c r="B218" t="s">
        <v>370</v>
      </c>
      <c r="C218" t="s">
        <v>371</v>
      </c>
      <c r="D218" t="s">
        <v>227</v>
      </c>
      <c r="E218" s="124">
        <v>286152.52</v>
      </c>
      <c r="F218" s="124">
        <v>107851.273333333</v>
      </c>
      <c r="G218" s="126">
        <v>54896.7</v>
      </c>
      <c r="H218" s="126">
        <v>5283.75</v>
      </c>
      <c r="I218" s="77">
        <v>5856</v>
      </c>
      <c r="J218" s="124">
        <v>23445.11</v>
      </c>
      <c r="K218" s="124">
        <v>194007.59</v>
      </c>
      <c r="L218" s="124">
        <v>197332.83333333299</v>
      </c>
      <c r="M218" s="124">
        <v>88819.686666666705</v>
      </c>
      <c r="N218" s="76">
        <v>0.31039281662334001</v>
      </c>
    </row>
    <row r="219" spans="1:14" ht="15" customHeight="1" x14ac:dyDescent="0.25">
      <c r="A219" s="78">
        <v>45962</v>
      </c>
      <c r="B219" t="s">
        <v>398</v>
      </c>
      <c r="C219" t="s">
        <v>399</v>
      </c>
      <c r="D219" t="s">
        <v>227</v>
      </c>
      <c r="E219" s="124">
        <v>368262.52</v>
      </c>
      <c r="F219" s="124">
        <v>208078.843333333</v>
      </c>
      <c r="G219" s="126">
        <v>20516.27</v>
      </c>
      <c r="H219" s="126">
        <v>4900.16</v>
      </c>
      <c r="I219" s="77">
        <v>6225</v>
      </c>
      <c r="J219" s="124">
        <v>22949.77</v>
      </c>
      <c r="K219" s="124">
        <v>271987.59000000003</v>
      </c>
      <c r="L219" s="124">
        <v>262670.04333333299</v>
      </c>
      <c r="M219" s="124">
        <v>105592.476666667</v>
      </c>
      <c r="N219" s="76">
        <v>0.286731532349984</v>
      </c>
    </row>
    <row r="220" spans="1:14" ht="15" customHeight="1" x14ac:dyDescent="0.25">
      <c r="A220" s="78">
        <v>45962</v>
      </c>
      <c r="B220" t="s">
        <v>378</v>
      </c>
      <c r="C220" t="s">
        <v>379</v>
      </c>
      <c r="D220" t="s">
        <v>227</v>
      </c>
      <c r="E220" s="124">
        <v>163126.84</v>
      </c>
      <c r="F220" s="124">
        <v>71158.91</v>
      </c>
      <c r="G220" s="126">
        <v>20832.830000000002</v>
      </c>
      <c r="H220" s="126">
        <v>4558.6000000000004</v>
      </c>
      <c r="I220" s="77">
        <v>4821</v>
      </c>
      <c r="J220" s="124">
        <v>12667.37</v>
      </c>
      <c r="K220" s="124">
        <v>116649.46</v>
      </c>
      <c r="L220" s="124">
        <v>114038.71</v>
      </c>
      <c r="M220" s="124">
        <v>49088.13</v>
      </c>
      <c r="N220" s="76">
        <v>0.30092000801339602</v>
      </c>
    </row>
    <row r="221" spans="1:14" ht="15" customHeight="1" x14ac:dyDescent="0.25">
      <c r="A221" s="78">
        <v>45962</v>
      </c>
      <c r="B221" t="s">
        <v>393</v>
      </c>
      <c r="C221" t="s">
        <v>394</v>
      </c>
      <c r="D221" t="s">
        <v>227</v>
      </c>
      <c r="E221" s="124">
        <v>350962.84</v>
      </c>
      <c r="F221" s="124">
        <v>176811.66666666701</v>
      </c>
      <c r="G221" s="126">
        <v>45620.78</v>
      </c>
      <c r="H221" s="126">
        <v>3858.76</v>
      </c>
      <c r="I221" s="77">
        <v>3906</v>
      </c>
      <c r="J221" s="124">
        <v>27547.48</v>
      </c>
      <c r="K221" s="124">
        <v>263238.45</v>
      </c>
      <c r="L221" s="124">
        <v>257744.686666667</v>
      </c>
      <c r="M221" s="124">
        <v>93218.153333333394</v>
      </c>
      <c r="N221" s="76">
        <v>0.26560690394838798</v>
      </c>
    </row>
    <row r="222" spans="1:14" ht="15" customHeight="1" x14ac:dyDescent="0.25">
      <c r="A222" s="78">
        <v>45992</v>
      </c>
      <c r="B222" t="s">
        <v>390</v>
      </c>
      <c r="C222" t="s">
        <v>391</v>
      </c>
      <c r="D222" t="s">
        <v>221</v>
      </c>
      <c r="E222" s="124">
        <v>437725.53</v>
      </c>
      <c r="F222" s="124">
        <v>170746.22333333301</v>
      </c>
      <c r="G222" s="126">
        <v>91697.97</v>
      </c>
      <c r="H222" s="126">
        <v>2882.65</v>
      </c>
      <c r="I222" s="77">
        <v>8493</v>
      </c>
      <c r="J222" s="124">
        <v>25890.41</v>
      </c>
      <c r="K222" s="124">
        <v>295271.23</v>
      </c>
      <c r="L222" s="124">
        <v>299710.25333333301</v>
      </c>
      <c r="M222" s="124">
        <v>138015.27666666699</v>
      </c>
      <c r="N222" s="76">
        <v>0.31530095278351</v>
      </c>
    </row>
    <row r="223" spans="1:14" ht="15" customHeight="1" x14ac:dyDescent="0.25">
      <c r="A223" s="78">
        <v>45992</v>
      </c>
      <c r="B223" t="s">
        <v>401</v>
      </c>
      <c r="C223" t="s">
        <v>402</v>
      </c>
      <c r="D223" t="s">
        <v>221</v>
      </c>
      <c r="E223" s="124">
        <v>457079.4</v>
      </c>
      <c r="F223" s="124">
        <v>194777.06</v>
      </c>
      <c r="G223" s="126">
        <v>83436.84</v>
      </c>
      <c r="H223" s="126">
        <v>4420.8</v>
      </c>
      <c r="I223" s="77">
        <v>10301</v>
      </c>
      <c r="J223" s="124">
        <v>38610.99</v>
      </c>
      <c r="K223" s="124">
        <v>326676.73</v>
      </c>
      <c r="L223" s="124">
        <v>331546.69</v>
      </c>
      <c r="M223" s="124">
        <v>125532.71</v>
      </c>
      <c r="N223" s="76">
        <v>0.27464092671863999</v>
      </c>
    </row>
    <row r="224" spans="1:14" ht="15" customHeight="1" x14ac:dyDescent="0.25">
      <c r="A224" s="78">
        <v>45992</v>
      </c>
      <c r="B224" t="s">
        <v>431</v>
      </c>
      <c r="C224" t="s">
        <v>432</v>
      </c>
      <c r="D224" t="s">
        <v>221</v>
      </c>
      <c r="E224" s="124">
        <v>234338.98</v>
      </c>
      <c r="F224" s="124">
        <v>118583.33</v>
      </c>
      <c r="G224" s="126">
        <v>18907.62</v>
      </c>
      <c r="H224" s="126">
        <v>3050.7</v>
      </c>
      <c r="I224" s="77">
        <v>2996</v>
      </c>
      <c r="J224" s="124">
        <v>13575.2</v>
      </c>
      <c r="K224" s="124">
        <v>150874.21</v>
      </c>
      <c r="L224" s="124">
        <v>157112.85</v>
      </c>
      <c r="M224" s="124">
        <v>77226.13</v>
      </c>
      <c r="N224" s="76">
        <v>0.32954880148407201</v>
      </c>
    </row>
    <row r="225" spans="1:14" ht="15" customHeight="1" x14ac:dyDescent="0.25">
      <c r="A225" s="78">
        <v>45992</v>
      </c>
      <c r="B225" t="s">
        <v>366</v>
      </c>
      <c r="C225" t="s">
        <v>367</v>
      </c>
      <c r="D225" t="s">
        <v>221</v>
      </c>
      <c r="E225" s="124">
        <v>432460.48</v>
      </c>
      <c r="F225" s="124">
        <v>237322.64</v>
      </c>
      <c r="G225" s="126">
        <v>17764.689999999999</v>
      </c>
      <c r="H225" s="126">
        <v>2935.93</v>
      </c>
      <c r="I225" s="77">
        <v>4392</v>
      </c>
      <c r="J225" s="124">
        <v>36688.89</v>
      </c>
      <c r="K225" s="124">
        <v>298076.28999999998</v>
      </c>
      <c r="L225" s="124">
        <v>299104.15000000002</v>
      </c>
      <c r="M225" s="124">
        <v>133356.32999999999</v>
      </c>
      <c r="N225" s="76">
        <v>0.30836651247300101</v>
      </c>
    </row>
    <row r="226" spans="1:14" ht="15" customHeight="1" x14ac:dyDescent="0.25">
      <c r="A226" s="78">
        <v>45992</v>
      </c>
      <c r="B226" t="s">
        <v>362</v>
      </c>
      <c r="C226" t="s">
        <v>363</v>
      </c>
      <c r="D226" t="s">
        <v>221</v>
      </c>
      <c r="E226" s="124">
        <v>312770.59999999998</v>
      </c>
      <c r="F226" s="124">
        <v>112682.69666666701</v>
      </c>
      <c r="G226" s="126">
        <v>70955.38</v>
      </c>
      <c r="H226" s="126">
        <v>2559.7199999999998</v>
      </c>
      <c r="I226" s="77">
        <v>3024</v>
      </c>
      <c r="J226" s="124">
        <v>25797.31</v>
      </c>
      <c r="K226" s="124">
        <v>206478.69</v>
      </c>
      <c r="L226" s="124">
        <v>215019.10666666701</v>
      </c>
      <c r="M226" s="124">
        <v>97751.493333333303</v>
      </c>
      <c r="N226" s="76">
        <v>0.31253414909628102</v>
      </c>
    </row>
    <row r="227" spans="1:14" ht="15" customHeight="1" x14ac:dyDescent="0.25">
      <c r="A227" s="78">
        <v>45992</v>
      </c>
      <c r="B227" t="s">
        <v>335</v>
      </c>
      <c r="C227" t="s">
        <v>336</v>
      </c>
      <c r="D227" t="s">
        <v>223</v>
      </c>
      <c r="E227" s="124">
        <v>511098.99</v>
      </c>
      <c r="F227" s="124">
        <v>196879.93</v>
      </c>
      <c r="G227" s="126">
        <v>99707.76</v>
      </c>
      <c r="H227" s="126">
        <v>4434.24</v>
      </c>
      <c r="I227" s="77">
        <v>4899</v>
      </c>
      <c r="J227" s="124">
        <v>32387.54</v>
      </c>
      <c r="K227" s="124">
        <v>333691.88</v>
      </c>
      <c r="L227" s="124">
        <v>338308.47</v>
      </c>
      <c r="M227" s="124">
        <v>172790.52</v>
      </c>
      <c r="N227" s="76">
        <v>0.33807642625159601</v>
      </c>
    </row>
    <row r="228" spans="1:14" ht="15" customHeight="1" x14ac:dyDescent="0.25">
      <c r="A228" s="78">
        <v>45992</v>
      </c>
      <c r="B228" t="s">
        <v>386</v>
      </c>
      <c r="C228" t="s">
        <v>387</v>
      </c>
      <c r="D228" t="s">
        <v>223</v>
      </c>
      <c r="E228" s="124">
        <v>557994.17000000004</v>
      </c>
      <c r="F228" s="124">
        <v>273922.313333333</v>
      </c>
      <c r="G228" s="126">
        <v>56424.2</v>
      </c>
      <c r="H228" s="126">
        <v>2601.34</v>
      </c>
      <c r="I228" s="77">
        <v>5150</v>
      </c>
      <c r="J228" s="124">
        <v>37037.24</v>
      </c>
      <c r="K228" s="124">
        <v>385161.44</v>
      </c>
      <c r="L228" s="124">
        <v>375135.09333333297</v>
      </c>
      <c r="M228" s="124">
        <v>182859.07666666701</v>
      </c>
      <c r="N228" s="76">
        <v>0.32770786237187099</v>
      </c>
    </row>
    <row r="229" spans="1:14" ht="15" customHeight="1" x14ac:dyDescent="0.25">
      <c r="A229" s="78">
        <v>45992</v>
      </c>
      <c r="B229" t="s">
        <v>341</v>
      </c>
      <c r="C229" t="s">
        <v>342</v>
      </c>
      <c r="D229" t="s">
        <v>223</v>
      </c>
      <c r="E229" s="124">
        <v>409856.6</v>
      </c>
      <c r="F229" s="124">
        <v>185563.97333333301</v>
      </c>
      <c r="G229" s="126">
        <v>73513.710000000006</v>
      </c>
      <c r="H229" s="126">
        <v>4968.8599999999997</v>
      </c>
      <c r="I229" s="77">
        <v>2184</v>
      </c>
      <c r="J229" s="124">
        <v>33644.379999999997</v>
      </c>
      <c r="K229" s="124">
        <v>288985.32</v>
      </c>
      <c r="L229" s="124">
        <v>299874.92333333299</v>
      </c>
      <c r="M229" s="124">
        <v>109981.676666667</v>
      </c>
      <c r="N229" s="76">
        <v>0.268341846066811</v>
      </c>
    </row>
    <row r="230" spans="1:14" ht="15" customHeight="1" x14ac:dyDescent="0.25">
      <c r="A230" s="78">
        <v>45992</v>
      </c>
      <c r="B230" t="s">
        <v>347</v>
      </c>
      <c r="C230" t="s">
        <v>348</v>
      </c>
      <c r="D230" t="s">
        <v>223</v>
      </c>
      <c r="E230" s="124">
        <v>510462.64</v>
      </c>
      <c r="F230" s="124">
        <v>208781.94333333301</v>
      </c>
      <c r="G230" s="126">
        <v>101284.85</v>
      </c>
      <c r="H230" s="126">
        <v>4664.2</v>
      </c>
      <c r="I230" s="77">
        <v>11054</v>
      </c>
      <c r="J230" s="124">
        <v>41810.26</v>
      </c>
      <c r="K230" s="124">
        <v>364358.48</v>
      </c>
      <c r="L230" s="124">
        <v>367595.25333333301</v>
      </c>
      <c r="M230" s="124">
        <v>142867.38666666701</v>
      </c>
      <c r="N230" s="76">
        <v>0.27987824273813</v>
      </c>
    </row>
    <row r="231" spans="1:14" ht="15" customHeight="1" x14ac:dyDescent="0.25">
      <c r="A231" s="78">
        <v>45992</v>
      </c>
      <c r="B231" t="s">
        <v>409</v>
      </c>
      <c r="C231" t="s">
        <v>410</v>
      </c>
      <c r="D231" t="s">
        <v>223</v>
      </c>
      <c r="E231" s="124">
        <v>304088.18</v>
      </c>
      <c r="F231" s="124">
        <v>129173.843333333</v>
      </c>
      <c r="G231" s="126">
        <v>63357.74</v>
      </c>
      <c r="H231" s="126">
        <v>3356.47</v>
      </c>
      <c r="I231" s="77">
        <v>3836</v>
      </c>
      <c r="J231" s="124">
        <v>17398.34</v>
      </c>
      <c r="K231" s="124">
        <v>224156.93</v>
      </c>
      <c r="L231" s="124">
        <v>217122.39333333299</v>
      </c>
      <c r="M231" s="124">
        <v>86965.786666666696</v>
      </c>
      <c r="N231" s="76">
        <v>0.28598871112539398</v>
      </c>
    </row>
    <row r="232" spans="1:14" ht="15" customHeight="1" x14ac:dyDescent="0.25">
      <c r="A232" s="78">
        <v>45992</v>
      </c>
      <c r="B232" t="s">
        <v>488</v>
      </c>
      <c r="C232" t="s">
        <v>489</v>
      </c>
      <c r="D232" t="s">
        <v>225</v>
      </c>
      <c r="E232" s="124">
        <v>363877.9</v>
      </c>
      <c r="F232" s="124">
        <v>182159.54333333299</v>
      </c>
      <c r="G232" s="126">
        <v>47370.6</v>
      </c>
      <c r="H232" s="126">
        <v>2238.5300000000002</v>
      </c>
      <c r="I232" s="77">
        <v>2070</v>
      </c>
      <c r="J232" s="124">
        <v>24062.9</v>
      </c>
      <c r="K232" s="124">
        <v>265483.96000000002</v>
      </c>
      <c r="L232" s="124">
        <v>257901.57333333301</v>
      </c>
      <c r="M232" s="124">
        <v>105976.326666667</v>
      </c>
      <c r="N232" s="76">
        <v>0.291241448482215</v>
      </c>
    </row>
    <row r="233" spans="1:14" ht="15" customHeight="1" x14ac:dyDescent="0.25">
      <c r="A233" s="78">
        <v>45992</v>
      </c>
      <c r="B233" t="s">
        <v>406</v>
      </c>
      <c r="C233" t="s">
        <v>407</v>
      </c>
      <c r="D233" t="s">
        <v>225</v>
      </c>
      <c r="E233" s="124">
        <v>377068.21</v>
      </c>
      <c r="F233" s="124">
        <v>169247.36666666699</v>
      </c>
      <c r="G233" s="126">
        <v>48193.57</v>
      </c>
      <c r="H233" s="126">
        <v>4706.96</v>
      </c>
      <c r="I233" s="77">
        <v>7573</v>
      </c>
      <c r="J233" s="124">
        <v>28703.33</v>
      </c>
      <c r="K233" s="124">
        <v>266524.46000000002</v>
      </c>
      <c r="L233" s="124">
        <v>258424.226666667</v>
      </c>
      <c r="M233" s="124">
        <v>118643.983333333</v>
      </c>
      <c r="N233" s="76">
        <v>0.31464859722152999</v>
      </c>
    </row>
    <row r="234" spans="1:14" ht="15" customHeight="1" x14ac:dyDescent="0.25">
      <c r="A234" s="78">
        <v>45992</v>
      </c>
      <c r="B234" t="s">
        <v>358</v>
      </c>
      <c r="C234" t="s">
        <v>359</v>
      </c>
      <c r="D234" t="s">
        <v>225</v>
      </c>
      <c r="E234" s="124">
        <v>650243.61</v>
      </c>
      <c r="F234" s="124">
        <v>173498.346666667</v>
      </c>
      <c r="G234" s="126">
        <v>195894.16</v>
      </c>
      <c r="H234" s="126">
        <v>4468.7</v>
      </c>
      <c r="I234" s="77">
        <v>7625</v>
      </c>
      <c r="J234" s="124">
        <v>55012.85</v>
      </c>
      <c r="K234" s="124">
        <v>419094.47</v>
      </c>
      <c r="L234" s="124">
        <v>436499.05666666699</v>
      </c>
      <c r="M234" s="124">
        <v>213744.55333333299</v>
      </c>
      <c r="N234" s="76">
        <v>0.32871457719259001</v>
      </c>
    </row>
    <row r="235" spans="1:14" ht="15" customHeight="1" x14ac:dyDescent="0.25">
      <c r="A235" s="78">
        <v>45992</v>
      </c>
      <c r="B235" t="s">
        <v>383</v>
      </c>
      <c r="C235" t="s">
        <v>384</v>
      </c>
      <c r="D235" t="s">
        <v>225</v>
      </c>
      <c r="E235" s="124">
        <v>479140.44</v>
      </c>
      <c r="F235" s="124">
        <v>180517.68</v>
      </c>
      <c r="G235" s="126">
        <v>113788.21</v>
      </c>
      <c r="H235" s="126">
        <v>3233.94</v>
      </c>
      <c r="I235" s="77">
        <v>7510</v>
      </c>
      <c r="J235" s="124">
        <v>31008.98</v>
      </c>
      <c r="K235" s="124">
        <v>333338.7</v>
      </c>
      <c r="L235" s="124">
        <v>336058.81</v>
      </c>
      <c r="M235" s="124">
        <v>143081.63</v>
      </c>
      <c r="N235" s="76">
        <v>0.29862148559199098</v>
      </c>
    </row>
    <row r="236" spans="1:14" ht="15" customHeight="1" x14ac:dyDescent="0.25">
      <c r="A236" s="78">
        <v>45992</v>
      </c>
      <c r="B236" t="s">
        <v>373</v>
      </c>
      <c r="C236" t="s">
        <v>374</v>
      </c>
      <c r="D236" t="s">
        <v>225</v>
      </c>
      <c r="E236" s="124">
        <v>320626.61</v>
      </c>
      <c r="F236" s="124">
        <v>141109.75</v>
      </c>
      <c r="G236" s="126">
        <v>41498.11</v>
      </c>
      <c r="H236" s="126">
        <v>3877.01</v>
      </c>
      <c r="I236" s="77">
        <v>5410</v>
      </c>
      <c r="J236" s="124">
        <v>26448.240000000002</v>
      </c>
      <c r="K236" s="124">
        <v>214305.76</v>
      </c>
      <c r="L236" s="124">
        <v>218343.11</v>
      </c>
      <c r="M236" s="124">
        <v>102283.5</v>
      </c>
      <c r="N236" s="76">
        <v>0.31901126360036097</v>
      </c>
    </row>
    <row r="237" spans="1:14" ht="15" customHeight="1" x14ac:dyDescent="0.25">
      <c r="A237" s="78">
        <v>45992</v>
      </c>
      <c r="B237" t="s">
        <v>354</v>
      </c>
      <c r="C237" t="s">
        <v>355</v>
      </c>
      <c r="D237" t="s">
        <v>227</v>
      </c>
      <c r="E237" s="124">
        <v>278781.36</v>
      </c>
      <c r="F237" s="124">
        <v>145261.53</v>
      </c>
      <c r="G237" s="126">
        <v>15569.31</v>
      </c>
      <c r="H237" s="126">
        <v>3806.95</v>
      </c>
      <c r="I237" s="77">
        <v>7766</v>
      </c>
      <c r="J237" s="124">
        <v>15683.89</v>
      </c>
      <c r="K237" s="124">
        <v>189820.73</v>
      </c>
      <c r="L237" s="124">
        <v>188087.67999999999</v>
      </c>
      <c r="M237" s="124">
        <v>90693.68</v>
      </c>
      <c r="N237" s="76">
        <v>0.32532189383106502</v>
      </c>
    </row>
    <row r="238" spans="1:14" ht="15" customHeight="1" x14ac:dyDescent="0.25">
      <c r="A238" s="78">
        <v>45992</v>
      </c>
      <c r="B238" t="s">
        <v>370</v>
      </c>
      <c r="C238" t="s">
        <v>371</v>
      </c>
      <c r="D238" t="s">
        <v>227</v>
      </c>
      <c r="E238" s="124">
        <v>389870.99</v>
      </c>
      <c r="F238" s="124">
        <v>153837.05333333299</v>
      </c>
      <c r="G238" s="126">
        <v>87386.69</v>
      </c>
      <c r="H238" s="126">
        <v>4702.22</v>
      </c>
      <c r="I238" s="77">
        <v>5739</v>
      </c>
      <c r="J238" s="124">
        <v>28012.6</v>
      </c>
      <c r="K238" s="124">
        <v>272845.53999999998</v>
      </c>
      <c r="L238" s="124">
        <v>279677.563333333</v>
      </c>
      <c r="M238" s="124">
        <v>110193.426666667</v>
      </c>
      <c r="N238" s="76">
        <v>0.28264074397191402</v>
      </c>
    </row>
    <row r="239" spans="1:14" ht="15" customHeight="1" x14ac:dyDescent="0.25">
      <c r="A239" s="78">
        <v>45992</v>
      </c>
      <c r="B239" t="s">
        <v>398</v>
      </c>
      <c r="C239" t="s">
        <v>399</v>
      </c>
      <c r="D239" t="s">
        <v>227</v>
      </c>
      <c r="E239" s="124">
        <v>319157.36</v>
      </c>
      <c r="F239" s="124">
        <v>109024.68</v>
      </c>
      <c r="G239" s="126">
        <v>80733.539999999994</v>
      </c>
      <c r="H239" s="126">
        <v>3255.82</v>
      </c>
      <c r="I239" s="77">
        <v>11140</v>
      </c>
      <c r="J239" s="124">
        <v>19490.64</v>
      </c>
      <c r="K239" s="124">
        <v>224610.13</v>
      </c>
      <c r="L239" s="124">
        <v>223644.68</v>
      </c>
      <c r="M239" s="124">
        <v>95512.679999999906</v>
      </c>
      <c r="N239" s="76">
        <v>0.29926516499572497</v>
      </c>
    </row>
    <row r="240" spans="1:14" ht="15" customHeight="1" x14ac:dyDescent="0.25">
      <c r="A240" s="78">
        <v>45992</v>
      </c>
      <c r="B240" t="s">
        <v>378</v>
      </c>
      <c r="C240" t="s">
        <v>379</v>
      </c>
      <c r="D240" t="s">
        <v>227</v>
      </c>
      <c r="E240" s="124">
        <v>411712.42</v>
      </c>
      <c r="F240" s="124">
        <v>138868.656666667</v>
      </c>
      <c r="G240" s="126">
        <v>118854.2</v>
      </c>
      <c r="H240" s="126">
        <v>4628.17</v>
      </c>
      <c r="I240" s="77">
        <v>2921</v>
      </c>
      <c r="J240" s="124">
        <v>31606.53</v>
      </c>
      <c r="K240" s="124">
        <v>298412.87</v>
      </c>
      <c r="L240" s="124">
        <v>296878.55666666699</v>
      </c>
      <c r="M240" s="124">
        <v>114833.86333333301</v>
      </c>
      <c r="N240" s="76">
        <v>0.27891765648783001</v>
      </c>
    </row>
    <row r="241" spans="1:14" ht="15" customHeight="1" x14ac:dyDescent="0.25">
      <c r="A241" s="78">
        <v>45992</v>
      </c>
      <c r="B241" t="s">
        <v>393</v>
      </c>
      <c r="C241" t="s">
        <v>394</v>
      </c>
      <c r="D241" t="s">
        <v>227</v>
      </c>
      <c r="E241" s="124">
        <v>308061.88</v>
      </c>
      <c r="F241" s="124">
        <v>102978.726666667</v>
      </c>
      <c r="G241" s="126">
        <v>86456.91</v>
      </c>
      <c r="H241" s="126">
        <v>3087.47</v>
      </c>
      <c r="I241" s="77">
        <v>5026</v>
      </c>
      <c r="J241" s="124">
        <v>20533.07</v>
      </c>
      <c r="K241" s="124">
        <v>217368.84</v>
      </c>
      <c r="L241" s="124">
        <v>218082.17666666699</v>
      </c>
      <c r="M241" s="124">
        <v>89979.703333333295</v>
      </c>
      <c r="N241" s="76">
        <v>0.29208321176684798</v>
      </c>
    </row>
  </sheetData>
  <pageMargins left="0.7" right="0.7" top="0.75" bottom="0.75" header="0.511811023622047" footer="0.511811023622047"/>
  <pageSetup paperSize="9" orientation="portrait" horizontalDpi="300" verticalDpi="300"/>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21"/>
  <sheetViews>
    <sheetView zoomScaleNormal="100" workbookViewId="0">
      <pane ySplit="1" topLeftCell="A2" activePane="bottomLeft" state="frozen"/>
      <selection pane="bottomLeft"/>
    </sheetView>
  </sheetViews>
  <sheetFormatPr defaultColWidth="8.7109375" defaultRowHeight="15" x14ac:dyDescent="0.25"/>
  <cols>
    <col min="1" max="4" width="10.7109375" customWidth="1"/>
  </cols>
  <sheetData>
    <row r="1" spans="1:4" ht="15" customHeight="1" x14ac:dyDescent="0.25">
      <c r="A1" t="s">
        <v>191</v>
      </c>
      <c r="B1" t="s">
        <v>320</v>
      </c>
      <c r="C1" t="s">
        <v>75</v>
      </c>
      <c r="D1" t="s">
        <v>330</v>
      </c>
    </row>
    <row r="2" spans="1:4" ht="15" customHeight="1" x14ac:dyDescent="0.25">
      <c r="A2" t="s">
        <v>390</v>
      </c>
      <c r="B2" t="s">
        <v>391</v>
      </c>
      <c r="C2" t="s">
        <v>221</v>
      </c>
      <c r="D2" t="s">
        <v>2377</v>
      </c>
    </row>
    <row r="3" spans="1:4" ht="15" customHeight="1" x14ac:dyDescent="0.25">
      <c r="A3" t="s">
        <v>401</v>
      </c>
      <c r="B3" t="s">
        <v>402</v>
      </c>
      <c r="C3" t="s">
        <v>221</v>
      </c>
      <c r="D3" t="s">
        <v>2378</v>
      </c>
    </row>
    <row r="4" spans="1:4" ht="15" customHeight="1" x14ac:dyDescent="0.25">
      <c r="A4" t="s">
        <v>431</v>
      </c>
      <c r="B4" t="s">
        <v>432</v>
      </c>
      <c r="C4" t="s">
        <v>221</v>
      </c>
      <c r="D4" t="s">
        <v>2379</v>
      </c>
    </row>
    <row r="5" spans="1:4" ht="15" customHeight="1" x14ac:dyDescent="0.25">
      <c r="A5" t="s">
        <v>366</v>
      </c>
      <c r="B5" t="s">
        <v>367</v>
      </c>
      <c r="C5" t="s">
        <v>221</v>
      </c>
      <c r="D5" t="s">
        <v>2380</v>
      </c>
    </row>
    <row r="6" spans="1:4" ht="15" customHeight="1" x14ac:dyDescent="0.25">
      <c r="A6" t="s">
        <v>362</v>
      </c>
      <c r="B6" t="s">
        <v>363</v>
      </c>
      <c r="C6" t="s">
        <v>221</v>
      </c>
      <c r="D6" t="s">
        <v>2381</v>
      </c>
    </row>
    <row r="7" spans="1:4" ht="15" customHeight="1" x14ac:dyDescent="0.25">
      <c r="A7" t="s">
        <v>335</v>
      </c>
      <c r="B7" t="s">
        <v>336</v>
      </c>
      <c r="C7" t="s">
        <v>223</v>
      </c>
      <c r="D7" t="s">
        <v>2382</v>
      </c>
    </row>
    <row r="8" spans="1:4" ht="15" customHeight="1" x14ac:dyDescent="0.25">
      <c r="A8" t="s">
        <v>386</v>
      </c>
      <c r="B8" t="s">
        <v>387</v>
      </c>
      <c r="C8" t="s">
        <v>223</v>
      </c>
      <c r="D8" t="s">
        <v>2383</v>
      </c>
    </row>
    <row r="9" spans="1:4" ht="15" customHeight="1" x14ac:dyDescent="0.25">
      <c r="A9" t="s">
        <v>341</v>
      </c>
      <c r="B9" t="s">
        <v>342</v>
      </c>
      <c r="C9" t="s">
        <v>223</v>
      </c>
      <c r="D9" t="s">
        <v>2384</v>
      </c>
    </row>
    <row r="10" spans="1:4" ht="15" customHeight="1" x14ac:dyDescent="0.25">
      <c r="A10" t="s">
        <v>347</v>
      </c>
      <c r="B10" t="s">
        <v>348</v>
      </c>
      <c r="C10" t="s">
        <v>223</v>
      </c>
      <c r="D10" t="s">
        <v>2385</v>
      </c>
    </row>
    <row r="11" spans="1:4" ht="15" customHeight="1" x14ac:dyDescent="0.25">
      <c r="A11" t="s">
        <v>409</v>
      </c>
      <c r="B11" t="s">
        <v>410</v>
      </c>
      <c r="C11" t="s">
        <v>223</v>
      </c>
      <c r="D11" t="s">
        <v>2386</v>
      </c>
    </row>
    <row r="12" spans="1:4" ht="15" customHeight="1" x14ac:dyDescent="0.25">
      <c r="A12" t="s">
        <v>488</v>
      </c>
      <c r="B12" t="s">
        <v>489</v>
      </c>
      <c r="C12" t="s">
        <v>225</v>
      </c>
      <c r="D12" t="s">
        <v>2387</v>
      </c>
    </row>
    <row r="13" spans="1:4" ht="15" customHeight="1" x14ac:dyDescent="0.25">
      <c r="A13" t="s">
        <v>406</v>
      </c>
      <c r="B13" t="s">
        <v>407</v>
      </c>
      <c r="C13" t="s">
        <v>225</v>
      </c>
      <c r="D13" t="s">
        <v>2388</v>
      </c>
    </row>
    <row r="14" spans="1:4" ht="15" customHeight="1" x14ac:dyDescent="0.25">
      <c r="A14" t="s">
        <v>358</v>
      </c>
      <c r="B14" t="s">
        <v>359</v>
      </c>
      <c r="C14" t="s">
        <v>225</v>
      </c>
      <c r="D14" t="s">
        <v>2389</v>
      </c>
    </row>
    <row r="15" spans="1:4" ht="15" customHeight="1" x14ac:dyDescent="0.25">
      <c r="A15" t="s">
        <v>383</v>
      </c>
      <c r="B15" t="s">
        <v>384</v>
      </c>
      <c r="C15" t="s">
        <v>225</v>
      </c>
      <c r="D15" t="s">
        <v>2390</v>
      </c>
    </row>
    <row r="16" spans="1:4" ht="15" customHeight="1" x14ac:dyDescent="0.25">
      <c r="A16" t="s">
        <v>373</v>
      </c>
      <c r="B16" t="s">
        <v>374</v>
      </c>
      <c r="C16" t="s">
        <v>225</v>
      </c>
      <c r="D16" t="s">
        <v>2391</v>
      </c>
    </row>
    <row r="17" spans="1:4" ht="15" customHeight="1" x14ac:dyDescent="0.25">
      <c r="A17" t="s">
        <v>354</v>
      </c>
      <c r="B17" t="s">
        <v>355</v>
      </c>
      <c r="C17" t="s">
        <v>227</v>
      </c>
      <c r="D17" t="s">
        <v>2392</v>
      </c>
    </row>
    <row r="18" spans="1:4" ht="15" customHeight="1" x14ac:dyDescent="0.25">
      <c r="A18" t="s">
        <v>370</v>
      </c>
      <c r="B18" t="s">
        <v>371</v>
      </c>
      <c r="C18" t="s">
        <v>227</v>
      </c>
      <c r="D18" t="s">
        <v>2393</v>
      </c>
    </row>
    <row r="19" spans="1:4" ht="15" customHeight="1" x14ac:dyDescent="0.25">
      <c r="A19" t="s">
        <v>398</v>
      </c>
      <c r="B19" t="s">
        <v>399</v>
      </c>
      <c r="C19" t="s">
        <v>227</v>
      </c>
      <c r="D19" t="s">
        <v>2394</v>
      </c>
    </row>
    <row r="20" spans="1:4" ht="15" customHeight="1" x14ac:dyDescent="0.25">
      <c r="A20" t="s">
        <v>378</v>
      </c>
      <c r="B20" t="s">
        <v>379</v>
      </c>
      <c r="C20" t="s">
        <v>227</v>
      </c>
      <c r="D20" t="s">
        <v>2395</v>
      </c>
    </row>
    <row r="21" spans="1:4" ht="15" customHeight="1" x14ac:dyDescent="0.25">
      <c r="A21" t="s">
        <v>393</v>
      </c>
      <c r="B21" t="s">
        <v>394</v>
      </c>
      <c r="C21" t="s">
        <v>227</v>
      </c>
      <c r="D21" t="s">
        <v>2396</v>
      </c>
    </row>
  </sheetData>
  <pageMargins left="0.7" right="0.7" top="0.75" bottom="0.75" header="0.511811023622047" footer="0.511811023622047"/>
  <pageSetup paperSize="9" orientation="portrait" horizontalDpi="300" verticalDpi="300"/>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9"/>
  <sheetViews>
    <sheetView zoomScaleNormal="100" workbookViewId="0">
      <pane ySplit="1" topLeftCell="A2" activePane="bottomLeft" state="frozen"/>
      <selection pane="bottomLeft"/>
    </sheetView>
  </sheetViews>
  <sheetFormatPr defaultColWidth="8.7109375" defaultRowHeight="15" x14ac:dyDescent="0.25"/>
  <cols>
    <col min="1" max="1" width="10.7109375" customWidth="1"/>
    <col min="2" max="2" width="18.7109375" customWidth="1"/>
    <col min="3" max="3" width="10.7109375" customWidth="1"/>
  </cols>
  <sheetData>
    <row r="1" spans="1:3" ht="15" customHeight="1" x14ac:dyDescent="0.25">
      <c r="A1" t="s">
        <v>77</v>
      </c>
      <c r="B1" t="s">
        <v>2397</v>
      </c>
      <c r="C1" t="s">
        <v>168</v>
      </c>
    </row>
    <row r="2" spans="1:3" ht="15" customHeight="1" x14ac:dyDescent="0.25">
      <c r="A2" t="s">
        <v>177</v>
      </c>
      <c r="B2" s="76">
        <v>0.06</v>
      </c>
      <c r="C2" t="s">
        <v>129</v>
      </c>
    </row>
    <row r="3" spans="1:3" ht="15" customHeight="1" x14ac:dyDescent="0.25">
      <c r="A3" t="s">
        <v>178</v>
      </c>
      <c r="B3" s="76">
        <v>0.04</v>
      </c>
      <c r="C3" t="s">
        <v>129</v>
      </c>
    </row>
    <row r="4" spans="1:3" ht="15" customHeight="1" x14ac:dyDescent="0.25">
      <c r="A4" t="s">
        <v>179</v>
      </c>
      <c r="B4" s="76">
        <v>0.05</v>
      </c>
      <c r="C4" t="s">
        <v>179</v>
      </c>
    </row>
    <row r="5" spans="1:3" ht="15" customHeight="1" x14ac:dyDescent="0.25">
      <c r="A5" t="s">
        <v>180</v>
      </c>
      <c r="B5" s="76">
        <v>0.03</v>
      </c>
      <c r="C5" t="s">
        <v>129</v>
      </c>
    </row>
    <row r="6" spans="1:3" ht="15" customHeight="1" x14ac:dyDescent="0.25">
      <c r="A6" t="s">
        <v>181</v>
      </c>
      <c r="B6" s="76">
        <v>0.08</v>
      </c>
      <c r="C6" t="s">
        <v>2398</v>
      </c>
    </row>
    <row r="7" spans="1:3" ht="15" customHeight="1" x14ac:dyDescent="0.25">
      <c r="A7" t="s">
        <v>182</v>
      </c>
      <c r="B7" s="76">
        <v>0.05</v>
      </c>
      <c r="C7" t="s">
        <v>133</v>
      </c>
    </row>
    <row r="8" spans="1:3" ht="15" customHeight="1" x14ac:dyDescent="0.25">
      <c r="A8" t="s">
        <v>183</v>
      </c>
      <c r="B8" s="76">
        <v>7.0000000000000007E-2</v>
      </c>
      <c r="C8" t="s">
        <v>2399</v>
      </c>
    </row>
    <row r="9" spans="1:3" ht="15" customHeight="1" x14ac:dyDescent="0.25">
      <c r="A9" t="s">
        <v>184</v>
      </c>
      <c r="B9" s="76">
        <v>0.04</v>
      </c>
      <c r="C9" t="s">
        <v>2400</v>
      </c>
    </row>
  </sheetData>
  <pageMargins left="0.7" right="0.7" top="0.75" bottom="0.75" header="0.511811023622047" footer="0.511811023622047"/>
  <pageSetup paperSize="9" orientation="portrait" horizontalDpi="300" verticalDpi="300"/>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25"/>
  <sheetViews>
    <sheetView zoomScaleNormal="100" workbookViewId="0">
      <pane ySplit="1" topLeftCell="A2" activePane="bottomLeft" state="frozen"/>
      <selection pane="bottomLeft"/>
    </sheetView>
  </sheetViews>
  <sheetFormatPr defaultColWidth="8.7109375" defaultRowHeight="15" x14ac:dyDescent="0.25"/>
  <cols>
    <col min="1" max="2" width="10.7109375" customWidth="1"/>
    <col min="3" max="3" width="12.7109375" customWidth="1"/>
    <col min="5" max="5" width="60" customWidth="1"/>
  </cols>
  <sheetData>
    <row r="1" spans="1:5" ht="15" customHeight="1" x14ac:dyDescent="0.25">
      <c r="A1" t="s">
        <v>239</v>
      </c>
      <c r="B1" t="s">
        <v>77</v>
      </c>
      <c r="C1" t="s">
        <v>240</v>
      </c>
      <c r="E1" s="28" t="s">
        <v>2401</v>
      </c>
    </row>
    <row r="2" spans="1:5" ht="75" customHeight="1" x14ac:dyDescent="0.25">
      <c r="A2" t="s">
        <v>364</v>
      </c>
      <c r="B2" t="s">
        <v>182</v>
      </c>
      <c r="C2" t="s">
        <v>346</v>
      </c>
      <c r="E2" s="127" t="s">
        <v>2402</v>
      </c>
    </row>
    <row r="3" spans="1:5" ht="15" customHeight="1" x14ac:dyDescent="0.25">
      <c r="A3" t="s">
        <v>412</v>
      </c>
      <c r="B3" t="s">
        <v>179</v>
      </c>
      <c r="C3" t="s">
        <v>346</v>
      </c>
    </row>
    <row r="4" spans="1:5" ht="15" customHeight="1" x14ac:dyDescent="0.25">
      <c r="A4" t="s">
        <v>496</v>
      </c>
      <c r="B4" t="s">
        <v>177</v>
      </c>
      <c r="C4" t="s">
        <v>346</v>
      </c>
    </row>
    <row r="5" spans="1:5" ht="15" customHeight="1" x14ac:dyDescent="0.25">
      <c r="A5" t="s">
        <v>234</v>
      </c>
      <c r="B5" t="s">
        <v>183</v>
      </c>
      <c r="C5" t="s">
        <v>346</v>
      </c>
    </row>
    <row r="6" spans="1:5" ht="15" customHeight="1" x14ac:dyDescent="0.25">
      <c r="A6" t="s">
        <v>442</v>
      </c>
      <c r="B6" t="s">
        <v>179</v>
      </c>
      <c r="C6" t="s">
        <v>340</v>
      </c>
    </row>
    <row r="7" spans="1:5" ht="15" customHeight="1" x14ac:dyDescent="0.25">
      <c r="A7" t="s">
        <v>440</v>
      </c>
      <c r="B7" t="s">
        <v>177</v>
      </c>
      <c r="C7" t="s">
        <v>346</v>
      </c>
    </row>
    <row r="8" spans="1:5" ht="15" customHeight="1" x14ac:dyDescent="0.25">
      <c r="A8" t="s">
        <v>356</v>
      </c>
      <c r="B8" t="s">
        <v>181</v>
      </c>
      <c r="C8" t="s">
        <v>340</v>
      </c>
    </row>
    <row r="9" spans="1:5" ht="15" customHeight="1" x14ac:dyDescent="0.25">
      <c r="A9" t="s">
        <v>376</v>
      </c>
      <c r="B9" t="s">
        <v>182</v>
      </c>
      <c r="C9" t="s">
        <v>340</v>
      </c>
    </row>
    <row r="10" spans="1:5" ht="15" customHeight="1" x14ac:dyDescent="0.25">
      <c r="A10" t="s">
        <v>415</v>
      </c>
      <c r="B10" t="s">
        <v>178</v>
      </c>
      <c r="C10" t="s">
        <v>340</v>
      </c>
    </row>
    <row r="11" spans="1:5" ht="15" customHeight="1" x14ac:dyDescent="0.25">
      <c r="A11" t="s">
        <v>235</v>
      </c>
      <c r="B11" t="s">
        <v>183</v>
      </c>
      <c r="C11" t="s">
        <v>346</v>
      </c>
    </row>
    <row r="12" spans="1:5" ht="15" customHeight="1" x14ac:dyDescent="0.25">
      <c r="A12" t="s">
        <v>343</v>
      </c>
      <c r="B12" t="s">
        <v>178</v>
      </c>
      <c r="C12" t="s">
        <v>346</v>
      </c>
    </row>
    <row r="13" spans="1:5" ht="15" customHeight="1" x14ac:dyDescent="0.25">
      <c r="A13" t="s">
        <v>427</v>
      </c>
      <c r="B13" t="s">
        <v>184</v>
      </c>
      <c r="C13" t="s">
        <v>346</v>
      </c>
    </row>
    <row r="14" spans="1:5" ht="15" customHeight="1" x14ac:dyDescent="0.25">
      <c r="A14" t="s">
        <v>349</v>
      </c>
      <c r="B14" t="s">
        <v>177</v>
      </c>
      <c r="C14" t="s">
        <v>340</v>
      </c>
    </row>
    <row r="15" spans="1:5" ht="15" customHeight="1" x14ac:dyDescent="0.25">
      <c r="A15" t="s">
        <v>403</v>
      </c>
      <c r="B15" t="s">
        <v>181</v>
      </c>
      <c r="C15" t="s">
        <v>346</v>
      </c>
    </row>
    <row r="16" spans="1:5" ht="15" customHeight="1" x14ac:dyDescent="0.25">
      <c r="A16" t="s">
        <v>368</v>
      </c>
      <c r="B16" t="s">
        <v>178</v>
      </c>
      <c r="C16" t="s">
        <v>346</v>
      </c>
    </row>
    <row r="17" spans="1:3" ht="15" customHeight="1" x14ac:dyDescent="0.25">
      <c r="A17" t="s">
        <v>236</v>
      </c>
      <c r="B17" t="s">
        <v>183</v>
      </c>
      <c r="C17" t="s">
        <v>346</v>
      </c>
    </row>
    <row r="18" spans="1:3" ht="15" customHeight="1" x14ac:dyDescent="0.25">
      <c r="A18" t="s">
        <v>396</v>
      </c>
      <c r="B18" t="s">
        <v>184</v>
      </c>
      <c r="C18" t="s">
        <v>346</v>
      </c>
    </row>
    <row r="19" spans="1:3" ht="15" customHeight="1" x14ac:dyDescent="0.25">
      <c r="A19" t="s">
        <v>352</v>
      </c>
      <c r="B19" t="s">
        <v>180</v>
      </c>
      <c r="C19" t="s">
        <v>346</v>
      </c>
    </row>
    <row r="20" spans="1:3" ht="15" customHeight="1" x14ac:dyDescent="0.25">
      <c r="A20" t="s">
        <v>417</v>
      </c>
      <c r="B20" t="s">
        <v>184</v>
      </c>
      <c r="C20" t="s">
        <v>346</v>
      </c>
    </row>
    <row r="21" spans="1:3" ht="15" customHeight="1" x14ac:dyDescent="0.25">
      <c r="A21" t="s">
        <v>420</v>
      </c>
      <c r="B21" t="s">
        <v>182</v>
      </c>
      <c r="C21" t="s">
        <v>346</v>
      </c>
    </row>
    <row r="22" spans="1:3" ht="15" customHeight="1" x14ac:dyDescent="0.25">
      <c r="A22" t="s">
        <v>381</v>
      </c>
      <c r="B22" t="s">
        <v>179</v>
      </c>
      <c r="C22" t="s">
        <v>346</v>
      </c>
    </row>
    <row r="23" spans="1:3" ht="15" customHeight="1" x14ac:dyDescent="0.25">
      <c r="A23" t="s">
        <v>437</v>
      </c>
      <c r="B23" t="s">
        <v>181</v>
      </c>
      <c r="C23" t="s">
        <v>346</v>
      </c>
    </row>
    <row r="24" spans="1:3" ht="15" customHeight="1" x14ac:dyDescent="0.25">
      <c r="A24" t="s">
        <v>423</v>
      </c>
      <c r="B24" t="s">
        <v>180</v>
      </c>
      <c r="C24" t="s">
        <v>346</v>
      </c>
    </row>
    <row r="25" spans="1:3" ht="15" customHeight="1" x14ac:dyDescent="0.25">
      <c r="A25" t="s">
        <v>360</v>
      </c>
      <c r="B25" t="s">
        <v>180</v>
      </c>
      <c r="C25" t="s">
        <v>346</v>
      </c>
    </row>
  </sheetData>
  <pageMargins left="0.7" right="0.7" top="0.75" bottom="0.75" header="0.511811023622047" footer="0.511811023622047"/>
  <pageSetup paperSize="9" orientation="portrait" horizontalDpi="300" verticalDpi="300"/>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808080"/>
  </sheetPr>
  <dimension ref="A1:AU54"/>
  <sheetViews>
    <sheetView showGridLines="0" zoomScaleNormal="100" workbookViewId="0"/>
  </sheetViews>
  <sheetFormatPr defaultColWidth="8.7109375" defaultRowHeight="15" x14ac:dyDescent="0.25"/>
  <cols>
    <col min="1" max="1" width="12" customWidth="1"/>
    <col min="2" max="2" width="18" customWidth="1"/>
    <col min="3" max="3" width="11" customWidth="1"/>
    <col min="4" max="4" width="10" customWidth="1"/>
    <col min="5" max="5" width="13" customWidth="1"/>
    <col min="7" max="7" width="24" customWidth="1"/>
    <col min="8" max="8" width="16" customWidth="1"/>
    <col min="10" max="10" width="7" customWidth="1"/>
    <col min="11" max="11" width="9" customWidth="1"/>
    <col min="12" max="16" width="13" customWidth="1"/>
    <col min="18" max="18" width="18" customWidth="1"/>
    <col min="19" max="21" width="13" customWidth="1"/>
    <col min="23" max="23" width="18" customWidth="1"/>
    <col min="24" max="24" width="13" customWidth="1"/>
    <col min="28" max="28" width="18" customWidth="1"/>
    <col min="29" max="29" width="13" customWidth="1"/>
    <col min="32" max="33" width="13" customWidth="1"/>
    <col min="35" max="38" width="13" customWidth="1"/>
    <col min="40" max="40" width="12" customWidth="1"/>
    <col min="41" max="44" width="13" customWidth="1"/>
    <col min="45" max="45" width="18" customWidth="1"/>
    <col min="46" max="47" width="13" customWidth="1"/>
  </cols>
  <sheetData>
    <row r="1" spans="1:47" ht="21" x14ac:dyDescent="0.35">
      <c r="A1" s="15" t="s">
        <v>2403</v>
      </c>
    </row>
    <row r="2" spans="1:47" x14ac:dyDescent="0.25">
      <c r="A2" s="16" t="s">
        <v>2404</v>
      </c>
    </row>
    <row r="3" spans="1:47" x14ac:dyDescent="0.25">
      <c r="G3" s="18" t="s">
        <v>2405</v>
      </c>
      <c r="H3" s="18" t="s">
        <v>145</v>
      </c>
    </row>
    <row r="4" spans="1:47" ht="30" x14ac:dyDescent="0.25">
      <c r="A4" s="18" t="s">
        <v>2406</v>
      </c>
      <c r="B4" s="18" t="s">
        <v>2407</v>
      </c>
      <c r="C4" s="18" t="s">
        <v>2408</v>
      </c>
      <c r="D4" s="18" t="s">
        <v>2409</v>
      </c>
      <c r="E4" s="18" t="s">
        <v>2410</v>
      </c>
      <c r="G4" s="20" t="s">
        <v>2411</v>
      </c>
      <c r="H4" s="20" t="str">
        <f>selRegion</f>
        <v>All</v>
      </c>
      <c r="J4" s="18" t="s">
        <v>78</v>
      </c>
      <c r="K4" s="18" t="s">
        <v>280</v>
      </c>
      <c r="L4" s="18" t="s">
        <v>83</v>
      </c>
      <c r="M4" s="18" t="s">
        <v>2412</v>
      </c>
      <c r="N4" s="18" t="s">
        <v>85</v>
      </c>
      <c r="O4" s="18" t="s">
        <v>131</v>
      </c>
      <c r="P4" s="18" t="s">
        <v>2413</v>
      </c>
      <c r="R4" s="18" t="s">
        <v>77</v>
      </c>
      <c r="S4" s="18" t="s">
        <v>2414</v>
      </c>
      <c r="T4" s="18" t="s">
        <v>109</v>
      </c>
      <c r="U4" s="18" t="s">
        <v>148</v>
      </c>
      <c r="W4" s="18" t="s">
        <v>239</v>
      </c>
      <c r="X4" s="18" t="s">
        <v>2415</v>
      </c>
      <c r="Y4" s="18" t="s">
        <v>2416</v>
      </c>
      <c r="AA4" s="18" t="s">
        <v>245</v>
      </c>
      <c r="AB4" s="18" t="s">
        <v>2417</v>
      </c>
      <c r="AC4" s="18" t="s">
        <v>241</v>
      </c>
      <c r="AE4" s="18" t="s">
        <v>75</v>
      </c>
      <c r="AF4" s="18" t="s">
        <v>140</v>
      </c>
      <c r="AG4" s="18" t="s">
        <v>84</v>
      </c>
      <c r="AI4" s="18" t="s">
        <v>2418</v>
      </c>
      <c r="AJ4" s="18" t="s">
        <v>85</v>
      </c>
      <c r="AK4" s="18" t="s">
        <v>109</v>
      </c>
      <c r="AL4" s="18" t="s">
        <v>2414</v>
      </c>
      <c r="AN4" s="18" t="s">
        <v>2419</v>
      </c>
      <c r="AO4" s="18" t="s">
        <v>80</v>
      </c>
      <c r="AP4" s="18" t="s">
        <v>146</v>
      </c>
      <c r="AQ4" s="18" t="s">
        <v>147</v>
      </c>
      <c r="AR4" s="18" t="s">
        <v>148</v>
      </c>
      <c r="AS4" s="18" t="s">
        <v>77</v>
      </c>
      <c r="AT4" s="18" t="s">
        <v>2420</v>
      </c>
      <c r="AU4" s="18" t="s">
        <v>173</v>
      </c>
    </row>
    <row r="5" spans="1:47" x14ac:dyDescent="0.25">
      <c r="A5" s="24" t="s">
        <v>76</v>
      </c>
      <c r="B5" s="24" t="s">
        <v>76</v>
      </c>
      <c r="C5" s="24" t="s">
        <v>76</v>
      </c>
      <c r="E5" s="24" t="s">
        <v>106</v>
      </c>
      <c r="G5" s="20" t="s">
        <v>2421</v>
      </c>
      <c r="H5" s="20" t="str">
        <f>IF($H$4="All","*",$H$4)</f>
        <v>*</v>
      </c>
      <c r="J5" s="24" t="s">
        <v>2422</v>
      </c>
      <c r="K5" s="128">
        <v>45658</v>
      </c>
      <c r="L5" s="129">
        <f>SUMIFS(Finance_Raw!$E:$E,Finance_Raw!$D:$D,critRegion,Finance_Raw!$A:$A,$K5)</f>
        <v>6859245.2300000004</v>
      </c>
      <c r="M5" s="129">
        <f>SUMIFS(Finance_Raw!$L:$L,Finance_Raw!$D:$D,critRegion,Finance_Raw!$A:$A,$K5)</f>
        <v>4833404.3066666666</v>
      </c>
      <c r="N5" s="129">
        <f t="shared" ref="N5:N16" si="0">L5-M5</f>
        <v>2025840.9233333338</v>
      </c>
      <c r="O5" s="129">
        <f>SUMIFS(Agency_Raw!$I:$I,Agency_Raw!$D:$D,critRegion,Agency_Raw!$A:$A,$K5)</f>
        <v>107437</v>
      </c>
      <c r="P5" s="129">
        <f>SUMIFS(Workforce_Raw!$I:$I,Workforce_Raw!$D:$D,critRegion,Workforce_Raw!$A:$A,$K5)</f>
        <v>86782.569999999978</v>
      </c>
      <c r="R5" s="24" t="s">
        <v>177</v>
      </c>
      <c r="S5" s="129">
        <f t="shared" ref="S5:S12" si="1">IF(R5=$H$6,0,U5)</f>
        <v>1097153.0099999998</v>
      </c>
      <c r="T5" s="129">
        <f t="shared" ref="T5:T12" si="2">IF(R5=$H$6,U5,0)</f>
        <v>0</v>
      </c>
      <c r="U5" s="129">
        <f>SUMIFS(Cleaned_Procurement!$O$2:$O$1801,Cleaned_Procurement!$F$2:$F$1801,R5,Cleaned_Procurement!$D$2:$D$1801,critRegion,Cleaned_Procurement!$A$2:$A$1801,"&gt;="&amp;dStart,Cleaned_Procurement!$A$2:$A$1801,"&lt;="&amp;dEnd)</f>
        <v>1097153.0099999998</v>
      </c>
      <c r="W5" s="24" t="str">
        <f>Supplier_Lookup!A2</f>
        <v>AutoCare</v>
      </c>
      <c r="X5" s="129">
        <f>SUMIFS(Cleaned_Procurement!$O$2:$O$1801,Cleaned_Procurement!$E$2:$E$1801,W5,Cleaned_Procurement!$D$2:$D$1801,critRegion,Cleaned_Procurement!$F$2:$F$1801,critCategory,Cleaned_Procurement!$A$2:$A$1801,"&gt;="&amp;dStart,Cleaned_Procurement!$A$2:$A$1801,"&lt;="&amp;dEnd)</f>
        <v>284264.57</v>
      </c>
      <c r="Y5" s="130">
        <f t="shared" ref="Y5:Y28" si="3">X5+ROW()/1000000</f>
        <v>284264.57000499999</v>
      </c>
      <c r="AA5" s="24">
        <v>1</v>
      </c>
      <c r="AB5" s="24" t="str">
        <f t="shared" ref="AB5:AB14" si="4">IF(AC5&lt;=0,"",INDEX($W$5:$W$28,MATCH(LARGE($Y$5:$Y$28,AA5),$Y$5:$Y$28,0)))</f>
        <v>NurseLink</v>
      </c>
      <c r="AC5" s="129">
        <f t="shared" ref="AC5:AC14" si="5">INDEX($X$5:$X$28,MATCH(LARGE($Y$5:$Y$28,AA5),$Y$5:$Y$28,0))</f>
        <v>1161388.3999999999</v>
      </c>
      <c r="AE5" s="24" t="s">
        <v>221</v>
      </c>
      <c r="AF5" s="129">
        <f>SUMIFS(Finance_Raw!$K:$K,Finance_Raw!$D:$D,AE5,Finance_Raw!$A:$A,"&gt;="&amp;dStart,Finance_Raw!$A:$A,"&lt;="&amp;dEnd)</f>
        <v>15121341.529999999</v>
      </c>
      <c r="AG5" s="129">
        <f>SUMIFS(Finance_Raw!$L:$L,Finance_Raw!$D:$D,AE5,Finance_Raw!$A:$A,"&gt;="&amp;dStart,Finance_Raw!$A:$A,"&lt;="&amp;dEnd)</f>
        <v>15147825.726666667</v>
      </c>
      <c r="AI5" s="24" t="s">
        <v>106</v>
      </c>
      <c r="AJ5" s="129">
        <f>Financial_Model!B36</f>
        <v>25617117.128449969</v>
      </c>
      <c r="AK5" s="129">
        <f>IF(AI5=$H$11,AJ5,0)</f>
        <v>0</v>
      </c>
      <c r="AL5" s="129">
        <f>IF(AI5=$H$11,0,AJ5)</f>
        <v>25617117.128449969</v>
      </c>
      <c r="AN5" s="24" t="s">
        <v>2423</v>
      </c>
      <c r="AO5" s="129">
        <f>Financial_Model!C42</f>
        <v>0</v>
      </c>
      <c r="AP5" s="129">
        <f>Financial_Model!D42</f>
        <v>0</v>
      </c>
      <c r="AQ5" s="129">
        <f>Financial_Model!E42</f>
        <v>0</v>
      </c>
      <c r="AR5" s="129">
        <f>Financial_Model!F42</f>
        <v>26123552.506666631</v>
      </c>
      <c r="AS5" s="24" t="str">
        <f>Savings_Tracker!A7</f>
        <v>Medical Supplies</v>
      </c>
      <c r="AT5" s="129">
        <f>Savings_Tracker!E7</f>
        <v>65829.180599999978</v>
      </c>
      <c r="AU5" s="129">
        <f>Savings_Tracker!G7</f>
        <v>69150</v>
      </c>
    </row>
    <row r="6" spans="1:47" x14ac:dyDescent="0.25">
      <c r="A6" s="24" t="s">
        <v>221</v>
      </c>
      <c r="B6" s="24" t="s">
        <v>177</v>
      </c>
      <c r="C6" s="24" t="s">
        <v>2424</v>
      </c>
      <c r="D6" s="128">
        <v>45658</v>
      </c>
      <c r="E6" s="24" t="s">
        <v>80</v>
      </c>
      <c r="G6" s="20" t="s">
        <v>2425</v>
      </c>
      <c r="H6" s="20" t="str">
        <f>selCategory</f>
        <v>All</v>
      </c>
      <c r="J6" s="24" t="s">
        <v>2426</v>
      </c>
      <c r="K6" s="128">
        <v>45689</v>
      </c>
      <c r="L6" s="129">
        <f>SUMIFS(Finance_Raw!$E:$E,Finance_Raw!$D:$D,critRegion,Finance_Raw!$A:$A,$K6)</f>
        <v>7476589.7599999988</v>
      </c>
      <c r="M6" s="129">
        <f>SUMIFS(Finance_Raw!$L:$L,Finance_Raw!$D:$D,critRegion,Finance_Raw!$A:$A,$K6)</f>
        <v>5235379.786666669</v>
      </c>
      <c r="N6" s="129">
        <f t="shared" si="0"/>
        <v>2241209.9733333299</v>
      </c>
      <c r="O6" s="129">
        <f>SUMIFS(Agency_Raw!$I:$I,Agency_Raw!$D:$D,critRegion,Agency_Raw!$A:$A,$K6)</f>
        <v>121421</v>
      </c>
      <c r="P6" s="129">
        <f>SUMIFS(Workforce_Raw!$I:$I,Workforce_Raw!$D:$D,critRegion,Workforce_Raw!$A:$A,$K6)</f>
        <v>96726.689999999973</v>
      </c>
      <c r="R6" s="24" t="s">
        <v>178</v>
      </c>
      <c r="S6" s="129">
        <f t="shared" si="1"/>
        <v>837713.63000000024</v>
      </c>
      <c r="T6" s="129">
        <f t="shared" si="2"/>
        <v>0</v>
      </c>
      <c r="U6" s="129">
        <f>SUMIFS(Cleaned_Procurement!$O$2:$O$1801,Cleaned_Procurement!$F$2:$F$1801,R6,Cleaned_Procurement!$D$2:$D$1801,critRegion,Cleaned_Procurement!$A$2:$A$1801,"&gt;="&amp;dStart,Cleaned_Procurement!$A$2:$A$1801,"&lt;="&amp;dEnd)</f>
        <v>837713.63000000024</v>
      </c>
      <c r="W6" s="24" t="str">
        <f>Supplier_Lookup!A3</f>
        <v>BuildCare</v>
      </c>
      <c r="X6" s="129">
        <f>SUMIFS(Cleaned_Procurement!$O$2:$O$1801,Cleaned_Procurement!$E$2:$E$1801,W6,Cleaned_Procurement!$D$2:$D$1801,critRegion,Cleaned_Procurement!$F$2:$F$1801,critCategory,Cleaned_Procurement!$A$2:$A$1801,"&gt;="&amp;dStart,Cleaned_Procurement!$A$2:$A$1801,"&lt;="&amp;dEnd)</f>
        <v>647209.95000000019</v>
      </c>
      <c r="Y6" s="130">
        <f t="shared" si="3"/>
        <v>647209.95000600023</v>
      </c>
      <c r="AA6" s="24">
        <v>2</v>
      </c>
      <c r="AB6" s="24" t="str">
        <f t="shared" si="4"/>
        <v>HealthStaffing</v>
      </c>
      <c r="AC6" s="129">
        <f t="shared" si="5"/>
        <v>1072844.7</v>
      </c>
      <c r="AE6" s="24" t="s">
        <v>223</v>
      </c>
      <c r="AF6" s="129">
        <f>SUMIFS(Finance_Raw!$K:$K,Finance_Raw!$D:$D,AE6,Finance_Raw!$A:$A,"&gt;="&amp;dStart,Finance_Raw!$A:$A,"&lt;="&amp;dEnd)</f>
        <v>15390372.579999994</v>
      </c>
      <c r="AG6" s="129">
        <f>SUMIFS(Finance_Raw!$L:$L,Finance_Raw!$D:$D,AE6,Finance_Raw!$A:$A,"&gt;="&amp;dStart,Finance_Raw!$A:$A,"&lt;="&amp;dEnd)</f>
        <v>15403841.806666667</v>
      </c>
      <c r="AI6" s="24" t="s">
        <v>80</v>
      </c>
      <c r="AJ6" s="129">
        <f>Financial_Model!C36</f>
        <v>28098167.387883306</v>
      </c>
      <c r="AK6" s="129">
        <f>IF(AI6=$H$11,AJ6,0)</f>
        <v>28098167.387883306</v>
      </c>
      <c r="AL6" s="129">
        <f>IF(AI6=$H$11,0,AJ6)</f>
        <v>0</v>
      </c>
      <c r="AN6" s="24" t="s">
        <v>83</v>
      </c>
      <c r="AO6" s="129">
        <f>Financial_Model!C43</f>
        <v>26123552.506666631</v>
      </c>
      <c r="AP6" s="129">
        <f>Financial_Model!D43</f>
        <v>2594295.5174999982</v>
      </c>
      <c r="AQ6" s="129">
        <f>Financial_Model!E43</f>
        <v>0</v>
      </c>
      <c r="AR6" s="129">
        <f>Financial_Model!F43</f>
        <v>0</v>
      </c>
      <c r="AS6" s="24" t="str">
        <f>Savings_Tracker!A8</f>
        <v>Food &amp; Catering</v>
      </c>
      <c r="AT6" s="129">
        <f>Savings_Tracker!E8</f>
        <v>33508.545200000008</v>
      </c>
      <c r="AU6" s="129">
        <f>Savings_Tracker!G8</f>
        <v>30150</v>
      </c>
    </row>
    <row r="7" spans="1:47" x14ac:dyDescent="0.25">
      <c r="A7" s="24" t="s">
        <v>223</v>
      </c>
      <c r="B7" s="24" t="s">
        <v>178</v>
      </c>
      <c r="C7" s="24" t="s">
        <v>2427</v>
      </c>
      <c r="D7" s="128">
        <v>45689</v>
      </c>
      <c r="E7" s="24" t="s">
        <v>107</v>
      </c>
      <c r="G7" s="20" t="s">
        <v>2428</v>
      </c>
      <c r="H7" s="20" t="str">
        <f>IF($H$6="All","*",$H$6)</f>
        <v>*</v>
      </c>
      <c r="J7" s="24" t="s">
        <v>2429</v>
      </c>
      <c r="K7" s="128">
        <v>45717</v>
      </c>
      <c r="L7" s="129">
        <f>SUMIFS(Finance_Raw!$E:$E,Finance_Raw!$D:$D,critRegion,Finance_Raw!$A:$A,$K7)</f>
        <v>7345583.3199999994</v>
      </c>
      <c r="M7" s="129">
        <f>SUMIFS(Finance_Raw!$L:$L,Finance_Raw!$D:$D,critRegion,Finance_Raw!$A:$A,$K7)</f>
        <v>5087641.6866666656</v>
      </c>
      <c r="N7" s="129">
        <f t="shared" si="0"/>
        <v>2257941.6333333338</v>
      </c>
      <c r="O7" s="129">
        <f>SUMIFS(Agency_Raw!$I:$I,Agency_Raw!$D:$D,critRegion,Agency_Raw!$A:$A,$K7)</f>
        <v>103588</v>
      </c>
      <c r="P7" s="129">
        <f>SUMIFS(Workforce_Raw!$I:$I,Workforce_Raw!$D:$D,critRegion,Workforce_Raw!$A:$A,$K7)</f>
        <v>96705.130000000063</v>
      </c>
      <c r="R7" s="24" t="s">
        <v>179</v>
      </c>
      <c r="S7" s="129">
        <f t="shared" si="1"/>
        <v>2128780.9299999983</v>
      </c>
      <c r="T7" s="129">
        <f t="shared" si="2"/>
        <v>0</v>
      </c>
      <c r="U7" s="129">
        <f>SUMIFS(Cleaned_Procurement!$O$2:$O$1801,Cleaned_Procurement!$F$2:$F$1801,R7,Cleaned_Procurement!$D$2:$D$1801,critRegion,Cleaned_Procurement!$A$2:$A$1801,"&gt;="&amp;dStart,Cleaned_Procurement!$A$2:$A$1801,"&lt;="&amp;dEnd)</f>
        <v>2128780.9299999983</v>
      </c>
      <c r="W7" s="24" t="str">
        <f>Supplier_Lookup!A4</f>
        <v>CareMed</v>
      </c>
      <c r="X7" s="129">
        <f>SUMIFS(Cleaned_Procurement!$O$2:$O$1801,Cleaned_Procurement!$E$2:$E$1801,W7,Cleaned_Procurement!$D$2:$D$1801,critRegion,Cleaned_Procurement!$F$2:$F$1801,critCategory,Cleaned_Procurement!$A$2:$A$1801,"&gt;="&amp;dStart,Cleaned_Procurement!$A$2:$A$1801,"&lt;="&amp;dEnd)</f>
        <v>311670.18999999989</v>
      </c>
      <c r="Y7" s="130">
        <f t="shared" si="3"/>
        <v>311670.19000699988</v>
      </c>
      <c r="AA7" s="24">
        <v>3</v>
      </c>
      <c r="AB7" s="24" t="str">
        <f t="shared" si="4"/>
        <v>PowerDirect</v>
      </c>
      <c r="AC7" s="129">
        <f t="shared" si="5"/>
        <v>1048249.1200000001</v>
      </c>
      <c r="AE7" s="24" t="s">
        <v>225</v>
      </c>
      <c r="AF7" s="129">
        <f>SUMIFS(Finance_Raw!$K:$K,Finance_Raw!$D:$D,AE7,Finance_Raw!$A:$A,"&gt;="&amp;dStart,Finance_Raw!$A:$A,"&lt;="&amp;dEnd)</f>
        <v>14775058.16</v>
      </c>
      <c r="AG7" s="129">
        <f>SUMIFS(Finance_Raw!$L:$L,Finance_Raw!$D:$D,AE7,Finance_Raw!$A:$A,"&gt;="&amp;dStart,Finance_Raw!$A:$A,"&lt;="&amp;dEnd)</f>
        <v>14726019.770000005</v>
      </c>
      <c r="AI7" s="24" t="s">
        <v>107</v>
      </c>
      <c r="AJ7" s="129">
        <f>Financial_Model!D36</f>
        <v>30541180.470099963</v>
      </c>
      <c r="AK7" s="129">
        <f>IF(AI7=$H$11,AJ7,0)</f>
        <v>0</v>
      </c>
      <c r="AL7" s="129">
        <f>IF(AI7=$H$11,0,AJ7)</f>
        <v>30541180.470099963</v>
      </c>
      <c r="AN7" s="24" t="s">
        <v>129</v>
      </c>
      <c r="AO7" s="129">
        <f>Financial_Model!C44</f>
        <v>28717848.024166629</v>
      </c>
      <c r="AP7" s="129">
        <f>Financial_Model!D44</f>
        <v>556680.77360000089</v>
      </c>
      <c r="AQ7" s="129">
        <f>Financial_Model!E44</f>
        <v>0</v>
      </c>
      <c r="AR7" s="129">
        <f>Financial_Model!F44</f>
        <v>0</v>
      </c>
      <c r="AS7" s="24" t="str">
        <f>Savings_Tracker!A9</f>
        <v>Facilities</v>
      </c>
      <c r="AT7" s="129">
        <f>Savings_Tracker!E9</f>
        <v>106439.04649999992</v>
      </c>
      <c r="AU7" s="129">
        <f>Savings_Tracker!G9</f>
        <v>74550</v>
      </c>
    </row>
    <row r="8" spans="1:47" x14ac:dyDescent="0.25">
      <c r="A8" s="24" t="s">
        <v>225</v>
      </c>
      <c r="B8" s="24" t="s">
        <v>179</v>
      </c>
      <c r="C8" s="24" t="s">
        <v>2430</v>
      </c>
      <c r="D8" s="128">
        <v>45717</v>
      </c>
      <c r="E8" s="24" t="s">
        <v>108</v>
      </c>
      <c r="G8" s="20" t="s">
        <v>2431</v>
      </c>
      <c r="H8" s="20" t="str">
        <f>selMonth</f>
        <v>All</v>
      </c>
      <c r="J8" s="24" t="s">
        <v>2432</v>
      </c>
      <c r="K8" s="128">
        <v>45748</v>
      </c>
      <c r="L8" s="129">
        <f>SUMIFS(Finance_Raw!$E:$E,Finance_Raw!$D:$D,critRegion,Finance_Raw!$A:$A,$K8)</f>
        <v>7658852.209999999</v>
      </c>
      <c r="M8" s="129">
        <f>SUMIFS(Finance_Raw!$L:$L,Finance_Raw!$D:$D,critRegion,Finance_Raw!$A:$A,$K8)</f>
        <v>5279230.3566666674</v>
      </c>
      <c r="N8" s="129">
        <f t="shared" si="0"/>
        <v>2379621.8533333316</v>
      </c>
      <c r="O8" s="129">
        <f>SUMIFS(Agency_Raw!$I:$I,Agency_Raw!$D:$D,critRegion,Agency_Raw!$A:$A,$K8)</f>
        <v>132145</v>
      </c>
      <c r="P8" s="129">
        <f>SUMIFS(Workforce_Raw!$I:$I,Workforce_Raw!$D:$D,critRegion,Workforce_Raw!$A:$A,$K8)</f>
        <v>96930.420000000027</v>
      </c>
      <c r="R8" s="24" t="s">
        <v>180</v>
      </c>
      <c r="S8" s="129">
        <f t="shared" si="1"/>
        <v>2401261.600000001</v>
      </c>
      <c r="T8" s="129">
        <f t="shared" si="2"/>
        <v>0</v>
      </c>
      <c r="U8" s="129">
        <f>SUMIFS(Cleaned_Procurement!$O$2:$O$1801,Cleaned_Procurement!$F$2:$F$1801,R8,Cleaned_Procurement!$D$2:$D$1801,critRegion,Cleaned_Procurement!$A$2:$A$1801,"&gt;="&amp;dStart,Cleaned_Procurement!$A$2:$A$1801,"&lt;="&amp;dEnd)</f>
        <v>2401261.600000001</v>
      </c>
      <c r="W8" s="24" t="str">
        <f>Supplier_Lookup!A5</f>
        <v>CareTemps</v>
      </c>
      <c r="X8" s="129">
        <f>SUMIFS(Cleaned_Procurement!$O$2:$O$1801,Cleaned_Procurement!$E$2:$E$1801,W8,Cleaned_Procurement!$D$2:$D$1801,critRegion,Cleaned_Procurement!$F$2:$F$1801,critCategory,Cleaned_Procurement!$A$2:$A$1801,"&gt;="&amp;dStart,Cleaned_Procurement!$A$2:$A$1801,"&lt;="&amp;dEnd)</f>
        <v>959134.04</v>
      </c>
      <c r="Y8" s="130">
        <f t="shared" si="3"/>
        <v>959134.04000799998</v>
      </c>
      <c r="AA8" s="24">
        <v>4</v>
      </c>
      <c r="AB8" s="24" t="str">
        <f t="shared" si="4"/>
        <v>CareTemps</v>
      </c>
      <c r="AC8" s="129">
        <f t="shared" si="5"/>
        <v>959134.04</v>
      </c>
      <c r="AE8" s="24" t="s">
        <v>227</v>
      </c>
      <c r="AF8" s="129">
        <f>SUMIFS(Finance_Raw!$K:$K,Finance_Raw!$D:$D,AE8,Finance_Raw!$A:$A,"&gt;="&amp;dStart,Finance_Raw!$A:$A,"&lt;="&amp;dEnd)</f>
        <v>15115049.450000001</v>
      </c>
      <c r="AG8" s="129">
        <f>SUMIFS(Finance_Raw!$L:$L,Finance_Raw!$D:$D,AE8,Finance_Raw!$A:$A,"&gt;="&amp;dStart,Finance_Raw!$A:$A,"&lt;="&amp;dEnd)</f>
        <v>15075277.440000001</v>
      </c>
      <c r="AI8" s="24" t="s">
        <v>108</v>
      </c>
      <c r="AJ8" s="129">
        <f>Financial_Model!E36</f>
        <v>28098167.387883306</v>
      </c>
      <c r="AK8" s="129">
        <f>IF(AI8=$H$11,AJ8,0)</f>
        <v>0</v>
      </c>
      <c r="AL8" s="129">
        <f>IF(AI8=$H$11,0,AJ8)</f>
        <v>28098167.387883306</v>
      </c>
      <c r="AN8" s="24" t="s">
        <v>131</v>
      </c>
      <c r="AO8" s="129">
        <f>Financial_Model!C45</f>
        <v>29207474.497766629</v>
      </c>
      <c r="AP8" s="129">
        <f>Financial_Model!D45</f>
        <v>0</v>
      </c>
      <c r="AQ8" s="129">
        <f>Financial_Model!E45</f>
        <v>67054.300000000047</v>
      </c>
      <c r="AR8" s="129">
        <f>Financial_Model!F45</f>
        <v>0</v>
      </c>
      <c r="AS8" s="24" t="str">
        <f>Savings_Tracker!A10</f>
        <v>Utilities</v>
      </c>
      <c r="AT8" s="129">
        <f>Savings_Tracker!E10</f>
        <v>72037.848000000027</v>
      </c>
      <c r="AU8" s="129">
        <f>Savings_Tracker!G10</f>
        <v>79200</v>
      </c>
    </row>
    <row r="9" spans="1:47" x14ac:dyDescent="0.25">
      <c r="A9" s="24" t="s">
        <v>227</v>
      </c>
      <c r="B9" s="24" t="s">
        <v>180</v>
      </c>
      <c r="C9" s="24" t="s">
        <v>2433</v>
      </c>
      <c r="D9" s="128">
        <v>45748</v>
      </c>
      <c r="G9" s="20" t="s">
        <v>2434</v>
      </c>
      <c r="H9" s="117">
        <f>IF($H$8="All",DATE(2025,1,1),INDEX($D$6:$D$17,MATCH($H$8,$C$6:$C$17,0)))</f>
        <v>45658</v>
      </c>
      <c r="J9" s="24" t="s">
        <v>2435</v>
      </c>
      <c r="K9" s="128">
        <v>45778</v>
      </c>
      <c r="L9" s="129">
        <f>SUMIFS(Finance_Raw!$E:$E,Finance_Raw!$D:$D,critRegion,Finance_Raw!$A:$A,$K9)</f>
        <v>6576496.4300000006</v>
      </c>
      <c r="M9" s="129">
        <f>SUMIFS(Finance_Raw!$L:$L,Finance_Raw!$D:$D,critRegion,Finance_Raw!$A:$A,$K9)</f>
        <v>4543655.4333333336</v>
      </c>
      <c r="N9" s="129">
        <f t="shared" si="0"/>
        <v>2032840.9966666671</v>
      </c>
      <c r="O9" s="129">
        <f>SUMIFS(Agency_Raw!$I:$I,Agency_Raw!$D:$D,critRegion,Agency_Raw!$A:$A,$K9)</f>
        <v>99849</v>
      </c>
      <c r="P9" s="129">
        <f>SUMIFS(Workforce_Raw!$I:$I,Workforce_Raw!$D:$D,critRegion,Workforce_Raw!$A:$A,$K9)</f>
        <v>87244.729999999981</v>
      </c>
      <c r="R9" s="24" t="s">
        <v>181</v>
      </c>
      <c r="S9" s="129">
        <f t="shared" si="1"/>
        <v>2505155.1799999997</v>
      </c>
      <c r="T9" s="129">
        <f t="shared" si="2"/>
        <v>0</v>
      </c>
      <c r="U9" s="129">
        <f>SUMIFS(Cleaned_Procurement!$O$2:$O$1801,Cleaned_Procurement!$F$2:$F$1801,R9,Cleaned_Procurement!$D$2:$D$1801,critRegion,Cleaned_Procurement!$A$2:$A$1801,"&gt;="&amp;dStart,Cleaned_Procurement!$A$2:$A$1801,"&lt;="&amp;dEnd)</f>
        <v>2505155.1799999997</v>
      </c>
      <c r="W9" s="24" t="str">
        <f>Supplier_Lookup!A6</f>
        <v>CleanWorks</v>
      </c>
      <c r="X9" s="129">
        <f>SUMIFS(Cleaned_Procurement!$O$2:$O$1801,Cleaned_Procurement!$E$2:$E$1801,W9,Cleaned_Procurement!$D$2:$D$1801,critRegion,Cleaned_Procurement!$F$2:$F$1801,critCategory,Cleaned_Procurement!$A$2:$A$1801,"&gt;="&amp;dStart,Cleaned_Procurement!$A$2:$A$1801,"&lt;="&amp;dEnd)</f>
        <v>591363.92000000016</v>
      </c>
      <c r="Y9" s="130">
        <f t="shared" si="3"/>
        <v>591363.92000900011</v>
      </c>
      <c r="AA9" s="24">
        <v>5</v>
      </c>
      <c r="AB9" s="24" t="str">
        <f t="shared" si="4"/>
        <v>SafeGuard FM</v>
      </c>
      <c r="AC9" s="129">
        <f t="shared" si="5"/>
        <v>890207.05999999994</v>
      </c>
      <c r="AN9" s="24" t="s">
        <v>133</v>
      </c>
      <c r="AO9" s="129">
        <f>Financial_Model!C46</f>
        <v>29207474.497766629</v>
      </c>
      <c r="AP9" s="129">
        <f>Financial_Model!D46</f>
        <v>26460.22080000001</v>
      </c>
      <c r="AQ9" s="129">
        <f>Financial_Model!E46</f>
        <v>0</v>
      </c>
      <c r="AR9" s="129">
        <f>Financial_Model!F46</f>
        <v>0</v>
      </c>
      <c r="AS9" s="24" t="str">
        <f>Savings_Tracker!A11</f>
        <v>IT &amp; Telecoms</v>
      </c>
      <c r="AT9" s="129">
        <f>Savings_Tracker!E11</f>
        <v>200412.41439999998</v>
      </c>
      <c r="AU9" s="129">
        <f>Savings_Tracker!G11</f>
        <v>160350</v>
      </c>
    </row>
    <row r="10" spans="1:47" x14ac:dyDescent="0.25">
      <c r="B10" s="24" t="s">
        <v>181</v>
      </c>
      <c r="C10" s="24" t="s">
        <v>2436</v>
      </c>
      <c r="D10" s="128">
        <v>45778</v>
      </c>
      <c r="G10" s="20" t="s">
        <v>2437</v>
      </c>
      <c r="H10" s="117">
        <f>IF($H$8="All",DATE(2025,12,31),EOMONTH($H$9,0))</f>
        <v>46022</v>
      </c>
      <c r="J10" s="24" t="s">
        <v>2438</v>
      </c>
      <c r="K10" s="128">
        <v>45809</v>
      </c>
      <c r="L10" s="129">
        <f>SUMIFS(Finance_Raw!$E:$E,Finance_Raw!$D:$D,critRegion,Finance_Raw!$A:$A,$K10)</f>
        <v>7065637.8299999991</v>
      </c>
      <c r="M10" s="129">
        <f>SUMIFS(Finance_Raw!$L:$L,Finance_Raw!$D:$D,critRegion,Finance_Raw!$A:$A,$K10)</f>
        <v>4919918.3033333346</v>
      </c>
      <c r="N10" s="129">
        <f t="shared" si="0"/>
        <v>2145719.5266666645</v>
      </c>
      <c r="O10" s="129">
        <f>SUMIFS(Agency_Raw!$I:$I,Agency_Raw!$D:$D,critRegion,Agency_Raw!$A:$A,$K10)</f>
        <v>106117</v>
      </c>
      <c r="P10" s="129">
        <f>SUMIFS(Workforce_Raw!$I:$I,Workforce_Raw!$D:$D,critRegion,Workforce_Raw!$A:$A,$K10)</f>
        <v>93237.380000000019</v>
      </c>
      <c r="R10" s="24" t="s">
        <v>182</v>
      </c>
      <c r="S10" s="129">
        <f t="shared" si="1"/>
        <v>1030620.2999999997</v>
      </c>
      <c r="T10" s="129">
        <f t="shared" si="2"/>
        <v>0</v>
      </c>
      <c r="U10" s="129">
        <f>SUMIFS(Cleaned_Procurement!$O$2:$O$1801,Cleaned_Procurement!$F$2:$F$1801,R10,Cleaned_Procurement!$D$2:$D$1801,critRegion,Cleaned_Procurement!$A$2:$A$1801,"&gt;="&amp;dStart,Cleaned_Procurement!$A$2:$A$1801,"&lt;="&amp;dEnd)</f>
        <v>1030620.2999999997</v>
      </c>
      <c r="W10" s="24" t="str">
        <f>Supplier_Lookup!A7</f>
        <v>ClinEquip</v>
      </c>
      <c r="X10" s="129">
        <f>SUMIFS(Cleaned_Procurement!$O$2:$O$1801,Cleaned_Procurement!$E$2:$E$1801,W10,Cleaned_Procurement!$D$2:$D$1801,critRegion,Cleaned_Procurement!$F$2:$F$1801,critCategory,Cleaned_Procurement!$A$2:$A$1801,"&gt;="&amp;dStart,Cleaned_Procurement!$A$2:$A$1801,"&lt;="&amp;dEnd)</f>
        <v>359940.87999999995</v>
      </c>
      <c r="Y10" s="130">
        <f t="shared" si="3"/>
        <v>359940.88000999996</v>
      </c>
      <c r="AA10" s="24">
        <v>6</v>
      </c>
      <c r="AB10" s="24" t="str">
        <f t="shared" si="4"/>
        <v>CloudLink</v>
      </c>
      <c r="AC10" s="129">
        <f t="shared" si="5"/>
        <v>881477.21000000008</v>
      </c>
      <c r="AN10" s="24" t="s">
        <v>135</v>
      </c>
      <c r="AO10" s="129">
        <f>Financial_Model!C47</f>
        <v>28280843.565483298</v>
      </c>
      <c r="AP10" s="129">
        <f>Financial_Model!D47</f>
        <v>0</v>
      </c>
      <c r="AQ10" s="129">
        <f>Financial_Model!E47</f>
        <v>953091.15308333188</v>
      </c>
      <c r="AR10" s="129">
        <f>Financial_Model!F47</f>
        <v>0</v>
      </c>
      <c r="AS10" s="24" t="str">
        <f>Savings_Tracker!A12</f>
        <v>Vehicle &amp; Fuel</v>
      </c>
      <c r="AT10" s="129">
        <f>Savings_Tracker!E12</f>
        <v>51531.014999999985</v>
      </c>
      <c r="AU10" s="129">
        <f>Savings_Tracker!G12</f>
        <v>48900</v>
      </c>
    </row>
    <row r="11" spans="1:47" x14ac:dyDescent="0.25">
      <c r="B11" s="24" t="s">
        <v>182</v>
      </c>
      <c r="C11" s="24" t="s">
        <v>2439</v>
      </c>
      <c r="D11" s="128">
        <v>45809</v>
      </c>
      <c r="G11" s="20" t="s">
        <v>2418</v>
      </c>
      <c r="H11" s="20" t="str">
        <f>selScenario</f>
        <v>Base</v>
      </c>
      <c r="J11" s="24" t="s">
        <v>2440</v>
      </c>
      <c r="K11" s="128">
        <v>45839</v>
      </c>
      <c r="L11" s="129">
        <f>SUMIFS(Finance_Raw!$E:$E,Finance_Raw!$D:$D,critRegion,Finance_Raw!$A:$A,$K11)</f>
        <v>6953277</v>
      </c>
      <c r="M11" s="129">
        <f>SUMIFS(Finance_Raw!$L:$L,Finance_Raw!$D:$D,critRegion,Finance_Raw!$A:$A,$K11)</f>
        <v>4875601.0599999996</v>
      </c>
      <c r="N11" s="129">
        <f t="shared" si="0"/>
        <v>2077675.9400000004</v>
      </c>
      <c r="O11" s="129">
        <f>SUMIFS(Agency_Raw!$I:$I,Agency_Raw!$D:$D,critRegion,Agency_Raw!$A:$A,$K11)</f>
        <v>118232</v>
      </c>
      <c r="P11" s="129">
        <f>SUMIFS(Workforce_Raw!$I:$I,Workforce_Raw!$D:$D,critRegion,Workforce_Raw!$A:$A,$K11)</f>
        <v>76968.2</v>
      </c>
      <c r="R11" s="24" t="s">
        <v>183</v>
      </c>
      <c r="S11" s="129">
        <f t="shared" si="1"/>
        <v>3193367.1400000006</v>
      </c>
      <c r="T11" s="129">
        <f t="shared" si="2"/>
        <v>0</v>
      </c>
      <c r="U11" s="129">
        <f>SUMIFS(Cleaned_Procurement!$O$2:$O$1801,Cleaned_Procurement!$F$2:$F$1801,R11,Cleaned_Procurement!$D$2:$D$1801,critRegion,Cleaned_Procurement!$A$2:$A$1801,"&gt;="&amp;dStart,Cleaned_Procurement!$A$2:$A$1801,"&lt;="&amp;dEnd)</f>
        <v>3193367.1400000006</v>
      </c>
      <c r="W11" s="24" t="str">
        <f>Supplier_Lookup!A8</f>
        <v>CloudLink</v>
      </c>
      <c r="X11" s="129">
        <f>SUMIFS(Cleaned_Procurement!$O$2:$O$1801,Cleaned_Procurement!$E$2:$E$1801,W11,Cleaned_Procurement!$D$2:$D$1801,critRegion,Cleaned_Procurement!$F$2:$F$1801,critCategory,Cleaned_Procurement!$A$2:$A$1801,"&gt;="&amp;dStart,Cleaned_Procurement!$A$2:$A$1801,"&lt;="&amp;dEnd)</f>
        <v>881477.21000000008</v>
      </c>
      <c r="Y11" s="130">
        <f t="shared" si="3"/>
        <v>881477.21001100005</v>
      </c>
      <c r="AA11" s="24">
        <v>7</v>
      </c>
      <c r="AB11" s="24" t="str">
        <f t="shared" si="4"/>
        <v>NetServe</v>
      </c>
      <c r="AC11" s="129">
        <f t="shared" si="5"/>
        <v>851726.08</v>
      </c>
      <c r="AN11" s="24" t="s">
        <v>2414</v>
      </c>
      <c r="AO11" s="129">
        <f>Financial_Model!C48</f>
        <v>28098167.387883298</v>
      </c>
      <c r="AP11" s="129">
        <f>Financial_Model!D48</f>
        <v>0</v>
      </c>
      <c r="AQ11" s="129">
        <f>Financial_Model!E48</f>
        <v>182676.17760000005</v>
      </c>
      <c r="AR11" s="129">
        <f>Financial_Model!F48</f>
        <v>0</v>
      </c>
      <c r="AS11" s="24" t="str">
        <f>Savings_Tracker!A13</f>
        <v>Agency Labour</v>
      </c>
      <c r="AT11" s="129">
        <f>Savings_Tracker!E13</f>
        <v>223535.69980000006</v>
      </c>
      <c r="AU11" s="129">
        <f>Savings_Tracker!G13</f>
        <v>134100</v>
      </c>
    </row>
    <row r="12" spans="1:47" x14ac:dyDescent="0.25">
      <c r="B12" s="24" t="s">
        <v>183</v>
      </c>
      <c r="C12" s="24" t="s">
        <v>2441</v>
      </c>
      <c r="D12" s="128">
        <v>45839</v>
      </c>
      <c r="J12" s="24" t="s">
        <v>2442</v>
      </c>
      <c r="K12" s="128">
        <v>45870</v>
      </c>
      <c r="L12" s="129">
        <f>SUMIFS(Finance_Raw!$E:$E,Finance_Raw!$D:$D,critRegion,Finance_Raw!$A:$A,$K12)</f>
        <v>7044378.1900000004</v>
      </c>
      <c r="M12" s="129">
        <f>SUMIFS(Finance_Raw!$L:$L,Finance_Raw!$D:$D,critRegion,Finance_Raw!$A:$A,$K12)</f>
        <v>4979875.7133333338</v>
      </c>
      <c r="N12" s="129">
        <f t="shared" si="0"/>
        <v>2064502.4766666666</v>
      </c>
      <c r="O12" s="129">
        <f>SUMIFS(Agency_Raw!$I:$I,Agency_Raw!$D:$D,critRegion,Agency_Raw!$A:$A,$K12)</f>
        <v>99862</v>
      </c>
      <c r="P12" s="129">
        <f>SUMIFS(Workforce_Raw!$I:$I,Workforce_Raw!$D:$D,critRegion,Workforce_Raw!$A:$A,$K12)</f>
        <v>99012.000000000015</v>
      </c>
      <c r="R12" s="24" t="s">
        <v>184</v>
      </c>
      <c r="S12" s="129">
        <f t="shared" si="1"/>
        <v>728629.96</v>
      </c>
      <c r="T12" s="129">
        <f t="shared" si="2"/>
        <v>0</v>
      </c>
      <c r="U12" s="129">
        <f>SUMIFS(Cleaned_Procurement!$O$2:$O$1801,Cleaned_Procurement!$F$2:$F$1801,R12,Cleaned_Procurement!$D$2:$D$1801,critRegion,Cleaned_Procurement!$A$2:$A$1801,"&gt;="&amp;dStart,Cleaned_Procurement!$A$2:$A$1801,"&lt;="&amp;dEnd)</f>
        <v>728629.96</v>
      </c>
      <c r="W12" s="24" t="str">
        <f>Supplier_Lookup!A9</f>
        <v>FleetFuel</v>
      </c>
      <c r="X12" s="129">
        <f>SUMIFS(Cleaned_Procurement!$O$2:$O$1801,Cleaned_Procurement!$E$2:$E$1801,W12,Cleaned_Procurement!$D$2:$D$1801,critRegion,Cleaned_Procurement!$F$2:$F$1801,critCategory,Cleaned_Procurement!$A$2:$A$1801,"&gt;="&amp;dStart,Cleaned_Procurement!$A$2:$A$1801,"&lt;="&amp;dEnd)</f>
        <v>314243.92000000016</v>
      </c>
      <c r="Y12" s="130">
        <f t="shared" si="3"/>
        <v>314243.92001200013</v>
      </c>
      <c r="AA12" s="24">
        <v>8</v>
      </c>
      <c r="AB12" s="24" t="str">
        <f t="shared" si="4"/>
        <v>UK Energy Partners</v>
      </c>
      <c r="AC12" s="129">
        <f t="shared" si="5"/>
        <v>833961.10000000009</v>
      </c>
      <c r="AN12" s="24" t="s">
        <v>2443</v>
      </c>
      <c r="AO12" s="129">
        <f>Financial_Model!C49</f>
        <v>0</v>
      </c>
      <c r="AP12" s="129">
        <f>Financial_Model!D49</f>
        <v>0</v>
      </c>
      <c r="AQ12" s="129">
        <f>Financial_Model!E49</f>
        <v>0</v>
      </c>
      <c r="AR12" s="129">
        <f>Financial_Model!F49</f>
        <v>28098167.387883306</v>
      </c>
      <c r="AS12" s="24" t="str">
        <f>Savings_Tracker!A14</f>
        <v>Office &amp; Training</v>
      </c>
      <c r="AT12" s="129">
        <f>Savings_Tracker!E14</f>
        <v>29145.198399999997</v>
      </c>
      <c r="AU12" s="129">
        <f>Savings_Tracker!G14</f>
        <v>34950</v>
      </c>
    </row>
    <row r="13" spans="1:47" x14ac:dyDescent="0.25">
      <c r="B13" s="24" t="s">
        <v>184</v>
      </c>
      <c r="C13" s="24" t="s">
        <v>2444</v>
      </c>
      <c r="D13" s="128">
        <v>45870</v>
      </c>
      <c r="G13" s="20" t="s">
        <v>83</v>
      </c>
      <c r="H13" s="33">
        <f>SUMIFS(Finance_Raw!$E:$E,Finance_Raw!$D:$D,critRegion,Finance_Raw!$A:$A,"&gt;="&amp;dStart,Finance_Raw!$A:$A,"&lt;="&amp;dEnd)</f>
        <v>86476517.24999997</v>
      </c>
      <c r="J13" s="24" t="s">
        <v>2445</v>
      </c>
      <c r="K13" s="128">
        <v>45901</v>
      </c>
      <c r="L13" s="129">
        <f>SUMIFS(Finance_Raw!$E:$E,Finance_Raw!$D:$D,critRegion,Finance_Raw!$A:$A,$K13)</f>
        <v>6899634.6500000013</v>
      </c>
      <c r="M13" s="129">
        <f>SUMIFS(Finance_Raw!$L:$L,Finance_Raw!$D:$D,critRegion,Finance_Raw!$A:$A,$K13)</f>
        <v>4818773.5466666678</v>
      </c>
      <c r="N13" s="129">
        <f t="shared" si="0"/>
        <v>2080861.1033333335</v>
      </c>
      <c r="O13" s="129">
        <f>SUMIFS(Agency_Raw!$I:$I,Agency_Raw!$D:$D,critRegion,Agency_Raw!$A:$A,$K13)</f>
        <v>120617</v>
      </c>
      <c r="P13" s="129">
        <f>SUMIFS(Workforce_Raw!$I:$I,Workforce_Raw!$D:$D,critRegion,Workforce_Raw!$A:$A,$K13)</f>
        <v>87250.029999999955</v>
      </c>
      <c r="W13" s="24" t="str">
        <f>Supplier_Lookup!A10</f>
        <v>FreshServe</v>
      </c>
      <c r="X13" s="129">
        <f>SUMIFS(Cleaned_Procurement!$O$2:$O$1801,Cleaned_Procurement!$E$2:$E$1801,W13,Cleaned_Procurement!$D$2:$D$1801,critRegion,Cleaned_Procurement!$F$2:$F$1801,critCategory,Cleaned_Procurement!$A$2:$A$1801,"&gt;="&amp;dStart,Cleaned_Procurement!$A$2:$A$1801,"&lt;="&amp;dEnd)</f>
        <v>238615.67000000007</v>
      </c>
      <c r="Y13" s="130">
        <f t="shared" si="3"/>
        <v>238615.67001300008</v>
      </c>
      <c r="AA13" s="24">
        <v>9</v>
      </c>
      <c r="AB13" s="24" t="str">
        <f t="shared" si="4"/>
        <v>TeleCare IT</v>
      </c>
      <c r="AC13" s="129">
        <f t="shared" si="5"/>
        <v>774305.94</v>
      </c>
    </row>
    <row r="14" spans="1:47" x14ac:dyDescent="0.25">
      <c r="C14" s="24" t="s">
        <v>2446</v>
      </c>
      <c r="D14" s="128">
        <v>45901</v>
      </c>
      <c r="G14" s="20" t="s">
        <v>84</v>
      </c>
      <c r="H14" s="33">
        <f>SUMIFS(Finance_Raw!$L:$L,Finance_Raw!$D:$D,critRegion,Finance_Raw!$A:$A,"&gt;="&amp;dStart,Finance_Raw!$A:$A,"&lt;="&amp;dEnd)</f>
        <v>60352964.74333331</v>
      </c>
      <c r="J14" s="24" t="s">
        <v>2447</v>
      </c>
      <c r="K14" s="128">
        <v>45931</v>
      </c>
      <c r="L14" s="129">
        <f>SUMIFS(Finance_Raw!$E:$E,Finance_Raw!$D:$D,critRegion,Finance_Raw!$A:$A,$K14)</f>
        <v>8051254.2699999996</v>
      </c>
      <c r="M14" s="129">
        <f>SUMIFS(Finance_Raw!$L:$L,Finance_Raw!$D:$D,critRegion,Finance_Raw!$A:$A,$K14)</f>
        <v>5558744.2566666678</v>
      </c>
      <c r="N14" s="129">
        <f t="shared" si="0"/>
        <v>2492510.0133333318</v>
      </c>
      <c r="O14" s="129">
        <f>SUMIFS(Agency_Raw!$I:$I,Agency_Raw!$D:$D,critRegion,Agency_Raw!$A:$A,$K14)</f>
        <v>103394</v>
      </c>
      <c r="P14" s="129">
        <f>SUMIFS(Workforce_Raw!$I:$I,Workforce_Raw!$D:$D,critRegion,Workforce_Raw!$A:$A,$K14)</f>
        <v>108904.98000000001</v>
      </c>
      <c r="W14" s="24" t="str">
        <f>Supplier_Lookup!A11</f>
        <v>HealthStaffing</v>
      </c>
      <c r="X14" s="129">
        <f>SUMIFS(Cleaned_Procurement!$O$2:$O$1801,Cleaned_Procurement!$E$2:$E$1801,W14,Cleaned_Procurement!$D$2:$D$1801,critRegion,Cleaned_Procurement!$F$2:$F$1801,critCategory,Cleaned_Procurement!$A$2:$A$1801,"&gt;="&amp;dStart,Cleaned_Procurement!$A$2:$A$1801,"&lt;="&amp;dEnd)</f>
        <v>1072844.7</v>
      </c>
      <c r="Y14" s="130">
        <f t="shared" si="3"/>
        <v>1072844.7000140001</v>
      </c>
      <c r="AA14" s="24">
        <v>10</v>
      </c>
      <c r="AB14" s="24" t="str">
        <f t="shared" si="4"/>
        <v>BuildCare</v>
      </c>
      <c r="AC14" s="129">
        <f t="shared" si="5"/>
        <v>647209.95000000019</v>
      </c>
    </row>
    <row r="15" spans="1:47" x14ac:dyDescent="0.25">
      <c r="C15" s="24" t="s">
        <v>2448</v>
      </c>
      <c r="D15" s="128">
        <v>45931</v>
      </c>
      <c r="G15" s="20" t="s">
        <v>140</v>
      </c>
      <c r="H15" s="33">
        <f>SUMIFS(Finance_Raw!$K:$K,Finance_Raw!$D:$D,critRegion,Finance_Raw!$A:$A,"&gt;="&amp;dStart,Finance_Raw!$A:$A,"&lt;="&amp;dEnd)</f>
        <v>60401821.719999991</v>
      </c>
      <c r="J15" s="24" t="s">
        <v>2449</v>
      </c>
      <c r="K15" s="128">
        <v>45962</v>
      </c>
      <c r="L15" s="129">
        <f>SUMIFS(Finance_Raw!$E:$E,Finance_Raw!$D:$D,critRegion,Finance_Raw!$A:$A,$K15)</f>
        <v>6479152.0099999998</v>
      </c>
      <c r="M15" s="129">
        <f>SUMIFS(Finance_Raw!$L:$L,Finance_Raw!$D:$D,critRegion,Finance_Raw!$A:$A,$K15)</f>
        <v>4606613.6766666677</v>
      </c>
      <c r="N15" s="129">
        <f t="shared" si="0"/>
        <v>1872538.3333333321</v>
      </c>
      <c r="O15" s="129">
        <f>SUMIFS(Agency_Raw!$I:$I,Agency_Raw!$D:$D,critRegion,Agency_Raw!$A:$A,$K15)</f>
        <v>109315</v>
      </c>
      <c r="P15" s="129">
        <f>SUMIFS(Workforce_Raw!$I:$I,Workforce_Raw!$D:$D,critRegion,Workforce_Raw!$A:$A,$K15)</f>
        <v>91455.040000000023</v>
      </c>
      <c r="W15" s="24" t="str">
        <f>Supplier_Lookup!A12</f>
        <v>KitchenPro</v>
      </c>
      <c r="X15" s="129">
        <f>SUMIFS(Cleaned_Procurement!$O$2:$O$1801,Cleaned_Procurement!$E$2:$E$1801,W15,Cleaned_Procurement!$D$2:$D$1801,critRegion,Cleaned_Procurement!$F$2:$F$1801,critCategory,Cleaned_Procurement!$A$2:$A$1801,"&gt;="&amp;dStart,Cleaned_Procurement!$A$2:$A$1801,"&lt;="&amp;dEnd)</f>
        <v>279264.56000000011</v>
      </c>
      <c r="Y15" s="130">
        <f t="shared" si="3"/>
        <v>279264.56001500011</v>
      </c>
    </row>
    <row r="16" spans="1:47" x14ac:dyDescent="0.25">
      <c r="C16" s="24" t="s">
        <v>2450</v>
      </c>
      <c r="D16" s="128">
        <v>45962</v>
      </c>
      <c r="G16" s="20" t="s">
        <v>85</v>
      </c>
      <c r="H16" s="33">
        <f>H13-H14</f>
        <v>26123552.50666666</v>
      </c>
      <c r="J16" s="24" t="s">
        <v>2451</v>
      </c>
      <c r="K16" s="128">
        <v>45992</v>
      </c>
      <c r="L16" s="129">
        <f>SUMIFS(Finance_Raw!$E:$E,Finance_Raw!$D:$D,critRegion,Finance_Raw!$A:$A,$K16)</f>
        <v>8066416.3500000024</v>
      </c>
      <c r="M16" s="129">
        <f>SUMIFS(Finance_Raw!$L:$L,Finance_Raw!$D:$D,critRegion,Finance_Raw!$A:$A,$K16)</f>
        <v>5614126.6166666644</v>
      </c>
      <c r="N16" s="129">
        <f t="shared" si="0"/>
        <v>2452289.7333333381</v>
      </c>
      <c r="O16" s="129">
        <f>SUMIFS(Agency_Raw!$I:$I,Agency_Raw!$D:$D,critRegion,Agency_Raw!$A:$A,$K16)</f>
        <v>119109</v>
      </c>
      <c r="P16" s="129">
        <f>SUMIFS(Workforce_Raw!$I:$I,Workforce_Raw!$D:$D,critRegion,Workforce_Raw!$A:$A,$K16)</f>
        <v>95670.620000000054</v>
      </c>
      <c r="W16" s="24" t="str">
        <f>Supplier_Lookup!A13</f>
        <v>LearnWell</v>
      </c>
      <c r="X16" s="129">
        <f>SUMIFS(Cleaned_Procurement!$O$2:$O$1801,Cleaned_Procurement!$E$2:$E$1801,W16,Cleaned_Procurement!$D$2:$D$1801,critRegion,Cleaned_Procurement!$F$2:$F$1801,critCategory,Cleaned_Procurement!$A$2:$A$1801,"&gt;="&amp;dStart,Cleaned_Procurement!$A$2:$A$1801,"&lt;="&amp;dEnd)</f>
        <v>236027.70999999993</v>
      </c>
      <c r="Y16" s="130">
        <f t="shared" si="3"/>
        <v>236027.71001599994</v>
      </c>
    </row>
    <row r="17" spans="3:25" x14ac:dyDescent="0.25">
      <c r="C17" s="24" t="s">
        <v>2452</v>
      </c>
      <c r="D17" s="128">
        <v>45992</v>
      </c>
      <c r="G17" s="20" t="s">
        <v>86</v>
      </c>
      <c r="H17" s="36">
        <f>IFERROR(H16/H13,0)</f>
        <v>0.30208839737549292</v>
      </c>
      <c r="W17" s="24" t="str">
        <f>Supplier_Lookup!A14</f>
        <v>MediSure</v>
      </c>
      <c r="X17" s="129">
        <f>SUMIFS(Cleaned_Procurement!$O$2:$O$1801,Cleaned_Procurement!$E$2:$E$1801,W17,Cleaned_Procurement!$D$2:$D$1801,critRegion,Cleaned_Procurement!$F$2:$F$1801,critCategory,Cleaned_Procurement!$A$2:$A$1801,"&gt;="&amp;dStart,Cleaned_Procurement!$A$2:$A$1801,"&lt;="&amp;dEnd)</f>
        <v>423187.89</v>
      </c>
      <c r="Y17" s="130">
        <f t="shared" si="3"/>
        <v>423187.89001700003</v>
      </c>
    </row>
    <row r="18" spans="3:25" x14ac:dyDescent="0.25">
      <c r="G18" s="20" t="s">
        <v>2453</v>
      </c>
      <c r="H18" s="33">
        <f>H15-H14</f>
        <v>48856.976666681468</v>
      </c>
      <c r="W18" s="24" t="str">
        <f>Supplier_Lookup!A15</f>
        <v>NetServe</v>
      </c>
      <c r="X18" s="129">
        <f>SUMIFS(Cleaned_Procurement!$O$2:$O$1801,Cleaned_Procurement!$E$2:$E$1801,W18,Cleaned_Procurement!$D$2:$D$1801,critRegion,Cleaned_Procurement!$F$2:$F$1801,critCategory,Cleaned_Procurement!$A$2:$A$1801,"&gt;="&amp;dStart,Cleaned_Procurement!$A$2:$A$1801,"&lt;="&amp;dEnd)</f>
        <v>851726.08</v>
      </c>
      <c r="Y18" s="130">
        <f t="shared" si="3"/>
        <v>851726.08001799998</v>
      </c>
    </row>
    <row r="19" spans="3:25" x14ac:dyDescent="0.25">
      <c r="G19" s="20" t="s">
        <v>2454</v>
      </c>
      <c r="H19" s="36">
        <f>IFERROR(H18/H15,0)</f>
        <v>8.0886594601672674E-4</v>
      </c>
      <c r="W19" s="24" t="str">
        <f>Supplier_Lookup!A16</f>
        <v>NourishCo</v>
      </c>
      <c r="X19" s="129">
        <f>SUMIFS(Cleaned_Procurement!$O$2:$O$1801,Cleaned_Procurement!$E$2:$E$1801,W19,Cleaned_Procurement!$D$2:$D$1801,critRegion,Cleaned_Procurement!$F$2:$F$1801,critCategory,Cleaned_Procurement!$A$2:$A$1801,"&gt;="&amp;dStart,Cleaned_Procurement!$A$2:$A$1801,"&lt;="&amp;dEnd)</f>
        <v>319833.39999999991</v>
      </c>
      <c r="Y19" s="130">
        <f t="shared" si="3"/>
        <v>319833.40001899994</v>
      </c>
    </row>
    <row r="20" spans="3:25" x14ac:dyDescent="0.25">
      <c r="G20" s="20" t="s">
        <v>135</v>
      </c>
      <c r="H20" s="33">
        <f>SUMIFS(Finance_Raw!$F:$F,Finance_Raw!$D:$D,critRegion,Finance_Raw!$A:$A,"&gt;="&amp;dStart,Finance_Raw!$A:$A,"&lt;="&amp;dEnd)</f>
        <v>38123646.123333342</v>
      </c>
      <c r="W20" s="24" t="str">
        <f>Supplier_Lookup!A17</f>
        <v>NurseLink</v>
      </c>
      <c r="X20" s="129">
        <f>SUMIFS(Cleaned_Procurement!$O$2:$O$1801,Cleaned_Procurement!$E$2:$E$1801,W20,Cleaned_Procurement!$D$2:$D$1801,critRegion,Cleaned_Procurement!$F$2:$F$1801,critCategory,Cleaned_Procurement!$A$2:$A$1801,"&gt;="&amp;dStart,Cleaned_Procurement!$A$2:$A$1801,"&lt;="&amp;dEnd)</f>
        <v>1161388.3999999999</v>
      </c>
      <c r="Y20" s="130">
        <f t="shared" si="3"/>
        <v>1161388.4000199998</v>
      </c>
    </row>
    <row r="21" spans="3:25" x14ac:dyDescent="0.25">
      <c r="G21" s="20" t="s">
        <v>2455</v>
      </c>
      <c r="H21" s="33">
        <f>SUMIFS(Finance_Raw!$I:$I,Finance_Raw!$D:$D,critRegion,Finance_Raw!$A:$A,"&gt;="&amp;dStart,Finance_Raw!$A:$A,"&lt;="&amp;dEnd)</f>
        <v>1341086</v>
      </c>
      <c r="W21" s="24" t="str">
        <f>Supplier_Lookup!A18</f>
        <v>OfficePlus</v>
      </c>
      <c r="X21" s="129">
        <f>SUMIFS(Cleaned_Procurement!$O$2:$O$1801,Cleaned_Procurement!$E$2:$E$1801,W21,Cleaned_Procurement!$D$2:$D$1801,critRegion,Cleaned_Procurement!$F$2:$F$1801,critCategory,Cleaned_Procurement!$A$2:$A$1801,"&gt;="&amp;dStart,Cleaned_Procurement!$A$2:$A$1801,"&lt;="&amp;dEnd)</f>
        <v>294325.77999999997</v>
      </c>
      <c r="Y21" s="130">
        <f t="shared" si="3"/>
        <v>294325.78002099996</v>
      </c>
    </row>
    <row r="22" spans="3:25" x14ac:dyDescent="0.25">
      <c r="G22" s="20" t="s">
        <v>2456</v>
      </c>
      <c r="H22" s="33">
        <f>SUMIFS(Finance_Raw!$E:$E,Finance_Raw!$A:$A,"&gt;="&amp;dStart,Finance_Raw!$A:$A,"&lt;="&amp;dEnd)</f>
        <v>86476517.24999997</v>
      </c>
      <c r="W22" s="24" t="str">
        <f>Supplier_Lookup!A19</f>
        <v>PowerDirect</v>
      </c>
      <c r="X22" s="129">
        <f>SUMIFS(Cleaned_Procurement!$O$2:$O$1801,Cleaned_Procurement!$E$2:$E$1801,W22,Cleaned_Procurement!$D$2:$D$1801,critRegion,Cleaned_Procurement!$F$2:$F$1801,critCategory,Cleaned_Procurement!$A$2:$A$1801,"&gt;="&amp;dStart,Cleaned_Procurement!$A$2:$A$1801,"&lt;="&amp;dEnd)</f>
        <v>1048249.1200000001</v>
      </c>
      <c r="Y22" s="130">
        <f t="shared" si="3"/>
        <v>1048249.1200220002</v>
      </c>
    </row>
    <row r="23" spans="3:25" x14ac:dyDescent="0.25">
      <c r="G23" s="20" t="s">
        <v>89</v>
      </c>
      <c r="H23" s="33">
        <f>SUMIFS(Cleaned_Procurement!$O$2:$O$1801,Cleaned_Procurement!$D$2:$D$1801,critRegion,Cleaned_Procurement!$F$2:$F$1801,critCategory,Cleaned_Procurement!$A$2:$A$1801,"&gt;="&amp;dStart,Cleaned_Procurement!$A$2:$A$1801,"&lt;="&amp;dEnd)</f>
        <v>13922681.749999974</v>
      </c>
      <c r="W23" s="24" t="str">
        <f>Supplier_Lookup!A20</f>
        <v>PrintCo</v>
      </c>
      <c r="X23" s="129">
        <f>SUMIFS(Cleaned_Procurement!$O$2:$O$1801,Cleaned_Procurement!$E$2:$E$1801,W23,Cleaned_Procurement!$D$2:$D$1801,critRegion,Cleaned_Procurement!$F$2:$F$1801,critCategory,Cleaned_Procurement!$A$2:$A$1801,"&gt;="&amp;dStart,Cleaned_Procurement!$A$2:$A$1801,"&lt;="&amp;dEnd)</f>
        <v>197576.57999999993</v>
      </c>
      <c r="Y23" s="130">
        <f t="shared" si="3"/>
        <v>197576.58002299993</v>
      </c>
    </row>
    <row r="24" spans="3:25" x14ac:dyDescent="0.25">
      <c r="G24" s="20" t="s">
        <v>90</v>
      </c>
      <c r="H24" s="33">
        <f>SUMIFS(Cleaned_Procurement!$R$2:$R$1801,Cleaned_Procurement!$D$2:$D$1801,critRegion,Cleaned_Procurement!$F$2:$F$1801,critCategory,Cleaned_Procurement!$A$2:$A$1801,"&gt;="&amp;dStart,Cleaned_Procurement!$A$2:$A$1801,"&lt;="&amp;dEnd)</f>
        <v>782438.94789999793</v>
      </c>
      <c r="W24" s="24" t="str">
        <f>Supplier_Lookup!A21</f>
        <v>RoadReady</v>
      </c>
      <c r="X24" s="129">
        <f>SUMIFS(Cleaned_Procurement!$O$2:$O$1801,Cleaned_Procurement!$E$2:$E$1801,W24,Cleaned_Procurement!$D$2:$D$1801,critRegion,Cleaned_Procurement!$F$2:$F$1801,critCategory,Cleaned_Procurement!$A$2:$A$1801,"&gt;="&amp;dStart,Cleaned_Procurement!$A$2:$A$1801,"&lt;="&amp;dEnd)</f>
        <v>432111.80999999994</v>
      </c>
      <c r="Y24" s="130">
        <f t="shared" si="3"/>
        <v>432111.81002399995</v>
      </c>
    </row>
    <row r="25" spans="3:25" x14ac:dyDescent="0.25">
      <c r="G25" s="20" t="s">
        <v>2457</v>
      </c>
      <c r="H25" s="33">
        <f>SUMIFS(Cleaned_Procurement!$O$2:$O$1801,Cleaned_Procurement!$D$2:$D$1801,critRegion,Cleaned_Procurement!$F$2:$F$1801,critCategory,Cleaned_Procurement!$A$2:$A$1801,"&gt;="&amp;dStart,Cleaned_Procurement!$A$2:$A$1801,"&lt;="&amp;dEnd,Cleaned_Procurement!$M$2:$M$1801,"N")</f>
        <v>11473793.139999989</v>
      </c>
      <c r="W25" s="24" t="str">
        <f>Supplier_Lookup!A22</f>
        <v>SafeGuard FM</v>
      </c>
      <c r="X25" s="129">
        <f>SUMIFS(Cleaned_Procurement!$O$2:$O$1801,Cleaned_Procurement!$E$2:$E$1801,W25,Cleaned_Procurement!$D$2:$D$1801,critRegion,Cleaned_Procurement!$F$2:$F$1801,critCategory,Cleaned_Procurement!$A$2:$A$1801,"&gt;="&amp;dStart,Cleaned_Procurement!$A$2:$A$1801,"&lt;="&amp;dEnd)</f>
        <v>890207.05999999994</v>
      </c>
      <c r="Y25" s="130">
        <f t="shared" si="3"/>
        <v>890207.0600249999</v>
      </c>
    </row>
    <row r="26" spans="3:25" x14ac:dyDescent="0.25">
      <c r="G26" s="20" t="s">
        <v>2458</v>
      </c>
      <c r="H26" s="36">
        <f>IFERROR(H25/H23,0)</f>
        <v>0.82410798049018186</v>
      </c>
      <c r="W26" s="24" t="str">
        <f>Supplier_Lookup!A23</f>
        <v>TeleCare IT</v>
      </c>
      <c r="X26" s="129">
        <f>SUMIFS(Cleaned_Procurement!$O$2:$O$1801,Cleaned_Procurement!$E$2:$E$1801,W26,Cleaned_Procurement!$D$2:$D$1801,critRegion,Cleaned_Procurement!$F$2:$F$1801,critCategory,Cleaned_Procurement!$A$2:$A$1801,"&gt;="&amp;dStart,Cleaned_Procurement!$A$2:$A$1801,"&lt;="&amp;dEnd)</f>
        <v>774305.94</v>
      </c>
      <c r="Y26" s="130">
        <f t="shared" si="3"/>
        <v>774305.94002599991</v>
      </c>
    </row>
    <row r="27" spans="3:25" x14ac:dyDescent="0.25">
      <c r="G27" s="20" t="s">
        <v>242</v>
      </c>
      <c r="H27" s="59">
        <f>COUNTIFS(Cleaned_Procurement!$D$2:$D$1801,critRegion,Cleaned_Procurement!$F$2:$F$1801,critCategory,Cleaned_Procurement!$A$2:$A$1801,"&gt;="&amp;dStart,Cleaned_Procurement!$A$2:$A$1801,"&lt;="&amp;dEnd)</f>
        <v>1800</v>
      </c>
      <c r="W27" s="24" t="str">
        <f>Supplier_Lookup!A24</f>
        <v>UK Energy Partners</v>
      </c>
      <c r="X27" s="129">
        <f>SUMIFS(Cleaned_Procurement!$O$2:$O$1801,Cleaned_Procurement!$E$2:$E$1801,W27,Cleaned_Procurement!$D$2:$D$1801,critRegion,Cleaned_Procurement!$F$2:$F$1801,critCategory,Cleaned_Procurement!$A$2:$A$1801,"&gt;="&amp;dStart,Cleaned_Procurement!$A$2:$A$1801,"&lt;="&amp;dEnd)</f>
        <v>833961.10000000009</v>
      </c>
      <c r="Y27" s="130">
        <f t="shared" si="3"/>
        <v>833961.10002700007</v>
      </c>
    </row>
    <row r="28" spans="3:25" x14ac:dyDescent="0.25">
      <c r="G28" s="20" t="s">
        <v>2459</v>
      </c>
      <c r="H28" s="59">
        <f>COUNTIFS(Cleaned_Procurement!$D$2:$D$1801,critRegion,Cleaned_Procurement!$F$2:$F$1801,critCategory,Cleaned_Procurement!$A$2:$A$1801,"&gt;="&amp;dStart,Cleaned_Procurement!$A$2:$A$1801,"&lt;="&amp;dEnd,Cleaned_Procurement!$N$2:$N$1801,"&lt;&gt;OK")</f>
        <v>6</v>
      </c>
      <c r="W28" s="24" t="str">
        <f>Supplier_Lookup!A25</f>
        <v>WaterGrid</v>
      </c>
      <c r="X28" s="129">
        <f>SUMIFS(Cleaned_Procurement!$O$2:$O$1801,Cleaned_Procurement!$E$2:$E$1801,W28,Cleaned_Procurement!$D$2:$D$1801,critRegion,Cleaned_Procurement!$F$2:$F$1801,critCategory,Cleaned_Procurement!$A$2:$A$1801,"&gt;="&amp;dStart,Cleaned_Procurement!$A$2:$A$1801,"&lt;="&amp;dEnd)</f>
        <v>519051.37999999983</v>
      </c>
      <c r="Y28" s="130">
        <f t="shared" si="3"/>
        <v>519051.38002799981</v>
      </c>
    </row>
    <row r="29" spans="3:25" x14ac:dyDescent="0.25">
      <c r="G29" s="20" t="s">
        <v>92</v>
      </c>
      <c r="H29" s="33">
        <f>IFERROR(H23/H27,0)</f>
        <v>7734.8231944444296</v>
      </c>
    </row>
    <row r="31" spans="3:25" x14ac:dyDescent="0.25">
      <c r="G31" s="20" t="s">
        <v>2460</v>
      </c>
      <c r="H31" s="59">
        <f>SUMIFS(Fleet_Raw!$G:$G,Fleet_Raw!$D:$D,critRegion,Fleet_Raw!$A:$A,"&gt;="&amp;dStart,Fleet_Raw!$A:$A,"&lt;="&amp;dEnd)</f>
        <v>1212529</v>
      </c>
    </row>
    <row r="32" spans="3:25" x14ac:dyDescent="0.25">
      <c r="G32" s="20" t="s">
        <v>218</v>
      </c>
      <c r="H32" s="33">
        <f>SUMIFS(Fleet_Raw!$L:$L,Fleet_Raw!$D:$D,critRegion,Fleet_Raw!$A:$A,"&gt;="&amp;dStart,Fleet_Raw!$A:$A,"&lt;="&amp;dEnd)</f>
        <v>882007.35999999929</v>
      </c>
    </row>
    <row r="33" spans="7:8" x14ac:dyDescent="0.25">
      <c r="G33" s="20" t="s">
        <v>95</v>
      </c>
      <c r="H33" s="60">
        <f>IFERROR(H32/H31,0)</f>
        <v>0.7274113526356889</v>
      </c>
    </row>
    <row r="34" spans="7:8" x14ac:dyDescent="0.25">
      <c r="G34" s="20" t="s">
        <v>2461</v>
      </c>
      <c r="H34" s="33">
        <f>SUMIFS(Workforce_Raw!$L:$L,Workforce_Raw!$D:$D,critRegion,Workforce_Raw!$A:$A,"&gt;="&amp;dStart,Workforce_Raw!$A:$A,"&lt;="&amp;dEnd)</f>
        <v>38123646.123333327</v>
      </c>
    </row>
    <row r="35" spans="7:8" x14ac:dyDescent="0.25">
      <c r="G35" s="20" t="s">
        <v>207</v>
      </c>
      <c r="H35" s="33">
        <f>SUMIFS(Workforce_Raw!$I:$I,Workforce_Raw!$D:$D,critRegion,Workforce_Raw!$A:$A,"&gt;="&amp;dStart,Workforce_Raw!$A:$A,"&lt;="&amp;dEnd)</f>
        <v>1116887.7900000012</v>
      </c>
    </row>
    <row r="36" spans="7:8" x14ac:dyDescent="0.25">
      <c r="G36" s="20" t="s">
        <v>2462</v>
      </c>
      <c r="H36" s="36">
        <f>IFERROR(H35/H34,0)</f>
        <v>2.929645780434462E-2</v>
      </c>
    </row>
    <row r="37" spans="7:8" x14ac:dyDescent="0.25">
      <c r="G37" s="20" t="s">
        <v>212</v>
      </c>
      <c r="H37" s="33">
        <f>SUMIFS(Agency_Raw!$I:$I,Agency_Raw!$D:$D,critRegion,Agency_Raw!$A:$A,"&gt;="&amp;dStart,Agency_Raw!$A:$A,"&lt;="&amp;dEnd)</f>
        <v>1341086</v>
      </c>
    </row>
    <row r="38" spans="7:8" x14ac:dyDescent="0.25">
      <c r="G38" s="20" t="s">
        <v>214</v>
      </c>
      <c r="H38" s="36">
        <f>IFERROR(H37/(H37+H34),0)</f>
        <v>3.3981885289602401E-2</v>
      </c>
    </row>
    <row r="40" spans="7:8" x14ac:dyDescent="0.25">
      <c r="G40" s="20" t="s">
        <v>98</v>
      </c>
      <c r="H40" s="33">
        <f>Financial_Model!C23</f>
        <v>28098167.387883306</v>
      </c>
    </row>
    <row r="41" spans="7:8" x14ac:dyDescent="0.25">
      <c r="G41" s="20" t="s">
        <v>99</v>
      </c>
      <c r="H41" s="36">
        <f>Financial_Model!C24</f>
        <v>0.31545875146808727</v>
      </c>
    </row>
    <row r="42" spans="7:8" x14ac:dyDescent="0.25">
      <c r="G42" s="20" t="s">
        <v>154</v>
      </c>
      <c r="H42" s="33">
        <f>Financial_Model!C16</f>
        <v>89070812.767499968</v>
      </c>
    </row>
    <row r="43" spans="7:8" x14ac:dyDescent="0.25">
      <c r="G43" s="20" t="s">
        <v>2463</v>
      </c>
      <c r="H43" s="33">
        <f>Financial_Model!D23</f>
        <v>1974614.881216675</v>
      </c>
    </row>
    <row r="44" spans="7:8" x14ac:dyDescent="0.25">
      <c r="G44" s="20" t="s">
        <v>2464</v>
      </c>
      <c r="H44" s="33">
        <f>Savings_Tracker!G15</f>
        <v>631350</v>
      </c>
    </row>
    <row r="45" spans="7:8" x14ac:dyDescent="0.25">
      <c r="G45" s="20" t="s">
        <v>2465</v>
      </c>
      <c r="H45" s="33">
        <f>Savings_Tracker!E15</f>
        <v>782438.94790000003</v>
      </c>
    </row>
    <row r="46" spans="7:8" x14ac:dyDescent="0.25">
      <c r="G46" s="20" t="s">
        <v>2466</v>
      </c>
      <c r="H46" s="36">
        <f>Financial_Model!B24</f>
        <v>0.30208839737549259</v>
      </c>
    </row>
    <row r="47" spans="7:8" x14ac:dyDescent="0.25">
      <c r="G47" s="20" t="s">
        <v>2467</v>
      </c>
      <c r="H47" s="20" t="str">
        <f>IF($H$4="All","all regions",$H$4)</f>
        <v>all regions</v>
      </c>
    </row>
    <row r="48" spans="7:8" x14ac:dyDescent="0.25">
      <c r="G48" s="20" t="s">
        <v>2468</v>
      </c>
      <c r="H48" s="20" t="str">
        <f>IF($H$8="All","FY 2025",$H$8)</f>
        <v>FY 2025</v>
      </c>
    </row>
    <row r="50" spans="7:8" ht="15.75" x14ac:dyDescent="0.25">
      <c r="G50" s="17" t="s">
        <v>2469</v>
      </c>
    </row>
    <row r="51" spans="7:8" x14ac:dyDescent="0.25">
      <c r="G51" s="24" t="s">
        <v>2470</v>
      </c>
      <c r="H51" s="24" t="str">
        <f>IFERROR("Largest spend category in "&amp;$H$47&amp;", "&amp;$H$48&amp;": "&amp;INDEX($R$5:$R$12,MATCH(MAX($U$5:$U$12),$U$5:$U$12,0))&amp;" at "&amp;TEXT(MAX($U$5:$U$12),"£#,##0")&amp;" ("&amp;TEXT(MAX($U$5:$U$12)/SUM($U$5:$U$12),"0%")&amp;" of procurement spend).","No procurement spend for this selection.")</f>
        <v>Largest spend category in all regions, FY 2025: Agency Labour at £3,193,367 (23% of procurement spend).</v>
      </c>
    </row>
    <row r="52" spans="7:8" x14ac:dyDescent="0.25">
      <c r="G52" s="24" t="s">
        <v>2471</v>
      </c>
      <c r="H52" s="24" t="str">
        <f>IF($H$23=0,"No invoices match this selection.","Top supplier for this selection is "&amp;$AB$5&amp;" at "&amp;TEXT($AC$5,"£#,##0")&amp;"; "&amp;TEXT($H$26,"0%")&amp;" of selected spend is off-contract ("&amp;TEXT($H$25,"£#,##0")&amp;"). Category targets applied to this spend are worth "&amp;TEXT($H$24,"£#,##0")&amp;".")</f>
        <v>Top supplier for this selection is NurseLink at £1,161,388; 82% of selected spend is off-contract (£11,473,793). Category targets applied to this spend are worth £782,439.</v>
      </c>
    </row>
    <row r="53" spans="7:8" x14ac:dyDescent="0.25">
      <c r="G53" s="24" t="s">
        <v>2472</v>
      </c>
      <c r="H53" s="24" t="str">
        <f>"Opex for "&amp;$H$47&amp;", "&amp;$H$48&amp;" is "&amp;TEXT(ABS($H$18),"£#,##0")&amp;IF($H$18&gt;=0," under"," over")&amp;" budget ("&amp;TEXT($H$19,"+0.0%;-0.0%")&amp;"); EBITDA margin "&amp;TEXT($H$17,"0.0%")&amp;" against a group 2025 margin of "&amp;TEXT($H$46,"0.0%")&amp;"."</f>
        <v>Opex for all regions, FY 2025 is £48,857 under budget (+0.1%); EBITDA margin 30.2% against a group 2025 margin of 30.2%.</v>
      </c>
    </row>
    <row r="54" spans="7:8" x14ac:dyDescent="0.25">
      <c r="G54" s="24" t="s">
        <v>2473</v>
      </c>
      <c r="H54" s="24" t="str">
        <f>"2026 "&amp;$H$11&amp;" scenario: EBITDA "&amp;TEXT($H$40/1000000,"£0.0")&amp;"m ("&amp;TEXT($H$41,"0.0%")&amp;" margin), "&amp;IF($H$43&gt;=0,"up ","down ")&amp;TEXT(ABS($H$43)/1000000,"£0.0")&amp;"m on 2025. The savings tracker forecasts "&amp;TEXT($H$44/$H$45,"0%")&amp;" of the category target."</f>
        <v>2026 Base scenario: EBITDA £28.1m (31.5% margin), up £2.0m on 2025. The savings tracker forecasts 81% of the category target.</v>
      </c>
    </row>
  </sheetData>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24"/>
  <sheetViews>
    <sheetView showGridLines="0" zoomScaleNormal="100" workbookViewId="0"/>
  </sheetViews>
  <sheetFormatPr defaultColWidth="8.7109375" defaultRowHeight="15" x14ac:dyDescent="0.25"/>
  <cols>
    <col min="1" max="1" width="36" customWidth="1"/>
    <col min="2" max="2" width="42" customWidth="1"/>
    <col min="3" max="3" width="80" customWidth="1"/>
  </cols>
  <sheetData>
    <row r="1" spans="1:3" ht="21" x14ac:dyDescent="0.35">
      <c r="A1" s="15" t="s">
        <v>2474</v>
      </c>
    </row>
    <row r="2" spans="1:3" x14ac:dyDescent="0.25">
      <c r="A2" s="16" t="s">
        <v>2475</v>
      </c>
    </row>
    <row r="3" spans="1:3" x14ac:dyDescent="0.25">
      <c r="A3" s="18" t="s">
        <v>2476</v>
      </c>
      <c r="B3" s="18" t="s">
        <v>2477</v>
      </c>
      <c r="C3" s="18" t="s">
        <v>2478</v>
      </c>
    </row>
    <row r="4" spans="1:3" ht="30" customHeight="1" x14ac:dyDescent="0.25">
      <c r="A4" s="41" t="s">
        <v>2479</v>
      </c>
      <c r="B4" s="21" t="s">
        <v>2480</v>
      </c>
      <c r="C4" s="21" t="s">
        <v>2481</v>
      </c>
    </row>
    <row r="5" spans="1:3" ht="30" customHeight="1" x14ac:dyDescent="0.25">
      <c r="A5" s="41" t="s">
        <v>2482</v>
      </c>
      <c r="B5" s="21" t="s">
        <v>2483</v>
      </c>
      <c r="C5" s="21" t="s">
        <v>2484</v>
      </c>
    </row>
    <row r="6" spans="1:3" ht="30" customHeight="1" x14ac:dyDescent="0.25">
      <c r="A6" s="41" t="s">
        <v>2485</v>
      </c>
      <c r="B6" s="21" t="s">
        <v>2486</v>
      </c>
      <c r="C6" s="21" t="s">
        <v>2487</v>
      </c>
    </row>
    <row r="7" spans="1:3" ht="30" customHeight="1" x14ac:dyDescent="0.25">
      <c r="A7" s="41" t="s">
        <v>2488</v>
      </c>
      <c r="B7" s="21" t="s">
        <v>2489</v>
      </c>
      <c r="C7" s="21" t="s">
        <v>2490</v>
      </c>
    </row>
    <row r="8" spans="1:3" ht="30" customHeight="1" x14ac:dyDescent="0.25">
      <c r="A8" s="41" t="s">
        <v>2491</v>
      </c>
      <c r="B8" s="21" t="s">
        <v>2492</v>
      </c>
      <c r="C8" s="21" t="s">
        <v>2493</v>
      </c>
    </row>
    <row r="9" spans="1:3" ht="30" customHeight="1" x14ac:dyDescent="0.25">
      <c r="A9" s="41" t="s">
        <v>2494</v>
      </c>
      <c r="B9" s="21" t="s">
        <v>2495</v>
      </c>
      <c r="C9" s="21" t="s">
        <v>2496</v>
      </c>
    </row>
    <row r="10" spans="1:3" ht="30" customHeight="1" x14ac:dyDescent="0.25">
      <c r="A10" s="41" t="s">
        <v>2497</v>
      </c>
      <c r="B10" s="21" t="s">
        <v>2498</v>
      </c>
      <c r="C10" s="21" t="s">
        <v>2499</v>
      </c>
    </row>
    <row r="11" spans="1:3" ht="30" customHeight="1" x14ac:dyDescent="0.25">
      <c r="A11" s="41" t="s">
        <v>2500</v>
      </c>
      <c r="B11" s="21" t="s">
        <v>2501</v>
      </c>
      <c r="C11" s="21" t="s">
        <v>2502</v>
      </c>
    </row>
    <row r="12" spans="1:3" ht="30" customHeight="1" x14ac:dyDescent="0.25">
      <c r="A12" s="41" t="s">
        <v>2503</v>
      </c>
      <c r="B12" s="21" t="s">
        <v>2504</v>
      </c>
      <c r="C12" s="21" t="s">
        <v>2505</v>
      </c>
    </row>
    <row r="13" spans="1:3" ht="30" customHeight="1" x14ac:dyDescent="0.25">
      <c r="A13" s="41" t="s">
        <v>2506</v>
      </c>
      <c r="B13" s="21" t="s">
        <v>2507</v>
      </c>
      <c r="C13" s="21" t="s">
        <v>2508</v>
      </c>
    </row>
    <row r="14" spans="1:3" ht="30" customHeight="1" x14ac:dyDescent="0.25">
      <c r="A14" s="41" t="s">
        <v>2509</v>
      </c>
      <c r="B14" s="21" t="s">
        <v>2510</v>
      </c>
      <c r="C14" s="21" t="s">
        <v>2511</v>
      </c>
    </row>
    <row r="15" spans="1:3" ht="30" customHeight="1" x14ac:dyDescent="0.25">
      <c r="A15" s="41" t="s">
        <v>2512</v>
      </c>
      <c r="B15" s="21" t="s">
        <v>2513</v>
      </c>
      <c r="C15" s="21" t="s">
        <v>2514</v>
      </c>
    </row>
    <row r="16" spans="1:3" ht="30" customHeight="1" x14ac:dyDescent="0.25">
      <c r="A16" s="41" t="s">
        <v>2515</v>
      </c>
      <c r="B16" s="21" t="s">
        <v>2516</v>
      </c>
      <c r="C16" s="21" t="s">
        <v>2517</v>
      </c>
    </row>
    <row r="17" spans="1:3" ht="30" customHeight="1" x14ac:dyDescent="0.25">
      <c r="A17" s="41" t="s">
        <v>2518</v>
      </c>
      <c r="B17" s="21" t="s">
        <v>2519</v>
      </c>
      <c r="C17" s="21" t="s">
        <v>2520</v>
      </c>
    </row>
    <row r="18" spans="1:3" ht="30" customHeight="1" x14ac:dyDescent="0.25">
      <c r="A18" s="41" t="s">
        <v>2521</v>
      </c>
      <c r="B18" s="21" t="s">
        <v>2522</v>
      </c>
      <c r="C18" s="21" t="s">
        <v>2523</v>
      </c>
    </row>
    <row r="19" spans="1:3" ht="30" customHeight="1" x14ac:dyDescent="0.25">
      <c r="A19" s="41" t="s">
        <v>2524</v>
      </c>
      <c r="B19" s="21" t="s">
        <v>2525</v>
      </c>
      <c r="C19" s="21" t="s">
        <v>2526</v>
      </c>
    </row>
    <row r="20" spans="1:3" ht="30" customHeight="1" x14ac:dyDescent="0.25">
      <c r="A20" s="41" t="s">
        <v>2527</v>
      </c>
      <c r="B20" s="21" t="s">
        <v>2528</v>
      </c>
      <c r="C20" s="21" t="s">
        <v>2529</v>
      </c>
    </row>
    <row r="21" spans="1:3" ht="30" customHeight="1" x14ac:dyDescent="0.25">
      <c r="A21" s="41" t="s">
        <v>2530</v>
      </c>
      <c r="B21" s="21" t="s">
        <v>35</v>
      </c>
      <c r="C21" s="21" t="s">
        <v>2531</v>
      </c>
    </row>
    <row r="22" spans="1:3" ht="30" customHeight="1" x14ac:dyDescent="0.25">
      <c r="A22" s="41" t="s">
        <v>2532</v>
      </c>
      <c r="B22" s="21" t="s">
        <v>2533</v>
      </c>
      <c r="C22" s="21" t="s">
        <v>2534</v>
      </c>
    </row>
    <row r="23" spans="1:3" ht="30" customHeight="1" x14ac:dyDescent="0.25">
      <c r="A23" s="41" t="s">
        <v>2535</v>
      </c>
      <c r="B23" s="21" t="s">
        <v>2536</v>
      </c>
      <c r="C23" s="21" t="s">
        <v>2537</v>
      </c>
    </row>
    <row r="24" spans="1:3" ht="30" customHeight="1" x14ac:dyDescent="0.25">
      <c r="A24" s="41" t="s">
        <v>2538</v>
      </c>
      <c r="B24" s="21" t="s">
        <v>2539</v>
      </c>
      <c r="C24" s="21" t="s">
        <v>2540</v>
      </c>
    </row>
  </sheetData>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17"/>
  <sheetViews>
    <sheetView showGridLines="0" zoomScaleNormal="100" workbookViewId="0"/>
  </sheetViews>
  <sheetFormatPr defaultColWidth="8.7109375" defaultRowHeight="15" x14ac:dyDescent="0.25"/>
  <cols>
    <col min="1" max="1" width="26" customWidth="1"/>
    <col min="2" max="2" width="34" customWidth="1"/>
    <col min="3" max="3" width="80" customWidth="1"/>
    <col min="4" max="4" width="24" customWidth="1"/>
  </cols>
  <sheetData>
    <row r="1" spans="1:4" ht="21" x14ac:dyDescent="0.35">
      <c r="A1" s="15" t="s">
        <v>2541</v>
      </c>
    </row>
    <row r="2" spans="1:4" x14ac:dyDescent="0.25">
      <c r="A2" s="16" t="s">
        <v>2542</v>
      </c>
    </row>
    <row r="3" spans="1:4" x14ac:dyDescent="0.25">
      <c r="A3" s="18" t="s">
        <v>2543</v>
      </c>
      <c r="B3" s="18" t="s">
        <v>2544</v>
      </c>
      <c r="C3" s="18" t="s">
        <v>2545</v>
      </c>
      <c r="D3" s="18" t="s">
        <v>2546</v>
      </c>
    </row>
    <row r="4" spans="1:4" ht="48" customHeight="1" x14ac:dyDescent="0.25">
      <c r="A4" s="131" t="s">
        <v>2547</v>
      </c>
      <c r="B4" s="131" t="s">
        <v>2548</v>
      </c>
      <c r="C4" s="21" t="s">
        <v>2549</v>
      </c>
      <c r="D4" s="21" t="s">
        <v>2550</v>
      </c>
    </row>
    <row r="5" spans="1:4" ht="48" customHeight="1" x14ac:dyDescent="0.25">
      <c r="A5" s="131" t="s">
        <v>2551</v>
      </c>
      <c r="B5" s="131" t="s">
        <v>2552</v>
      </c>
      <c r="C5" s="21" t="s">
        <v>2553</v>
      </c>
      <c r="D5" s="21" t="s">
        <v>2554</v>
      </c>
    </row>
    <row r="6" spans="1:4" ht="48" customHeight="1" x14ac:dyDescent="0.25">
      <c r="A6" s="131" t="s">
        <v>2555</v>
      </c>
      <c r="B6" s="131" t="s">
        <v>2556</v>
      </c>
      <c r="C6" s="21" t="s">
        <v>2557</v>
      </c>
      <c r="D6" s="21" t="s">
        <v>2558</v>
      </c>
    </row>
    <row r="7" spans="1:4" ht="48" customHeight="1" x14ac:dyDescent="0.25">
      <c r="A7" s="131" t="s">
        <v>2559</v>
      </c>
      <c r="B7" s="131" t="s">
        <v>2560</v>
      </c>
      <c r="C7" s="21" t="s">
        <v>2561</v>
      </c>
      <c r="D7" s="21" t="s">
        <v>2562</v>
      </c>
    </row>
    <row r="8" spans="1:4" ht="48" customHeight="1" x14ac:dyDescent="0.25">
      <c r="A8" s="131" t="s">
        <v>2559</v>
      </c>
      <c r="B8" s="131" t="s">
        <v>2563</v>
      </c>
      <c r="C8" s="21" t="s">
        <v>2564</v>
      </c>
      <c r="D8" s="21" t="s">
        <v>2565</v>
      </c>
    </row>
    <row r="9" spans="1:4" ht="48" customHeight="1" x14ac:dyDescent="0.25">
      <c r="A9" s="131" t="s">
        <v>2566</v>
      </c>
      <c r="B9" s="131" t="s">
        <v>2567</v>
      </c>
      <c r="C9" s="21" t="s">
        <v>2568</v>
      </c>
      <c r="D9" s="21" t="s">
        <v>2569</v>
      </c>
    </row>
    <row r="10" spans="1:4" ht="48" customHeight="1" x14ac:dyDescent="0.25">
      <c r="A10" s="131" t="s">
        <v>2570</v>
      </c>
      <c r="B10" s="131" t="s">
        <v>2571</v>
      </c>
      <c r="C10" s="21" t="s">
        <v>2572</v>
      </c>
      <c r="D10" s="21" t="s">
        <v>2573</v>
      </c>
    </row>
    <row r="13" spans="1:4" ht="15.75" x14ac:dyDescent="0.25">
      <c r="A13" s="17" t="s">
        <v>2574</v>
      </c>
    </row>
    <row r="14" spans="1:4" x14ac:dyDescent="0.25">
      <c r="A14" s="24" t="s">
        <v>2575</v>
      </c>
    </row>
    <row r="15" spans="1:4" x14ac:dyDescent="0.25">
      <c r="A15" s="24" t="s">
        <v>2576</v>
      </c>
    </row>
    <row r="16" spans="1:4" x14ac:dyDescent="0.25">
      <c r="A16" s="24" t="s">
        <v>2577</v>
      </c>
    </row>
    <row r="17" spans="1:1" x14ac:dyDescent="0.25">
      <c r="A17" s="24" t="s">
        <v>2578</v>
      </c>
    </row>
  </sheetData>
  <pageMargins left="0.75" right="0.75" top="1" bottom="1"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B13"/>
  <sheetViews>
    <sheetView showGridLines="0" zoomScaleNormal="100" workbookViewId="0"/>
  </sheetViews>
  <sheetFormatPr defaultColWidth="8.7109375" defaultRowHeight="15" x14ac:dyDescent="0.25"/>
  <cols>
    <col min="1" max="1" width="22" customWidth="1"/>
    <col min="2" max="2" width="110" customWidth="1"/>
  </cols>
  <sheetData>
    <row r="1" spans="1:2" ht="21" x14ac:dyDescent="0.35">
      <c r="A1" s="15" t="s">
        <v>2579</v>
      </c>
    </row>
    <row r="3" spans="1:2" x14ac:dyDescent="0.25">
      <c r="A3" s="18" t="s">
        <v>2580</v>
      </c>
      <c r="B3" s="18" t="s">
        <v>2581</v>
      </c>
    </row>
    <row r="4" spans="1:2" ht="48" customHeight="1" x14ac:dyDescent="0.25">
      <c r="A4" s="131" t="s">
        <v>2582</v>
      </c>
      <c r="B4" s="21" t="s">
        <v>2583</v>
      </c>
    </row>
    <row r="5" spans="1:2" ht="48" customHeight="1" x14ac:dyDescent="0.25">
      <c r="A5" s="131" t="s">
        <v>2584</v>
      </c>
      <c r="B5" s="21" t="s">
        <v>2585</v>
      </c>
    </row>
    <row r="6" spans="1:2" ht="48" customHeight="1" x14ac:dyDescent="0.25">
      <c r="A6" s="131" t="s">
        <v>2586</v>
      </c>
      <c r="B6" s="21" t="s">
        <v>2587</v>
      </c>
    </row>
    <row r="7" spans="1:2" ht="48" customHeight="1" x14ac:dyDescent="0.25">
      <c r="A7" s="131" t="s">
        <v>2588</v>
      </c>
      <c r="B7" s="21" t="s">
        <v>2589</v>
      </c>
    </row>
    <row r="8" spans="1:2" ht="48" customHeight="1" x14ac:dyDescent="0.25">
      <c r="A8" s="131" t="s">
        <v>2590</v>
      </c>
      <c r="B8" s="21" t="s">
        <v>2591</v>
      </c>
    </row>
    <row r="9" spans="1:2" ht="48" customHeight="1" x14ac:dyDescent="0.25">
      <c r="A9" s="131" t="s">
        <v>2592</v>
      </c>
      <c r="B9" s="21" t="s">
        <v>2593</v>
      </c>
    </row>
    <row r="10" spans="1:2" ht="48" customHeight="1" x14ac:dyDescent="0.25">
      <c r="A10" s="131" t="s">
        <v>2594</v>
      </c>
      <c r="B10" s="21" t="s">
        <v>2595</v>
      </c>
    </row>
    <row r="11" spans="1:2" ht="48" customHeight="1" x14ac:dyDescent="0.25">
      <c r="A11" s="131" t="s">
        <v>2596</v>
      </c>
      <c r="B11" s="21" t="s">
        <v>2597</v>
      </c>
    </row>
    <row r="12" spans="1:2" ht="48" customHeight="1" x14ac:dyDescent="0.25">
      <c r="A12" s="131" t="s">
        <v>2598</v>
      </c>
      <c r="B12" s="21" t="s">
        <v>2599</v>
      </c>
    </row>
    <row r="13" spans="1:2" ht="48" customHeight="1" x14ac:dyDescent="0.25">
      <c r="A13" s="131" t="s">
        <v>2600</v>
      </c>
      <c r="B13" s="21" t="s">
        <v>2601</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23</vt:i4>
      </vt:variant>
      <vt:variant>
        <vt:lpstr>Named Ranges</vt:lpstr>
      </vt:variant>
      <vt:variant>
        <vt:i4>13</vt:i4>
      </vt:variant>
    </vt:vector>
  </HeadingPairs>
  <TitlesOfParts>
    <vt:vector size="36" baseType="lpstr">
      <vt:lpstr>README</vt:lpstr>
      <vt:lpstr>Dashboard</vt:lpstr>
      <vt:lpstr>Financial_Model</vt:lpstr>
      <vt:lpstr>Savings_Tracker</vt:lpstr>
      <vt:lpstr>Site_Performance</vt:lpstr>
      <vt:lpstr>Ops_Analysis</vt:lpstr>
      <vt:lpstr>Supplier_Analysis</vt:lpstr>
      <vt:lpstr>Pivot_Analysis</vt:lpstr>
      <vt:lpstr>Actual_Pivot</vt:lpstr>
      <vt:lpstr>Data_Quality</vt:lpstr>
      <vt:lpstr>Cleaned_Procurement</vt:lpstr>
      <vt:lpstr>Procurement_Raw</vt:lpstr>
      <vt:lpstr>Fleet_Raw</vt:lpstr>
      <vt:lpstr>Workforce_Raw</vt:lpstr>
      <vt:lpstr>Agency_Raw</vt:lpstr>
      <vt:lpstr>Finance_Raw</vt:lpstr>
      <vt:lpstr>Sites</vt:lpstr>
      <vt:lpstr>Category_Targets</vt:lpstr>
      <vt:lpstr>Supplier_Lookup</vt:lpstr>
      <vt:lpstr>Dash_Calc</vt:lpstr>
      <vt:lpstr>Formula_Audit</vt:lpstr>
      <vt:lpstr>VBA_Code</vt:lpstr>
      <vt:lpstr>Methodology</vt:lpstr>
      <vt:lpstr>critCategory</vt:lpstr>
      <vt:lpstr>critRegion</vt:lpstr>
      <vt:lpstr>dEnd</vt:lpstr>
      <vt:lpstr>dStart</vt:lpstr>
      <vt:lpstr>lstCategory</vt:lpstr>
      <vt:lpstr>lstMonth</vt:lpstr>
      <vt:lpstr>lstRegion</vt:lpstr>
      <vt:lpstr>lstScenario</vt:lpstr>
      <vt:lpstr>Dashboard!Print_Area</vt:lpstr>
      <vt:lpstr>selCategory</vt:lpstr>
      <vt:lpstr>selMonth</vt:lpstr>
      <vt:lpstr>selRegion</vt:lpstr>
      <vt:lpstr>selScenario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CareTech Junior Data Analyst Commercial Excel Capstone</dc:title>
  <dc:subject>Advanced Excel, VBA and financial modelling</dc:subject>
  <dc:creator>Candidate Portfolio Project</dc:creator>
  <dc:description>Synthetic data only; no real CareTech data.</dc:description>
  <cp:lastModifiedBy>Ologun Oluwatosin (LSCFT)</cp:lastModifiedBy>
  <cp:revision>2</cp:revision>
  <dcterms:created xsi:type="dcterms:W3CDTF">2026-09-24T12:03:23Z</dcterms:created>
  <dcterms:modified xsi:type="dcterms:W3CDTF">2026-09-24T15:19:54Z</dcterms:modified>
  <dc:language>en-US</dc:language>
</cp:coreProperties>
</file>